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9545914d73a63f/Documents/"/>
    </mc:Choice>
  </mc:AlternateContent>
  <xr:revisionPtr revIDLastSave="466" documentId="8_{7F9F3E4F-EB72-42FC-97D9-058C6DEB7E93}" xr6:coauthVersionLast="47" xr6:coauthVersionMax="47" xr10:uidLastSave="{6F922A30-69CF-4388-89AD-BDF591BA3FCA}"/>
  <bookViews>
    <workbookView xWindow="-120" yWindow="-120" windowWidth="29040" windowHeight="15720" activeTab="3" xr2:uid="{00000000-000D-0000-FFFF-FFFF00000000}"/>
  </bookViews>
  <sheets>
    <sheet name="Crowdfunding" sheetId="1" r:id="rId1"/>
    <sheet name="Parent Category" sheetId="3" r:id="rId2"/>
    <sheet name="Sub-Category" sheetId="4" r:id="rId3"/>
    <sheet name="Parent Category - Years" sheetId="7" r:id="rId4"/>
    <sheet name="Crowfunding Goal Analysis" sheetId="8" r:id="rId5"/>
    <sheet name="Statistical Analysis" sheetId="9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9" l="1"/>
  <c r="I7" i="9"/>
  <c r="J6" i="9"/>
  <c r="I6" i="9"/>
  <c r="J5" i="9"/>
  <c r="J4" i="9"/>
  <c r="J3" i="9"/>
  <c r="I5" i="9"/>
  <c r="I4" i="9"/>
  <c r="I3" i="9"/>
  <c r="J2" i="9"/>
  <c r="I2" i="9"/>
  <c r="D2" i="8"/>
  <c r="C2" i="8"/>
  <c r="B2" i="8"/>
  <c r="D12" i="8"/>
  <c r="D11" i="8"/>
  <c r="D10" i="8"/>
  <c r="D9" i="8"/>
  <c r="D8" i="8"/>
  <c r="D7" i="8"/>
  <c r="D6" i="8"/>
  <c r="D5" i="8"/>
  <c r="D4" i="8"/>
  <c r="D3" i="8"/>
  <c r="D1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2" i="1"/>
  <c r="E4" i="8" l="1"/>
  <c r="H4" i="8" s="1"/>
  <c r="E2" i="8"/>
  <c r="H2" i="8" s="1"/>
  <c r="E13" i="8"/>
  <c r="G13" i="8" s="1"/>
  <c r="E12" i="8"/>
  <c r="H12" i="8" s="1"/>
  <c r="E11" i="8"/>
  <c r="G11" i="8" s="1"/>
  <c r="E10" i="8"/>
  <c r="F10" i="8" s="1"/>
  <c r="E9" i="8"/>
  <c r="F9" i="8" s="1"/>
  <c r="E8" i="8"/>
  <c r="G8" i="8" s="1"/>
  <c r="E7" i="8"/>
  <c r="G7" i="8" s="1"/>
  <c r="E6" i="8"/>
  <c r="F6" i="8" s="1"/>
  <c r="E5" i="8"/>
  <c r="G5" i="8" s="1"/>
  <c r="E3" i="8"/>
  <c r="G3" i="8" s="1"/>
  <c r="H10" i="8" l="1"/>
  <c r="F4" i="8"/>
  <c r="G10" i="8"/>
  <c r="H5" i="8"/>
  <c r="G4" i="8"/>
  <c r="G2" i="8"/>
  <c r="G6" i="8"/>
  <c r="H13" i="8"/>
  <c r="F13" i="8"/>
  <c r="F2" i="8"/>
  <c r="H6" i="8"/>
  <c r="F5" i="8"/>
  <c r="H9" i="8"/>
  <c r="G9" i="8"/>
  <c r="H8" i="8"/>
  <c r="F8" i="8"/>
  <c r="F3" i="8"/>
  <c r="G12" i="8"/>
  <c r="H7" i="8"/>
  <c r="F12" i="8"/>
  <c r="H11" i="8"/>
  <c r="F7" i="8"/>
  <c r="H3" i="8"/>
  <c r="F11" i="8"/>
</calcChain>
</file>

<file path=xl/sharedStrings.xml><?xml version="1.0" encoding="utf-8"?>
<sst xmlns="http://schemas.openxmlformats.org/spreadsheetml/2006/main" count="9068" uniqueCount="2118">
  <si>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</si>
  <si>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</si>
  <si>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</si>
  <si>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</si>
  <si>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</si>
  <si>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</si>
  <si>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</si>
  <si>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</si>
  <si>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</si>
  <si>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</si>
  <si>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</si>
  <si>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</si>
  <si>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</si>
  <si>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</si>
  <si>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</si>
  <si>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</si>
  <si>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</si>
  <si>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</si>
  <si>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</si>
  <si>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</si>
  <si>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</si>
  <si>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</si>
  <si>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</si>
  <si>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</si>
  <si>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</si>
  <si>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</si>
  <si>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</si>
  <si>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</si>
  <si>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</si>
  <si>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</si>
  <si>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</si>
  <si>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</si>
  <si>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</si>
  <si>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</si>
  <si>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</si>
  <si>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</si>
  <si>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</si>
  <si>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</si>
  <si>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</si>
  <si>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</si>
  <si>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</si>
  <si>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</si>
  <si>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</si>
  <si>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</si>
  <si>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</si>
  <si>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</si>
  <si>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</si>
  <si>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</si>
  <si>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</si>
  <si>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</si>
  <si>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</si>
  <si>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</si>
  <si>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</si>
  <si>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</si>
  <si>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</si>
  <si>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</si>
  <si>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</si>
  <si>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</si>
  <si>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</si>
  <si>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</si>
  <si>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</si>
  <si>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</si>
  <si>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</si>
  <si>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</si>
  <si>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</si>
  <si>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</si>
  <si>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</si>
  <si>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</si>
  <si>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</si>
  <si>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</si>
  <si>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</si>
  <si>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</si>
  <si>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</si>
  <si>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</si>
  <si>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</si>
  <si>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</si>
  <si>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</si>
  <si>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</si>
  <si>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</si>
  <si>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</si>
  <si>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</si>
  <si>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</si>
  <si>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</si>
  <si>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</si>
  <si>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</si>
  <si>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</si>
  <si>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</si>
  <si>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</si>
  <si>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</si>
  <si>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</si>
  <si>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</si>
  <si>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</si>
  <si>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</si>
  <si>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</si>
  <si>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</si>
  <si>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</si>
  <si>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</si>
  <si>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</si>
  <si>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</si>
  <si>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</si>
  <si>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</si>
  <si>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</si>
  <si>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</si>
  <si>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</si>
  <si>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</si>
  <si>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</si>
  <si>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</si>
  <si>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</si>
  <si>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</si>
  <si>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</si>
  <si>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</si>
  <si>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</si>
  <si>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</si>
  <si>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</si>
  <si>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</si>
  <si>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</si>
  <si>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</si>
  <si>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</si>
  <si>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</si>
  <si>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</si>
  <si>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</si>
  <si>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</si>
  <si>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</si>
  <si>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</si>
  <si>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</si>
  <si>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</si>
  <si>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</si>
  <si>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</si>
  <si>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</si>
  <si>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</si>
  <si>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</si>
  <si>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</si>
  <si>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</si>
  <si>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</si>
  <si>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</si>
  <si>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</si>
  <si>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</si>
  <si>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</si>
  <si>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</si>
  <si>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</si>
  <si>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</si>
  <si>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</si>
  <si>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</si>
  <si>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</si>
  <si>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</si>
  <si>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</si>
  <si>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</si>
  <si>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</si>
  <si>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</si>
  <si>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</si>
  <si>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</si>
  <si>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</si>
  <si>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</si>
  <si>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</si>
  <si>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</si>
  <si>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</si>
  <si>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</si>
  <si>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</si>
  <si>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</si>
  <si>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</si>
  <si>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</si>
  <si>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</si>
  <si>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</si>
  <si>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</si>
  <si>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</si>
  <si>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</si>
  <si>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</si>
  <si>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</si>
  <si>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</si>
  <si>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</si>
  <si>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</si>
  <si>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</si>
  <si>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</si>
  <si>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</si>
  <si>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</si>
  <si>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</si>
  <si>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</si>
  <si>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</si>
  <si>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</si>
  <si>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</si>
  <si>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</si>
  <si>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</si>
  <si>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</si>
  <si>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</si>
  <si>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</si>
  <si>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</si>
  <si>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</si>
  <si>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</si>
  <si>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</si>
  <si>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</si>
  <si>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</si>
  <si>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</si>
  <si>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</si>
  <si>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</si>
  <si>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</si>
  <si>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</si>
  <si>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</si>
  <si>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</si>
  <si>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</si>
  <si>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</si>
  <si>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</si>
  <si>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</si>
  <si>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</si>
  <si>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</si>
  <si>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</si>
  <si>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</si>
  <si>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</si>
  <si>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</si>
  <si>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</si>
  <si>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</si>
  <si>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</si>
  <si>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</si>
  <si>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</si>
  <si>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</si>
  <si>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</si>
  <si>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</si>
  <si>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</si>
  <si>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</si>
  <si>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</si>
  <si>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</si>
  <si>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</si>
  <si>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</si>
  <si>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</si>
  <si>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</si>
  <si>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</si>
  <si>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</si>
  <si>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</si>
  <si>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</si>
  <si>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</si>
  <si>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</si>
  <si>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</si>
  <si>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</si>
  <si>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</si>
  <si>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</si>
  <si>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</si>
  <si>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</si>
  <si>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</si>
  <si>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</si>
  <si>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</si>
  <si>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</si>
  <si>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</si>
  <si>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</si>
  <si>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</si>
  <si>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</si>
  <si>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</si>
  <si>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</si>
  <si>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</si>
  <si>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</si>
  <si>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</si>
  <si>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</si>
  <si>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</si>
  <si>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</si>
  <si>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</si>
  <si>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</si>
  <si>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</si>
  <si>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</si>
  <si>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</si>
  <si>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</si>
  <si>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</si>
  <si>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</si>
  <si>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</si>
  <si>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</si>
  <si>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</si>
  <si>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</si>
  <si>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</si>
  <si>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</si>
  <si>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</si>
  <si>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</si>
  <si>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</si>
  <si>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</si>
  <si>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</si>
  <si>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</si>
  <si>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</si>
  <si>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</si>
  <si>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</si>
  <si>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</si>
  <si>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</si>
  <si>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</si>
  <si>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</si>
  <si>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</si>
  <si>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</si>
  <si>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</si>
  <si>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</si>
  <si>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</si>
  <si>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</si>
  <si>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</si>
  <si>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</si>
  <si>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</si>
  <si>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</si>
  <si>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</si>
  <si>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</si>
  <si>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</si>
  <si>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</si>
  <si>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</si>
  <si>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</si>
  <si>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</si>
  <si>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</si>
  <si>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</si>
  <si>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</si>
  <si>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</si>
  <si>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</si>
  <si>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</si>
  <si>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</si>
  <si>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</si>
  <si>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</si>
  <si>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</si>
  <si>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</si>
  <si>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</si>
  <si>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</si>
  <si>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</si>
  <si>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</si>
  <si>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</si>
  <si>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</si>
  <si>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</si>
  <si>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</si>
  <si>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</si>
  <si>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</si>
  <si>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</si>
  <si>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</si>
  <si>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</si>
  <si>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</si>
  <si>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</si>
  <si>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</si>
  <si>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</si>
  <si>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</si>
  <si>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</si>
  <si>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</si>
  <si>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</si>
  <si>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</si>
  <si>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</si>
  <si>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</si>
  <si>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</si>
  <si>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</si>
  <si>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</si>
  <si>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</si>
  <si>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</si>
  <si>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</si>
  <si>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</si>
  <si>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</si>
  <si>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</si>
  <si>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</si>
  <si>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</si>
  <si>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</si>
  <si>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</si>
  <si>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</si>
  <si>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</si>
  <si>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</si>
  <si>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</si>
  <si>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</si>
  <si>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</si>
  <si>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</si>
  <si>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</si>
  <si>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</si>
  <si>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</si>
  <si>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</si>
  <si>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</si>
  <si>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</si>
  <si>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</si>
  <si>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</si>
  <si>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</si>
  <si>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</si>
  <si>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</si>
  <si>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</si>
  <si>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</si>
  <si>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</si>
  <si>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</si>
  <si>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</si>
  <si>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</si>
  <si>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</si>
  <si>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</si>
  <si>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</si>
  <si>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</si>
  <si>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</si>
  <si>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</si>
  <si>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</si>
  <si>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</si>
  <si>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</si>
  <si>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</si>
  <si>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</si>
  <si>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</si>
  <si>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</si>
  <si>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</si>
  <si>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</si>
  <si>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</si>
  <si>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</si>
  <si>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</si>
  <si>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</si>
  <si>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</si>
  <si>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</si>
  <si>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</si>
  <si>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</si>
  <si>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</si>
  <si>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</si>
  <si>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</si>
  <si>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</si>
  <si>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</si>
  <si>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</si>
  <si>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</si>
  <si>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</si>
  <si>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</si>
  <si>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</si>
  <si>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</si>
  <si>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</si>
  <si>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</si>
  <si>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</si>
  <si>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</si>
  <si>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</si>
  <si>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</si>
  <si>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</si>
  <si>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</si>
  <si>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</si>
  <si>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</si>
  <si>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</si>
  <si>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</si>
  <si>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</si>
  <si>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</si>
  <si>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</si>
  <si>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</si>
  <si>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</si>
  <si>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</si>
  <si>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</si>
  <si>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</si>
  <si>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</si>
  <si>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</si>
  <si>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</si>
  <si>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</si>
  <si>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</si>
  <si>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</si>
  <si>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</si>
  <si>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</si>
  <si>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</si>
  <si>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</si>
  <si>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</si>
  <si>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</si>
  <si>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</si>
  <si>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</si>
  <si>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</si>
  <si>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</si>
  <si>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</si>
  <si>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</si>
  <si>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</si>
  <si>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</si>
  <si>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</si>
  <si>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</si>
  <si>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</si>
  <si>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</si>
  <si>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</si>
  <si>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</si>
  <si>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</si>
  <si>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</si>
  <si>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</si>
  <si>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</si>
  <si>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</si>
  <si>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</si>
  <si>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</si>
  <si>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</si>
  <si>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</si>
  <si>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</si>
  <si>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</si>
  <si>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</si>
  <si>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</si>
  <si>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</si>
  <si>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</si>
  <si>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</si>
  <si>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</si>
  <si>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</si>
  <si>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</si>
  <si>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</si>
  <si>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</si>
  <si>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</si>
  <si>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</si>
  <si>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</si>
  <si>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</si>
  <si>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</si>
  <si>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</si>
  <si>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</si>
  <si>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</si>
  <si>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</si>
  <si>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</si>
  <si>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</si>
  <si>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</si>
  <si>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</si>
  <si>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</si>
  <si>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</si>
  <si>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</si>
  <si>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</si>
  <si>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</si>
  <si>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</si>
  <si>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</si>
  <si>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</si>
  <si>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</si>
  <si>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</si>
  <si>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</si>
  <si>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</si>
  <si>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</si>
  <si>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</si>
  <si>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</si>
  <si>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</si>
  <si>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</si>
  <si>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</si>
  <si>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</si>
  <si>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</si>
  <si>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</si>
  <si>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</si>
  <si>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</si>
  <si>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</si>
  <si>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</si>
  <si>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</si>
  <si>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</si>
  <si>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</si>
  <si>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</si>
  <si>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</si>
  <si>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</si>
  <si>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</si>
  <si>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</si>
  <si>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</si>
  <si>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</si>
  <si>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</si>
  <si>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</si>
  <si>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</si>
  <si>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</si>
  <si>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</si>
  <si>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</si>
  <si>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</si>
  <si>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</si>
  <si>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</si>
  <si>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</si>
  <si>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</si>
  <si>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</si>
  <si>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</si>
  <si>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</si>
  <si>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</si>
  <si>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</si>
  <si>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</si>
  <si>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</si>
  <si>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</si>
  <si>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</si>
  <si>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</si>
  <si>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</si>
  <si>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</si>
  <si>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</si>
  <si>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</si>
  <si>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</si>
  <si>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</si>
  <si>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</si>
  <si>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</si>
  <si>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</si>
  <si>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</si>
  <si>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</si>
  <si>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</si>
  <si>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</si>
  <si>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</si>
  <si>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</si>
  <si>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</si>
  <si>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</si>
  <si>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</si>
  <si>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</si>
  <si>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</si>
  <si>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</si>
  <si>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</si>
  <si>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</si>
  <si>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</si>
  <si>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</si>
  <si>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</si>
  <si>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</si>
  <si>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</si>
  <si>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</si>
  <si>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</si>
  <si>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</si>
  <si>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</si>
  <si>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</si>
  <si>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</si>
  <si>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</si>
  <si>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</si>
  <si>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</si>
  <si>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</si>
  <si>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</si>
  <si>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</si>
  <si>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</si>
  <si>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</si>
  <si>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</si>
  <si>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</si>
  <si>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</si>
  <si>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</si>
  <si>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</si>
  <si>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</si>
  <si>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</si>
  <si>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</si>
  <si>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</si>
  <si>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</si>
  <si>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</si>
  <si>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</si>
  <si>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</si>
  <si>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</si>
  <si>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</si>
  <si>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</si>
  <si>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</si>
  <si>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</si>
  <si>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</si>
  <si>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</si>
  <si>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</si>
  <si>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</si>
  <si>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</si>
  <si>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</si>
  <si>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</si>
  <si>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</si>
  <si>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</si>
  <si>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</si>
  <si>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</si>
  <si>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</si>
  <si>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</si>
  <si>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</si>
  <si>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</si>
  <si>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</si>
  <si>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</si>
  <si>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</si>
  <si>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</si>
  <si>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</si>
  <si>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</si>
  <si>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</si>
  <si>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</si>
  <si>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</si>
  <si>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</si>
  <si>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</si>
  <si>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</si>
  <si>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</si>
  <si>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</si>
  <si>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</si>
  <si>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</si>
  <si>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</si>
  <si>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</si>
  <si>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</si>
  <si>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</si>
  <si>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</si>
  <si>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</si>
  <si>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</si>
  <si>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</si>
  <si>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</si>
  <si>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</si>
  <si>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</si>
  <si>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</si>
  <si>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</si>
  <si>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</si>
  <si>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</si>
  <si>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</si>
  <si>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</si>
  <si>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</si>
  <si>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</si>
  <si>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</si>
  <si>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</si>
  <si>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</si>
  <si>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</si>
  <si>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</si>
  <si>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</si>
  <si>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</si>
  <si>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</si>
  <si>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</si>
  <si>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</si>
  <si>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</si>
  <si>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</si>
  <si>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</si>
  <si>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</si>
  <si>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</si>
  <si>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</si>
  <si>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</si>
  <si>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</si>
  <si>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</si>
  <si>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</si>
  <si>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</si>
  <si>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</si>
  <si>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</si>
  <si>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</si>
  <si>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</si>
  <si>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</si>
  <si>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</si>
  <si>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</si>
  <si>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</si>
  <si>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</si>
  <si>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</si>
  <si>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</si>
  <si>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</si>
  <si>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</si>
  <si>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</si>
  <si>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</si>
  <si>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</si>
  <si>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</si>
  <si>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</si>
  <si>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</si>
  <si>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</si>
  <si>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</si>
  <si>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</si>
  <si>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</si>
  <si>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</si>
  <si>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</si>
  <si>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</si>
  <si>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</si>
  <si>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</si>
  <si>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</si>
  <si>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</si>
  <si>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</si>
  <si>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</si>
  <si>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</si>
  <si>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</si>
  <si>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</si>
  <si>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</si>
  <si>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</si>
  <si>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</si>
  <si>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</si>
  <si>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</si>
  <si>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</si>
  <si>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</si>
  <si>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</si>
  <si>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</si>
  <si>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</si>
  <si>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</si>
  <si>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</si>
  <si>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</si>
  <si>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</si>
  <si>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</si>
  <si>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</si>
  <si>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</si>
  <si>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</si>
  <si>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</si>
  <si>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</si>
  <si>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</si>
  <si>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</si>
  <si>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</si>
  <si>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</si>
  <si>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</si>
  <si>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</si>
  <si>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</si>
  <si>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</si>
  <si>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</si>
  <si>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</si>
  <si>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</si>
  <si>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</si>
  <si>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</si>
  <si>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</si>
  <si>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</si>
  <si>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</si>
  <si>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</si>
  <si>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</si>
  <si>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</si>
  <si>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</si>
  <si>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</si>
  <si>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</si>
  <si>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</si>
  <si>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</si>
  <si>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</si>
  <si>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</si>
  <si>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</si>
  <si>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</si>
  <si>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</si>
  <si>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</si>
  <si>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</si>
  <si>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</si>
  <si>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</si>
  <si>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</si>
  <si>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</si>
  <si>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</si>
  <si>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</si>
  <si>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</si>
  <si>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</si>
  <si>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</si>
  <si>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</si>
  <si>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</si>
  <si>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</si>
  <si>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</si>
  <si>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</si>
  <si>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</si>
  <si>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</si>
  <si>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</si>
  <si>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</si>
  <si>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</si>
  <si>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</si>
  <si>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</si>
  <si>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</si>
  <si>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</si>
  <si>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</si>
  <si>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</si>
  <si>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</si>
  <si>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</si>
  <si>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</si>
  <si>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</si>
  <si>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</si>
  <si>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</si>
  <si>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</si>
  <si>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</si>
  <si>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</si>
  <si>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</si>
  <si>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</si>
  <si>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</si>
  <si>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</si>
  <si>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</si>
  <si>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</si>
  <si>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</si>
  <si>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</si>
  <si>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</si>
  <si>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</si>
  <si>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</si>
  <si>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</si>
  <si>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</si>
  <si>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</si>
  <si>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</si>
  <si>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</si>
  <si>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</si>
  <si>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</si>
  <si>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</si>
  <si>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</si>
  <si>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</si>
  <si>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</si>
  <si>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</si>
  <si>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</si>
  <si>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</si>
  <si>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</si>
  <si>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</si>
  <si>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</si>
  <si>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</si>
  <si>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</si>
  <si>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</si>
  <si>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</si>
  <si>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</si>
  <si>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</si>
  <si>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</si>
  <si>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</si>
  <si>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</si>
  <si>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</si>
  <si>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</si>
  <si>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</si>
  <si>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</si>
  <si>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</si>
  <si>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</si>
  <si>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</si>
  <si>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</si>
  <si>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</si>
  <si>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</si>
  <si>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</si>
  <si>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</si>
  <si>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</si>
  <si>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</si>
  <si>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</si>
  <si>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</si>
  <si>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</si>
  <si>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</si>
  <si>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</si>
  <si>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</si>
  <si>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</si>
  <si>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</si>
  <si>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</si>
  <si>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</si>
  <si>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</si>
  <si>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</si>
  <si>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</si>
  <si>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</si>
  <si>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</si>
  <si>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</si>
  <si>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</si>
  <si>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</si>
  <si>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</si>
  <si>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</si>
  <si>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</si>
  <si>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</si>
  <si>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</si>
  <si>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</si>
  <si>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</si>
  <si>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</si>
  <si>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</si>
  <si>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</si>
  <si>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</si>
  <si>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</si>
  <si>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</si>
  <si>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</si>
  <si>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</si>
  <si>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</si>
  <si>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</si>
  <si>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</si>
  <si>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</si>
  <si>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</si>
  <si>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</si>
  <si>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</si>
  <si>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</si>
  <si>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</si>
  <si>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</si>
  <si>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</si>
  <si>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</si>
  <si>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</si>
  <si>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</si>
  <si>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</si>
  <si>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</si>
  <si>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</si>
  <si>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</si>
  <si>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</si>
  <si>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</si>
  <si>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</si>
  <si>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</si>
  <si>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</si>
  <si>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</si>
  <si>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</si>
  <si>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</si>
  <si>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</si>
  <si>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</si>
  <si>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</si>
  <si>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</si>
  <si>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</si>
  <si>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</si>
  <si>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</si>
  <si>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</si>
  <si>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</si>
  <si>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</si>
  <si>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</si>
  <si>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</si>
  <si>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</si>
  <si>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</si>
  <si>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</si>
  <si>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</si>
  <si>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</si>
  <si>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</si>
  <si>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</si>
  <si>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</si>
  <si>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</si>
  <si>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</si>
  <si>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</si>
  <si>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</si>
  <si>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</si>
  <si>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</si>
  <si>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</si>
  <si>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</si>
  <si>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</si>
  <si>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</si>
  <si>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</si>
  <si>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</si>
  <si>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</si>
  <si>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</si>
  <si>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</si>
  <si>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</si>
  <si>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</si>
  <si>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</si>
  <si>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</si>
  <si>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</si>
  <si>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</si>
  <si>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</si>
  <si>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</si>
  <si>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</si>
  <si>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</si>
  <si>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</si>
  <si>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</si>
  <si>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</si>
  <si>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</si>
  <si>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</si>
  <si>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</si>
  <si>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</si>
  <si>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</si>
  <si>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</si>
  <si>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</si>
  <si>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</si>
  <si>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</si>
  <si>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</si>
  <si>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</si>
  <si>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</si>
  <si>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</si>
  <si>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</si>
  <si>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</si>
  <si>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</si>
  <si>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</si>
  <si>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</si>
  <si>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</si>
  <si>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</si>
  <si>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</si>
  <si>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</si>
  <si>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</si>
  <si>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</si>
  <si>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</si>
  <si>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</si>
  <si>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</si>
  <si>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</si>
  <si>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</si>
  <si>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</si>
  <si>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</si>
  <si>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</si>
  <si>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</si>
  <si>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</si>
  <si>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</si>
  <si>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</si>
  <si>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</si>
  <si>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</si>
  <si>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</si>
  <si>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</si>
  <si>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</si>
  <si>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</si>
  <si>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</si>
  <si>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</si>
  <si>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</si>
  <si>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</si>
  <si>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</si>
  <si>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</si>
  <si>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</si>
  <si>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</si>
  <si>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</si>
  <si>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</si>
  <si>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</si>
  <si>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</si>
  <si>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</si>
  <si>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</si>
  <si>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</si>
  <si>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</si>
  <si>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</si>
  <si>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</si>
  <si>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</si>
  <si>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</si>
  <si>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</si>
  <si>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</si>
  <si>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</si>
  <si>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</si>
  <si>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</si>
  <si>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</si>
  <si>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</si>
  <si>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</si>
  <si>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</si>
  <si>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</si>
  <si>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</si>
  <si>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</si>
  <si>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</si>
  <si>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</si>
  <si>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</si>
  <si>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</si>
  <si>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</si>
  <si>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</si>
  <si>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</si>
  <si>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</si>
  <si>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</si>
  <si>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</si>
  <si>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</si>
  <si>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</si>
  <si>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</si>
  <si>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</si>
  <si>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</si>
  <si>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</si>
  <si>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</si>
  <si>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</si>
  <si>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</si>
  <si>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</si>
  <si>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</si>
  <si>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</si>
  <si>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</si>
  <si>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</si>
  <si>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</si>
  <si>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</si>
  <si>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</si>
  <si>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</si>
  <si>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</si>
  <si>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</si>
  <si>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</si>
  <si>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</si>
  <si>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</si>
  <si>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</si>
  <si>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</si>
  <si>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</si>
  <si>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</si>
  <si>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</si>
  <si>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</si>
  <si>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</si>
  <si>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</si>
  <si>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</si>
  <si>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</si>
  <si>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</si>
  <si>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</si>
  <si>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</si>
  <si>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</si>
  <si>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</si>
  <si>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</si>
  <si>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</si>
  <si>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</si>
  <si>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</si>
  <si>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</si>
  <si>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</si>
  <si>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</si>
  <si>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</si>
  <si>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</si>
  <si>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</si>
  <si>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</si>
  <si>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</si>
  <si>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</si>
  <si>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</si>
  <si>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</si>
  <si>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</si>
  <si>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</si>
  <si>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</si>
  <si>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</si>
  <si>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</si>
  <si>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</si>
  <si>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</si>
  <si>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</si>
  <si>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</si>
  <si>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</si>
  <si>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</si>
  <si>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</si>
  <si>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</si>
  <si>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</si>
  <si>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</si>
  <si>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</si>
  <si>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</si>
  <si>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</si>
  <si>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</si>
  <si>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</si>
  <si>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</si>
  <si>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</si>
  <si>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</si>
  <si>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</si>
  <si>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</si>
  <si>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</si>
  <si>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</si>
  <si>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</si>
  <si>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</si>
  <si>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</si>
  <si>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</si>
  <si>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</si>
  <si>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</si>
  <si>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</si>
  <si>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</si>
  <si>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</si>
  <si>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</si>
  <si>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</si>
  <si>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</si>
  <si>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</si>
  <si>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</si>
  <si>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</si>
  <si>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</si>
  <si>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</si>
  <si>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</si>
  <si>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</si>
  <si>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</si>
  <si>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</si>
  <si>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</si>
  <si>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</si>
  <si>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</si>
  <si>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</si>
  <si>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</si>
  <si>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</si>
  <si>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</si>
  <si>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</si>
  <si>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</si>
  <si>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</si>
  <si>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</si>
  <si>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</si>
  <si>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</si>
  <si>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</si>
  <si>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</si>
  <si>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</si>
  <si>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</si>
  <si>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</si>
  <si>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</si>
  <si>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</si>
  <si>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</si>
  <si>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</si>
  <si>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</si>
  <si>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</si>
  <si>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</si>
  <si>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</si>
  <si>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</si>
  <si>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</si>
  <si>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</si>
  <si>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</si>
  <si>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</si>
  <si>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</si>
  <si>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</si>
  <si>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</si>
  <si>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</si>
  <si>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</si>
  <si>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</si>
  <si>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</si>
  <si>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</si>
  <si>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</si>
  <si>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</si>
  <si>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</si>
  <si>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</si>
  <si>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</si>
  <si>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</si>
  <si>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</si>
  <si>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</si>
  <si>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</si>
  <si>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</si>
  <si>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</si>
  <si>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</si>
  <si>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</si>
  <si>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</si>
  <si>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</si>
  <si>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</si>
  <si>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</si>
  <si>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</si>
  <si>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</si>
  <si>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</si>
  <si>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</si>
  <si>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</si>
  <si>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</si>
  <si>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</si>
  <si>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</si>
  <si>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</si>
  <si>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</si>
  <si>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</si>
  <si>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</si>
  <si>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</si>
  <si>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</si>
  <si>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</si>
  <si>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</si>
  <si>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</si>
  <si>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</si>
  <si>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</si>
  <si>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</si>
  <si>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</si>
  <si>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</si>
  <si>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</si>
  <si>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</si>
  <si>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</si>
  <si>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</si>
  <si>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</si>
  <si>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</si>
  <si>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</si>
  <si>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</si>
  <si>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</si>
  <si>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</si>
  <si>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</si>
  <si>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</si>
  <si>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</si>
  <si>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</si>
  <si>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</si>
  <si>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</si>
  <si>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</si>
  <si>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</si>
  <si>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</si>
  <si>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</si>
  <si>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</si>
  <si>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</si>
  <si>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</si>
  <si>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</si>
  <si>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</si>
  <si>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</si>
  <si>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</si>
  <si>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</si>
  <si>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</si>
  <si>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</si>
  <si>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</si>
  <si>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</si>
  <si>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</si>
  <si>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</si>
  <si>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</si>
  <si>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</si>
  <si>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</si>
  <si>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</si>
  <si>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</si>
  <si>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</si>
  <si>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</si>
  <si>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</si>
  <si>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</si>
  <si>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</si>
  <si>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</si>
  <si>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</si>
  <si>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</si>
  <si>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</si>
  <si>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</si>
  <si>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</si>
  <si>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</si>
  <si>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</si>
  <si>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</si>
  <si>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</si>
  <si>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</si>
  <si>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</si>
  <si>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</si>
  <si>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</si>
  <si>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</si>
  <si>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</si>
  <si>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</si>
  <si>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</si>
  <si>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</si>
  <si>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</si>
  <si>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</si>
  <si>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</si>
  <si>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</si>
  <si>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</si>
  <si>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</si>
  <si>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</si>
  <si>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</si>
  <si>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</si>
  <si>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</si>
  <si>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</si>
  <si>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</si>
  <si>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</si>
  <si>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</si>
  <si>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</si>
  <si>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</si>
  <si>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</si>
  <si>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</si>
  <si>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</si>
  <si>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</si>
  <si>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</si>
  <si>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</si>
  <si>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</si>
  <si>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</si>
  <si>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</si>
  <si>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</si>
  <si>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</si>
  <si>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</si>
  <si>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</si>
  <si>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</si>
  <si>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</si>
  <si>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</si>
  <si>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</si>
  <si>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</si>
  <si>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</si>
  <si>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</si>
  <si>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</si>
  <si>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</si>
  <si>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</si>
  <si>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</si>
  <si>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</si>
  <si>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</si>
  <si>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</si>
  <si>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</si>
  <si>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</si>
  <si>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</si>
  <si>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</si>
  <si>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</si>
  <si>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</si>
  <si>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</si>
  <si>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</si>
  <si>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</si>
  <si>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</si>
  <si>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</si>
  <si>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</si>
  <si>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</si>
  <si>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</si>
  <si>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</si>
  <si>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</si>
  <si>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</si>
  <si>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</si>
  <si>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</si>
  <si>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</si>
  <si>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</si>
  <si>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</si>
  <si>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</si>
  <si>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</si>
  <si>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</si>
  <si>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</si>
  <si>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</si>
  <si>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</si>
  <si>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</si>
  <si>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</si>
  <si>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</si>
  <si>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</si>
  <si>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</si>
  <si>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</si>
  <si>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</si>
  <si>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</si>
  <si>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</si>
  <si>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</si>
  <si>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</si>
  <si>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</si>
  <si>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</si>
  <si>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</si>
  <si>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</si>
  <si>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</si>
  <si>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</si>
  <si>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</si>
  <si>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</si>
  <si>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</si>
  <si>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</si>
  <si>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</si>
  <si>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</si>
  <si>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</si>
  <si>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</si>
  <si>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</si>
  <si>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</si>
  <si>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</si>
  <si>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</si>
  <si>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</si>
  <si>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</si>
  <si>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</si>
  <si>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</si>
  <si>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</si>
  <si>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</si>
  <si>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</si>
  <si>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</si>
  <si>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</si>
  <si>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</si>
  <si>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</si>
  <si>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</si>
  <si>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</si>
  <si>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</si>
  <si>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</si>
  <si>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</si>
  <si>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</si>
  <si>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</si>
  <si>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</si>
  <si>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</si>
  <si>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</si>
  <si>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</si>
  <si>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</si>
  <si>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</si>
  <si>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</si>
  <si>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</si>
  <si>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</si>
  <si>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</si>
  <si>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</si>
  <si>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</si>
  <si>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</si>
  <si>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</si>
  <si>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</si>
  <si>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</si>
  <si>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</si>
  <si>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</si>
  <si>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</si>
  <si>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</si>
  <si>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</si>
  <si>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</si>
  <si>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</si>
  <si>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</si>
  <si>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</si>
  <si>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</si>
  <si>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</si>
  <si>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</si>
  <si>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</si>
  <si>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</si>
  <si>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</si>
  <si>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</si>
  <si>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</si>
  <si>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</si>
  <si>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</si>
  <si>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</si>
  <si>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</si>
  <si>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</si>
  <si>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</si>
  <si>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</si>
  <si>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</si>
  <si>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</si>
  <si>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</si>
  <si>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</si>
  <si>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</si>
  <si>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</si>
  <si>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</si>
  <si>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</si>
  <si>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</si>
  <si>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</si>
  <si>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</si>
  <si>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</si>
  <si>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</si>
  <si>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</si>
  <si>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</si>
  <si>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</si>
  <si>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</si>
  <si>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</si>
  <si>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</si>
  <si>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</si>
  <si>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</si>
  <si>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</si>
  <si>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</si>
  <si>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</si>
  <si>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</si>
  <si>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</si>
  <si>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</si>
  <si>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</si>
  <si>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</si>
  <si>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</si>
  <si>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</si>
  <si>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</si>
  <si>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</si>
  <si>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</si>
  <si>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</si>
  <si>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</si>
  <si>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</si>
  <si>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</si>
  <si>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</si>
  <si>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</si>
  <si>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</si>
  <si>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</si>
  <si>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</si>
  <si>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</si>
  <si>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</si>
  <si>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</si>
  <si>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</si>
  <si>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</si>
  <si>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</si>
  <si>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</si>
  <si>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</si>
  <si>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</si>
  <si>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</si>
  <si>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</si>
  <si>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</si>
  <si>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</si>
  <si>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</si>
  <si>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</si>
  <si>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</si>
  <si>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</si>
  <si>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</si>
  <si>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</si>
  <si>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</si>
  <si>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</si>
  <si>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</si>
  <si>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</si>
  <si>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</si>
  <si>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</si>
  <si>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</si>
  <si>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</si>
  <si>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</si>
  <si>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</si>
  <si>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</si>
  <si>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</si>
  <si>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</si>
  <si>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</si>
  <si>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</si>
  <si>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</si>
  <si>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</si>
  <si>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</si>
  <si>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</si>
  <si>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</si>
  <si>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</si>
  <si>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</si>
  <si>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</si>
  <si>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</si>
  <si>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</si>
  <si>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</si>
  <si>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</si>
  <si>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</si>
  <si>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</si>
  <si>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</si>
  <si>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</si>
  <si>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</si>
  <si>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</si>
  <si>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</si>
  <si>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</si>
  <si>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</si>
  <si>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</si>
  <si>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</si>
  <si>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</si>
  <si>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</si>
  <si>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</si>
  <si>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</si>
  <si>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</si>
  <si>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</si>
  <si>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</si>
  <si>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</si>
  <si>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</si>
  <si>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</si>
  <si>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</si>
  <si>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</si>
  <si>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</si>
  <si>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</si>
  <si>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</si>
  <si>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</si>
  <si>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</si>
  <si>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</si>
  <si>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</si>
  <si>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</si>
  <si>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</si>
  <si>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</si>
  <si>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</si>
  <si>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</si>
  <si>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</si>
  <si>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</si>
  <si>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</si>
  <si>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</si>
  <si>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</si>
  <si>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</si>
  <si>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</si>
  <si>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</si>
  <si>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</si>
  <si>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</si>
  <si>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</si>
  <si>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</si>
  <si>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</si>
  <si>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</si>
  <si>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</si>
  <si>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</si>
  <si>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</si>
  <si>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</si>
  <si>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</si>
  <si>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</si>
  <si>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</si>
  <si>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</si>
  <si>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</si>
  <si>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</si>
  <si>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</si>
  <si>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</si>
  <si>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</si>
  <si>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</si>
  <si>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</si>
  <si>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</si>
  <si>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</si>
  <si>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</si>
  <si>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</si>
  <si>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</si>
  <si>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</si>
  <si>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</si>
  <si>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</si>
  <si>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</si>
  <si>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</si>
  <si>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</si>
  <si>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</si>
  <si>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</si>
  <si>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</si>
  <si>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</si>
  <si>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</si>
  <si>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</si>
  <si>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</si>
  <si>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</si>
  <si>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</si>
  <si>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</si>
  <si>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</si>
  <si>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</si>
  <si>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</si>
  <si>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</si>
  <si>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</si>
  <si>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</si>
  <si>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</si>
  <si>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</si>
  <si>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</si>
  <si>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</si>
  <si>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</si>
  <si>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</si>
  <si>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</si>
  <si>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</si>
  <si>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</si>
  <si>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</si>
  <si>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</si>
  <si>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</si>
  <si>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</si>
  <si>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</si>
  <si>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</si>
  <si>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</si>
  <si>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</si>
  <si>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</si>
  <si>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</si>
  <si>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</si>
  <si>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</si>
  <si>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</si>
  <si>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</si>
  <si>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</si>
  <si>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</si>
  <si>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</si>
  <si>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</si>
  <si>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</si>
  <si>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</si>
  <si>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</si>
  <si>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</si>
  <si>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</si>
  <si>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</si>
  <si>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</si>
  <si>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</si>
  <si>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</si>
  <si>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</si>
  <si>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</si>
  <si>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</si>
  <si>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</si>
  <si>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</si>
  <si>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</si>
  <si>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</si>
  <si>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</si>
  <si>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</si>
  <si>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</si>
  <si>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</si>
  <si>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</si>
  <si>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</si>
  <si>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</si>
  <si>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</si>
  <si>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</si>
  <si>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</si>
  <si>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</si>
  <si>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</si>
  <si>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</si>
  <si>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</si>
  <si>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</si>
  <si>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</si>
  <si>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</si>
  <si>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</si>
  <si>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</si>
  <si>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</si>
  <si>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</si>
  <si>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</si>
  <si>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</si>
  <si>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</si>
  <si>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</si>
  <si>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</si>
  <si>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</si>
  <si>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</si>
  <si>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</si>
  <si>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</si>
  <si>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</si>
  <si>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</si>
  <si>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</si>
  <si>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</si>
  <si>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</si>
  <si>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</si>
  <si>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</si>
  <si>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</si>
  <si>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</si>
  <si>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</si>
  <si>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</si>
  <si>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</si>
  <si>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</si>
  <si>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</si>
  <si>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</si>
  <si>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</si>
  <si>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</si>
  <si>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</si>
  <si>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</si>
  <si>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</si>
  <si>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</si>
  <si>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</si>
  <si>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</si>
  <si>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</si>
  <si>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</si>
  <si>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</si>
  <si>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</si>
  <si>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</si>
  <si>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</si>
  <si>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</si>
  <si>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</si>
  <si>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</si>
  <si>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</si>
  <si>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</si>
  <si>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</si>
  <si>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</si>
  <si>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</si>
  <si>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</si>
  <si>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</si>
  <si>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</si>
  <si>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</si>
  <si>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</si>
  <si>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</si>
  <si>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</si>
  <si>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</si>
  <si>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</si>
  <si>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</si>
  <si>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</si>
  <si>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</si>
  <si>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</si>
  <si>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</si>
  <si>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</si>
  <si>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</si>
  <si>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</si>
  <si>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</si>
  <si>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</si>
  <si>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</si>
  <si>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</si>
  <si>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</si>
  <si>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</si>
  <si>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</si>
  <si>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</si>
  <si>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</si>
  <si>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</si>
  <si>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</si>
  <si>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</si>
  <si>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</si>
  <si>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</si>
  <si>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</si>
  <si>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</si>
  <si>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</si>
  <si>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</si>
  <si>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</si>
  <si>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</si>
  <si>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</si>
  <si>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</si>
  <si>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</si>
  <si>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</si>
  <si>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</si>
  <si>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</si>
  <si>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</si>
  <si>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</si>
  <si>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</si>
  <si>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</si>
  <si>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</si>
  <si>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</si>
  <si>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</si>
  <si>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</si>
  <si>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</si>
  <si>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</si>
  <si>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</si>
  <si>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</si>
  <si>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</si>
  <si>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</si>
  <si>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</si>
  <si>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</si>
  <si>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</si>
  <si>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</si>
  <si>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</si>
  <si>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</si>
  <si>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</si>
  <si>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</si>
  <si>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</si>
  <si>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</si>
  <si>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</si>
  <si>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</si>
  <si>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</si>
  <si>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</si>
  <si>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</si>
  <si>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</si>
  <si>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</si>
  <si>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</si>
  <si>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</si>
  <si>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</si>
  <si>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</si>
  <si>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</si>
  <si>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</si>
  <si>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</si>
  <si>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</si>
  <si>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</si>
  <si>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</si>
  <si>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</si>
  <si>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</si>
  <si>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</si>
  <si>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</si>
  <si>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</si>
  <si>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</si>
  <si>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</si>
  <si>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</si>
  <si>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</si>
  <si>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</si>
  <si>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</si>
  <si>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</si>
  <si>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</si>
  <si>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</si>
  <si>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</si>
  <si>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</si>
  <si>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</si>
  <si>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</si>
  <si>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</si>
  <si>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</si>
  <si>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</si>
  <si>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</si>
  <si>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</si>
  <si>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</si>
  <si>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</si>
  <si>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</si>
  <si>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</si>
  <si>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</si>
  <si>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</si>
  <si>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</si>
  <si>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</si>
  <si>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</si>
  <si>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</si>
  <si>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</si>
  <si>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</si>
  <si>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</si>
  <si>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</si>
  <si>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</si>
  <si>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</si>
  <si>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</si>
  <si>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</si>
  <si>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</si>
  <si>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</si>
  <si>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</si>
  <si>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</si>
  <si>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</si>
  <si>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</si>
  <si>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</si>
  <si>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</si>
  <si>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</si>
  <si>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</si>
  <si>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</si>
  <si>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</si>
  <si>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</si>
  <si>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</si>
  <si>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</si>
  <si>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</si>
  <si>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</si>
  <si>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</si>
  <si>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</si>
  <si>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</si>
  <si>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</si>
  <si>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</si>
  <si>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</si>
  <si>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</si>
  <si>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</si>
  <si>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</si>
  <si>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</si>
  <si>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</si>
  <si>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</si>
  <si>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</si>
  <si>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</si>
  <si>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</si>
  <si>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</si>
  <si>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</si>
  <si>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</si>
  <si>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</si>
  <si>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</si>
  <si>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</si>
  <si>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</si>
  <si>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</si>
  <si>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</si>
  <si>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</si>
  <si>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</si>
  <si>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</si>
  <si>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</si>
  <si>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</si>
  <si>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</si>
  <si>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</si>
  <si>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</si>
  <si>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</si>
  <si>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</si>
  <si>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</si>
  <si>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</si>
  <si>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</si>
  <si>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</si>
  <si>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</si>
  <si>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</si>
  <si>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</si>
  <si>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</si>
  <si>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</si>
  <si>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</si>
  <si>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</si>
  <si>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</si>
  <si>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</si>
  <si>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</si>
  <si>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</si>
  <si>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</si>
  <si>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</si>
  <si>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</si>
  <si>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</si>
  <si>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</si>
  <si>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</si>
  <si>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</si>
  <si>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</si>
  <si>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</si>
  <si>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</si>
  <si>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</si>
  <si>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</si>
  <si>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</si>
  <si>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</si>
  <si>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</si>
  <si>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</si>
  <si>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</si>
  <si>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</si>
  <si>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</si>
  <si>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</si>
  <si>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</si>
  <si>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</si>
  <si>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</si>
  <si>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</si>
  <si>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</si>
  <si>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</si>
  <si>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</si>
  <si>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</si>
  <si>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</si>
  <si>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</si>
  <si>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</si>
  <si>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</si>
  <si>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</si>
  <si>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</si>
  <si>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</si>
  <si>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</si>
  <si>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</si>
  <si>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</si>
  <si>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</si>
  <si>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</si>
  <si>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</si>
  <si>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</si>
  <si>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</si>
  <si>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</si>
  <si>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</si>
  <si>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</si>
  <si>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</si>
  <si>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</si>
  <si>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</si>
  <si>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</si>
  <si>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</si>
  <si>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</si>
  <si>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</si>
  <si>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</si>
  <si>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</si>
  <si>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</si>
  <si>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</si>
  <si>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</si>
  <si>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</si>
  <si>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</si>
  <si>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</si>
  <si>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</si>
  <si>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</si>
  <si>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</si>
  <si>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</si>
  <si>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</si>
  <si>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</si>
  <si>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</si>
  <si>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</si>
  <si>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</si>
  <si>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</si>
  <si>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</si>
  <si>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</si>
  <si>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</si>
  <si>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</si>
  <si>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</si>
  <si>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</si>
  <si>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</si>
  <si>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</si>
  <si>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</si>
  <si>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</si>
  <si>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</si>
  <si>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</si>
  <si>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</si>
  <si>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</si>
  <si>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</si>
  <si>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</si>
  <si>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</si>
  <si>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</si>
  <si>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</si>
  <si>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</si>
  <si>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</si>
  <si>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</si>
  <si>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</si>
  <si>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</si>
  <si>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</si>
  <si>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</si>
  <si>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</si>
  <si>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</si>
  <si>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</si>
  <si>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</si>
  <si>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</si>
  <si>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</si>
  <si>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</si>
  <si>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</si>
  <si>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</si>
  <si>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</si>
  <si>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</si>
  <si>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</si>
  <si>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</si>
  <si>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</si>
  <si>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</si>
  <si>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</si>
  <si>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</si>
  <si>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</si>
  <si>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</si>
  <si>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</si>
  <si>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</si>
  <si>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</si>
  <si>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</si>
  <si>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</si>
  <si>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</si>
  <si>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</si>
  <si>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</si>
  <si>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</si>
  <si>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</si>
  <si>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</si>
  <si>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</si>
  <si>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</si>
  <si>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</si>
  <si>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</si>
  <si>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</si>
  <si>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</si>
  <si>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</si>
  <si>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</si>
  <si>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</si>
  <si>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</si>
  <si>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</si>
  <si>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</si>
  <si>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</si>
  <si>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</si>
  <si>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</si>
  <si>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</si>
  <si>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</si>
  <si>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</si>
  <si>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</si>
  <si>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</si>
  <si>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</si>
  <si>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</si>
  <si>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</si>
  <si>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</si>
  <si>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</si>
  <si>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</si>
  <si>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</si>
  <si>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</si>
  <si>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</si>
  <si>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</si>
  <si>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</si>
  <si>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</si>
  <si>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</si>
  <si>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</si>
  <si>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</si>
  <si>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</si>
  <si>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</si>
  <si>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</si>
  <si>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</si>
  <si>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</si>
  <si>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</si>
  <si>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</si>
  <si>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</si>
  <si>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</si>
  <si>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</si>
  <si>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</si>
  <si>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</si>
  <si>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Goal 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</si>
  <si>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</si>
  <si>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</si>
  <si>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</si>
  <si>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</si>
  <si>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</si>
  <si>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</si>
  <si>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</si>
  <si>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</si>
  <si>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</si>
  <si>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</si>
  <si>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</si>
  <si>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</si>
  <si>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</si>
  <si>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</si>
  <si>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</si>
  <si>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</si>
  <si>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</si>
  <si>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</si>
  <si>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</si>
  <si>
    <t>The mean of the backers:</t>
  </si>
  <si>
    <t>The median of the backers:</t>
  </si>
  <si>
    <t>The minimum of the backers:</t>
  </si>
  <si>
    <t>The maximum of the backers:</t>
  </si>
  <si>
    <t>The variance of the backers:</t>
  </si>
  <si>
    <t>The standard deviation of the number of backers:</t>
  </si>
  <si>
    <t xml:space="preserve"> </t>
  </si>
  <si>
    <t xml:space="preserve">In cases where the mean and the median a re the same, it is useful to use the man as it includes all the data being evaluated. </t>
  </si>
  <si>
    <t xml:space="preserve">   the central tendency of the data set. </t>
  </si>
  <si>
    <t xml:space="preserve">   In these cases, in the outcome for "successful backers, the data is skewed to the right, this evaluating these data set with a skewed distribution, it is best to use median to measure </t>
  </si>
  <si>
    <t>The variance results can tell us that there is more variability for the successful backers_count. This makes sense because the is a broader range in the data set for successful backers_count.</t>
  </si>
  <si>
    <t xml:space="preserve">      The range for successful backers_count goes from 16 to 201 (the median) while the range for failed backers_count ges from 0 to 114.5.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</si>
</sst>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43" fontId="0" fillId="0" borderId="0" xfId="42" applyFont="1"/>
    <xf numFmtId="0" fontId="6" fillId="2" borderId="0" xfId="6"/>
    <xf numFmtId="0" fontId="7" fillId="3" borderId="0" xfId="7"/>
    <xf numFmtId="0" fontId="8" fillId="4" borderId="0" xfId="8"/>
    <xf numFmtId="9" fontId="6" fillId="2" borderId="0" xfId="6" applyNumberFormat="1"/>
    <xf numFmtId="9" fontId="7" fillId="3" borderId="0" xfId="7" applyNumberFormat="1"/>
    <xf numFmtId="9" fontId="8" fillId="4" borderId="0" xfId="8" applyNumberFormat="1"/>
    <xf numFmtId="0" fontId="3" fillId="0" borderId="1" xfId="2"/>
    <xf numFmtId="0" fontId="11" fillId="6" borderId="4" xfId="1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[Excel-challenge.xlsx]Parent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C-425B-A34A-B9A0B76EDFFA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C-425B-A34A-B9A0B76EDFFA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C-425B-A34A-B9A0B76EDFFA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9-496C-A9BA-CF48DE70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7958256"/>
        <c:axId val="1854768432"/>
      </c:barChart>
      <c:catAx>
        <c:axId val="5579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68432"/>
        <c:crosses val="autoZero"/>
        <c:auto val="1"/>
        <c:lblAlgn val="ctr"/>
        <c:lblOffset val="100"/>
        <c:noMultiLvlLbl val="0"/>
      </c:catAx>
      <c:valAx>
        <c:axId val="1854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648-B2D3-9C0D11417D5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5-4648-B2D3-9C0D11417D5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5-4648-B2D3-9C0D11417D5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5-4648-B2D3-9C0D1141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442192"/>
        <c:axId val="1922902064"/>
      </c:barChart>
      <c:catAx>
        <c:axId val="19244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02064"/>
        <c:crosses val="autoZero"/>
        <c:auto val="1"/>
        <c:lblAlgn val="ctr"/>
        <c:lblOffset val="100"/>
        <c:noMultiLvlLbl val="0"/>
      </c:catAx>
      <c:valAx>
        <c:axId val="19229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[Excel-challenge.xlsx]Parent Category - Years!PivotTable6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-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4-4E1D-9BA7-8A86A34A4036}"/>
            </c:ext>
          </c:extLst>
        </c:ser>
        <c:ser>
          <c:idx val="1"/>
          <c:order val="1"/>
          <c:tx>
            <c:strRef>
              <c:f>'Parent Category -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4-4E1D-9BA7-8A86A34A4036}"/>
            </c:ext>
          </c:extLst>
        </c:ser>
        <c:ser>
          <c:idx val="2"/>
          <c:order val="2"/>
          <c:tx>
            <c:strRef>
              <c:f>'Parent Category -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 Category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-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4-4E1D-9BA7-8A86A34A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46016"/>
        <c:axId val="1854773712"/>
      </c:lineChart>
      <c:catAx>
        <c:axId val="6856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73712"/>
        <c:crosses val="autoZero"/>
        <c:auto val="1"/>
        <c:lblAlgn val="ctr"/>
        <c:lblOffset val="100"/>
        <c:noMultiLvlLbl val="0"/>
      </c:catAx>
      <c:valAx>
        <c:axId val="18547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7-423B-BC0B-0EE672FA0B55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23B-BC0B-0EE672FA0B55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 Less than 1000 </c:v>
                </c:pt>
                <c:pt idx="1">
                  <c:v> 1000 to 4999 </c:v>
                </c:pt>
                <c:pt idx="2">
                  <c:v> 5000 to 9999 </c:v>
                </c:pt>
                <c:pt idx="3">
                  <c:v> 10000 to 14999 </c:v>
                </c:pt>
                <c:pt idx="4">
                  <c:v> 15000 to 19999 </c:v>
                </c:pt>
                <c:pt idx="5">
                  <c:v> 20000 to 24999 </c:v>
                </c:pt>
                <c:pt idx="6">
                  <c:v> 25000 to 29999 </c:v>
                </c:pt>
                <c:pt idx="7">
                  <c:v> 30000 to 34999 </c:v>
                </c:pt>
                <c:pt idx="8">
                  <c:v> 35000 to 39999 </c:v>
                </c:pt>
                <c:pt idx="9">
                  <c:v> 40000 to 44999 </c:v>
                </c:pt>
                <c:pt idx="10">
                  <c:v> 45000 to 49999 </c:v>
                </c:pt>
                <c:pt idx="11">
                  <c:v> Greater than 50000 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7-423B-BC0B-0EE672FA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40480"/>
        <c:axId val="1861087280"/>
      </c:lineChart>
      <c:catAx>
        <c:axId val="675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87280"/>
        <c:crosses val="autoZero"/>
        <c:auto val="1"/>
        <c:lblAlgn val="ctr"/>
        <c:lblOffset val="100"/>
        <c:noMultiLvlLbl val="0"/>
      </c:catAx>
      <c:valAx>
        <c:axId val="18610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0</xdr:row>
      <xdr:rowOff>4761</xdr:rowOff>
    </xdr:from>
    <xdr:to>
      <xdr:col>18</xdr:col>
      <xdr:colOff>38100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4B9AE-7C13-9CC0-D770-B1021BD79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57151</xdr:rowOff>
    </xdr:from>
    <xdr:to>
      <xdr:col>18</xdr:col>
      <xdr:colOff>647700</xdr:colOff>
      <xdr:row>27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A583F-24F7-B035-2ED0-9FC518D92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242886</xdr:colOff>
      <xdr:row>0</xdr:row>
      <xdr:rowOff>42861</xdr:rowOff>
    </xdr:from>
    <xdr:to>
      <xdr:col>18</xdr:col>
      <xdr:colOff>9524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1E4E7-D51F-9A59-20A4-749DBDE7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14</xdr:row>
      <xdr:rowOff>42861</xdr:rowOff>
    </xdr:from>
    <xdr:to>
      <xdr:col>8</xdr:col>
      <xdr:colOff>9524</xdr:colOff>
      <xdr:row>30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5F570-2954-F404-1BAB-0EEF7CD97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edina" refreshedDate="45181.693101851852" createdVersion="8" refreshedVersion="8" minRefreshableVersion="3" recordCount="1000" xr:uid="{9C1B5663-21A3-4975-B921-9CD7B7E51B1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Medina" refreshedDate="45181.713602777774" createdVersion="8" refreshedVersion="8" minRefreshableVersion="3" recordCount="1001" xr:uid="{DA776D88-8868-4846-99C7-0AA78F4D6013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x v="1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x v="2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x v="3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x v="4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x v="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x v="6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x v="7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x v="8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x v="9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x v="10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x v="11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x v="12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x v="13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x v="14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x v="15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x v="16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x v="17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x v="18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x v="19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x v="20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x v="21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x v="22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x v="23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x v="24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x v="25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x v="26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x v="27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x v="28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x v="29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x v="30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x v="31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x v="32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x v="33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x v="34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x v="35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x v="36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x v="37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x v="38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x v="39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x v="40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x v="41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x v="42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x v="43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x v="44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x v="45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x v="46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x v="47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x v="48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x v="49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x v="50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x v="51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x v="52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x v="53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x v="54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x v="55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x v="56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x v="57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x v="58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x v="59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x v="60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x v="61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x v="6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x v="63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x v="6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x v="6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x v="66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x v="67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x v="6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x v="69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x v="70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x v="71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x v="7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x v="7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x v="74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x v="75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x v="76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x v="77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x v="78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x v="79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x v="80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x v="81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x v="82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x v="83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x v="8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x v="85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x v="86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x v="87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x v="88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x v="89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x v="58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x v="90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x v="91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x v="92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x v="93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x v="94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x v="95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x v="96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x v="97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x v="98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x v="99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x v="100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x v="101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x v="102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x v="10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x v="104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x v="105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x v="106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x v="107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x v="108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x v="109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x v="110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x v="111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x v="112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x v="113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x v="114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x v="115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x v="116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x v="117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x v="11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x v="119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x v="120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x v="121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x v="12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x v="123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x v="124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x v="125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x v="126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x v="127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x v="128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x v="129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x v="130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x v="131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x v="132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x v="133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x v="134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x v="135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x v="136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x v="137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x v="138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x v="139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x v="140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x v="141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x v="14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x v="143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x v="144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x v="145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x v="146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x v="147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x v="148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x v="99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x v="149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x v="150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x v="151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x v="152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x v="153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x v="15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x v="155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x v="156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x v="157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x v="158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x v="159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x v="160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x v="161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x v="162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x v="163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x v="164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x v="165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x v="166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x v="167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x v="16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x v="169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x v="170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x v="171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x v="172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x v="173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x v="174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x v="175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x v="176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x v="177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x v="178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x v="179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x v="18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x v="181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x v="182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x v="183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x v="184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x v="185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x v="186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x v="187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x v="18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x v="189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x v="190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x v="191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x v="192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x v="193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x v="194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x v="195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x v="196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x v="197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x v="50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x v="198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x v="199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x v="200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x v="201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x v="202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x v="203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x v="204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x v="205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x v="206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x v="207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x v="208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x v="209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x v="210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x v="211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x v="212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x v="213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x v="214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x v="215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x v="216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x v="21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x v="218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x v="219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x v="220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x v="221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x v="222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x v="223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x v="224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x v="225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x v="226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x v="227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x v="228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x v="229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x v="23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x v="23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x v="232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x v="23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x v="234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x v="235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x v="236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x v="237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x v="238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x v="23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x v="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x v="241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x v="242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x v="243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x v="244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x v="245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x v="246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x v="247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x v="248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x v="249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x v="250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x v="251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x v="252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x v="253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x v="254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x v="255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x v="256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x v="257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x v="258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x v="259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x v="260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x v="261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x v="262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x v="263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x v="264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x v="265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x v="266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x v="267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x v="268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x v="26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x v="270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x v="271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x v="272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x v="273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x v="274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x v="275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x v="27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x v="277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x v="278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x v="279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x v="280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x v="281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x v="282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x v="283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x v="284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x v="285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x v="286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x v="287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x v="288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x v="289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x v="290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x v="291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x v="292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x v="293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x v="294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x v="295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x v="296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x v="297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x v="298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x v="299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x v="300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x v="301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x v="302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x v="303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x v="304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x v="305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x v="306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x v="307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x v="308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x v="309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x v="310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x v="311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x v="312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x v="313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x v="314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x v="315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x v="316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x v="317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x v="318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x v="319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x v="320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x v="321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x v="322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x v="323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x v="324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x v="325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x v="326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x v="327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x v="328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x v="329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x v="33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x v="331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x v="332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x v="333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x v="33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x v="335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x v="336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x v="337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x v="338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x v="339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x v="340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x v="341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x v="342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x v="343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x v="344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x v="345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x v="346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x v="297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x v="347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x v="348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x v="349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x v="350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x v="35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x v="352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x v="3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x v="354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x v="355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x v="356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x v="357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x v="358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x v="359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x v="360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x v="361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x v="362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x v="363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x v="36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x v="365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x v="366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x v="367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x v="211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x v="368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x v="369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x v="370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x v="371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x v="372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x v="373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x v="374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x v="375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x v="376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x v="377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x v="378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x v="3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x v="380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x v="381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x v="382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x v="383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x v="384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x v="385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x v="386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x v="387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x v="3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x v="389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x v="390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x v="391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x v="392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x v="393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x v="394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x v="50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x v="395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x v="39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x v="397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x v="398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x v="399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x v="400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x v="401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x v="402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x v="403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x v="404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x v="405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x v="40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x v="407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x v="408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x v="409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x v="410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x v="411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x v="412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x v="413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x v="414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x v="4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x v="416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x v="417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x v="418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x v="419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x v="420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x v="421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x v="422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x v="423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x v="424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x v="425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x v="426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x v="427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x v="315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x v="428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x v="429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x v="430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x v="431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x v="432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x v="433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x v="43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x v="435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x v="436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x v="437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x v="438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x v="43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x v="440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x v="441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x v="442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x v="443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x v="444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x v="4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x v="446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x v="447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x v="448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x v="449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x v="450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x v="451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x v="452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x v="453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x v="4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x v="455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x v="456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x v="457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x v="458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x v="459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x v="460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x v="461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x v="462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x v="463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x v="464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x v="465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x v="466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x v="75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x v="467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x v="468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x v="469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x v="470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x v="471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x v="472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x v="473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x v="474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x v="475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x v="476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x v="477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x v="478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x v="479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x v="480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x v="481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x v="482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x v="483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x v="484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x v="485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x v="486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x v="487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x v="488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x v="48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x v="490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x v="491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x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x v="492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x v="493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x v="494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x v="495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x v="496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x v="497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x v="498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x v="499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x v="50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x v="501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x v="502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x v="503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x v="504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x v="505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x v="506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x v="507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x v="5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x v="509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x v="510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x v="511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x v="512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x v="513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x v="514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x v="515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x v="516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x v="517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x v="518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x v="519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x v="520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x v="521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x v="522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x v="523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x v="524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x v="52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x v="526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x v="52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x v="528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x v="529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x v="53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x v="531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x v="532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x v="533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x v="53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x v="535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x v="536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x v="537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x v="538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x v="539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x v="540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x v="443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x v="541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x v="542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x v="543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x v="544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x v="545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x v="546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x v="547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x v="548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x v="549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x v="550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x v="55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x v="314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x v="552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x v="55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x v="554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x v="555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x v="556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x v="557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x v="558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x v="559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x v="560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x v="561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x v="562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x v="563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x v="564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x v="565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x v="56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x v="567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x v="568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x v="569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x v="570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x v="57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x v="572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x v="573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x v="574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x v="575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x v="576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x v="57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x v="578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x v="579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x v="580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x v="581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x v="582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x v="583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x v="584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x v="58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x v="586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x v="587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x v="588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x v="297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x v="589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x v="590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x v="591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x v="592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x v="593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x v="594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x v="595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x v="416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x v="596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x v="597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x v="598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x v="599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x v="600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x v="601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x v="602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x v="402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x v="203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x v="603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x v="604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x v="60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x v="606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x v="607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x v="608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x v="60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x v="377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x v="610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x v="611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x v="612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x v="613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x v="614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x v="615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x v="616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x v="617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x v="618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x v="619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x v="620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x v="621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x v="622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x v="623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x v="624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x v="625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x v="626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x v="627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x v="628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x v="629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x v="630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x v="631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x v="632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x v="63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x v="50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x v="634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x v="635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x v="636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x v="637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x v="638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x v="63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x v="640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x v="641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x v="642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x v="643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x v="644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x v="645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x v="646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x v="647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x v="648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x v="649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x v="650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x v="651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x v="652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x v="653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x v="654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x v="655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x v="656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x v="657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x v="658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x v="659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x v="660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x v="661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x v="662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x v="663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x v="664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x v="665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x v="666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x v="667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x v="668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x v="669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x v="67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x v="671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x v="672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x v="673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x v="674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x v="675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x v="67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x v="677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x v="678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x v="679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x v="68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x v="681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x v="682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x v="247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x v="683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x v="684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x v="685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x v="686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x v="687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x v="688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x v="68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x v="69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x v="691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x v="692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x v="693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x v="694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x v="695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x v="69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x v="697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x v="698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x v="699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x v="700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x v="701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x v="702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x v="703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x v="704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x v="705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x v="706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x v="707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x v="708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x v="709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x v="710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x v="711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x v="712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x v="713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x v="714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x v="715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x v="716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x v="717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x v="718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x v="719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x v="720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x v="721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x v="72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x v="723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x v="724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x v="725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x v="726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x v="727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x v="728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x v="729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x v="730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x v="731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x v="99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x v="732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x v="733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x v="734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x v="735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x v="562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x v="736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x v="737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x v="738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x v="739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x v="740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x v="741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x v="742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x v="207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x v="743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x v="744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x v="49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x v="745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x v="746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x v="747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x v="748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x v="74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x v="750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x v="751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x v="752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x v="197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x v="75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x v="754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x v="755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x v="756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x v="757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x v="758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x v="759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x v="760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x v="761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x v="762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x v="763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x v="76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x v="765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x v="766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x v="767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x v="768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x v="769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x v="770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x v="771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x v="77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x v="773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x v="774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x v="775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x v="776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x v="99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x v="77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x v="778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x v="106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x v="779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x v="780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x v="781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x v="782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x v="7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x v="784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x v="785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x v="786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x v="787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x v="788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x v="789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x v="790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x v="723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x v="791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x v="792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x v="793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x v="794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x v="795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x v="796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x v="797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x v="798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x v="799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x v="800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x v="801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x v="802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x v="803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x v="80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x v="805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x v="80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x v="807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x v="80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x v="809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x v="810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x v="811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x v="812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x v="813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x v="814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x v="815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x v="816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x v="817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x v="818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x v="819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x v="820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x v="695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x v="82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x v="822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x v="99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x v="823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x v="824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x v="825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x v="826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x v="827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x v="82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x v="829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x v="830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x v="831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x v="832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x v="833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x v="834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x v="83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x v="836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x v="837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x v="838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x v="839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x v="762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x v="840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x v="841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x v="84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x v="843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x v="844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x v="845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x v="846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x v="847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x v="84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x v="849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x v="675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x v="850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x v="851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x v="852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x v="853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x v="85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x v="855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x v="856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x v="857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x v="858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x v="859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x v="860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x v="861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x v="862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x v="863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x v="9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x v="611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x v="864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x v="865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x v="866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x v="867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x v="50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x v="868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x v="869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x v="870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x v="871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x v="872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x v="873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x v="874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x v="875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x v="876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x v="877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x v="878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x v="879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x v="880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x v="881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x v="882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x v="88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x v="884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x v="885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x v="886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x v="887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x v="888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x v="889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x v="890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x v="891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x v="89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x v="893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x v="894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x v="895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x v="896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x v="897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x v="898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x v="899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x v="900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x v="901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x v="90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x v="903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x v="904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x v="905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x v="906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x v="907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x v="908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x v="909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x v="910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x v="911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x v="912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x v="913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x v="914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x v="915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x v="916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x v="297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x v="917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x v="918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x v="919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x v="920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x v="921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x v="922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x v="923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x v="924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x v="925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x v="926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x v="927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x v="928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x v="929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x v="930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x v="93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x v="932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x v="933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x v="934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x v="935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x v="936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x v="937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x v="938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x v="939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x v="940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x v="941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x v="942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x v="943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x v="944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x v="945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x v="946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x v="947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x v="948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x v="949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x v="95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x v="951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x v="952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x v="953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x v="802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x v="954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x v="955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x v="55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x v="956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x v="957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x v="958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x v="959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x v="960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x v="961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x v="962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x v="963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x v="964"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4DA1B-7EE5-452B-AE5B-8D9B30926D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995FA-483B-4B0C-9EF4-1C7217687C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B664E-9CA2-4BE0-8E8A-CF8068D5215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G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0.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(((L2/60)/60/24)+DATE(1970,1,1))</f>
        <v>42336.25</v>
      </c>
      <c r="O2" s="8">
        <f>(((M2/60)/60/24)+DATE(1970,1,1))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 t="shared" ref="I3:I66" si="0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(((L3/60)/60/24)+DATE(1970,1,1))</f>
        <v>41870.208333333336</v>
      </c>
      <c r="O3" s="8">
        <f t="shared" ref="O3:O66" si="2">(((M3/60)/60/24)+DATE(1970,1,1))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3">(E5/D5)*100</f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3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(((L21/60)/60/24)+DATE(1970,1,1))</f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4">
        <f t="shared" ref="I67:I130" si="4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(((L67/60)/60/24)+DATE(1970,1,1))</f>
        <v>40570.25</v>
      </c>
      <c r="O67" s="8">
        <f t="shared" ref="O67:O130" si="6">(((M67/60)/60/24)+DATE(1970,1,1))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45.068965517241381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7">(E69/D69)*100</f>
        <v>162.38567493112947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4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3.202693602693603</v>
      </c>
      <c r="G131" t="s">
        <v>74</v>
      </c>
      <c r="H131">
        <v>55</v>
      </c>
      <c r="I131" s="4">
        <f t="shared" ref="I131:I194" si="8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(((L131/60)/60/24)+DATE(1970,1,1))</f>
        <v>42038.25</v>
      </c>
      <c r="O131" s="8">
        <f t="shared" ref="O131:O194" si="10">(((M131/60)/60/24)+DATE(1970,1,1))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7"/>
        <v>155.46875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1">(E133/D133)*100</f>
        <v>100.85974499089254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1"/>
        <v>116.18181818181819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1"/>
        <v>310.77777777777777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1"/>
        <v>89.73668341708543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1"/>
        <v>71.27272727272728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1"/>
        <v>261.77777777777777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1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1"/>
        <v>20.896851248642779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1"/>
        <v>223.16363636363636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1"/>
        <v>101.59097978227061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1"/>
        <v>230.03999999999996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1"/>
        <v>135.59259259259261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1"/>
        <v>129.1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1"/>
        <v>236.512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1"/>
        <v>17.25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1"/>
        <v>112.49397590361446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1"/>
        <v>121.02150537634408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1"/>
        <v>219.87096774193549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1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1"/>
        <v>64.166909620991248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1"/>
        <v>423.06746987951806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1"/>
        <v>92.984160506863773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1"/>
        <v>58.756567425569173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1"/>
        <v>65.022222222222226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1"/>
        <v>73.939560439560438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1"/>
        <v>52.666666666666664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1"/>
        <v>220.95238095238096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1"/>
        <v>100.01150627615063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1"/>
        <v>162.3125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1"/>
        <v>78.181818181818187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1"/>
        <v>149.73770491803279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1"/>
        <v>253.25714285714284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1"/>
        <v>100.16943521594683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1"/>
        <v>121.99004424778761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1"/>
        <v>137.13265306122449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1"/>
        <v>415.53846153846149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1"/>
        <v>31.30913348946136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1"/>
        <v>424.08154506437768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2.93886230728336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1"/>
        <v>10.63265306122449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1"/>
        <v>82.875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1"/>
        <v>163.01447776628748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1"/>
        <v>894.66666666666674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1"/>
        <v>26.191501103752756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1"/>
        <v>74.834782608695647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1"/>
        <v>416.47680412371136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1"/>
        <v>96.208333333333329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1"/>
        <v>357.71910112359546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1"/>
        <v>308.45714285714286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1"/>
        <v>61.802325581395344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1"/>
        <v>722.32472324723244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1"/>
        <v>69.117647058823522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1"/>
        <v>293.05555555555554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1"/>
        <v>71.8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1"/>
        <v>31.934684684684683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1"/>
        <v>229.87375415282392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1"/>
        <v>32.012195121951223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1"/>
        <v>23.525352848928385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1"/>
        <v>68.594594594594597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1"/>
        <v>37.952380952380956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1"/>
        <v>19.992957746478872</v>
      </c>
      <c r="G194" t="s">
        <v>14</v>
      </c>
      <c r="H194">
        <v>243</v>
      </c>
      <c r="I194" s="4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4">
        <f t="shared" ref="I195:I258" si="12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(((L195/60)/60/24)+DATE(1970,1,1))</f>
        <v>43198.208333333328</v>
      </c>
      <c r="O195" s="8">
        <f t="shared" ref="O195:O258" si="14">(((M195/60)/60/24)+DATE(1970,1,1))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1"/>
        <v>122.7605633802817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5">(E197/D197)*100</f>
        <v>361.75316455696202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5"/>
        <v>146</v>
      </c>
      <c r="G259" t="s">
        <v>20</v>
      </c>
      <c r="H259">
        <v>92</v>
      </c>
      <c r="I259" s="4">
        <f t="shared" ref="I259:I322" si="16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(((L259/60)/60/24)+DATE(1970,1,1))</f>
        <v>41338.25</v>
      </c>
      <c r="O259" s="8">
        <f t="shared" ref="O259:O322" si="18">(((M259/60)/60/24)+DATE(1970,1,1))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5"/>
        <v>268.48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19">(E261/D261)*100</f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9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9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9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9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9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9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9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9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9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9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9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9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9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9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9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9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9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9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9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9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9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9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9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9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9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9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9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9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9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9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9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9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9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9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9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9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9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9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9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9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9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9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9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9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9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9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9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9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9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9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9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9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9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9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9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9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9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9.5876777251184837</v>
      </c>
      <c r="G322" t="s">
        <v>14</v>
      </c>
      <c r="H322">
        <v>80</v>
      </c>
      <c r="I322" s="4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9"/>
        <v>94.144366197183089</v>
      </c>
      <c r="G323" t="s">
        <v>14</v>
      </c>
      <c r="H323">
        <v>2468</v>
      </c>
      <c r="I323" s="4">
        <f t="shared" ref="I323:I386" si="20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(((L323/60)/60/24)+DATE(1970,1,1))</f>
        <v>40634.208333333336</v>
      </c>
      <c r="O323" s="8">
        <f t="shared" ref="O323:O386" si="22">(((M323/60)/60/24)+DATE(1970,1,1))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9"/>
        <v>166.56234096692114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23">(E325/D325)*100</f>
        <v>24.134831460674157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3"/>
        <v>164.05633802816902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3"/>
        <v>90.723076923076931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3"/>
        <v>46.194444444444443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3"/>
        <v>38.53846153846154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3"/>
        <v>133.56231003039514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3"/>
        <v>22.896588486140725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3"/>
        <v>184.95548961424333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3"/>
        <v>443.72727272727275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3"/>
        <v>199.9806763285024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3"/>
        <v>123.95833333333333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3"/>
        <v>186.61329305135951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3"/>
        <v>114.28538550057536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3"/>
        <v>97.032531824611041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3"/>
        <v>122.81904761904762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3"/>
        <v>179.14326647564468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3"/>
        <v>79.951577402787962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3"/>
        <v>94.242587601078171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3"/>
        <v>84.669291338582681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3"/>
        <v>66.521920668058456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3"/>
        <v>53.922222222222224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3"/>
        <v>41.983299595141702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3"/>
        <v>14.69479695431472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3"/>
        <v>34.475000000000001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3"/>
        <v>1400.7777777777778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3"/>
        <v>71.770351758793964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3"/>
        <v>53.074115044247783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3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3"/>
        <v>127.70715249662618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3"/>
        <v>34.892857142857139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3"/>
        <v>410.59821428571428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3"/>
        <v>123.73770491803278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3"/>
        <v>58.973684210526315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3"/>
        <v>36.892473118279568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3"/>
        <v>184.91304347826087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3"/>
        <v>11.814432989690722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3"/>
        <v>298.7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3"/>
        <v>226.35175879396985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3"/>
        <v>173.56363636363636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3"/>
        <v>371.75675675675677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3"/>
        <v>160.19230769230771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3"/>
        <v>1616.3333333333335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3"/>
        <v>733.4375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3"/>
        <v>592.11111111111109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3"/>
        <v>18.888888888888889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3"/>
        <v>276.80769230769232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3"/>
        <v>273.01851851851848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3"/>
        <v>159.36331255565449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3"/>
        <v>67.869978858350947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3"/>
        <v>1591.5555555555554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3"/>
        <v>730.18222222222221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3"/>
        <v>13.185782556750297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3"/>
        <v>54.777777777777779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3"/>
        <v>361.02941176470591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3"/>
        <v>10.257545271629779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3"/>
        <v>13.962962962962964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3"/>
        <v>40.444444444444443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3"/>
        <v>160.32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3"/>
        <v>183.9433962264151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3"/>
        <v>63.769230769230766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3"/>
        <v>225.38095238095238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3"/>
        <v>172.00961538461539</v>
      </c>
      <c r="G386" t="s">
        <v>20</v>
      </c>
      <c r="H386">
        <v>4799</v>
      </c>
      <c r="I386" s="4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3"/>
        <v>146.16709511568124</v>
      </c>
      <c r="G387" t="s">
        <v>20</v>
      </c>
      <c r="H387">
        <v>1137</v>
      </c>
      <c r="I387" s="4">
        <f t="shared" ref="I387:I450" si="24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(((L387/60)/60/24)+DATE(1970,1,1))</f>
        <v>43553.208333333328</v>
      </c>
      <c r="O387" s="8">
        <f t="shared" ref="O387:O450" si="26">(((M387/60)/60/24)+DATE(1970,1,1))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3"/>
        <v>76.42361623616236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7">(E389/D389)*100</f>
        <v>39.261467889908261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7"/>
        <v>11.270034843205574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7"/>
        <v>122.11084337349398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7"/>
        <v>186.54166666666669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7.2731788079470201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7"/>
        <v>65.642371234207957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7"/>
        <v>228.96178343949046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7"/>
        <v>469.37499999999994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7"/>
        <v>130.11267605633802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7"/>
        <v>167.05422993492408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7"/>
        <v>173.8641975308642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7"/>
        <v>717.76470588235293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7"/>
        <v>63.850976361767728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7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7"/>
        <v>1530.2222222222222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7"/>
        <v>40.356164383561641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7"/>
        <v>86.220633299284984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7"/>
        <v>315.58486707566465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7"/>
        <v>89.618243243243242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7"/>
        <v>182.14503816793894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7"/>
        <v>355.88235294117646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7"/>
        <v>131.83695652173913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7"/>
        <v>46.315634218289084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7"/>
        <v>36.132726089785294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7"/>
        <v>104.62820512820512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7"/>
        <v>668.85714285714289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7"/>
        <v>62.072823218997364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7"/>
        <v>84.699787460148784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7"/>
        <v>11.059030837004405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7"/>
        <v>43.838781575037146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7"/>
        <v>55.470588235294116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7"/>
        <v>57.399511301160658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7"/>
        <v>123.43497363796135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7"/>
        <v>128.46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7"/>
        <v>63.989361702127653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7"/>
        <v>127.29885057471265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7"/>
        <v>10.638024357239512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7"/>
        <v>40.470588235294116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7"/>
        <v>287.66666666666663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7"/>
        <v>572.94444444444446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7"/>
        <v>112.90429799426933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7"/>
        <v>46.387573964497044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7"/>
        <v>90.675916230366497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7"/>
        <v>67.740740740740748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7"/>
        <v>192.49019607843135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7"/>
        <v>82.714285714285722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7"/>
        <v>54.163920922570021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7"/>
        <v>16.722222222222221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7"/>
        <v>116.87664041994749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7"/>
        <v>1052.1538461538462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7"/>
        <v>123.07407407407408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7"/>
        <v>178.63855421686748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7"/>
        <v>355.28169014084506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7"/>
        <v>161.90634146341463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7"/>
        <v>24.914285714285715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7"/>
        <v>198.72222222222223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7"/>
        <v>34.752688172043008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7"/>
        <v>176.41935483870967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7"/>
        <v>511.38095238095235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7"/>
        <v>82.044117647058826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7"/>
        <v>24.326030927835053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7"/>
        <v>50.482758620689658</v>
      </c>
      <c r="G450" t="s">
        <v>14</v>
      </c>
      <c r="H450">
        <v>605</v>
      </c>
      <c r="I450" s="4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7"/>
        <v>967</v>
      </c>
      <c r="G451" t="s">
        <v>20</v>
      </c>
      <c r="H451">
        <v>86</v>
      </c>
      <c r="I451" s="4">
        <f t="shared" ref="I451:I514" si="28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(((L451/60)/60/24)+DATE(1970,1,1))</f>
        <v>43530.25</v>
      </c>
      <c r="O451" s="8">
        <f t="shared" ref="O451:O514" si="30">(((M451/60)/60/24)+DATE(1970,1,1))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7"/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31">(E453/D453)*100</f>
        <v>122.84501347708894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1"/>
        <v>63.4375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1"/>
        <v>56.331688596491226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1"/>
        <v>44.074999999999996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1"/>
        <v>118.37253218884121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1"/>
        <v>104.1243169398907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1"/>
        <v>26.640000000000004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1"/>
        <v>351.20118343195264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1"/>
        <v>90.063492063492063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1"/>
        <v>171.625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1"/>
        <v>141.04655870445345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1"/>
        <v>30.57944915254237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1"/>
        <v>108.16455696202532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1"/>
        <v>133.45505617977528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1"/>
        <v>187.85106382978722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1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1"/>
        <v>575.21428571428578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1"/>
        <v>40.5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1"/>
        <v>184.42857142857144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1"/>
        <v>285.80555555555554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1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1"/>
        <v>39.234070221066318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1"/>
        <v>178.14000000000001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1"/>
        <v>365.15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1"/>
        <v>113.94594594594594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1"/>
        <v>29.828720626631856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1"/>
        <v>54.270588235294113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1"/>
        <v>236.34156976744185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1"/>
        <v>512.91666666666663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1"/>
        <v>100.65116279069768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1"/>
        <v>81.348423194303152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1"/>
        <v>16.404761904761905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1"/>
        <v>52.774617067833695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1"/>
        <v>260.20608108108109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1"/>
        <v>30.73289183222958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1"/>
        <v>13.5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1"/>
        <v>178.62556663644605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1"/>
        <v>220.0566037735849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1"/>
        <v>101.5108695652174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1"/>
        <v>191.5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1"/>
        <v>305.34683098591546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1"/>
        <v>23.995287958115181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1"/>
        <v>723.77777777777771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1"/>
        <v>547.36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1"/>
        <v>414.49999999999994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1"/>
        <v>0.90696409140369971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1"/>
        <v>34.173469387755098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1"/>
        <v>23.948810754912099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1"/>
        <v>48.072649572649574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4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1"/>
        <v>70.145182291666657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1"/>
        <v>529.92307692307691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1"/>
        <v>180.32549019607845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1"/>
        <v>92.320000000000007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1"/>
        <v>13.901001112347053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1"/>
        <v>927.07777777777767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1"/>
        <v>39.857142857142861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1"/>
        <v>112.22929936305732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1"/>
        <v>70.925816023738875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1"/>
        <v>119.08974358974358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1"/>
        <v>24.017591339648174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1"/>
        <v>139.31868131868131</v>
      </c>
      <c r="G514" t="s">
        <v>20</v>
      </c>
      <c r="H514">
        <v>239</v>
      </c>
      <c r="I514" s="4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1"/>
        <v>39.277108433734945</v>
      </c>
      <c r="G515" t="s">
        <v>74</v>
      </c>
      <c r="H515">
        <v>35</v>
      </c>
      <c r="I515" s="4">
        <f t="shared" ref="I515:I578" si="32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(((L515/60)/60/24)+DATE(1970,1,1))</f>
        <v>40430.208333333336</v>
      </c>
      <c r="O515" s="8">
        <f t="shared" ref="O515:O578" si="34">(((M515/60)/60/24)+DATE(1970,1,1))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1"/>
        <v>22.439077144917089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35">(E517/D517)*100</f>
        <v>55.779069767441861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5"/>
        <v>42.523125996810208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5"/>
        <v>112.00000000000001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7.0681818181818183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5"/>
        <v>101.74563871693867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5"/>
        <v>425.75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5"/>
        <v>145.53947368421052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5"/>
        <v>32.453465346534657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5"/>
        <v>700.33333333333326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5"/>
        <v>83.904860392967933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5"/>
        <v>84.19047619047619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5"/>
        <v>155.95180722891567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5"/>
        <v>99.619450317124731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5"/>
        <v>80.300000000000011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5"/>
        <v>11.254901960784313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5"/>
        <v>91.740952380952379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5"/>
        <v>95.521156936261391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5"/>
        <v>502.87499999999994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5"/>
        <v>159.24394463667818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5"/>
        <v>15.022446689113355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5"/>
        <v>482.03846153846149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5"/>
        <v>149.96938775510205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5"/>
        <v>117.22156398104266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5"/>
        <v>37.695968274950431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5"/>
        <v>72.653061224489804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5"/>
        <v>265.98113207547169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5"/>
        <v>24.205617977528089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2.5064935064935066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5"/>
        <v>16.329799764428738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5"/>
        <v>276.5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5"/>
        <v>88.803571428571431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5"/>
        <v>163.57142857142856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5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5"/>
        <v>270.91376701966715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5"/>
        <v>284.21355932203392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5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5"/>
        <v>58.6329816768462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5"/>
        <v>98.51111111111112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5"/>
        <v>43.975381008206334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5"/>
        <v>151.66315789473683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5"/>
        <v>223.63492063492063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5"/>
        <v>239.75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5"/>
        <v>199.33333333333334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5"/>
        <v>137.34482758620689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5"/>
        <v>100.9696106362773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5"/>
        <v>794.16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5"/>
        <v>369.7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5"/>
        <v>12.818181818181817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5"/>
        <v>138.02702702702703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5"/>
        <v>83.813278008298752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5"/>
        <v>204.60063224446787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5"/>
        <v>44.344086021505376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5"/>
        <v>218.60294117647058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5"/>
        <v>186.03314917127071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5"/>
        <v>237.33830845771143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5"/>
        <v>305.65384615384613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5"/>
        <v>94.142857142857139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5"/>
        <v>54.400000000000006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5"/>
        <v>111.88059701492537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5"/>
        <v>369.14814814814815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5"/>
        <v>62.930372148859547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5"/>
        <v>64.927835051546396</v>
      </c>
      <c r="G578" t="s">
        <v>14</v>
      </c>
      <c r="H578">
        <v>64</v>
      </c>
      <c r="I578" s="4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5"/>
        <v>18.853658536585368</v>
      </c>
      <c r="G579" t="s">
        <v>74</v>
      </c>
      <c r="H579">
        <v>37</v>
      </c>
      <c r="I579" s="4">
        <f t="shared" ref="I579:I642" si="36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(((L579/60)/60/24)+DATE(1970,1,1))</f>
        <v>40613.25</v>
      </c>
      <c r="O579" s="8">
        <f t="shared" ref="O579:O642" si="38">(((M579/60)/60/24)+DATE(1970,1,1))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5"/>
        <v>16.754404145077721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39">(E581/D581)*100</f>
        <v>101.11290322580646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9"/>
        <v>341.5022831050228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9"/>
        <v>64.016666666666666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9"/>
        <v>52.080459770114942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9"/>
        <v>322.40211640211641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9"/>
        <v>119.50810185185186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9"/>
        <v>146.79775280898878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9"/>
        <v>950.57142857142856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9"/>
        <v>72.893617021276597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9"/>
        <v>79.008248730964468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9"/>
        <v>64.721518987341781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9"/>
        <v>82.028169014084511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9"/>
        <v>1037.6666666666667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9"/>
        <v>12.910076530612244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9"/>
        <v>154.84210526315789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7.0991735537190088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9"/>
        <v>208.52773826458036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9"/>
        <v>99.683544303797461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9"/>
        <v>201.59756097560978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9"/>
        <v>162.09032258064516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9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9"/>
        <v>206.63492063492063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9"/>
        <v>128.23628691983123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9"/>
        <v>119.66037735849055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9"/>
        <v>170.73055242390078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9"/>
        <v>187.21212121212122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9"/>
        <v>188.38235294117646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9"/>
        <v>131.29869186046511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9"/>
        <v>283.97435897435901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9"/>
        <v>120.41999999999999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9"/>
        <v>419.0560747663551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9"/>
        <v>13.853658536585368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9"/>
        <v>139.43548387096774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9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9"/>
        <v>155.49056603773585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9"/>
        <v>170.44705882352943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9"/>
        <v>189.515625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9"/>
        <v>249.71428571428572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9"/>
        <v>48.860523665659613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9"/>
        <v>28.461970393057683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9"/>
        <v>268.02325581395348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9"/>
        <v>619.80078125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3.1301587301587301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9"/>
        <v>159.92152704135739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9"/>
        <v>279.39215686274508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9"/>
        <v>77.373333333333335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9"/>
        <v>206.32812500000003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9"/>
        <v>694.25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9"/>
        <v>151.78947368421052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9"/>
        <v>64.58207217694995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9"/>
        <v>62.873684210526314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9"/>
        <v>310.39864864864865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9"/>
        <v>42.859916782246884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9"/>
        <v>83.119402985074629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9"/>
        <v>78.531302876480552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9"/>
        <v>114.09352517985612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9"/>
        <v>64.537683358624179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9"/>
        <v>79.411764705882348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9"/>
        <v>11.419117647058824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9"/>
        <v>56.186046511627907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9"/>
        <v>16.501669449081803</v>
      </c>
      <c r="G642" t="s">
        <v>14</v>
      </c>
      <c r="H642">
        <v>257</v>
      </c>
      <c r="I642" s="4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9"/>
        <v>119.96808510638297</v>
      </c>
      <c r="G643" t="s">
        <v>20</v>
      </c>
      <c r="H643">
        <v>194</v>
      </c>
      <c r="I643" s="4">
        <f t="shared" ref="I643:I706" si="40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(((L643/60)/60/24)+DATE(1970,1,1))</f>
        <v>42786.25</v>
      </c>
      <c r="O643" s="8">
        <f t="shared" ref="O643:O706" si="42">(((M643/60)/60/24)+DATE(1970,1,1))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9"/>
        <v>145.45652173913044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43">(E645/D645)*100</f>
        <v>221.38255033557047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3"/>
        <v>48.396694214876035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3"/>
        <v>92.911504424778755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3"/>
        <v>88.599797365754824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3"/>
        <v>41.4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3"/>
        <v>63.056795131845846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3"/>
        <v>48.482333607230892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3"/>
        <v>88.47941026944585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3"/>
        <v>126.84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3"/>
        <v>2338.833333333333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3"/>
        <v>508.38857142857148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3"/>
        <v>191.47826086956522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3"/>
        <v>42.127533783783782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3"/>
        <v>8.24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3"/>
        <v>60.064638783269963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3"/>
        <v>47.232808616404313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3"/>
        <v>81.736263736263737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3"/>
        <v>54.187265917603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3"/>
        <v>97.868131868131869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3"/>
        <v>77.239999999999995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3"/>
        <v>33.464735516372798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3"/>
        <v>239.58823529411765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3"/>
        <v>64.032258064516128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3"/>
        <v>176.15942028985506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3"/>
        <v>20.33818181818182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3"/>
        <v>358.64754098360658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3"/>
        <v>468.85802469135803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3"/>
        <v>122.05635245901641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3"/>
        <v>55.931783729156137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3"/>
        <v>43.660714285714285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3"/>
        <v>33.53837141183363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3"/>
        <v>122.97938144329896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3"/>
        <v>189.74959871589084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3"/>
        <v>83.622641509433961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3"/>
        <v>17.968844221105527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3"/>
        <v>1036.5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3"/>
        <v>97.405219780219781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3"/>
        <v>86.386203150461711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3"/>
        <v>150.16666666666666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3"/>
        <v>358.43478260869563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3"/>
        <v>542.85714285714289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3"/>
        <v>67.500714285714281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3"/>
        <v>191.74666666666667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3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3"/>
        <v>429.27586206896552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3"/>
        <v>100.65753424657535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3"/>
        <v>226.61111111111109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3"/>
        <v>142.38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3"/>
        <v>90.633333333333326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3"/>
        <v>63.966740576496676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3"/>
        <v>84.131868131868131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3"/>
        <v>133.93478260869566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3"/>
        <v>59.042047531992694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3"/>
        <v>152.80062063615205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3"/>
        <v>446.69121140142522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3"/>
        <v>84.391891891891888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3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3"/>
        <v>175.02692307692308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3"/>
        <v>54.137931034482754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3"/>
        <v>311.87381703470032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3"/>
        <v>122.78160919540231</v>
      </c>
      <c r="G706" t="s">
        <v>20</v>
      </c>
      <c r="H706">
        <v>116</v>
      </c>
      <c r="I706" s="4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3"/>
        <v>99.026517383618156</v>
      </c>
      <c r="G707" t="s">
        <v>14</v>
      </c>
      <c r="H707">
        <v>2025</v>
      </c>
      <c r="I707" s="4">
        <f t="shared" ref="I707:I770" si="44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(((L707/60)/60/24)+DATE(1970,1,1))</f>
        <v>41619.25</v>
      </c>
      <c r="O707" s="8">
        <f t="shared" ref="O707:O770" si="46">(((M707/60)/60/24)+DATE(1970,1,1))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3"/>
        <v>127.84686346863469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47">(E709/D709)*100</f>
        <v>158.61643835616439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7"/>
        <v>707.05882352941171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7"/>
        <v>142.38775510204081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7"/>
        <v>147.86046511627907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7"/>
        <v>20.322580645161288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7"/>
        <v>1840.625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7"/>
        <v>161.94202898550725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7"/>
        <v>472.82077922077923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7"/>
        <v>24.466101694915253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7"/>
        <v>517.65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7"/>
        <v>247.64285714285714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7"/>
        <v>100.20481927710843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7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7"/>
        <v>37.091954022988503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4.392394822006473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7"/>
        <v>156.50721649484535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7"/>
        <v>270.40816326530609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7"/>
        <v>134.05952380952382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7"/>
        <v>50.398033126293996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7"/>
        <v>88.815837937384899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7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7"/>
        <v>17.5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7"/>
        <v>185.66071428571428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7"/>
        <v>412.6631944444444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7"/>
        <v>90.25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7"/>
        <v>91.984615384615381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7"/>
        <v>527.00632911392404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7"/>
        <v>319.14285714285711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7"/>
        <v>354.18867924528303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7"/>
        <v>32.896103896103895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7"/>
        <v>135.8918918918919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2.0843373493975905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7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7"/>
        <v>30.037735849056602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7"/>
        <v>1179.1666666666665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7"/>
        <v>1126.0833333333335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7"/>
        <v>12.923076923076923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7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7"/>
        <v>30.304347826086957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7"/>
        <v>212.50896057347671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7"/>
        <v>228.85714285714286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7"/>
        <v>34.959979476654695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7"/>
        <v>157.29069767441862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7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7"/>
        <v>232.30555555555554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7"/>
        <v>92.448275862068968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7"/>
        <v>256.70212765957444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7"/>
        <v>168.47017045454547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7"/>
        <v>166.57777777777778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7"/>
        <v>772.07692307692309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7"/>
        <v>406.85714285714283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7"/>
        <v>564.20608108108115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7"/>
        <v>68.426865671641792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7"/>
        <v>34.351966873706004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7"/>
        <v>655.4545454545455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7"/>
        <v>177.25714285714284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7"/>
        <v>113.17857142857144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7"/>
        <v>728.18181818181824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7"/>
        <v>208.33333333333334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7"/>
        <v>31.171232876712331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7"/>
        <v>56.967078189300416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7"/>
        <v>231</v>
      </c>
      <c r="G770" t="s">
        <v>20</v>
      </c>
      <c r="H770">
        <v>150</v>
      </c>
      <c r="I770" s="4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7"/>
        <v>86.867834394904463</v>
      </c>
      <c r="G771" t="s">
        <v>14</v>
      </c>
      <c r="H771">
        <v>3410</v>
      </c>
      <c r="I771" s="4">
        <f t="shared" ref="I771:I834" si="48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(((L771/60)/60/24)+DATE(1970,1,1))</f>
        <v>41501.208333333336</v>
      </c>
      <c r="O771" s="8">
        <f t="shared" ref="O771:O834" si="50">(((M771/60)/60/24)+DATE(1970,1,1))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7"/>
        <v>270.74418604651163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51">(E773/D773)*100</f>
        <v>49.446428571428569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1"/>
        <v>113.3596256684492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1"/>
        <v>190.55555555555554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1"/>
        <v>135.5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1"/>
        <v>10.297872340425531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1"/>
        <v>65.544223826714799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1"/>
        <v>49.026652452025587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1"/>
        <v>787.92307692307691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1"/>
        <v>80.306347746090154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1"/>
        <v>106.29411764705883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1"/>
        <v>50.735632183908038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1"/>
        <v>215.31372549019611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1"/>
        <v>141.22972972972974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1"/>
        <v>115.33745781777279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1"/>
        <v>193.11940298507463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1"/>
        <v>729.73333333333335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1"/>
        <v>99.66339869281046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1"/>
        <v>88.166666666666671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1"/>
        <v>37.233333333333334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1"/>
        <v>30.540075309306079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1"/>
        <v>25.714285714285712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1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1"/>
        <v>1185.909090909091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1"/>
        <v>125.39393939393939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1"/>
        <v>14.394366197183098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1"/>
        <v>54.807692307692314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1"/>
        <v>109.63157894736841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1"/>
        <v>188.47058823529412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1"/>
        <v>87.008284023668637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1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1"/>
        <v>202.9130434782609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1"/>
        <v>197.03225806451613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1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1"/>
        <v>268.73076923076923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1"/>
        <v>50.845360824742272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1"/>
        <v>1180.2857142857142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1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1"/>
        <v>30.44230769230769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1"/>
        <v>62.880681818181813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1"/>
        <v>193.125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1"/>
        <v>77.102702702702715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1"/>
        <v>225.52763819095478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1"/>
        <v>239.40625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1"/>
        <v>92.1875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1"/>
        <v>130.23333333333335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1"/>
        <v>615.21739130434787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1"/>
        <v>368.79532163742692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1"/>
        <v>1094.8571428571429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1"/>
        <v>50.662921348314605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1"/>
        <v>800.6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1"/>
        <v>291.28571428571428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1"/>
        <v>349.9666666666667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1"/>
        <v>357.07317073170731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1"/>
        <v>126.48941176470588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1"/>
        <v>387.5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1"/>
        <v>457.03571428571428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1"/>
        <v>266.69565217391306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1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1"/>
        <v>51.34375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1"/>
        <v>108.97734294541709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1"/>
        <v>315.17592592592592</v>
      </c>
      <c r="G834" t="s">
        <v>20</v>
      </c>
      <c r="H834">
        <v>1297</v>
      </c>
      <c r="I834" s="4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1"/>
        <v>157.69117647058823</v>
      </c>
      <c r="G835" t="s">
        <v>20</v>
      </c>
      <c r="H835">
        <v>165</v>
      </c>
      <c r="I835" s="4">
        <f t="shared" ref="I835:I898" si="52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(((L835/60)/60/24)+DATE(1970,1,1))</f>
        <v>40588.25</v>
      </c>
      <c r="O835" s="8">
        <f t="shared" ref="O835:O898" si="54">(((M835/60)/60/24)+DATE(1970,1,1))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1"/>
        <v>153.8082191780822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55">(E837/D837)*100</f>
        <v>89.738979118329468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5"/>
        <v>75.135802469135797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5"/>
        <v>852.88135593220341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5"/>
        <v>138.90625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5"/>
        <v>190.18181818181819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5"/>
        <v>100.24333619948409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5"/>
        <v>142.75824175824175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5"/>
        <v>563.13333333333333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5"/>
        <v>30.715909090909086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5"/>
        <v>99.39772727272728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5"/>
        <v>197.54935622317598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5"/>
        <v>508.5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5"/>
        <v>237.74468085106383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5"/>
        <v>338.46875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5"/>
        <v>133.08955223880596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5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5"/>
        <v>207.79999999999998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5"/>
        <v>51.122448979591837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5"/>
        <v>652.05847953216369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5"/>
        <v>113.63099415204678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5"/>
        <v>102.37606837606839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5"/>
        <v>356.58333333333331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5"/>
        <v>139.86792452830187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5"/>
        <v>69.45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5"/>
        <v>35.534246575342465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5"/>
        <v>251.65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5"/>
        <v>105.87500000000001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5"/>
        <v>187.42857142857144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5"/>
        <v>386.78571428571428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5"/>
        <v>347.07142857142856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5"/>
        <v>185.82098765432099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5"/>
        <v>43.241247264770237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5"/>
        <v>162.4375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5"/>
        <v>184.84285714285716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5"/>
        <v>23.703520691785052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5"/>
        <v>89.870129870129873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5"/>
        <v>272.6041958041958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5"/>
        <v>170.04255319148936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5"/>
        <v>188.28503562945369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5"/>
        <v>346.93532338308455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5"/>
        <v>69.177215189873422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5"/>
        <v>25.433734939759034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5"/>
        <v>77.400977995110026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5"/>
        <v>37.481481481481481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5"/>
        <v>543.79999999999995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5"/>
        <v>228.52189349112427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5"/>
        <v>38.948339483394832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5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5"/>
        <v>237.91176470588232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5"/>
        <v>64.036299765807954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5"/>
        <v>118.27777777777777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5"/>
        <v>84.824037184594957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5"/>
        <v>29.346153846153843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5"/>
        <v>209.89655172413794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5"/>
        <v>169.78571428571431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5"/>
        <v>115.95907738095239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5"/>
        <v>258.59999999999997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5"/>
        <v>230.58333333333331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5"/>
        <v>128.21428571428572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5"/>
        <v>188.70588235294116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6.9511889862327907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5"/>
        <v>774.43434343434342</v>
      </c>
      <c r="G898" t="s">
        <v>20</v>
      </c>
      <c r="H898">
        <v>1460</v>
      </c>
      <c r="I898" s="4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5"/>
        <v>27.693181818181817</v>
      </c>
      <c r="G899" t="s">
        <v>14</v>
      </c>
      <c r="H899">
        <v>27</v>
      </c>
      <c r="I899" s="4">
        <f t="shared" ref="I899:I962" si="56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(((L899/60)/60/24)+DATE(1970,1,1))</f>
        <v>43583.208333333328</v>
      </c>
      <c r="O899" s="8">
        <f t="shared" ref="O899:O962" si="58">(((M899/60)/60/24)+DATE(1970,1,1))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5"/>
        <v>52.479620323841424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59">(E901/D901)*100</f>
        <v>407.09677419354841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9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9"/>
        <v>156.17857142857144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9"/>
        <v>252.42857142857144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9"/>
        <v>12.230769230769232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9"/>
        <v>163.98734177215189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9"/>
        <v>162.98181818181817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9"/>
        <v>20.252747252747252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9"/>
        <v>319.24083769633506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9"/>
        <v>478.94444444444446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9"/>
        <v>19.556634304207122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9"/>
        <v>198.94827586206895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9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9"/>
        <v>50.621082621082621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9"/>
        <v>57.4375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9"/>
        <v>155.62827640984909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9"/>
        <v>36.297297297297298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9"/>
        <v>58.25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9"/>
        <v>237.39473684210526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9"/>
        <v>58.75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9"/>
        <v>182.56603773584905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9"/>
        <v>0.75436408977556113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9"/>
        <v>175.95330739299609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9"/>
        <v>237.88235294117646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9"/>
        <v>488.05076142131981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9"/>
        <v>224.06666666666669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9"/>
        <v>18.126436781609197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9"/>
        <v>45.847222222222221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9"/>
        <v>117.31541218637993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9"/>
        <v>217.30909090909088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9"/>
        <v>112.28571428571428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9"/>
        <v>72.51898734177216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9"/>
        <v>212.30434782608697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9"/>
        <v>239.74657534246577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9"/>
        <v>181.93548387096774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9"/>
        <v>164.13114754098362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9"/>
        <v>49.64385964912281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9"/>
        <v>109.70652173913042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9"/>
        <v>49.217948717948715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9"/>
        <v>62.232323232323225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9"/>
        <v>13.05813953488372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9"/>
        <v>64.635416666666671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9"/>
        <v>159.58666666666667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9"/>
        <v>81.42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9"/>
        <v>32.444767441860463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9"/>
        <v>26.694444444444443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9"/>
        <v>62.957446808510639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9"/>
        <v>161.35593220338984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9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9"/>
        <v>1096.9379310344827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9"/>
        <v>70.094158075601371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9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9"/>
        <v>367.0985915492958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9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9"/>
        <v>19.028784648187631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9"/>
        <v>126.87755102040816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9"/>
        <v>734.63636363636363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4.5731034482758623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9"/>
        <v>85.054545454545448</v>
      </c>
      <c r="G962" t="s">
        <v>14</v>
      </c>
      <c r="H962">
        <v>55</v>
      </c>
      <c r="I962" s="4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9"/>
        <v>119.29824561403508</v>
      </c>
      <c r="G963" t="s">
        <v>20</v>
      </c>
      <c r="H963">
        <v>155</v>
      </c>
      <c r="I963" s="4">
        <f t="shared" ref="I963:I1001" si="60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(((L963/60)/60/24)+DATE(1970,1,1))</f>
        <v>40591.25</v>
      </c>
      <c r="O963" s="8">
        <f t="shared" ref="O963:O1001" si="62">(((M963/60)/60/24)+DATE(1970,1,1))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59"/>
        <v>296.02777777777777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63">(E965/D965)*100</f>
        <v>84.694915254237287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3"/>
        <v>355.7837837837838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3"/>
        <v>386.40909090909093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3"/>
        <v>792.23529411764707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3"/>
        <v>137.03393665158373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3"/>
        <v>338.20833333333337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3"/>
        <v>108.22784810126582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3"/>
        <v>60.757639620653315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3"/>
        <v>27.725490196078432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3"/>
        <v>228.3934426229508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3"/>
        <v>21.615194054500414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3"/>
        <v>373.875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3"/>
        <v>154.92592592592592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3"/>
        <v>322.14999999999998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3"/>
        <v>73.957142857142856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3"/>
        <v>864.1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3"/>
        <v>143.26245847176079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3"/>
        <v>40.281762295081968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3"/>
        <v>178.22388059701493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3"/>
        <v>84.930555555555557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3"/>
        <v>145.93648334624322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3"/>
        <v>152.46153846153848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3"/>
        <v>67.129542790152414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3"/>
        <v>40.307692307692307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3"/>
        <v>216.79032258064518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3"/>
        <v>52.117021276595743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3"/>
        <v>499.58333333333337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3"/>
        <v>87.679487179487182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3"/>
        <v>113.17346938775511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3"/>
        <v>426.54838709677421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3"/>
        <v>77.632653061224488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3"/>
        <v>52.496810772501767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3"/>
        <v>157.46762589928059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3"/>
        <v>72.939393939393938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3"/>
        <v>60.565789473684205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3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3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7" operator="containsText" text="successful. Failed, canceled, live">
      <formula>NOT(ISERROR(SEARCH("successful. Failed, canceled, live",G1)))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EE31-5E93-4AD0-AB85-5EF8E318BA5B}">
  <dimension ref="A1:F14"/>
  <sheetViews>
    <sheetView workbookViewId="0">
      <selection activeCell="S17" sqref="S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</row>
    <row r="6" spans="1:6" x14ac:dyDescent="0.25">
      <c r="A6" s="7" t="s">
        <v>2033</v>
      </c>
      <c r="B6" s="21">
        <v>4</v>
      </c>
      <c r="C6" s="21">
        <v>20</v>
      </c>
      <c r="D6" s="21"/>
      <c r="E6" s="21">
        <v>22</v>
      </c>
      <c r="F6" s="21">
        <v>46</v>
      </c>
    </row>
    <row r="7" spans="1:6" x14ac:dyDescent="0.25">
      <c r="A7" s="7" t="s">
        <v>2050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</row>
    <row r="8" spans="1:6" x14ac:dyDescent="0.25">
      <c r="A8" s="7" t="s">
        <v>2064</v>
      </c>
      <c r="B8" s="21"/>
      <c r="C8" s="21"/>
      <c r="D8" s="21"/>
      <c r="E8" s="21">
        <v>4</v>
      </c>
      <c r="F8" s="21">
        <v>4</v>
      </c>
    </row>
    <row r="9" spans="1:6" x14ac:dyDescent="0.25">
      <c r="A9" s="7" t="s">
        <v>2035</v>
      </c>
      <c r="B9" s="21">
        <v>10</v>
      </c>
      <c r="C9" s="21">
        <v>66</v>
      </c>
      <c r="D9" s="21"/>
      <c r="E9" s="21">
        <v>99</v>
      </c>
      <c r="F9" s="21">
        <v>175</v>
      </c>
    </row>
    <row r="10" spans="1:6" x14ac:dyDescent="0.25">
      <c r="A10" s="7" t="s">
        <v>2054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</row>
    <row r="11" spans="1:6" x14ac:dyDescent="0.25">
      <c r="A11" s="7" t="s">
        <v>2047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</row>
    <row r="12" spans="1:6" x14ac:dyDescent="0.25">
      <c r="A12" s="7" t="s">
        <v>2037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</row>
    <row r="13" spans="1:6" x14ac:dyDescent="0.25">
      <c r="A13" s="7" t="s">
        <v>2039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6" x14ac:dyDescent="0.25">
      <c r="A14" s="7" t="s">
        <v>2067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68F3-32A3-4E4F-BADB-6293066B61C4}">
  <dimension ref="A1:F30"/>
  <sheetViews>
    <sheetView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2068</v>
      </c>
    </row>
    <row r="2" spans="1:6" x14ac:dyDescent="0.25">
      <c r="A2" s="6" t="s">
        <v>2031</v>
      </c>
      <c r="B2" t="s">
        <v>2068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8CE7-40DA-4A9E-8603-A327EA03403A}">
  <dimension ref="A1:E18"/>
  <sheetViews>
    <sheetView tabSelected="1" workbookViewId="0">
      <selection activeCell="M22" sqref="M2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32" width="4.875" bestFit="1" customWidth="1"/>
    <col min="33" max="55" width="5.875" bestFit="1" customWidth="1"/>
    <col min="56" max="58" width="6.875" bestFit="1" customWidth="1"/>
    <col min="59" max="59" width="13.375" bestFit="1" customWidth="1"/>
    <col min="60" max="60" width="7.375" bestFit="1" customWidth="1"/>
    <col min="61" max="65" width="1.875" bestFit="1" customWidth="1"/>
    <col min="66" max="90" width="3.875" bestFit="1" customWidth="1"/>
    <col min="91" max="252" width="4.875" bestFit="1" customWidth="1"/>
    <col min="253" max="367" width="5.875" bestFit="1" customWidth="1"/>
    <col min="368" max="406" width="6.875" bestFit="1" customWidth="1"/>
    <col min="407" max="407" width="10.5" bestFit="1" customWidth="1"/>
    <col min="408" max="408" width="5.625" bestFit="1" customWidth="1"/>
    <col min="409" max="414" width="4.875" bestFit="1" customWidth="1"/>
    <col min="415" max="419" width="5.875" bestFit="1" customWidth="1"/>
    <col min="420" max="421" width="6.875" bestFit="1" customWidth="1"/>
    <col min="422" max="422" width="8.75" bestFit="1" customWidth="1"/>
    <col min="423" max="423" width="11" bestFit="1" customWidth="1"/>
    <col min="424" max="596" width="4.875" bestFit="1" customWidth="1"/>
    <col min="597" max="837" width="5.875" bestFit="1" customWidth="1"/>
    <col min="838" max="977" width="6.875" bestFit="1" customWidth="1"/>
    <col min="978" max="978" width="14.25" bestFit="1" customWidth="1"/>
    <col min="979" max="979" width="8.625" bestFit="1" customWidth="1"/>
    <col min="980" max="980" width="11.75" bestFit="1" customWidth="1"/>
    <col min="981" max="981" width="11" bestFit="1" customWidth="1"/>
  </cols>
  <sheetData>
    <row r="1" spans="1:5" x14ac:dyDescent="0.25">
      <c r="A1" s="6" t="s">
        <v>2031</v>
      </c>
      <c r="B1" t="s">
        <v>2068</v>
      </c>
    </row>
    <row r="2" spans="1:5" x14ac:dyDescent="0.25">
      <c r="A2" s="6" t="s">
        <v>2085</v>
      </c>
      <c r="B2" t="s">
        <v>2068</v>
      </c>
    </row>
    <row r="4" spans="1:5" x14ac:dyDescent="0.25">
      <c r="A4" s="6" t="s">
        <v>2070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44D8-DED9-4F9D-B783-C533FCAC42BD}">
  <dimension ref="A1:J22"/>
  <sheetViews>
    <sheetView workbookViewId="0">
      <selection activeCell="J22" sqref="J22"/>
    </sheetView>
  </sheetViews>
  <sheetFormatPr defaultRowHeight="15.75" x14ac:dyDescent="0.25"/>
  <cols>
    <col min="1" max="1" width="16.75" bestFit="1" customWidth="1"/>
    <col min="2" max="2" width="19.5" bestFit="1" customWidth="1"/>
    <col min="3" max="3" width="13.5" bestFit="1" customWidth="1"/>
    <col min="4" max="4" width="16.125" bestFit="1" customWidth="1"/>
    <col min="5" max="5" width="15.625" bestFit="1" customWidth="1"/>
    <col min="6" max="6" width="19.875" bestFit="1" customWidth="1"/>
    <col min="7" max="7" width="16.125" bestFit="1" customWidth="1"/>
    <col min="8" max="8" width="18.25" bestFit="1" customWidth="1"/>
  </cols>
  <sheetData>
    <row r="1" spans="1:8" ht="20.25" thickBot="1" x14ac:dyDescent="0.35">
      <c r="A1" s="9" t="s">
        <v>2086</v>
      </c>
      <c r="B1" s="9" t="s">
        <v>2087</v>
      </c>
      <c r="C1" s="9" t="s">
        <v>2088</v>
      </c>
      <c r="D1" s="9" t="s">
        <v>2089</v>
      </c>
      <c r="E1" s="17" t="s">
        <v>2090</v>
      </c>
      <c r="F1" s="9" t="s">
        <v>2091</v>
      </c>
      <c r="G1" s="9" t="s">
        <v>2092</v>
      </c>
      <c r="H1" s="9" t="s">
        <v>2093</v>
      </c>
    </row>
    <row r="2" spans="1:8" ht="16.5" thickTop="1" x14ac:dyDescent="0.25">
      <c r="A2" s="10" t="s">
        <v>2094</v>
      </c>
      <c r="B2" s="11">
        <f>COUNTIFS(Crowdfunding!$G$2:$G$1001,"successful",Crowdfunding!$D$2:$D$1001,"&lt;1000")</f>
        <v>30</v>
      </c>
      <c r="C2" s="12">
        <f>COUNTIFS(Crowdfunding!$G$2:$G$1001,"failed",Crowdfunding!$D$2:$D$1001,"&lt;1000")</f>
        <v>20</v>
      </c>
      <c r="D2" s="13">
        <f>COUNTIFS(Crowdfunding!$G$2:$G$1001,"canceled",Crowdfunding!$D$2:$D$1001,"&lt;1000")</f>
        <v>1</v>
      </c>
      <c r="E2" s="18">
        <f>SUM(B2:D2)</f>
        <v>51</v>
      </c>
      <c r="F2" s="14">
        <f>(B2/E2)</f>
        <v>0.58823529411764708</v>
      </c>
      <c r="G2" s="15">
        <f>(C2/E2)</f>
        <v>0.39215686274509803</v>
      </c>
      <c r="H2" s="16">
        <f>(D2/E2)</f>
        <v>1.9607843137254902E-2</v>
      </c>
    </row>
    <row r="3" spans="1:8" x14ac:dyDescent="0.25">
      <c r="A3" s="10" t="s">
        <v>2095</v>
      </c>
      <c r="B3" s="11">
        <f>COUNTIFS(Crowdfunding!$G$2:$G$1001,"successful",Crowdfunding!$D$2:$D$1001,"&gt;=1000",Crowdfunding!$D$2:$D$1001,"&lt;=4999")</f>
        <v>191</v>
      </c>
      <c r="C3" s="12">
        <f>COUNTIFS(Crowdfunding!$G$2:$G$1001,"failed",Crowdfunding!$D$2:$D$1001,"&gt;=1000",Crowdfunding!$D$2:$D$1001,"&lt;=4999")</f>
        <v>38</v>
      </c>
      <c r="D3" s="13">
        <f>COUNTIFS(Crowdfunding!$G$2:$G$1001,"canceled",Crowdfunding!$D$2:$D$1001,"&gt;=1000",Crowdfunding!$D$2:$D$1001,"&lt;=4999")</f>
        <v>2</v>
      </c>
      <c r="E3" s="18">
        <f t="shared" ref="E3:E13" si="0">SUM(B3:D3)</f>
        <v>231</v>
      </c>
      <c r="F3" s="14">
        <f t="shared" ref="F3:F13" si="1">(B3/E3)</f>
        <v>0.82683982683982682</v>
      </c>
      <c r="G3" s="15">
        <f t="shared" ref="G3:G13" si="2">(C3/E3)</f>
        <v>0.16450216450216451</v>
      </c>
      <c r="H3" s="16">
        <f t="shared" ref="H3:H13" si="3">(D3/E3)</f>
        <v>8.658008658008658E-3</v>
      </c>
    </row>
    <row r="4" spans="1:8" x14ac:dyDescent="0.25">
      <c r="A4" s="10" t="s">
        <v>2105</v>
      </c>
      <c r="B4" s="11">
        <f>COUNTIFS(Crowdfunding!$G$2:$G$1001,"successful",Crowdfunding!$D$2:$D$1001,"&gt;=5000",Crowdfunding!$D$2:$D$1001,"&lt;=9999")</f>
        <v>164</v>
      </c>
      <c r="C4" s="12">
        <f>COUNTIFS(Crowdfunding!$G$2:$G$1001,"failed",Crowdfunding!$D$2:$D$1001,"&gt;=5000",Crowdfunding!$D$2:$D$1001,"&lt;=9999")</f>
        <v>126</v>
      </c>
      <c r="D4" s="13">
        <f>COUNTIFS(Crowdfunding!$G$2:$G$1001,"canceled",Crowdfunding!$D$2:$D$1001,"&gt;=5000",Crowdfunding!$D$2:$D$1001,"&lt;=9999")</f>
        <v>25</v>
      </c>
      <c r="E4" s="18">
        <f t="shared" si="0"/>
        <v>315</v>
      </c>
      <c r="F4" s="14">
        <f t="shared" si="1"/>
        <v>0.52063492063492067</v>
      </c>
      <c r="G4" s="15">
        <f t="shared" si="2"/>
        <v>0.4</v>
      </c>
      <c r="H4" s="16">
        <f t="shared" si="3"/>
        <v>7.9365079365079361E-2</v>
      </c>
    </row>
    <row r="5" spans="1:8" x14ac:dyDescent="0.25">
      <c r="A5" s="10" t="s">
        <v>2096</v>
      </c>
      <c r="B5" s="11">
        <f>COUNTIFS(Crowdfunding!$G$2:$G$1001,"successful",Crowdfunding!$D$2:$D$1001,"&gt;=10000",Crowdfunding!$D$2:$D$1001,"&lt;=14999")</f>
        <v>4</v>
      </c>
      <c r="C5" s="12">
        <f>COUNTIFS(Crowdfunding!$G$2:$G$1001,"failed",Crowdfunding!$D$2:$D$1001,"&gt;=10000",Crowdfunding!$D$2:$D$1001,"&lt;=14999")</f>
        <v>5</v>
      </c>
      <c r="D5" s="13">
        <f>COUNTIFS(Crowdfunding!$G$2:$G$1001,"canceled",Crowdfunding!$D$2:$D$1001,"&gt;=10000",Crowdfunding!$D$2:$D$1001,"&lt;=14999")</f>
        <v>0</v>
      </c>
      <c r="E5" s="18">
        <f t="shared" si="0"/>
        <v>9</v>
      </c>
      <c r="F5" s="14">
        <f t="shared" si="1"/>
        <v>0.44444444444444442</v>
      </c>
      <c r="G5" s="15">
        <f t="shared" si="2"/>
        <v>0.55555555555555558</v>
      </c>
      <c r="H5" s="16">
        <f t="shared" si="3"/>
        <v>0</v>
      </c>
    </row>
    <row r="6" spans="1:8" x14ac:dyDescent="0.25">
      <c r="A6" s="10" t="s">
        <v>2097</v>
      </c>
      <c r="B6" s="11">
        <f>COUNTIFS(Crowdfunding!$G$2:$G$1001,"successful",Crowdfunding!$D$2:$D$1001,"&gt;=15000",Crowdfunding!$D$2:$D$1001,"&lt;=19999")</f>
        <v>10</v>
      </c>
      <c r="C6" s="12">
        <f>COUNTIFS(Crowdfunding!$G$2:$G$1001,"failed",Crowdfunding!$D$2:$D$1001,"&gt;=15000",Crowdfunding!$D$2:$D$1001,"&lt;=19999")</f>
        <v>0</v>
      </c>
      <c r="D6" s="13">
        <f>COUNTIFS(Crowdfunding!$G$2:$G$1001,"canceled",Crowdfunding!$D$2:$D$1001,"&gt;=15000",Crowdfunding!$D$2:$D$1001,"&lt;=19999")</f>
        <v>0</v>
      </c>
      <c r="E6" s="18">
        <f t="shared" si="0"/>
        <v>10</v>
      </c>
      <c r="F6" s="14">
        <f t="shared" si="1"/>
        <v>1</v>
      </c>
      <c r="G6" s="15">
        <f t="shared" si="2"/>
        <v>0</v>
      </c>
      <c r="H6" s="16">
        <f t="shared" si="3"/>
        <v>0</v>
      </c>
    </row>
    <row r="7" spans="1:8" x14ac:dyDescent="0.25">
      <c r="A7" s="10" t="s">
        <v>2098</v>
      </c>
      <c r="B7" s="11">
        <f>COUNTIFS(Crowdfunding!$G$2:$G$1001,"successful",Crowdfunding!$D$2:$D$1001,"&gt;=20000",Crowdfunding!$D$2:$D$1001,"&lt;=24999")</f>
        <v>7</v>
      </c>
      <c r="C7" s="12">
        <f>COUNTIFS(Crowdfunding!$G$2:$G$1001,"failed",Crowdfunding!$D$2:$D$1001,"&gt;=20000",Crowdfunding!$D$2:$D$1001,"&lt;=24999")</f>
        <v>0</v>
      </c>
      <c r="D7" s="13">
        <f>COUNTIFS(Crowdfunding!$G$2:$G$1001,"canceled",Crowdfunding!$D$2:$D$1001,"&gt;=20000",Crowdfunding!$D$2:$D$1001,"&lt;=24999")</f>
        <v>0</v>
      </c>
      <c r="E7" s="18">
        <f t="shared" si="0"/>
        <v>7</v>
      </c>
      <c r="F7" s="14">
        <f t="shared" si="1"/>
        <v>1</v>
      </c>
      <c r="G7" s="15">
        <f t="shared" si="2"/>
        <v>0</v>
      </c>
      <c r="H7" s="16">
        <f t="shared" si="3"/>
        <v>0</v>
      </c>
    </row>
    <row r="8" spans="1:8" x14ac:dyDescent="0.25">
      <c r="A8" s="10" t="s">
        <v>2099</v>
      </c>
      <c r="B8" s="11">
        <f>COUNTIFS(Crowdfunding!$G$2:$G$1001,"successful",Crowdfunding!$D$2:$D$1001,"&gt;=25000",Crowdfunding!$D$2:$D$1001,"&lt;=29999")</f>
        <v>11</v>
      </c>
      <c r="C8" s="12">
        <f>COUNTIFS(Crowdfunding!$G$2:$G$1001,"failed",Crowdfunding!$D$2:$D$1001,"&gt;=25000",Crowdfunding!$D$2:$D$1001,"&lt;=29999")</f>
        <v>3</v>
      </c>
      <c r="D8" s="13">
        <f>COUNTIFS(Crowdfunding!$G$2:$G$1001,"canceled",Crowdfunding!$D$2:$D$1001,"&gt;=25000",Crowdfunding!$D$2:$D$1001,"&lt;=29999")</f>
        <v>0</v>
      </c>
      <c r="E8" s="18">
        <f t="shared" si="0"/>
        <v>14</v>
      </c>
      <c r="F8" s="14">
        <f t="shared" si="1"/>
        <v>0.7857142857142857</v>
      </c>
      <c r="G8" s="15">
        <f t="shared" si="2"/>
        <v>0.21428571428571427</v>
      </c>
      <c r="H8" s="16">
        <f t="shared" si="3"/>
        <v>0</v>
      </c>
    </row>
    <row r="9" spans="1:8" x14ac:dyDescent="0.25">
      <c r="A9" s="10" t="s">
        <v>2100</v>
      </c>
      <c r="B9" s="11">
        <f>COUNTIFS(Crowdfunding!$G$2:$G$1001,"successful",Crowdfunding!$D$2:$D$1001,"&gt;=30000",Crowdfunding!$D$2:$D$1001,"&lt;=34999")</f>
        <v>7</v>
      </c>
      <c r="C9" s="12">
        <f>COUNTIFS(Crowdfunding!$G$2:$G$1001,"failed",Crowdfunding!$D$2:$D$1001,"&gt;=30000",Crowdfunding!$D$2:$D$1001,"&lt;=34999")</f>
        <v>0</v>
      </c>
      <c r="D9" s="13">
        <f>COUNTIFS(Crowdfunding!$G$2:$G$1001,"canceled",Crowdfunding!$D$2:$D$1001,"&gt;=30000",Crowdfunding!$D$2:$D$1001,"&lt;=34999")</f>
        <v>0</v>
      </c>
      <c r="E9" s="18">
        <f t="shared" si="0"/>
        <v>7</v>
      </c>
      <c r="F9" s="14">
        <f t="shared" si="1"/>
        <v>1</v>
      </c>
      <c r="G9" s="15">
        <f t="shared" si="2"/>
        <v>0</v>
      </c>
      <c r="H9" s="16">
        <f t="shared" si="3"/>
        <v>0</v>
      </c>
    </row>
    <row r="10" spans="1:8" x14ac:dyDescent="0.25">
      <c r="A10" s="10" t="s">
        <v>2101</v>
      </c>
      <c r="B10" s="11">
        <f>COUNTIFS(Crowdfunding!$G$2:$G$1001,"successful",Crowdfunding!$D$2:$D$1001,"&gt;=35000",Crowdfunding!$D$2:$D$1001,"&lt;=39999")</f>
        <v>8</v>
      </c>
      <c r="C10" s="12">
        <f>COUNTIFS(Crowdfunding!$G$2:$G$1001,"failed",Crowdfunding!$D$2:$D$1001,"&gt;=35000",Crowdfunding!$D$2:$D$1001,"&lt;=39999")</f>
        <v>3</v>
      </c>
      <c r="D10" s="13">
        <f>COUNTIFS(Crowdfunding!$G$2:$G$1001,"canceled",Crowdfunding!$D$2:$D$1001,"&gt;=35000",Crowdfunding!$D$2:$D$1001,"&lt;=39999")</f>
        <v>1</v>
      </c>
      <c r="E10" s="18">
        <f t="shared" si="0"/>
        <v>12</v>
      </c>
      <c r="F10" s="14">
        <f t="shared" si="1"/>
        <v>0.66666666666666663</v>
      </c>
      <c r="G10" s="15">
        <f t="shared" si="2"/>
        <v>0.25</v>
      </c>
      <c r="H10" s="16">
        <f t="shared" si="3"/>
        <v>8.3333333333333329E-2</v>
      </c>
    </row>
    <row r="11" spans="1:8" x14ac:dyDescent="0.25">
      <c r="A11" s="10" t="s">
        <v>2102</v>
      </c>
      <c r="B11" s="11">
        <f>COUNTIFS(Crowdfunding!$G$2:$G$1001,"successful",Crowdfunding!$D$2:$D$1001,"&gt;=40000",Crowdfunding!$D$2:$D$1001,"&lt;=44999")</f>
        <v>11</v>
      </c>
      <c r="C11" s="12">
        <f>COUNTIFS(Crowdfunding!$G$2:$G$1001,"failed",Crowdfunding!$D$2:$D$1001,"&gt;=40000",Crowdfunding!$D$2:$D$1001,"&lt;=44999")</f>
        <v>3</v>
      </c>
      <c r="D11" s="13">
        <f>COUNTIFS(Crowdfunding!$G$2:$G$1001,"canceled",Crowdfunding!$D$2:$D$1001,"&gt;=40000",Crowdfunding!$D$2:$D$1001,"&lt;=44999")</f>
        <v>0</v>
      </c>
      <c r="E11" s="18">
        <f t="shared" si="0"/>
        <v>14</v>
      </c>
      <c r="F11" s="14">
        <f t="shared" si="1"/>
        <v>0.7857142857142857</v>
      </c>
      <c r="G11" s="15">
        <f t="shared" si="2"/>
        <v>0.21428571428571427</v>
      </c>
      <c r="H11" s="16">
        <f t="shared" si="3"/>
        <v>0</v>
      </c>
    </row>
    <row r="12" spans="1:8" x14ac:dyDescent="0.25">
      <c r="A12" s="10" t="s">
        <v>2103</v>
      </c>
      <c r="B12" s="11">
        <f>COUNTIFS(Crowdfunding!$G$2:$G$1001,"successful",Crowdfunding!$D$2:$D$1001,"&gt;=45000",Crowdfunding!$D$2:$D$1001,"&lt;=49999")</f>
        <v>8</v>
      </c>
      <c r="C12" s="12">
        <f>COUNTIFS(Crowdfunding!$G$2:$G$1001,"failed",Crowdfunding!$D$2:$D$1001,"&gt;=45000",Crowdfunding!$D$2:$D$1001,"&lt;=49999")</f>
        <v>3</v>
      </c>
      <c r="D12" s="13">
        <f>COUNTIFS(Crowdfunding!$G$2:$G$1001,"canceled",Crowdfunding!$D$2:$D$1001,"&gt;=45000",Crowdfunding!$D$2:$D$1001,"&lt;=49999")</f>
        <v>0</v>
      </c>
      <c r="E12" s="18">
        <f t="shared" si="0"/>
        <v>11</v>
      </c>
      <c r="F12" s="14">
        <f t="shared" si="1"/>
        <v>0.72727272727272729</v>
      </c>
      <c r="G12" s="15">
        <f t="shared" si="2"/>
        <v>0.27272727272727271</v>
      </c>
      <c r="H12" s="16">
        <f t="shared" si="3"/>
        <v>0</v>
      </c>
    </row>
    <row r="13" spans="1:8" x14ac:dyDescent="0.25">
      <c r="A13" s="10" t="s">
        <v>2104</v>
      </c>
      <c r="B13" s="11">
        <f>COUNTIFS(Crowdfunding!$G$2:$G$1001,"successful",Crowdfunding!$D$2:$D$1001,"&gt;=50000")</f>
        <v>114</v>
      </c>
      <c r="C13" s="12">
        <f>COUNTIFS(Crowdfunding!$G$2:$G$1001,"failed",Crowdfunding!$D$2:$D$1001,"&gt;=50000")</f>
        <v>163</v>
      </c>
      <c r="D13" s="13">
        <f>COUNTIFS(Crowdfunding!$G$2:$G$1001,"canceled",Crowdfunding!$D$2:$D$1001,"&gt;=50000")</f>
        <v>28</v>
      </c>
      <c r="E13" s="18">
        <f t="shared" si="0"/>
        <v>305</v>
      </c>
      <c r="F13" s="14">
        <f t="shared" si="1"/>
        <v>0.3737704918032787</v>
      </c>
      <c r="G13" s="15">
        <f t="shared" si="2"/>
        <v>0.53442622950819674</v>
      </c>
      <c r="H13" s="16">
        <f t="shared" si="3"/>
        <v>9.1803278688524587E-2</v>
      </c>
    </row>
    <row r="22" spans="10:10" x14ac:dyDescent="0.25">
      <c r="J22" t="s">
        <v>2112</v>
      </c>
    </row>
  </sheetData>
  <pageMargins left="0.7" right="0.7" top="0.75" bottom="0.75" header="0.3" footer="0.3"/>
  <ignoredErrors>
    <ignoredError sqref="B4:C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AEE9-3E7E-4312-BECC-60DAD2CE555D}">
  <dimension ref="A1:S566"/>
  <sheetViews>
    <sheetView topLeftCell="B1" workbookViewId="0">
      <selection activeCell="D1" sqref="D1:E1048576"/>
    </sheetView>
  </sheetViews>
  <sheetFormatPr defaultRowHeight="15.75" x14ac:dyDescent="0.25"/>
  <cols>
    <col min="2" max="2" width="13.5" bestFit="1" customWidth="1"/>
    <col min="5" max="5" width="13.5" bestFit="1" customWidth="1"/>
    <col min="8" max="8" width="47" customWidth="1"/>
    <col min="9" max="9" width="13.625" customWidth="1"/>
    <col min="10" max="10" width="13.875" customWidth="1"/>
    <col min="12" max="12" width="22.75" customWidth="1"/>
    <col min="13" max="13" width="13.625" customWidth="1"/>
  </cols>
  <sheetData>
    <row r="1" spans="1:19" x14ac:dyDescent="0.25">
      <c r="A1" s="1" t="s">
        <v>4</v>
      </c>
      <c r="B1" s="1" t="s">
        <v>5</v>
      </c>
      <c r="D1" s="1" t="s">
        <v>4</v>
      </c>
      <c r="E1" s="1" t="s">
        <v>5</v>
      </c>
      <c r="I1" s="11" t="s">
        <v>20</v>
      </c>
      <c r="J1" s="12" t="s">
        <v>14</v>
      </c>
    </row>
    <row r="2" spans="1:19" x14ac:dyDescent="0.25">
      <c r="A2" t="s">
        <v>20</v>
      </c>
      <c r="B2">
        <v>158</v>
      </c>
      <c r="D2" t="s">
        <v>14</v>
      </c>
      <c r="E2">
        <v>0</v>
      </c>
      <c r="H2" s="9" t="s">
        <v>2106</v>
      </c>
      <c r="I2" s="4">
        <f>AVERAGE(B2:B566)</f>
        <v>851.14690265486729</v>
      </c>
      <c r="J2" s="4">
        <f>AVERAGE(E2:E365)</f>
        <v>585.61538461538464</v>
      </c>
    </row>
    <row r="3" spans="1:19" x14ac:dyDescent="0.25">
      <c r="A3" t="s">
        <v>20</v>
      </c>
      <c r="B3">
        <v>1425</v>
      </c>
      <c r="D3" t="s">
        <v>14</v>
      </c>
      <c r="E3">
        <v>24</v>
      </c>
      <c r="H3" s="9" t="s">
        <v>2107</v>
      </c>
      <c r="I3">
        <f>MEDIAN(B2:B566)</f>
        <v>201</v>
      </c>
      <c r="J3">
        <f>MEDIAN(E2:E365)</f>
        <v>114.5</v>
      </c>
    </row>
    <row r="4" spans="1:19" x14ac:dyDescent="0.25">
      <c r="A4" t="s">
        <v>20</v>
      </c>
      <c r="B4">
        <v>174</v>
      </c>
      <c r="D4" t="s">
        <v>14</v>
      </c>
      <c r="E4">
        <v>53</v>
      </c>
      <c r="H4" s="9" t="s">
        <v>2108</v>
      </c>
      <c r="I4">
        <f>MIN(B2:B566)</f>
        <v>16</v>
      </c>
      <c r="J4">
        <f>MIN(E2:E365)</f>
        <v>0</v>
      </c>
    </row>
    <row r="5" spans="1:19" x14ac:dyDescent="0.25">
      <c r="A5" t="s">
        <v>20</v>
      </c>
      <c r="B5">
        <v>227</v>
      </c>
      <c r="D5" t="s">
        <v>14</v>
      </c>
      <c r="E5">
        <v>18</v>
      </c>
      <c r="H5" s="9" t="s">
        <v>2109</v>
      </c>
      <c r="I5">
        <f>MAX(B2:B566)</f>
        <v>7295</v>
      </c>
      <c r="J5">
        <f>MAX(E2:E365)</f>
        <v>6080</v>
      </c>
    </row>
    <row r="6" spans="1:19" x14ac:dyDescent="0.25">
      <c r="A6" t="s">
        <v>20</v>
      </c>
      <c r="B6">
        <v>220</v>
      </c>
      <c r="D6" t="s">
        <v>14</v>
      </c>
      <c r="E6">
        <v>44</v>
      </c>
      <c r="H6" s="9" t="s">
        <v>2110</v>
      </c>
      <c r="I6" s="10">
        <f>_xlfn.VAR.S(B2:B566)</f>
        <v>1606216.5936295739</v>
      </c>
      <c r="J6" s="10">
        <f>_xlfn.VAR.S(E2:E365)</f>
        <v>924113.45496927318</v>
      </c>
    </row>
    <row r="7" spans="1:19" x14ac:dyDescent="0.25">
      <c r="A7" t="s">
        <v>20</v>
      </c>
      <c r="B7">
        <v>98</v>
      </c>
      <c r="D7" t="s">
        <v>14</v>
      </c>
      <c r="E7">
        <v>27</v>
      </c>
      <c r="H7" s="9" t="s">
        <v>2111</v>
      </c>
      <c r="I7" s="4">
        <f>_xlfn.STDEV.S(B2:B566)</f>
        <v>1267.366006183523</v>
      </c>
      <c r="J7">
        <f>_xlfn.STDEV.S(E2:E365)</f>
        <v>961.30819978260524</v>
      </c>
    </row>
    <row r="8" spans="1:19" x14ac:dyDescent="0.25">
      <c r="A8" t="s">
        <v>20</v>
      </c>
      <c r="B8">
        <v>100</v>
      </c>
      <c r="D8" t="s">
        <v>14</v>
      </c>
      <c r="E8">
        <v>55</v>
      </c>
    </row>
    <row r="9" spans="1:19" x14ac:dyDescent="0.25">
      <c r="A9" t="s">
        <v>20</v>
      </c>
      <c r="B9">
        <v>1249</v>
      </c>
      <c r="D9" t="s">
        <v>14</v>
      </c>
      <c r="E9">
        <v>200</v>
      </c>
    </row>
    <row r="10" spans="1:19" x14ac:dyDescent="0.25">
      <c r="A10" t="s">
        <v>20</v>
      </c>
      <c r="B10">
        <v>1396</v>
      </c>
      <c r="D10" t="s">
        <v>14</v>
      </c>
      <c r="E10">
        <v>452</v>
      </c>
      <c r="H10" s="19" t="s">
        <v>2113</v>
      </c>
      <c r="I10" s="19"/>
      <c r="J10" s="19"/>
      <c r="K10" s="19"/>
      <c r="L10" s="19"/>
      <c r="M10" s="19"/>
      <c r="N10" s="19"/>
    </row>
    <row r="11" spans="1:19" x14ac:dyDescent="0.25">
      <c r="A11" t="s">
        <v>20</v>
      </c>
      <c r="B11">
        <v>890</v>
      </c>
      <c r="D11" t="s">
        <v>14</v>
      </c>
      <c r="E11">
        <v>674</v>
      </c>
      <c r="H11" s="19" t="s">
        <v>2115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25">
      <c r="A12" t="s">
        <v>20</v>
      </c>
      <c r="B12">
        <v>142</v>
      </c>
      <c r="D12" t="s">
        <v>14</v>
      </c>
      <c r="E12">
        <v>558</v>
      </c>
      <c r="H12" s="9" t="s">
        <v>2114</v>
      </c>
    </row>
    <row r="13" spans="1:19" x14ac:dyDescent="0.25">
      <c r="A13" t="s">
        <v>20</v>
      </c>
      <c r="B13">
        <v>2673</v>
      </c>
      <c r="D13" t="s">
        <v>14</v>
      </c>
      <c r="E13">
        <v>15</v>
      </c>
    </row>
    <row r="14" spans="1:19" x14ac:dyDescent="0.25">
      <c r="A14" t="s">
        <v>20</v>
      </c>
      <c r="B14">
        <v>163</v>
      </c>
      <c r="D14" t="s">
        <v>14</v>
      </c>
      <c r="E14">
        <v>2307</v>
      </c>
    </row>
    <row r="15" spans="1:19" x14ac:dyDescent="0.25">
      <c r="A15" t="s">
        <v>20</v>
      </c>
      <c r="B15">
        <v>2220</v>
      </c>
      <c r="D15" t="s">
        <v>14</v>
      </c>
      <c r="E15">
        <v>88</v>
      </c>
      <c r="H15" s="9" t="s">
        <v>2116</v>
      </c>
    </row>
    <row r="16" spans="1:19" x14ac:dyDescent="0.25">
      <c r="A16" t="s">
        <v>20</v>
      </c>
      <c r="B16">
        <v>1606</v>
      </c>
      <c r="D16" t="s">
        <v>14</v>
      </c>
      <c r="E16">
        <v>48</v>
      </c>
      <c r="H16" s="19" t="s">
        <v>2117</v>
      </c>
      <c r="I16" s="20"/>
      <c r="J16" s="20"/>
      <c r="K16" s="20"/>
      <c r="L16" s="20"/>
      <c r="M16" s="20"/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3">
    <mergeCell ref="H10:N10"/>
    <mergeCell ref="H11:S11"/>
    <mergeCell ref="H16:M16"/>
  </mergeCells>
  <conditionalFormatting sqref="A1:A1048141">
    <cfRule type="cellIs" dxfId="7" priority="8" operator="equal">
      <formula>"live"</formula>
    </cfRule>
    <cfRule type="cellIs" dxfId="6" priority="9" operator="equal">
      <formula>"canceled"</formula>
    </cfRule>
    <cfRule type="cellIs" dxfId="5" priority="10" operator="equal">
      <formula>"failed"</formula>
    </cfRule>
    <cfRule type="cellIs" dxfId="4" priority="11" operator="equal">
      <formula>"successful"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3" operator="containsText" text="successful. Failed, canceled, live">
      <formula>NOT(ISERROR(SEARCH("successful. Failed, canceled, live",A1)))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6" operator="containsText" text="successful. Failed, canceled, live">
      <formula>NOT(ISERROR(SEARCH("successful. Failed, canceled, live",D1)))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Parent Category - Years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Alberto Medina</cp:lastModifiedBy>
  <dcterms:created xsi:type="dcterms:W3CDTF">2021-09-29T18:52:28Z</dcterms:created>
  <dcterms:modified xsi:type="dcterms:W3CDTF">2023-09-12T23:50:43Z</dcterms:modified>
</cp:coreProperties>
</file>