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<sst xmlns="http://schemas.openxmlformats.org/spreadsheetml/2006/main" count="905" uniqueCount="350">
  <si>
    <t xml:space="preserve">MLP </t>
  </si>
  <si>
    <t>Dataset</t>
  </si>
  <si>
    <t>topology</t>
  </si>
  <si>
    <t>epoch</t>
  </si>
  <si>
    <t>LR</t>
  </si>
  <si>
    <t>Train acc</t>
  </si>
  <si>
    <t>Test acc</t>
  </si>
  <si>
    <t>GLE</t>
  </si>
  <si>
    <t>MLP amount Train</t>
  </si>
  <si>
    <t>MLP amount Test</t>
  </si>
  <si>
    <t>Covertype</t>
  </si>
  <si>
    <t>30,30</t>
  </si>
  <si>
    <t>20,20</t>
  </si>
  <si>
    <t>15,15</t>
  </si>
  <si>
    <t>Train Accucarcy</t>
  </si>
  <si>
    <t>Digits</t>
  </si>
  <si>
    <t>26.349 %</t>
  </si>
  <si>
    <t>22.857 %</t>
  </si>
  <si>
    <t>13.968 %</t>
  </si>
  <si>
    <t xml:space="preserve">28.571 % </t>
  </si>
  <si>
    <t xml:space="preserve">26.032 % </t>
  </si>
  <si>
    <t>23.81 %</t>
  </si>
  <si>
    <t>breast cancer</t>
  </si>
  <si>
    <t>13.016 %</t>
  </si>
  <si>
    <t>24.444 %</t>
  </si>
  <si>
    <t>14.921 %</t>
  </si>
  <si>
    <t xml:space="preserve">15.238 % </t>
  </si>
  <si>
    <t>wine dataset</t>
  </si>
  <si>
    <t>12.063 %</t>
  </si>
  <si>
    <t>8.254 %</t>
  </si>
  <si>
    <t xml:space="preserve">25.397 % </t>
  </si>
  <si>
    <t>Activation Algorithm</t>
  </si>
  <si>
    <t>Learning Rate</t>
  </si>
  <si>
    <t>Wa learning rate</t>
  </si>
  <si>
    <t>Toology</t>
  </si>
  <si>
    <t>Image index</t>
  </si>
  <si>
    <t xml:space="preserve">F </t>
  </si>
  <si>
    <t>clamp WA</t>
  </si>
  <si>
    <t>inDistrubtionMultiplier</t>
  </si>
  <si>
    <t>outDistrubtrionMultipler</t>
  </si>
  <si>
    <t>Seeded</t>
  </si>
  <si>
    <t xml:space="preserve">Algorithm Version </t>
  </si>
  <si>
    <t>Test accuracy</t>
  </si>
  <si>
    <t>Global Error</t>
  </si>
  <si>
    <t>Average skipped Training</t>
  </si>
  <si>
    <t>Average skipped Test</t>
  </si>
  <si>
    <t>Total skipped training</t>
  </si>
  <si>
    <t>Total skipped Test</t>
  </si>
  <si>
    <t>WA Init</t>
  </si>
  <si>
    <t>WI Init</t>
  </si>
  <si>
    <t xml:space="preserve"> MLP Amnount Training</t>
  </si>
  <si>
    <t>MLP Amnount Test</t>
  </si>
  <si>
    <t>Training Reduction %</t>
  </si>
  <si>
    <t>Test Reduction %</t>
  </si>
  <si>
    <t>Train Average Redu%</t>
  </si>
  <si>
    <t>Test Average Redu%</t>
  </si>
  <si>
    <t>Sum Total Skiped Train</t>
  </si>
  <si>
    <t>Sum Total Skiped Test</t>
  </si>
  <si>
    <t>Active WA Train</t>
  </si>
  <si>
    <t>Active WA Test</t>
  </si>
  <si>
    <t>digits, 100 epochs</t>
  </si>
  <si>
    <t>[64,30,30,10]</t>
  </si>
  <si>
    <t>random(0.5,1)</t>
  </si>
  <si>
    <t>-10,10</t>
  </si>
  <si>
    <t>yes(10)</t>
  </si>
  <si>
    <t>E1-E5 WA M</t>
  </si>
  <si>
    <t>66.0 %</t>
  </si>
  <si>
    <t>96.667 %</t>
  </si>
  <si>
    <t>Layer 1: 6.571555555555555, Layer 2: 9.056933333333333</t>
  </si>
  <si>
    <t>Layer 1: 6.46, Layer 2: 7.04</t>
  </si>
  <si>
    <t>Layer 1: 295720, Layer 2: 407562</t>
  </si>
  <si>
    <t>Layer 1: 323, Layer 2: 352</t>
  </si>
  <si>
    <t>Random(-1,1)</t>
  </si>
  <si>
    <t>Random(0,1)</t>
  </si>
  <si>
    <t>just one number for each top</t>
  </si>
  <si>
    <t>76.0 %</t>
  </si>
  <si>
    <t xml:space="preserve">87.556 % </t>
  </si>
  <si>
    <t>Layer 1:0.09226666666666666, Layer 2: 10.5174</t>
  </si>
  <si>
    <t>Layer 1: 0.0, Layer 2: 7.64</t>
  </si>
  <si>
    <t>Layer 1: 4152, Layer 2: 473283</t>
  </si>
  <si>
    <t>Layer 1: 0, Layer 2:  382</t>
  </si>
  <si>
    <t>70.0 %</t>
  </si>
  <si>
    <t xml:space="preserve">91.111 % </t>
  </si>
  <si>
    <t>Layer 1: 5.955466666666666, Layer 2: 7.974866666666666</t>
  </si>
  <si>
    <t>Layer 1: 5.86, Layer 2: 4.98</t>
  </si>
  <si>
    <t>Layer 1: 267996, Layer 2: 358869</t>
  </si>
  <si>
    <t>Layer 1: 293, Layer 2: 249</t>
  </si>
  <si>
    <t>digits, 200 epochs</t>
  </si>
  <si>
    <t>[64,20,20,10]</t>
  </si>
  <si>
    <t>80.0 %</t>
  </si>
  <si>
    <t>99.778 %</t>
  </si>
  <si>
    <t>Layer 1: 0.7745222222222222, Layer 2: 2.0980444444444446</t>
  </si>
  <si>
    <t>Layer 1: 0.0 Layer 2: 1.0</t>
  </si>
  <si>
    <t>Layer 1: 69707, Layer 2: 188824</t>
  </si>
  <si>
    <t>Layer 1: 0, Layer 2: 50</t>
  </si>
  <si>
    <t>62.0 %</t>
  </si>
  <si>
    <t>79.333 %</t>
  </si>
  <si>
    <t>Layer 1:0.017388888888888888, Layer 2: 2.2914</t>
  </si>
  <si>
    <t>Layer 1: 0.0 Layer 2: 1.28</t>
  </si>
  <si>
    <t>Layer 1: 1565, Layer 2: 206226</t>
  </si>
  <si>
    <t>Layer 1: 0, Layer 2: 64</t>
  </si>
  <si>
    <t>72.0 %</t>
  </si>
  <si>
    <t xml:space="preserve">97.111 % </t>
  </si>
  <si>
    <t>Layer 1:0.1478, Layer 2: 7.672422222222222</t>
  </si>
  <si>
    <t>Layer 1: 0.1478 Layer 2: 7.672422222222222</t>
  </si>
  <si>
    <t>Layer 1: 6651, Layer 2: 345259</t>
  </si>
  <si>
    <t>Layer 1: 0, Layer 2: 348</t>
  </si>
  <si>
    <t>74.0 %</t>
  </si>
  <si>
    <t>89.556 %</t>
  </si>
  <si>
    <t>Layer 1:0.04566666666666667, Layer 2: 6.713177777777778</t>
  </si>
  <si>
    <t>Layer 1: 0.0 Layer 2:5.78</t>
  </si>
  <si>
    <t>Layer 1: 2055, Layer 2: 302093</t>
  </si>
  <si>
    <t>Layer 1: 0, Layer 2: 289</t>
  </si>
  <si>
    <t>[64,15,15,10]</t>
  </si>
  <si>
    <t>50.0 %</t>
  </si>
  <si>
    <t xml:space="preserve">56.667 % </t>
  </si>
  <si>
    <t>Layer 1:1.9360666666666666, Layer 2:6.933066666666667</t>
  </si>
  <si>
    <t>Layer 1: 1.94 Layer 2:5.34</t>
  </si>
  <si>
    <t>Layer 1: 87123, Layer 2: 311988</t>
  </si>
  <si>
    <t>Layer 1: 97, Layer 2: 267</t>
  </si>
  <si>
    <t>18.0 %</t>
  </si>
  <si>
    <t>23.556 %</t>
  </si>
  <si>
    <t>Layer 1:0.08322222222222223, Layer 2:6.673488888888889</t>
  </si>
  <si>
    <t>Layer 1: 0.0 Layer 2: 4.44</t>
  </si>
  <si>
    <t>Layer 1: 3745, Layer 2: 300307</t>
  </si>
  <si>
    <t>Layer 1: 0, Layer 2: 222</t>
  </si>
  <si>
    <t>24.0 %</t>
  </si>
  <si>
    <t>44.444 %</t>
  </si>
  <si>
    <t>Layer 1:0.11146666666666667, Layer 2:8.057844444444445</t>
  </si>
  <si>
    <t>Layer 1: 0.04 Layer 2: 5.92</t>
  </si>
  <si>
    <t>Layer 1: 5016, Layer 2: 362603</t>
  </si>
  <si>
    <t>Layer 1: 2, Layer 2: 296</t>
  </si>
  <si>
    <t>71.111 %</t>
  </si>
  <si>
    <t>Layer 1: LOST DATA, Layer 2: 8.105022222222223</t>
  </si>
  <si>
    <t>Layer 1: 4.96 Layer 2: 6.0</t>
  </si>
  <si>
    <t>Layer 1: 231759, Layer 2: 364726</t>
  </si>
  <si>
    <t>Layer 1: 248, Layer 2: 300</t>
  </si>
  <si>
    <t>68.0 %</t>
  </si>
  <si>
    <t>79.111 % (max 90%)</t>
  </si>
  <si>
    <t>Layer 1: 1.1600444444444444, Layer 2:6.048644444444444</t>
  </si>
  <si>
    <t>Layer 1: 1.06 Layer 2:  5.68</t>
  </si>
  <si>
    <t>Layer 1: 52202, Layer 2: 272189</t>
  </si>
  <si>
    <t>Layer 1: 53, Layer 2: 284</t>
  </si>
  <si>
    <t>Wine dataset</t>
  </si>
  <si>
    <t>wine, 100 epochs</t>
  </si>
  <si>
    <t>[14,30,30,2]</t>
  </si>
  <si>
    <t>95.0 %</t>
  </si>
  <si>
    <t>91.613 %</t>
  </si>
  <si>
    <t>Layer 1: 10.021354838709678, Layer 2: 11.702193548387097</t>
  </si>
  <si>
    <t>Layer 1: 9.55, Layer 2: 10.25</t>
  </si>
  <si>
    <t>Layer 1: 155331, Layer 2: 181384</t>
  </si>
  <si>
    <t>Layer 1: 191, 205</t>
  </si>
  <si>
    <t>85.0 %</t>
  </si>
  <si>
    <t xml:space="preserve">83.226 %  </t>
  </si>
  <si>
    <t>Layer 1: 10.345483870967742, Layer 2: 14.822645161290323</t>
  </si>
  <si>
    <t>Layer 1: 10.2, Layer 2: 14.0</t>
  </si>
  <si>
    <t>Layer 1: 160355, Layer 2: 229751</t>
  </si>
  <si>
    <t>Layer 1: 204, 280</t>
  </si>
  <si>
    <t>60.0 %</t>
  </si>
  <si>
    <t>65.161 %</t>
  </si>
  <si>
    <t>Layer 1: 14.580129032258064, Layer 2: 14.933677419354838</t>
  </si>
  <si>
    <t>Layer 1: 11.7, Layer 2: 13.25</t>
  </si>
  <si>
    <t>Layer 1: 225992, Layer 2:231472</t>
  </si>
  <si>
    <t>Layer 1: 234, 265</t>
  </si>
  <si>
    <t>wine, 200 epochs</t>
  </si>
  <si>
    <t>90.968 %</t>
  </si>
  <si>
    <t>Layer 1: 11.372612903225807, Layer 2: 9.57425806451613</t>
  </si>
  <si>
    <t>Layer 1: 10.25, Layer 2: 7.3</t>
  </si>
  <si>
    <t>Layer 1: 352551, Layer 2: 296802</t>
  </si>
  <si>
    <t>Layer 1: 205, 146</t>
  </si>
  <si>
    <t>[14,20,20,2]</t>
  </si>
  <si>
    <t xml:space="preserve">62.581 % </t>
  </si>
  <si>
    <t>Layer 1: 5.011161290322581, Layer 2: 4.445225806451613</t>
  </si>
  <si>
    <t>Layer 1: 4.6, Layer 2: 4.7</t>
  </si>
  <si>
    <t>Layer 1: 77673, Layer 2: 68901</t>
  </si>
  <si>
    <t>Layer 1:92, 94</t>
  </si>
  <si>
    <t>60.645 %</t>
  </si>
  <si>
    <t>Layer 1: 6.653483870967742, Layer 2: 5.010774193548387</t>
  </si>
  <si>
    <t>Layer 1: 6.1, Layer 2: 4.45</t>
  </si>
  <si>
    <t>Layer 1: 103129, Layer 2: 77667</t>
  </si>
  <si>
    <t>Layer 1:122, 89</t>
  </si>
  <si>
    <t>Layer 1: 8.509741935483872, Layer 2: 5.768193548387097</t>
  </si>
  <si>
    <t>Layer 1: 7.3, Layer 2: 3.0</t>
  </si>
  <si>
    <t>Layer 1: 131901, Layer 2: 89407</t>
  </si>
  <si>
    <t>Layer 1:146, 60</t>
  </si>
  <si>
    <t>90.0 %</t>
  </si>
  <si>
    <t xml:space="preserve">77.419 % </t>
  </si>
  <si>
    <t>Layer 1: 5.416838709677419, Layer 2: 5.241483870967742</t>
  </si>
  <si>
    <t>Layer 1: 5.55, Layer 2: 2.4</t>
  </si>
  <si>
    <t>Layer 1: 83961, Layer 2: 81243</t>
  </si>
  <si>
    <t>Layer 1:111, 48</t>
  </si>
  <si>
    <t>[14,15,15,2]</t>
  </si>
  <si>
    <t>75.0 %</t>
  </si>
  <si>
    <t>Layer 1: 6.252903225806452, Layer 2: 6.642129032258064</t>
  </si>
  <si>
    <t>Layer 1: 4.2, Layer 2: 8.25</t>
  </si>
  <si>
    <t>Layer 1: 96920, Layer 2:102953</t>
  </si>
  <si>
    <t>Layer 1:84, 165</t>
  </si>
  <si>
    <t>71.613 %</t>
  </si>
  <si>
    <t>Layer 1: 9.974645161290322, Layer 2: 11.597096774193549</t>
  </si>
  <si>
    <t>Layer 1: 9.7, Layer 2: 11.75</t>
  </si>
  <si>
    <t>Layer 1: 154607, Layer 2:179755</t>
  </si>
  <si>
    <t>Layer 1:194, 235</t>
  </si>
  <si>
    <t>40.0 %</t>
  </si>
  <si>
    <t>42.581 %</t>
  </si>
  <si>
    <t>Layer 1: 11.722935483870968, Layer 2: 11.419193548387097</t>
  </si>
  <si>
    <t>Layer 1: 12.6, Layer 2: 11.0</t>
  </si>
  <si>
    <t>Layer 1: 363411, Layer 2: 353995</t>
  </si>
  <si>
    <t>Layer 1: 252, 220</t>
  </si>
  <si>
    <t>Breast Cancer</t>
  </si>
  <si>
    <t>cancer, 100 epochs</t>
  </si>
  <si>
    <t>[30,30,30,2]</t>
  </si>
  <si>
    <t>100.0 %</t>
  </si>
  <si>
    <t>95.238 %</t>
  </si>
  <si>
    <t>Layer 1: 10.092195767195767, Layer 2: 10.746005291005291</t>
  </si>
  <si>
    <t>Layer 1: 7.095238095238095, Layer 2: 10.595238095238095</t>
  </si>
  <si>
    <t>Layer 1: 381485, Layer 2: 406199</t>
  </si>
  <si>
    <t xml:space="preserve">Layer 1: 298 , 445 </t>
  </si>
  <si>
    <t>85.7 %</t>
  </si>
  <si>
    <t>94.18 %</t>
  </si>
  <si>
    <t>Layer 1: 11.09941798941799, Layer 2: 7.713730158730159</t>
  </si>
  <si>
    <t xml:space="preserve">Layer 1: 11.619047619047619, Layer 2: 5.5476190476190474 </t>
  </si>
  <si>
    <t>Layer 1: 419558, Layer 2: 291579</t>
  </si>
  <si>
    <t xml:space="preserve">Layer 1: 488, 233 </t>
  </si>
  <si>
    <t>90.4 %</t>
  </si>
  <si>
    <t>89.418 %</t>
  </si>
  <si>
    <t>Layer 1: 10.782962962962962, Layer 2: 8.420079365079365</t>
  </si>
  <si>
    <t>Layer 1: 8.380952380952381, Layer 2: 6.333333333333333</t>
  </si>
  <si>
    <t>Layer 1: 407596, Layer 2: 318279</t>
  </si>
  <si>
    <t xml:space="preserve">Layer 1: 352, 266 </t>
  </si>
  <si>
    <t>92.8 %</t>
  </si>
  <si>
    <t>91.534 %</t>
  </si>
  <si>
    <t>Layer 1: 13.375, Layer 2: 12.181587301587301</t>
  </si>
  <si>
    <t>Layer 1: 13.857142857142858, Layer 2: 9.380952380952381</t>
  </si>
  <si>
    <t>Layer 1: 505575, Layer 2: 460464</t>
  </si>
  <si>
    <t xml:space="preserve">Layer 1: 582, 394 </t>
  </si>
  <si>
    <t>[30,20,20,2]</t>
  </si>
  <si>
    <t>66.6 %</t>
  </si>
  <si>
    <t>67.196 %</t>
  </si>
  <si>
    <t>Layer 1: 11.224100529100529, Layer 2: 6.690026455026455</t>
  </si>
  <si>
    <t>Layer 1: 10.047619047619047, Layer 2: 4.095238095238095</t>
  </si>
  <si>
    <t>Layer 1: 424271, Layer 2: 252883</t>
  </si>
  <si>
    <t xml:space="preserve">Layer 1: 422, 172 </t>
  </si>
  <si>
    <t>83.3 %</t>
  </si>
  <si>
    <t>91.799 %</t>
  </si>
  <si>
    <t>Layer 1: 4.71973544973545, Layer 2: 4.4342328042328045</t>
  </si>
  <si>
    <t>Layer 1:  5.095238095238095, Layer 2:  4.785714285714286</t>
  </si>
  <si>
    <t>Layer 1: 178406, Layer 2:167614</t>
  </si>
  <si>
    <t xml:space="preserve">Layer 1: 214, 201 </t>
  </si>
  <si>
    <t>47.6 %</t>
  </si>
  <si>
    <t xml:space="preserve">62.698 % </t>
  </si>
  <si>
    <t>Layer 1: 9.643650793650794, Layer 2: 3.8761640211640214</t>
  </si>
  <si>
    <t>Layer 1:  11.523809523809524, Layer 2:  2.0238095238095237</t>
  </si>
  <si>
    <t>Layer 1: 364530, Layer 2: 146519</t>
  </si>
  <si>
    <t>Layer 1: 484, 85</t>
  </si>
  <si>
    <t xml:space="preserve">58.73 % </t>
  </si>
  <si>
    <t>Layer 1: 10.098121693121692, Layer 2: 5.566322751322751</t>
  </si>
  <si>
    <t>Layer 1:  10.380952380952381, Layer 2:  2.9761904761904763</t>
  </si>
  <si>
    <t>Layer 1: 381709, Layer 2: 210407</t>
  </si>
  <si>
    <t>Layer 1: 436, 125</t>
  </si>
  <si>
    <t>[30,15,15,2]</t>
  </si>
  <si>
    <t>90.47 %</t>
  </si>
  <si>
    <t>86.243 %</t>
  </si>
  <si>
    <t>Layer 1: 3.938968253968254, Layer 2: 5.75505291005291</t>
  </si>
  <si>
    <t>Layer 1:  4.571428571428571, Layer 2:  5.0476190476190474</t>
  </si>
  <si>
    <t>Layer 1: 148893, Layer 2: 217541</t>
  </si>
  <si>
    <t>Layer 1: 192, 212</t>
  </si>
  <si>
    <t>73.80 %</t>
  </si>
  <si>
    <t xml:space="preserve">81.481 % </t>
  </si>
  <si>
    <t>Layer 1: 3.5346296296296296, Layer 2: 5.579576719576719</t>
  </si>
  <si>
    <t>Layer 1: 3.6904761904761907, Layer 2:  4.666666666666667</t>
  </si>
  <si>
    <t>Layer 1: 133609, Layer 2: 210908</t>
  </si>
  <si>
    <t>Layer 1: 155, 196</t>
  </si>
  <si>
    <t xml:space="preserve">83.862 % </t>
  </si>
  <si>
    <t>Layer 1: 3.528121693121693, Layer 2: 5.763121693121693</t>
  </si>
  <si>
    <t>Layer 1: 3.5714285714285716, Layer 2:  4.690476190476191</t>
  </si>
  <si>
    <t>Layer 1: 133363, Layer 2: 217846</t>
  </si>
  <si>
    <t>Layer 1: 150, 197</t>
  </si>
  <si>
    <t>80.95 %</t>
  </si>
  <si>
    <t>87.566 %</t>
  </si>
  <si>
    <t>Layer 1: 3.273862433862434, Layer 2: 6.411428571428571</t>
  </si>
  <si>
    <t>Layer 1: 4.285714285714286, Layer 2:  6.809523809523809</t>
  </si>
  <si>
    <t>Layer 1: 123752, Layer 2: 242352</t>
  </si>
  <si>
    <t>Layer 1: 180, 286</t>
  </si>
  <si>
    <t>Covt Dataset</t>
  </si>
  <si>
    <t>covt, 100 epochs</t>
  </si>
  <si>
    <t>[54,30,30,7]</t>
  </si>
  <si>
    <t>Layer 1: 5.569365079365079, Layer 2: 13.163460317460318</t>
  </si>
  <si>
    <t>Layer 1: 4.6, Layer 2:  12.685714285714285</t>
  </si>
  <si>
    <t>Layer 1: 175435, Layer 2: 414649</t>
  </si>
  <si>
    <t>Layer 1: 161, 444</t>
  </si>
  <si>
    <t>Layer 1: 7.873396825396825, Layer 2: 11.259841269841269</t>
  </si>
  <si>
    <t>Layer 1: 7.685714285714286, Layer 2:  10.685714285714285</t>
  </si>
  <si>
    <t>Layer 1: 248012, Layer 2:354685</t>
  </si>
  <si>
    <t>Layer 1: 269, 374</t>
  </si>
  <si>
    <t>Layer 1: 17.081142857142858, Layer 2: 8.875714285714286</t>
  </si>
  <si>
    <t>Layer 1: 22.34285714285714, Layer 2:  5.2</t>
  </si>
  <si>
    <t>Layer 1: 538056, Layer 2: 279585</t>
  </si>
  <si>
    <t>Layer 1: 782, 182</t>
  </si>
  <si>
    <t>Layer 1: 5.034634920634921, Layer 2: 14.508920634920635</t>
  </si>
  <si>
    <t>Layer 1: 0.0, Layer 2:  9.857142857142858</t>
  </si>
  <si>
    <t>Layer 1: 158591, Layer 2: 457031</t>
  </si>
  <si>
    <t>Layer 1: 0, 345</t>
  </si>
  <si>
    <t>covt, 200 epochs</t>
  </si>
  <si>
    <t>Layer 1: 4.146873015873016, Layer 2: 10.667047619047619</t>
  </si>
  <si>
    <t>Layer 1: 0.0, Layer 2: 4.685714285714286</t>
  </si>
  <si>
    <t>Layer 1: 261253, Layer 2: 672024</t>
  </si>
  <si>
    <t>Layer 1: 0, 164</t>
  </si>
  <si>
    <t>[54,20,20,7]</t>
  </si>
  <si>
    <t>Layer 1: 0.24768253968253967, Layer 2: 3.9984761904761905</t>
  </si>
  <si>
    <t>Layer 1: 0.0, Layer 2: 3.6</t>
  </si>
  <si>
    <t>Layer 1: 7802, Layer 2: 125952</t>
  </si>
  <si>
    <t>Layer 1: 0, 126</t>
  </si>
  <si>
    <t>Layer 1: 9.321428571428571, Layer 2: 4.751079365079365</t>
  </si>
  <si>
    <t>Layer 1: 16.02857142857143, Layer 2: 2.7714285714285714</t>
  </si>
  <si>
    <t>Layer 1:293625, Layer 2: 149659</t>
  </si>
  <si>
    <t>Layer 1: 561, 97</t>
  </si>
  <si>
    <t>Layer 1: 7.096761904761904, Layer 2: 6.6856825396825394</t>
  </si>
  <si>
    <t>Layer 1: 6.542857142857143, Layer 2: 6.514285714285714</t>
  </si>
  <si>
    <t>Layer 1:223548, Layer 2: 210599</t>
  </si>
  <si>
    <t xml:space="preserve">Layer 1: 229, 228 </t>
  </si>
  <si>
    <t>Layer 1: 1.0865079365079364, Layer 2: 4.351619047619048</t>
  </si>
  <si>
    <t>Layer 1: 1.0, Layer 2: 2.7142857142857144</t>
  </si>
  <si>
    <t>Layer 1:34225, Layer 2: 137076</t>
  </si>
  <si>
    <t>Layer 1: 35, 95</t>
  </si>
  <si>
    <t>Layer 1: 6.117619047619048, Layer 2: 7.121873015873016</t>
  </si>
  <si>
    <t>Layer 1: 16.82857142857143, Layer 2: 8.571428571428571</t>
  </si>
  <si>
    <t>Layer 1:192705, Layer 2:224339</t>
  </si>
  <si>
    <t>Layer 1: 589, 300</t>
  </si>
  <si>
    <t>[54,15,15,7]</t>
  </si>
  <si>
    <t>Layer 1: 4.765301587301587, Layer 2: 7.6814285714285715</t>
  </si>
  <si>
    <t>Layer 1: 1.0, Layer 2: 7.4</t>
  </si>
  <si>
    <t xml:space="preserve">Layer 1:150107, Layer 2: 241965 </t>
  </si>
  <si>
    <t>Layer 1: 35, 259</t>
  </si>
  <si>
    <t>Random(0.2,1)</t>
  </si>
  <si>
    <t>Layer 1: 11.12184126984127, Layer 2: 10.214031746031747</t>
  </si>
  <si>
    <t>Layer 1: 11.371428571428572, Layer 2: 11.142857142857142</t>
  </si>
  <si>
    <t>Layer 1:350338, Layer 2: 321742</t>
  </si>
  <si>
    <t>Layer 1: 398, 390</t>
  </si>
  <si>
    <t>Layer 1: 1.0497777777777777, Layer 2: 3.0854285714285714</t>
  </si>
  <si>
    <t>Layer 1: 0.9714285714285714, Layer 2:  2.2</t>
  </si>
  <si>
    <t>Layer 1:33068, Layer 2: 97191</t>
  </si>
  <si>
    <t>Layer 1: 34, 77</t>
  </si>
  <si>
    <t>Layer 1: 0.8279047619047619, Layer 2: 5.865650793650794</t>
  </si>
  <si>
    <t>Layer 1:  0.0, Layer 2:  5.542857142857143</t>
  </si>
  <si>
    <t>Layer 1:26079, Layer 2: 184768</t>
  </si>
  <si>
    <t>Layer 1: 0, 194</t>
  </si>
  <si>
    <t>test</t>
  </si>
  <si>
    <t>Test accuracy MLP</t>
  </si>
  <si>
    <t>Active neurons</t>
  </si>
  <si>
    <t>WA HÄR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</si>
</sst>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2.0"/>
      <color theme="1"/>
      <name val="Arial"/>
    </font>
    <font>
      <color rgb="FF000000"/>
      <name val="&quot;Arial&quot;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</fills>
  <borders count="3">
    <border/>
    <border>
      <right/>
    </border>
    <border>
      <lef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0"/>
    </xf>
    <xf borderId="0" fillId="4" fontId="3" numFmtId="0" xfId="0" applyAlignment="1" applyFill="1" applyFont="1">
      <alignment horizontal="right"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0" fillId="5" fontId="2" numFmtId="0" xfId="0" applyAlignment="1" applyFill="1" applyFont="1">
      <alignment readingOrder="0"/>
    </xf>
    <xf borderId="0" fillId="2" fontId="4" numFmtId="0" xfId="0" applyAlignment="1" applyFont="1">
      <alignment readingOrder="0"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0" fontId="2" numFmtId="0" xfId="0" applyFont="1"/>
    <xf borderId="0" fillId="11" fontId="2" numFmtId="0" xfId="0" applyAlignment="1" applyFill="1" applyFont="1">
      <alignment readingOrder="0"/>
    </xf>
    <xf borderId="0" fillId="4" fontId="4" numFmtId="0" xfId="0" applyAlignment="1" applyFont="1">
      <alignment vertical="bottom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5" fontId="2" numFmtId="0" xfId="0" applyAlignment="1" applyFont="1">
      <alignment horizontal="right" readingOrder="0"/>
    </xf>
    <xf borderId="0" fillId="18" fontId="2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4" max="4" width="26.75"/>
    <col customWidth="1" min="7" max="7" width="21.0"/>
    <col customWidth="1" min="8" max="8" width="14.75"/>
    <col customWidth="1" min="9" max="9" width="17.63"/>
    <col customWidth="1" min="10" max="10" width="10.88"/>
    <col customWidth="1" min="11" max="11" width="12.63"/>
    <col customWidth="1" min="12" max="12" width="10.88"/>
    <col customWidth="1" min="13" max="13" width="16.63"/>
    <col customWidth="1" min="14" max="14" width="17.0"/>
    <col customWidth="1" min="15" max="15" width="27.13"/>
    <col customWidth="1" min="16" max="16" width="19.63"/>
    <col customWidth="1" min="17" max="17" width="23.63"/>
    <col customWidth="1" min="18" max="18" width="14.75"/>
    <col customWidth="1" min="21" max="21" width="18.75"/>
    <col customWidth="1" min="22" max="22" width="20.25"/>
    <col customWidth="1" min="23" max="24" width="15.88"/>
    <col customWidth="1" min="25" max="25" width="21.75"/>
    <col customWidth="1" min="26" max="26" width="18.13"/>
    <col customWidth="1" min="27" max="27" width="21.88"/>
    <col customWidth="1" min="28" max="28" width="19.13"/>
    <col customWidth="1" min="29" max="32" width="14.5"/>
  </cols>
  <sheetData>
    <row r="2">
      <c r="A2" s="1"/>
    </row>
    <row r="3">
      <c r="A3" s="2" t="s">
        <v>0</v>
      </c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4"/>
      <c r="K4" s="3" t="s">
        <v>5</v>
      </c>
      <c r="L4" s="3" t="s">
        <v>8</v>
      </c>
    </row>
    <row r="5">
      <c r="A5" s="5" t="s">
        <v>10</v>
      </c>
      <c r="B5" s="5" t="s">
        <v>11</v>
      </c>
      <c r="C5" s="6">
        <v>100.0</v>
      </c>
      <c r="D5" s="5">
        <v>0.01</v>
      </c>
      <c r="E5" s="7">
        <v>63.81</v>
      </c>
      <c r="F5" s="5">
        <v>40.0</v>
      </c>
      <c r="G5" s="5">
        <v>0.568952414376702</v>
      </c>
      <c r="H5" s="8">
        <v>1890000.0</v>
      </c>
      <c r="I5" s="8">
        <v>2100.0</v>
      </c>
      <c r="K5" s="7">
        <v>63.81</v>
      </c>
      <c r="L5" s="8">
        <v>1890000.0</v>
      </c>
    </row>
    <row r="6">
      <c r="B6" s="5" t="s">
        <v>11</v>
      </c>
      <c r="C6" s="6">
        <v>100.0</v>
      </c>
      <c r="D6" s="5">
        <v>0.05</v>
      </c>
      <c r="E6" s="8">
        <v>75.24</v>
      </c>
      <c r="F6" s="6">
        <v>51.43</v>
      </c>
      <c r="G6" s="6">
        <v>0.473124011549139</v>
      </c>
      <c r="H6" s="8">
        <v>1890000.0</v>
      </c>
      <c r="I6" s="8">
        <v>2100.0</v>
      </c>
      <c r="K6" s="8">
        <v>75.24</v>
      </c>
      <c r="L6" s="8">
        <v>1890000.0</v>
      </c>
    </row>
    <row r="7">
      <c r="B7" s="5" t="s">
        <v>11</v>
      </c>
      <c r="C7" s="6">
        <v>200.0</v>
      </c>
      <c r="D7" s="5">
        <v>0.01</v>
      </c>
      <c r="E7" s="8">
        <v>87.61</v>
      </c>
      <c r="F7" s="6">
        <v>45.71</v>
      </c>
      <c r="G7" s="5">
        <v>0.255964516761896</v>
      </c>
      <c r="H7" s="8">
        <f>1890000*2</f>
        <v>3780000</v>
      </c>
      <c r="I7" s="8">
        <v>2100.0</v>
      </c>
      <c r="K7" s="8">
        <v>87.61</v>
      </c>
      <c r="L7" s="8">
        <f>1890000*2</f>
        <v>3780000</v>
      </c>
    </row>
    <row r="8">
      <c r="B8" s="5" t="s">
        <v>12</v>
      </c>
      <c r="C8" s="6">
        <v>100.0</v>
      </c>
      <c r="D8" s="5">
        <v>0.05</v>
      </c>
      <c r="E8" s="5">
        <v>59.05</v>
      </c>
      <c r="F8" s="6">
        <v>37.14</v>
      </c>
      <c r="G8" s="5">
        <v>1.12291371558063</v>
      </c>
      <c r="H8" s="5">
        <v>1260000.0</v>
      </c>
      <c r="I8" s="8">
        <v>1400.0</v>
      </c>
      <c r="K8" s="5">
        <v>59.05</v>
      </c>
      <c r="L8" s="5">
        <v>1260000.0</v>
      </c>
    </row>
    <row r="9">
      <c r="B9" s="5" t="s">
        <v>13</v>
      </c>
      <c r="C9" s="6">
        <v>100.0</v>
      </c>
      <c r="D9" s="5">
        <v>0.05</v>
      </c>
      <c r="E9" s="5">
        <v>58.73</v>
      </c>
      <c r="F9" s="6">
        <v>40.0</v>
      </c>
      <c r="G9" s="5">
        <v>1.14079661516183</v>
      </c>
      <c r="H9" s="8">
        <v>945000.0</v>
      </c>
      <c r="I9" s="8">
        <v>1050.0</v>
      </c>
      <c r="K9" s="5">
        <v>58.73</v>
      </c>
      <c r="L9" s="8">
        <v>945000.0</v>
      </c>
    </row>
    <row r="10">
      <c r="B10" s="5" t="s">
        <v>13</v>
      </c>
      <c r="C10" s="6">
        <v>100.0</v>
      </c>
      <c r="D10" s="5">
        <v>0.005</v>
      </c>
      <c r="E10" s="5">
        <v>42.86</v>
      </c>
      <c r="F10" s="6">
        <v>22.86</v>
      </c>
      <c r="G10" s="5">
        <v>0.842910164136515</v>
      </c>
      <c r="H10" s="8">
        <v>945000.0</v>
      </c>
      <c r="I10" s="8">
        <v>1050.0</v>
      </c>
      <c r="K10" s="5">
        <v>42.86</v>
      </c>
      <c r="L10" s="8">
        <v>945000.0</v>
      </c>
    </row>
    <row r="11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9</v>
      </c>
      <c r="K11" s="3" t="s">
        <v>14</v>
      </c>
    </row>
    <row r="12">
      <c r="A12" s="9" t="s">
        <v>15</v>
      </c>
      <c r="B12" s="5" t="s">
        <v>11</v>
      </c>
      <c r="C12" s="6">
        <v>100.0</v>
      </c>
      <c r="D12" s="5">
        <v>0.01</v>
      </c>
      <c r="E12" s="10">
        <v>92.667</v>
      </c>
      <c r="F12" s="10">
        <v>74.0</v>
      </c>
      <c r="G12" s="5">
        <v>0.210658326279234</v>
      </c>
      <c r="H12" s="5">
        <v>2700000.0</v>
      </c>
      <c r="I12" s="6">
        <v>3000.0</v>
      </c>
      <c r="K12" s="6" t="s">
        <v>16</v>
      </c>
    </row>
    <row r="13">
      <c r="A13" s="9"/>
      <c r="B13" s="5" t="s">
        <v>12</v>
      </c>
      <c r="C13" s="6">
        <v>200.0</v>
      </c>
      <c r="D13" s="5">
        <v>0.05</v>
      </c>
      <c r="E13" s="11">
        <v>100.0</v>
      </c>
      <c r="F13" s="10">
        <v>84.0</v>
      </c>
      <c r="G13" s="5">
        <v>0.00525269842449123</v>
      </c>
      <c r="H13" s="6">
        <v>1800000.0</v>
      </c>
      <c r="I13" s="6">
        <v>2000.0</v>
      </c>
      <c r="K13" s="6" t="s">
        <v>17</v>
      </c>
    </row>
    <row r="14">
      <c r="A14" s="9"/>
      <c r="B14" s="5" t="s">
        <v>12</v>
      </c>
      <c r="C14" s="6">
        <v>100.0</v>
      </c>
      <c r="D14" s="5">
        <v>0.05</v>
      </c>
      <c r="E14" s="11">
        <v>98.44</v>
      </c>
      <c r="F14" s="10">
        <v>84.0</v>
      </c>
      <c r="G14" s="5">
        <v>0.0550086167094686</v>
      </c>
      <c r="H14" s="6">
        <v>1800000.0</v>
      </c>
      <c r="I14" s="6">
        <v>2000.0</v>
      </c>
      <c r="K14" s="6" t="s">
        <v>18</v>
      </c>
    </row>
    <row r="15">
      <c r="A15" s="9"/>
      <c r="B15" s="5" t="s">
        <v>13</v>
      </c>
      <c r="C15" s="6">
        <v>100.0</v>
      </c>
      <c r="D15" s="5">
        <v>0.005</v>
      </c>
      <c r="E15" s="10">
        <v>52.89</v>
      </c>
      <c r="F15" s="10">
        <v>50.0</v>
      </c>
      <c r="G15" s="5">
        <v>0.85193475461289</v>
      </c>
      <c r="H15" s="8">
        <v>1350000.0</v>
      </c>
      <c r="I15" s="8">
        <v>1500.0</v>
      </c>
      <c r="K15" s="6" t="s">
        <v>19</v>
      </c>
    </row>
    <row r="16">
      <c r="A16" s="9"/>
      <c r="B16" s="5" t="s">
        <v>13</v>
      </c>
      <c r="C16" s="6">
        <v>100.0</v>
      </c>
      <c r="D16" s="5">
        <v>0.01</v>
      </c>
      <c r="E16" s="10">
        <v>87.55</v>
      </c>
      <c r="F16" s="10">
        <v>72.0</v>
      </c>
      <c r="G16" s="5">
        <v>0.309190319829961</v>
      </c>
      <c r="H16" s="8">
        <v>1350000.0</v>
      </c>
      <c r="I16" s="8">
        <v>1500.0</v>
      </c>
      <c r="K16" s="6" t="s">
        <v>20</v>
      </c>
    </row>
    <row r="17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K17" s="6" t="s">
        <v>21</v>
      </c>
    </row>
    <row r="18">
      <c r="A18" s="9" t="s">
        <v>22</v>
      </c>
      <c r="B18" s="5" t="s">
        <v>11</v>
      </c>
      <c r="C18" s="6">
        <v>100.0</v>
      </c>
      <c r="D18" s="5">
        <v>0.01</v>
      </c>
      <c r="E18" s="10">
        <v>98.14</v>
      </c>
      <c r="F18" s="10">
        <v>97.61</v>
      </c>
      <c r="G18" s="5">
        <v>0.059840147515805</v>
      </c>
      <c r="H18" s="6">
        <v>2268000.0</v>
      </c>
      <c r="I18" s="8">
        <v>2520.0</v>
      </c>
      <c r="J18" s="12"/>
      <c r="K18" s="6" t="s">
        <v>23</v>
      </c>
    </row>
    <row r="19">
      <c r="A19" s="9"/>
      <c r="B19" s="5" t="s">
        <v>12</v>
      </c>
      <c r="C19" s="6">
        <v>100.0</v>
      </c>
      <c r="D19" s="5">
        <v>0.01</v>
      </c>
      <c r="E19" s="11">
        <v>99.21</v>
      </c>
      <c r="F19" s="10">
        <v>100.0</v>
      </c>
      <c r="G19" s="5">
        <v>0.0408641290646878</v>
      </c>
      <c r="H19" s="6">
        <v>1512000.0</v>
      </c>
      <c r="I19" s="8">
        <v>1680.0</v>
      </c>
      <c r="J19" s="12"/>
      <c r="K19" s="6" t="s">
        <v>24</v>
      </c>
    </row>
    <row r="20">
      <c r="A20" s="13"/>
      <c r="B20" s="5" t="s">
        <v>13</v>
      </c>
      <c r="C20" s="6">
        <v>100.0</v>
      </c>
      <c r="D20" s="5">
        <v>0.05</v>
      </c>
      <c r="E20" s="11">
        <v>99.47</v>
      </c>
      <c r="F20" s="10">
        <v>92.86</v>
      </c>
      <c r="G20" s="5">
        <v>0.0219419934117129</v>
      </c>
      <c r="H20" s="8">
        <v>1134000.0</v>
      </c>
      <c r="I20" s="8">
        <v>1260.0</v>
      </c>
      <c r="J20" s="12"/>
      <c r="K20" s="6" t="s">
        <v>25</v>
      </c>
    </row>
    <row r="21">
      <c r="A21" s="14"/>
      <c r="B21" s="5" t="s">
        <v>13</v>
      </c>
      <c r="C21" s="6">
        <v>100.0</v>
      </c>
      <c r="D21" s="5">
        <v>0.005</v>
      </c>
      <c r="E21" s="10">
        <v>96.82</v>
      </c>
      <c r="F21" s="10">
        <v>100.0</v>
      </c>
      <c r="G21" s="5">
        <v>0.206944336698693</v>
      </c>
      <c r="H21" s="8">
        <v>1134000.0</v>
      </c>
      <c r="I21" s="8">
        <v>1260.0</v>
      </c>
      <c r="J21" s="12"/>
      <c r="K21" s="6" t="s">
        <v>25</v>
      </c>
    </row>
    <row r="22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K22" s="6" t="s">
        <v>26</v>
      </c>
    </row>
    <row r="23">
      <c r="A23" s="15" t="s">
        <v>27</v>
      </c>
      <c r="B23" s="5" t="s">
        <v>11</v>
      </c>
      <c r="C23" s="6">
        <v>100.0</v>
      </c>
      <c r="D23" s="5">
        <v>0.01</v>
      </c>
      <c r="E23" s="10">
        <v>98.06</v>
      </c>
      <c r="F23" s="10">
        <v>100.0</v>
      </c>
      <c r="G23" s="5">
        <v>0.105643931827327</v>
      </c>
      <c r="H23" s="8">
        <v>930000.0</v>
      </c>
      <c r="I23" s="6">
        <v>1200.0</v>
      </c>
      <c r="K23" s="6" t="s">
        <v>28</v>
      </c>
    </row>
    <row r="24">
      <c r="A24" s="13"/>
      <c r="B24" s="5" t="s">
        <v>11</v>
      </c>
      <c r="C24" s="6">
        <v>200.0</v>
      </c>
      <c r="D24" s="5">
        <v>0.01</v>
      </c>
      <c r="E24" s="11">
        <v>100.0</v>
      </c>
      <c r="F24" s="16">
        <v>95.0</v>
      </c>
      <c r="G24" s="5">
        <v>0.0216169902228219</v>
      </c>
      <c r="H24" s="8">
        <f>930000*2</f>
        <v>1860000</v>
      </c>
      <c r="I24" s="6">
        <v>1200.0</v>
      </c>
      <c r="K24" s="6" t="s">
        <v>29</v>
      </c>
    </row>
    <row r="25">
      <c r="A25" s="9"/>
      <c r="B25" s="5" t="s">
        <v>12</v>
      </c>
      <c r="C25" s="6">
        <v>100.0</v>
      </c>
      <c r="D25" s="5">
        <v>0.05</v>
      </c>
      <c r="E25" s="11">
        <v>100.0</v>
      </c>
      <c r="F25" s="16">
        <v>100.0</v>
      </c>
      <c r="G25" s="5">
        <v>0.00424409178252933</v>
      </c>
      <c r="H25" s="5">
        <v>620000.0</v>
      </c>
      <c r="I25" s="17">
        <v>800.0</v>
      </c>
      <c r="K25" s="6" t="s">
        <v>30</v>
      </c>
    </row>
    <row r="26">
      <c r="A26" s="9"/>
      <c r="B26" s="5" t="s">
        <v>13</v>
      </c>
      <c r="C26" s="6">
        <v>100.0</v>
      </c>
      <c r="D26" s="5">
        <v>0.005</v>
      </c>
      <c r="E26" s="10">
        <v>94.19</v>
      </c>
      <c r="F26" s="10">
        <v>95.0</v>
      </c>
      <c r="G26" s="5">
        <v>0.269913106878326</v>
      </c>
      <c r="H26" s="6">
        <v>465000.0</v>
      </c>
      <c r="I26" s="17">
        <v>600.0</v>
      </c>
    </row>
    <row r="27">
      <c r="A27" s="9"/>
      <c r="B27" s="5" t="s">
        <v>13</v>
      </c>
      <c r="C27" s="6">
        <v>200.0</v>
      </c>
      <c r="D27" s="5">
        <v>0.005</v>
      </c>
      <c r="E27" s="10">
        <v>100.0</v>
      </c>
      <c r="F27" s="16">
        <v>90.0</v>
      </c>
      <c r="G27" s="5">
        <v>0.045176151827554</v>
      </c>
      <c r="H27" s="6">
        <f>465000*2</f>
        <v>930000</v>
      </c>
      <c r="I27" s="17">
        <v>600.0</v>
      </c>
    </row>
    <row r="28">
      <c r="A28" s="9"/>
      <c r="B28" s="12"/>
      <c r="C28" s="18"/>
      <c r="E28" s="18"/>
      <c r="F28" s="18"/>
      <c r="G28" s="9"/>
      <c r="U28" s="5"/>
      <c r="V28" s="5"/>
    </row>
    <row r="29">
      <c r="A29" s="9"/>
      <c r="B29" s="12"/>
      <c r="C29" s="18"/>
      <c r="D29" s="18"/>
      <c r="E29" s="18"/>
      <c r="F29" s="9"/>
      <c r="G29" s="9"/>
    </row>
    <row r="30">
      <c r="A30" s="9"/>
      <c r="B30" s="9"/>
      <c r="C30" s="9"/>
      <c r="D30" s="9"/>
      <c r="E30" s="9"/>
      <c r="F30" s="9"/>
      <c r="G30" s="9"/>
    </row>
    <row r="31" ht="33.75" customHeight="1"/>
    <row r="32">
      <c r="A32" s="2" t="s">
        <v>31</v>
      </c>
    </row>
    <row r="33">
      <c r="A33" s="5" t="s">
        <v>15</v>
      </c>
      <c r="V33" s="5"/>
    </row>
    <row r="34">
      <c r="A34" s="3" t="s">
        <v>1</v>
      </c>
      <c r="B34" s="3" t="s">
        <v>32</v>
      </c>
      <c r="C34" s="3" t="s">
        <v>33</v>
      </c>
      <c r="D34" s="3" t="s">
        <v>34</v>
      </c>
      <c r="E34" s="3" t="s">
        <v>35</v>
      </c>
      <c r="F34" s="3" t="s">
        <v>36</v>
      </c>
      <c r="G34" s="3" t="s">
        <v>37</v>
      </c>
      <c r="H34" s="3" t="s">
        <v>38</v>
      </c>
      <c r="I34" s="3" t="s">
        <v>39</v>
      </c>
      <c r="J34" s="3" t="s">
        <v>40</v>
      </c>
      <c r="K34" s="3" t="s">
        <v>41</v>
      </c>
      <c r="L34" s="3" t="s">
        <v>42</v>
      </c>
      <c r="M34" s="3" t="s">
        <v>43</v>
      </c>
      <c r="N34" s="3" t="s">
        <v>14</v>
      </c>
      <c r="O34" s="19" t="s">
        <v>44</v>
      </c>
      <c r="P34" s="19" t="s">
        <v>45</v>
      </c>
      <c r="Q34" s="19" t="s">
        <v>46</v>
      </c>
      <c r="R34" s="19" t="s">
        <v>47</v>
      </c>
      <c r="S34" s="19" t="s">
        <v>48</v>
      </c>
      <c r="T34" s="19" t="s">
        <v>49</v>
      </c>
      <c r="U34" s="19" t="s">
        <v>50</v>
      </c>
      <c r="V34" s="19" t="s">
        <v>51</v>
      </c>
      <c r="W34" s="19" t="s">
        <v>52</v>
      </c>
      <c r="X34" s="19" t="s">
        <v>53</v>
      </c>
      <c r="Y34" s="20" t="s">
        <v>54</v>
      </c>
      <c r="Z34" s="3" t="s">
        <v>55</v>
      </c>
      <c r="AA34" s="3" t="s">
        <v>56</v>
      </c>
      <c r="AB34" s="3" t="s">
        <v>57</v>
      </c>
      <c r="AC34" s="3" t="s">
        <v>58</v>
      </c>
      <c r="AD34" s="3" t="s">
        <v>59</v>
      </c>
      <c r="AE34" s="5"/>
      <c r="AF34" s="5"/>
    </row>
    <row r="35" ht="28.5" customHeight="1">
      <c r="A35" s="21" t="s">
        <v>60</v>
      </c>
      <c r="B35" s="22">
        <v>0.01</v>
      </c>
      <c r="C35" s="23">
        <v>0.1</v>
      </c>
      <c r="D35" s="24" t="s">
        <v>61</v>
      </c>
      <c r="E35" s="5">
        <v>1.0</v>
      </c>
      <c r="F35" s="5" t="s">
        <v>62</v>
      </c>
      <c r="G35" s="5" t="s">
        <v>63</v>
      </c>
      <c r="H35" s="25">
        <v>0.05</v>
      </c>
      <c r="I35" s="25">
        <v>2.0</v>
      </c>
      <c r="J35" s="5" t="s">
        <v>64</v>
      </c>
      <c r="K35" s="5" t="s">
        <v>65</v>
      </c>
      <c r="L35" s="5" t="s">
        <v>66</v>
      </c>
      <c r="M35" s="5">
        <v>0.0915116460348953</v>
      </c>
      <c r="N35" s="5" t="s">
        <v>67</v>
      </c>
      <c r="O35" s="5" t="s">
        <v>68</v>
      </c>
      <c r="P35" s="5" t="s">
        <v>69</v>
      </c>
      <c r="Q35" s="26" t="s">
        <v>70</v>
      </c>
      <c r="R35" s="5" t="s">
        <v>71</v>
      </c>
      <c r="S35" s="24" t="s">
        <v>72</v>
      </c>
      <c r="T35" s="21" t="s">
        <v>73</v>
      </c>
      <c r="U35" s="5">
        <v>2700000.0</v>
      </c>
      <c r="V35" s="6">
        <v>3000.0</v>
      </c>
      <c r="W35" s="5">
        <v>0.26047481481</v>
      </c>
      <c r="X35" s="5">
        <v>0.225</v>
      </c>
      <c r="Y35" s="5" t="s">
        <v>74</v>
      </c>
      <c r="AA35" s="5">
        <f>407562+295720</f>
        <v>703282</v>
      </c>
      <c r="AB35" s="5">
        <f>323+352</f>
        <v>675</v>
      </c>
      <c r="AC35" s="27">
        <f t="shared" ref="AC35:AD35" si="1">U35-AA35</f>
        <v>1996718</v>
      </c>
      <c r="AD35" s="27">
        <f t="shared" si="1"/>
        <v>2325</v>
      </c>
      <c r="AE35" s="5">
        <v>1996718.0</v>
      </c>
      <c r="AF35" s="5">
        <v>2325.0</v>
      </c>
    </row>
    <row r="36" ht="24.75" customHeight="1">
      <c r="A36" s="21" t="s">
        <v>60</v>
      </c>
      <c r="B36" s="22">
        <v>0.01</v>
      </c>
      <c r="C36" s="28">
        <v>0.01</v>
      </c>
      <c r="D36" s="24" t="s">
        <v>61</v>
      </c>
      <c r="E36" s="5">
        <v>2.0</v>
      </c>
      <c r="F36" s="5" t="s">
        <v>62</v>
      </c>
      <c r="G36" s="5" t="s">
        <v>63</v>
      </c>
      <c r="H36" s="25">
        <v>0.05</v>
      </c>
      <c r="I36" s="25">
        <v>2.0</v>
      </c>
      <c r="J36" s="5" t="s">
        <v>64</v>
      </c>
      <c r="K36" s="5" t="s">
        <v>65</v>
      </c>
      <c r="L36" s="5" t="s">
        <v>75</v>
      </c>
      <c r="M36" s="5">
        <v>0.337657052827497</v>
      </c>
      <c r="N36" s="5" t="s">
        <v>76</v>
      </c>
      <c r="O36" s="5" t="s">
        <v>77</v>
      </c>
      <c r="P36" s="5" t="s">
        <v>78</v>
      </c>
      <c r="Q36" s="5" t="s">
        <v>79</v>
      </c>
      <c r="R36" s="5" t="s">
        <v>80</v>
      </c>
      <c r="S36" s="24" t="s">
        <v>72</v>
      </c>
      <c r="T36" s="21" t="s">
        <v>73</v>
      </c>
      <c r="U36" s="8">
        <v>2700000.0</v>
      </c>
      <c r="V36" s="6">
        <v>3000.0</v>
      </c>
      <c r="W36" s="5">
        <v>0.17682777777</v>
      </c>
      <c r="X36" s="5">
        <v>0.12733333333</v>
      </c>
      <c r="Y36" s="29"/>
      <c r="AA36" s="5">
        <f>4152+473283</f>
        <v>477435</v>
      </c>
      <c r="AB36" s="5">
        <v>382.0</v>
      </c>
      <c r="AC36" s="27">
        <f t="shared" ref="AC36:AD36" si="2">U36-AA36</f>
        <v>2222565</v>
      </c>
      <c r="AD36" s="27">
        <f t="shared" si="2"/>
        <v>2618</v>
      </c>
      <c r="AE36" s="5">
        <v>2222565.0</v>
      </c>
      <c r="AF36" s="5">
        <v>2618.0</v>
      </c>
    </row>
    <row r="37" ht="30.0" customHeight="1">
      <c r="A37" s="21" t="s">
        <v>60</v>
      </c>
      <c r="B37" s="22">
        <v>0.01</v>
      </c>
      <c r="C37" s="30">
        <v>0.05</v>
      </c>
      <c r="D37" s="24" t="s">
        <v>61</v>
      </c>
      <c r="E37" s="5">
        <v>3.0</v>
      </c>
      <c r="F37" s="5" t="s">
        <v>62</v>
      </c>
      <c r="G37" s="5" t="s">
        <v>63</v>
      </c>
      <c r="H37" s="25">
        <v>0.05</v>
      </c>
      <c r="I37" s="25">
        <v>2.0</v>
      </c>
      <c r="J37" s="5" t="s">
        <v>64</v>
      </c>
      <c r="K37" s="5" t="s">
        <v>65</v>
      </c>
      <c r="L37" s="5" t="s">
        <v>81</v>
      </c>
      <c r="M37" s="5">
        <v>0.447333933553504</v>
      </c>
      <c r="N37" s="5" t="s">
        <v>82</v>
      </c>
      <c r="O37" s="5" t="s">
        <v>83</v>
      </c>
      <c r="P37" s="5" t="s">
        <v>84</v>
      </c>
      <c r="Q37" s="5" t="s">
        <v>85</v>
      </c>
      <c r="R37" s="5" t="s">
        <v>86</v>
      </c>
      <c r="S37" s="24" t="s">
        <v>72</v>
      </c>
      <c r="T37" s="21" t="s">
        <v>73</v>
      </c>
      <c r="U37" s="8">
        <v>2700000.0</v>
      </c>
      <c r="V37" s="6">
        <v>3000.0</v>
      </c>
      <c r="W37" s="5">
        <v>0.23217222222</v>
      </c>
      <c r="X37" s="5">
        <v>0.18066666666</v>
      </c>
      <c r="Y37" s="9"/>
      <c r="AA37" s="5">
        <f>358869+267996</f>
        <v>626865</v>
      </c>
      <c r="AB37" s="5">
        <f>293+249</f>
        <v>542</v>
      </c>
      <c r="AC37" s="27">
        <f t="shared" ref="AC37:AD37" si="3">U37-AA37</f>
        <v>2073135</v>
      </c>
      <c r="AD37" s="27">
        <f t="shared" si="3"/>
        <v>2458</v>
      </c>
      <c r="AE37" s="5">
        <v>2073135.0</v>
      </c>
      <c r="AF37" s="5">
        <v>2458.0</v>
      </c>
    </row>
    <row r="38" ht="33.75" customHeight="1">
      <c r="A38" s="31" t="s">
        <v>87</v>
      </c>
      <c r="B38" s="30">
        <v>0.05</v>
      </c>
      <c r="C38" s="30">
        <v>0.05</v>
      </c>
      <c r="D38" s="25" t="s">
        <v>88</v>
      </c>
      <c r="E38" s="5">
        <v>4.0</v>
      </c>
      <c r="F38" s="5" t="s">
        <v>62</v>
      </c>
      <c r="G38" s="5" t="s">
        <v>63</v>
      </c>
      <c r="H38" s="25">
        <v>0.05</v>
      </c>
      <c r="I38" s="25">
        <v>2.0</v>
      </c>
      <c r="J38" s="5" t="s">
        <v>64</v>
      </c>
      <c r="K38" s="5" t="s">
        <v>65</v>
      </c>
      <c r="L38" s="5" t="s">
        <v>89</v>
      </c>
      <c r="M38" s="5">
        <v>0.00243775015042258</v>
      </c>
      <c r="N38" s="5" t="s">
        <v>90</v>
      </c>
      <c r="O38" s="5" t="s">
        <v>91</v>
      </c>
      <c r="P38" s="5" t="s">
        <v>92</v>
      </c>
      <c r="Q38" s="5" t="s">
        <v>93</v>
      </c>
      <c r="R38" s="5" t="s">
        <v>94</v>
      </c>
      <c r="S38" s="24" t="s">
        <v>72</v>
      </c>
      <c r="T38" s="21" t="s">
        <v>73</v>
      </c>
      <c r="U38" s="6">
        <v>3600000.0</v>
      </c>
      <c r="V38" s="6">
        <v>2000.0</v>
      </c>
      <c r="W38" s="5">
        <v>0.07181416666</v>
      </c>
      <c r="X38" s="5">
        <v>0.025</v>
      </c>
      <c r="Y38" s="9"/>
      <c r="AA38" s="5">
        <f>69707+188824</f>
        <v>258531</v>
      </c>
      <c r="AB38" s="5">
        <v>50.0</v>
      </c>
      <c r="AC38" s="27">
        <f t="shared" ref="AC38:AD38" si="4">U38-AA38</f>
        <v>3341469</v>
      </c>
      <c r="AD38" s="27">
        <f t="shared" si="4"/>
        <v>1950</v>
      </c>
      <c r="AE38" s="5">
        <v>3341469.0</v>
      </c>
      <c r="AF38" s="5">
        <v>1950.0</v>
      </c>
    </row>
    <row r="39" ht="27.75" customHeight="1">
      <c r="A39" s="31" t="s">
        <v>87</v>
      </c>
      <c r="B39" s="30">
        <v>0.05</v>
      </c>
      <c r="C39" s="28">
        <v>0.01</v>
      </c>
      <c r="D39" s="25" t="s">
        <v>88</v>
      </c>
      <c r="E39" s="5">
        <v>5.0</v>
      </c>
      <c r="F39" s="5" t="s">
        <v>62</v>
      </c>
      <c r="G39" s="5" t="s">
        <v>63</v>
      </c>
      <c r="H39" s="25">
        <v>0.05</v>
      </c>
      <c r="I39" s="25">
        <v>2.0</v>
      </c>
      <c r="J39" s="5" t="s">
        <v>64</v>
      </c>
      <c r="K39" s="5" t="s">
        <v>65</v>
      </c>
      <c r="L39" s="5" t="s">
        <v>95</v>
      </c>
      <c r="M39" s="5">
        <v>0.947759175291126</v>
      </c>
      <c r="N39" s="5" t="s">
        <v>96</v>
      </c>
      <c r="O39" s="5" t="s">
        <v>97</v>
      </c>
      <c r="P39" s="5" t="s">
        <v>98</v>
      </c>
      <c r="Q39" s="5" t="s">
        <v>99</v>
      </c>
      <c r="R39" s="5" t="s">
        <v>100</v>
      </c>
      <c r="S39" s="24" t="s">
        <v>72</v>
      </c>
      <c r="T39" s="21" t="s">
        <v>73</v>
      </c>
      <c r="U39" s="6">
        <v>3600000.0</v>
      </c>
      <c r="V39" s="6">
        <v>2000.0</v>
      </c>
      <c r="W39" s="5">
        <v>0.05771972222</v>
      </c>
      <c r="X39" s="5">
        <v>0.032</v>
      </c>
      <c r="Y39" s="9"/>
      <c r="AA39" s="5">
        <f>1565 +206226</f>
        <v>207791</v>
      </c>
      <c r="AB39" s="5">
        <v>64.0</v>
      </c>
      <c r="AC39" s="27">
        <f t="shared" ref="AC39:AD39" si="5">U39-AA39</f>
        <v>3392209</v>
      </c>
      <c r="AD39" s="27">
        <f t="shared" si="5"/>
        <v>1936</v>
      </c>
      <c r="AE39" s="5">
        <v>3392209.0</v>
      </c>
      <c r="AF39" s="5">
        <v>1936.0</v>
      </c>
    </row>
    <row r="40" ht="27.75" customHeight="1">
      <c r="A40" s="21" t="s">
        <v>60</v>
      </c>
      <c r="B40" s="30">
        <v>0.05</v>
      </c>
      <c r="C40" s="23">
        <v>0.1</v>
      </c>
      <c r="D40" s="25" t="s">
        <v>88</v>
      </c>
      <c r="E40" s="5">
        <v>6.0</v>
      </c>
      <c r="F40" s="5" t="s">
        <v>62</v>
      </c>
      <c r="G40" s="5" t="s">
        <v>63</v>
      </c>
      <c r="H40" s="25">
        <v>0.05</v>
      </c>
      <c r="I40" s="25">
        <v>2.0</v>
      </c>
      <c r="J40" s="5" t="s">
        <v>64</v>
      </c>
      <c r="K40" s="5" t="s">
        <v>65</v>
      </c>
      <c r="L40" s="5" t="s">
        <v>101</v>
      </c>
      <c r="M40" s="5">
        <v>0.118427495808013</v>
      </c>
      <c r="N40" s="5" t="s">
        <v>102</v>
      </c>
      <c r="O40" s="5" t="s">
        <v>103</v>
      </c>
      <c r="P40" s="5" t="s">
        <v>104</v>
      </c>
      <c r="Q40" s="5" t="s">
        <v>105</v>
      </c>
      <c r="R40" s="5" t="s">
        <v>106</v>
      </c>
      <c r="S40" s="24" t="s">
        <v>72</v>
      </c>
      <c r="T40" s="21" t="s">
        <v>73</v>
      </c>
      <c r="U40" s="6">
        <v>1800000.0</v>
      </c>
      <c r="V40" s="6">
        <v>2000.0</v>
      </c>
      <c r="W40" s="5">
        <v>0.19550555555</v>
      </c>
      <c r="X40" s="5">
        <v>0.174</v>
      </c>
      <c r="Y40" s="9"/>
      <c r="AA40" s="5">
        <f>6651+345259</f>
        <v>351910</v>
      </c>
      <c r="AB40" s="5">
        <v>348.0</v>
      </c>
      <c r="AC40" s="27">
        <f t="shared" ref="AC40:AD40" si="6">U40-AA40</f>
        <v>1448090</v>
      </c>
      <c r="AD40" s="27">
        <f t="shared" si="6"/>
        <v>1652</v>
      </c>
      <c r="AE40" s="5">
        <v>1448090.0</v>
      </c>
      <c r="AF40" s="5">
        <v>1652.0</v>
      </c>
    </row>
    <row r="41" ht="30.75" customHeight="1">
      <c r="A41" s="21" t="s">
        <v>60</v>
      </c>
      <c r="B41" s="30">
        <v>0.05</v>
      </c>
      <c r="C41" s="28">
        <v>0.01</v>
      </c>
      <c r="D41" s="25" t="s">
        <v>88</v>
      </c>
      <c r="E41" s="5">
        <v>7.0</v>
      </c>
      <c r="F41" s="5" t="s">
        <v>62</v>
      </c>
      <c r="G41" s="5" t="s">
        <v>63</v>
      </c>
      <c r="H41" s="24">
        <v>0.01</v>
      </c>
      <c r="I41" s="24">
        <v>1.0</v>
      </c>
      <c r="J41" s="5" t="s">
        <v>64</v>
      </c>
      <c r="K41" s="5" t="s">
        <v>65</v>
      </c>
      <c r="L41" s="5" t="s">
        <v>107</v>
      </c>
      <c r="M41" s="5">
        <v>0.2921487433383</v>
      </c>
      <c r="N41" s="5" t="s">
        <v>108</v>
      </c>
      <c r="O41" s="5" t="s">
        <v>109</v>
      </c>
      <c r="P41" s="5" t="s">
        <v>110</v>
      </c>
      <c r="Q41" s="5" t="s">
        <v>111</v>
      </c>
      <c r="R41" s="5" t="s">
        <v>112</v>
      </c>
      <c r="S41" s="24" t="s">
        <v>72</v>
      </c>
      <c r="T41" s="21" t="s">
        <v>73</v>
      </c>
      <c r="U41" s="6">
        <v>1800000.0</v>
      </c>
      <c r="V41" s="6">
        <v>2000.0</v>
      </c>
      <c r="W41" s="5">
        <v>0.16897111111</v>
      </c>
      <c r="X41" s="5">
        <v>0.1445</v>
      </c>
      <c r="Y41" s="29"/>
      <c r="AA41" s="5">
        <f>2055+302093</f>
        <v>304148</v>
      </c>
      <c r="AB41" s="5">
        <v>289.0</v>
      </c>
      <c r="AC41" s="27">
        <f t="shared" ref="AC41:AD41" si="7">U41-AA41</f>
        <v>1495852</v>
      </c>
      <c r="AD41" s="27">
        <f t="shared" si="7"/>
        <v>1711</v>
      </c>
      <c r="AE41" s="5">
        <v>1495852.0</v>
      </c>
      <c r="AF41" s="5">
        <v>1711.0</v>
      </c>
    </row>
    <row r="42" ht="30.75" customHeight="1">
      <c r="A42" s="21" t="s">
        <v>60</v>
      </c>
      <c r="B42" s="32">
        <v>0.005</v>
      </c>
      <c r="C42" s="28">
        <v>0.01</v>
      </c>
      <c r="D42" s="31" t="s">
        <v>113</v>
      </c>
      <c r="E42" s="5">
        <v>8.0</v>
      </c>
      <c r="F42" s="5" t="s">
        <v>62</v>
      </c>
      <c r="G42" s="5" t="s">
        <v>63</v>
      </c>
      <c r="H42" s="25">
        <v>0.05</v>
      </c>
      <c r="I42" s="25">
        <v>2.0</v>
      </c>
      <c r="J42" s="5" t="s">
        <v>64</v>
      </c>
      <c r="K42" s="5" t="s">
        <v>65</v>
      </c>
      <c r="L42" s="5" t="s">
        <v>114</v>
      </c>
      <c r="M42" s="5">
        <v>0.769658830881225</v>
      </c>
      <c r="N42" s="5" t="s">
        <v>115</v>
      </c>
      <c r="O42" s="5" t="s">
        <v>116</v>
      </c>
      <c r="P42" s="5" t="s">
        <v>117</v>
      </c>
      <c r="Q42" s="5" t="s">
        <v>118</v>
      </c>
      <c r="R42" s="5" t="s">
        <v>119</v>
      </c>
      <c r="S42" s="24" t="s">
        <v>72</v>
      </c>
      <c r="T42" s="21" t="s">
        <v>73</v>
      </c>
      <c r="U42" s="8">
        <v>1350000.0</v>
      </c>
      <c r="V42" s="8">
        <v>1500.0</v>
      </c>
      <c r="W42" s="5">
        <v>0.29563777777</v>
      </c>
      <c r="X42" s="5">
        <v>0.24266666666</v>
      </c>
      <c r="Y42" s="29"/>
      <c r="AA42" s="5">
        <f>87123+311988</f>
        <v>399111</v>
      </c>
      <c r="AB42" s="33">
        <f>97+267</f>
        <v>364</v>
      </c>
      <c r="AC42" s="27">
        <f t="shared" ref="AC42:AD42" si="8">U42-AA42</f>
        <v>950889</v>
      </c>
      <c r="AD42" s="27">
        <f t="shared" si="8"/>
        <v>1136</v>
      </c>
      <c r="AE42" s="5">
        <v>950889.0</v>
      </c>
      <c r="AF42" s="5">
        <v>1136.0</v>
      </c>
    </row>
    <row r="43" ht="30.75" customHeight="1">
      <c r="A43" s="21" t="s">
        <v>60</v>
      </c>
      <c r="B43" s="22">
        <v>0.01</v>
      </c>
      <c r="C43" s="28">
        <v>0.01</v>
      </c>
      <c r="D43" s="31" t="s">
        <v>113</v>
      </c>
      <c r="E43" s="5">
        <v>9.0</v>
      </c>
      <c r="F43" s="5" t="s">
        <v>62</v>
      </c>
      <c r="G43" s="5" t="s">
        <v>63</v>
      </c>
      <c r="H43" s="25">
        <v>0.05</v>
      </c>
      <c r="I43" s="25">
        <v>2.0</v>
      </c>
      <c r="J43" s="5" t="s">
        <v>64</v>
      </c>
      <c r="K43" s="5" t="s">
        <v>65</v>
      </c>
      <c r="L43" s="5" t="s">
        <v>120</v>
      </c>
      <c r="M43" s="5">
        <v>1.42205948882521</v>
      </c>
      <c r="N43" s="5" t="s">
        <v>121</v>
      </c>
      <c r="O43" s="5" t="s">
        <v>122</v>
      </c>
      <c r="P43" s="5" t="s">
        <v>123</v>
      </c>
      <c r="Q43" s="5" t="s">
        <v>124</v>
      </c>
      <c r="R43" s="5" t="s">
        <v>125</v>
      </c>
      <c r="S43" s="24" t="s">
        <v>72</v>
      </c>
      <c r="T43" s="21" t="s">
        <v>73</v>
      </c>
      <c r="U43" s="8">
        <v>1350000.0</v>
      </c>
      <c r="V43" s="8">
        <v>1500.0</v>
      </c>
      <c r="W43" s="5">
        <v>0.2252237037</v>
      </c>
      <c r="X43" s="5">
        <v>0.148</v>
      </c>
      <c r="Y43" s="29"/>
      <c r="AA43" s="5">
        <f>3745+300307</f>
        <v>304052</v>
      </c>
      <c r="AB43" s="5">
        <v>222.0</v>
      </c>
      <c r="AC43" s="27">
        <f t="shared" ref="AC43:AD43" si="9">U43-AA43</f>
        <v>1045948</v>
      </c>
      <c r="AD43" s="27">
        <f t="shared" si="9"/>
        <v>1278</v>
      </c>
      <c r="AE43" s="5">
        <v>1045948.0</v>
      </c>
      <c r="AF43" s="5">
        <v>1278.0</v>
      </c>
    </row>
    <row r="44" ht="30.75" customHeight="1">
      <c r="A44" s="21" t="s">
        <v>60</v>
      </c>
      <c r="B44" s="22">
        <v>0.01</v>
      </c>
      <c r="C44" s="23">
        <v>0.1</v>
      </c>
      <c r="D44" s="31" t="s">
        <v>113</v>
      </c>
      <c r="E44" s="5">
        <v>10.0</v>
      </c>
      <c r="F44" s="5" t="s">
        <v>62</v>
      </c>
      <c r="G44" s="5" t="s">
        <v>63</v>
      </c>
      <c r="H44" s="25">
        <v>0.05</v>
      </c>
      <c r="I44" s="25">
        <v>2.0</v>
      </c>
      <c r="J44" s="5" t="s">
        <v>64</v>
      </c>
      <c r="K44" s="5" t="s">
        <v>65</v>
      </c>
      <c r="L44" s="5" t="s">
        <v>126</v>
      </c>
      <c r="M44" s="5">
        <v>1.06445072846543</v>
      </c>
      <c r="N44" s="5" t="s">
        <v>127</v>
      </c>
      <c r="O44" s="5" t="s">
        <v>128</v>
      </c>
      <c r="P44" s="5" t="s">
        <v>129</v>
      </c>
      <c r="Q44" s="5" t="s">
        <v>130</v>
      </c>
      <c r="R44" s="5" t="s">
        <v>131</v>
      </c>
      <c r="S44" s="24" t="s">
        <v>72</v>
      </c>
      <c r="T44" s="21" t="s">
        <v>73</v>
      </c>
      <c r="U44" s="8">
        <v>1350000.0</v>
      </c>
      <c r="V44" s="8">
        <v>1500.0</v>
      </c>
      <c r="W44" s="5">
        <v>0.27231037037</v>
      </c>
      <c r="X44" s="5">
        <v>0.19866666666</v>
      </c>
      <c r="Y44" s="29"/>
      <c r="AA44" s="5">
        <f>5016+362603</f>
        <v>367619</v>
      </c>
      <c r="AB44" s="5">
        <v>294.0</v>
      </c>
      <c r="AC44" s="27">
        <f t="shared" ref="AC44:AD44" si="10">U44-AA44</f>
        <v>982381</v>
      </c>
      <c r="AD44" s="27">
        <f t="shared" si="10"/>
        <v>1206</v>
      </c>
      <c r="AE44" s="5">
        <v>982381.0</v>
      </c>
      <c r="AF44" s="5">
        <v>1206.0</v>
      </c>
    </row>
    <row r="45" ht="30.75" customHeight="1">
      <c r="A45" s="21" t="s">
        <v>60</v>
      </c>
      <c r="B45" s="22">
        <v>0.01</v>
      </c>
      <c r="C45" s="23">
        <v>0.1</v>
      </c>
      <c r="D45" s="31" t="s">
        <v>113</v>
      </c>
      <c r="E45" s="5">
        <v>11.0</v>
      </c>
      <c r="F45" s="5" t="s">
        <v>62</v>
      </c>
      <c r="G45" s="5" t="s">
        <v>63</v>
      </c>
      <c r="H45" s="24">
        <v>0.01</v>
      </c>
      <c r="I45" s="25">
        <v>2.0</v>
      </c>
      <c r="J45" s="5" t="s">
        <v>64</v>
      </c>
      <c r="K45" s="5" t="s">
        <v>65</v>
      </c>
      <c r="L45" s="34" t="s">
        <v>66</v>
      </c>
      <c r="M45" s="5">
        <v>0.657279626846076</v>
      </c>
      <c r="N45" s="5" t="s">
        <v>132</v>
      </c>
      <c r="O45" s="5" t="s">
        <v>133</v>
      </c>
      <c r="P45" s="5" t="s">
        <v>134</v>
      </c>
      <c r="Q45" s="5" t="s">
        <v>135</v>
      </c>
      <c r="R45" s="5" t="s">
        <v>136</v>
      </c>
      <c r="S45" s="24" t="s">
        <v>72</v>
      </c>
      <c r="T45" s="21" t="s">
        <v>73</v>
      </c>
      <c r="U45" s="8">
        <v>1350000.0</v>
      </c>
      <c r="V45" s="8">
        <v>1500.0</v>
      </c>
      <c r="W45" s="5">
        <v>0.44184074074</v>
      </c>
      <c r="X45" s="5">
        <v>0.36533333333</v>
      </c>
      <c r="Y45" s="29"/>
      <c r="AA45" s="5">
        <f>231759+364726</f>
        <v>596485</v>
      </c>
      <c r="AB45" s="5">
        <f>248+300</f>
        <v>548</v>
      </c>
      <c r="AC45" s="27">
        <f t="shared" ref="AC45:AD45" si="11">U45-AA45</f>
        <v>753515</v>
      </c>
      <c r="AD45" s="27">
        <f t="shared" si="11"/>
        <v>952</v>
      </c>
      <c r="AE45" s="5">
        <v>753515.0</v>
      </c>
      <c r="AF45" s="5">
        <v>952.0</v>
      </c>
    </row>
    <row r="46" ht="30.75" customHeight="1">
      <c r="A46" s="21" t="s">
        <v>60</v>
      </c>
      <c r="B46" s="22">
        <v>0.01</v>
      </c>
      <c r="C46" s="23">
        <v>0.1</v>
      </c>
      <c r="D46" s="31" t="s">
        <v>113</v>
      </c>
      <c r="E46" s="5">
        <v>12.0</v>
      </c>
      <c r="F46" s="5" t="s">
        <v>62</v>
      </c>
      <c r="G46" s="5" t="s">
        <v>63</v>
      </c>
      <c r="H46" s="31">
        <v>0.005</v>
      </c>
      <c r="I46" s="25">
        <v>2.0</v>
      </c>
      <c r="J46" s="5" t="s">
        <v>64</v>
      </c>
      <c r="K46" s="5" t="s">
        <v>65</v>
      </c>
      <c r="L46" s="34" t="s">
        <v>137</v>
      </c>
      <c r="M46" s="5">
        <v>0.876760184531668</v>
      </c>
      <c r="N46" s="5" t="s">
        <v>138</v>
      </c>
      <c r="O46" s="5" t="s">
        <v>139</v>
      </c>
      <c r="P46" s="5" t="s">
        <v>140</v>
      </c>
      <c r="Q46" s="5" t="s">
        <v>141</v>
      </c>
      <c r="R46" s="5" t="s">
        <v>142</v>
      </c>
      <c r="S46" s="24" t="s">
        <v>72</v>
      </c>
      <c r="T46" s="21" t="s">
        <v>73</v>
      </c>
      <c r="U46" s="8">
        <v>1350000.0</v>
      </c>
      <c r="V46" s="8">
        <v>1500.0</v>
      </c>
      <c r="W46" s="5">
        <v>0.24028962963</v>
      </c>
      <c r="X46" s="5">
        <v>0.22466666666</v>
      </c>
      <c r="Y46" s="9"/>
      <c r="AA46" s="5">
        <f>52202+272189</f>
        <v>324391</v>
      </c>
      <c r="AB46" s="5">
        <f>53+284</f>
        <v>337</v>
      </c>
      <c r="AC46" s="27">
        <f t="shared" ref="AC46:AD46" si="12">U46-AA46</f>
        <v>1025609</v>
      </c>
      <c r="AD46" s="27">
        <f t="shared" si="12"/>
        <v>1163</v>
      </c>
      <c r="AE46" s="5">
        <v>1025609.0</v>
      </c>
      <c r="AF46" s="5">
        <v>1163.0</v>
      </c>
    </row>
    <row r="47">
      <c r="Y47" s="9"/>
    </row>
    <row r="48">
      <c r="A48" s="5" t="s">
        <v>143</v>
      </c>
      <c r="Y48" s="29"/>
    </row>
    <row r="49">
      <c r="A49" s="3" t="s">
        <v>1</v>
      </c>
      <c r="B49" s="3" t="s">
        <v>32</v>
      </c>
      <c r="C49" s="3" t="s">
        <v>33</v>
      </c>
      <c r="D49" s="3" t="s">
        <v>34</v>
      </c>
      <c r="E49" s="3" t="s">
        <v>35</v>
      </c>
      <c r="F49" s="3" t="s">
        <v>36</v>
      </c>
      <c r="G49" s="3" t="s">
        <v>37</v>
      </c>
      <c r="H49" s="3" t="s">
        <v>38</v>
      </c>
      <c r="I49" s="3" t="s">
        <v>39</v>
      </c>
      <c r="J49" s="3" t="s">
        <v>40</v>
      </c>
      <c r="K49" s="3" t="s">
        <v>41</v>
      </c>
      <c r="L49" s="3" t="s">
        <v>42</v>
      </c>
      <c r="M49" s="3" t="s">
        <v>43</v>
      </c>
      <c r="N49" s="3" t="s">
        <v>14</v>
      </c>
      <c r="O49" s="19" t="s">
        <v>44</v>
      </c>
      <c r="P49" s="19" t="s">
        <v>45</v>
      </c>
      <c r="Q49" s="19" t="s">
        <v>46</v>
      </c>
      <c r="R49" s="19" t="s">
        <v>47</v>
      </c>
      <c r="S49" s="19" t="s">
        <v>48</v>
      </c>
      <c r="T49" s="19" t="s">
        <v>49</v>
      </c>
      <c r="U49" s="19" t="s">
        <v>50</v>
      </c>
      <c r="V49" s="19" t="s">
        <v>51</v>
      </c>
      <c r="W49" s="19" t="s">
        <v>52</v>
      </c>
      <c r="X49" s="19" t="s">
        <v>53</v>
      </c>
      <c r="Y49" s="20" t="s">
        <v>54</v>
      </c>
      <c r="Z49" s="3" t="s">
        <v>55</v>
      </c>
      <c r="AA49" s="3" t="s">
        <v>56</v>
      </c>
      <c r="AB49" s="3" t="s">
        <v>57</v>
      </c>
      <c r="AC49" s="3" t="s">
        <v>58</v>
      </c>
      <c r="AD49" s="3" t="s">
        <v>59</v>
      </c>
      <c r="AE49" s="5"/>
      <c r="AF49" s="5"/>
    </row>
    <row r="50" ht="25.5" customHeight="1">
      <c r="A50" s="35" t="s">
        <v>144</v>
      </c>
      <c r="B50" s="22">
        <v>0.01</v>
      </c>
      <c r="C50" s="28">
        <v>0.01</v>
      </c>
      <c r="D50" s="24" t="s">
        <v>145</v>
      </c>
      <c r="E50" s="5">
        <v>1.0</v>
      </c>
      <c r="F50" s="5" t="s">
        <v>62</v>
      </c>
      <c r="G50" s="5" t="s">
        <v>63</v>
      </c>
      <c r="H50" s="25">
        <v>0.05</v>
      </c>
      <c r="I50" s="25">
        <v>2.0</v>
      </c>
      <c r="J50" s="5" t="s">
        <v>64</v>
      </c>
      <c r="K50" s="5" t="s">
        <v>65</v>
      </c>
      <c r="L50" s="5" t="s">
        <v>146</v>
      </c>
      <c r="M50" s="5">
        <v>0.139094093048611</v>
      </c>
      <c r="N50" s="5" t="s">
        <v>147</v>
      </c>
      <c r="O50" s="5" t="s">
        <v>148</v>
      </c>
      <c r="P50" s="5" t="s">
        <v>149</v>
      </c>
      <c r="Q50" s="5" t="s">
        <v>150</v>
      </c>
      <c r="R50" s="5" t="s">
        <v>151</v>
      </c>
      <c r="S50" s="24" t="s">
        <v>72</v>
      </c>
      <c r="T50" s="36" t="s">
        <v>73</v>
      </c>
      <c r="U50" s="6">
        <v>930000.0</v>
      </c>
      <c r="V50" s="6">
        <v>1200.0</v>
      </c>
      <c r="W50" s="5">
        <v>0.36205913978</v>
      </c>
      <c r="X50" s="5">
        <v>0.33</v>
      </c>
      <c r="Y50" s="5" t="s">
        <v>74</v>
      </c>
      <c r="AA50" s="5">
        <f>155331+181384</f>
        <v>336715</v>
      </c>
      <c r="AB50" s="5">
        <f>191+205</f>
        <v>396</v>
      </c>
      <c r="AC50" s="5">
        <f t="shared" ref="AC50:AD50" si="13">U50-AA50</f>
        <v>593285</v>
      </c>
      <c r="AD50" s="5">
        <f t="shared" si="13"/>
        <v>804</v>
      </c>
      <c r="AE50" s="5">
        <v>593285.0</v>
      </c>
      <c r="AF50" s="5">
        <v>804.0</v>
      </c>
    </row>
    <row r="51" ht="25.5" customHeight="1">
      <c r="A51" s="35" t="s">
        <v>144</v>
      </c>
      <c r="B51" s="22">
        <v>0.01</v>
      </c>
      <c r="C51" s="28">
        <v>0.01</v>
      </c>
      <c r="D51" s="24" t="s">
        <v>145</v>
      </c>
      <c r="E51" s="5">
        <v>2.0</v>
      </c>
      <c r="F51" s="5" t="s">
        <v>62</v>
      </c>
      <c r="G51" s="5" t="s">
        <v>63</v>
      </c>
      <c r="H51" s="24">
        <v>0.01</v>
      </c>
      <c r="I51" s="25">
        <v>2.0</v>
      </c>
      <c r="J51" s="5" t="s">
        <v>64</v>
      </c>
      <c r="K51" s="5" t="s">
        <v>65</v>
      </c>
      <c r="L51" s="5" t="s">
        <v>152</v>
      </c>
      <c r="M51" s="5">
        <v>0.270372307753597</v>
      </c>
      <c r="N51" s="5" t="s">
        <v>153</v>
      </c>
      <c r="O51" s="5" t="s">
        <v>154</v>
      </c>
      <c r="P51" s="5" t="s">
        <v>155</v>
      </c>
      <c r="Q51" s="5" t="s">
        <v>156</v>
      </c>
      <c r="R51" s="5" t="s">
        <v>157</v>
      </c>
      <c r="S51" s="24" t="s">
        <v>72</v>
      </c>
      <c r="T51" s="36" t="s">
        <v>73</v>
      </c>
      <c r="U51" s="8">
        <v>930000.0</v>
      </c>
      <c r="V51" s="6">
        <v>1200.0</v>
      </c>
      <c r="W51" s="5">
        <v>0.4194688172</v>
      </c>
      <c r="X51" s="5">
        <v>0.40333333333</v>
      </c>
      <c r="Y51" s="29"/>
      <c r="AA51" s="5">
        <f>160355+ 229751</f>
        <v>390106</v>
      </c>
      <c r="AB51" s="5">
        <f>204+280</f>
        <v>484</v>
      </c>
      <c r="AC51" s="5">
        <f t="shared" ref="AC51:AD51" si="14">U51-AA51</f>
        <v>539894</v>
      </c>
      <c r="AD51" s="5">
        <f t="shared" si="14"/>
        <v>716</v>
      </c>
      <c r="AE51" s="5">
        <v>539894.0</v>
      </c>
      <c r="AF51" s="5">
        <v>716.0</v>
      </c>
    </row>
    <row r="52" ht="27.0" customHeight="1">
      <c r="A52" s="35" t="s">
        <v>144</v>
      </c>
      <c r="B52" s="22">
        <v>0.01</v>
      </c>
      <c r="C52" s="23">
        <v>0.1</v>
      </c>
      <c r="D52" s="24" t="s">
        <v>145</v>
      </c>
      <c r="E52" s="5">
        <v>3.0</v>
      </c>
      <c r="F52" s="5" t="s">
        <v>62</v>
      </c>
      <c r="G52" s="5" t="s">
        <v>63</v>
      </c>
      <c r="H52" s="24">
        <v>0.01</v>
      </c>
      <c r="I52" s="25">
        <v>2.0</v>
      </c>
      <c r="J52" s="5" t="s">
        <v>64</v>
      </c>
      <c r="K52" s="5" t="s">
        <v>65</v>
      </c>
      <c r="L52" s="5" t="s">
        <v>158</v>
      </c>
      <c r="M52" s="5">
        <v>0.344258351469083</v>
      </c>
      <c r="N52" s="5" t="s">
        <v>159</v>
      </c>
      <c r="O52" s="5" t="s">
        <v>160</v>
      </c>
      <c r="P52" s="5" t="s">
        <v>161</v>
      </c>
      <c r="Q52" s="5" t="s">
        <v>162</v>
      </c>
      <c r="R52" s="5" t="s">
        <v>163</v>
      </c>
      <c r="S52" s="24" t="s">
        <v>72</v>
      </c>
      <c r="T52" s="36" t="s">
        <v>73</v>
      </c>
      <c r="U52" s="8">
        <v>930000.0</v>
      </c>
      <c r="V52" s="6">
        <v>1200.0</v>
      </c>
      <c r="W52" s="5">
        <v>0.49189677419</v>
      </c>
      <c r="X52" s="5">
        <v>0.41583333333</v>
      </c>
      <c r="Y52" s="29"/>
      <c r="AA52" s="5">
        <f>225992+231472</f>
        <v>457464</v>
      </c>
      <c r="AB52" s="5">
        <f>234+265</f>
        <v>499</v>
      </c>
      <c r="AC52" s="5">
        <f t="shared" ref="AC52:AD52" si="15">U52-AA52</f>
        <v>472536</v>
      </c>
      <c r="AD52" s="5">
        <f t="shared" si="15"/>
        <v>701</v>
      </c>
      <c r="AE52" s="5">
        <v>472536.0</v>
      </c>
      <c r="AF52" s="5">
        <v>701.0</v>
      </c>
    </row>
    <row r="53" ht="27.0" customHeight="1">
      <c r="A53" s="37" t="s">
        <v>164</v>
      </c>
      <c r="B53" s="22">
        <v>0.01</v>
      </c>
      <c r="C53" s="23">
        <v>0.1</v>
      </c>
      <c r="D53" s="24" t="s">
        <v>145</v>
      </c>
      <c r="E53" s="5">
        <v>4.0</v>
      </c>
      <c r="F53" s="5" t="s">
        <v>62</v>
      </c>
      <c r="G53" s="5" t="s">
        <v>63</v>
      </c>
      <c r="H53" s="24">
        <v>0.01</v>
      </c>
      <c r="I53" s="25">
        <v>2.0</v>
      </c>
      <c r="J53" s="5" t="s">
        <v>64</v>
      </c>
      <c r="K53" s="5" t="s">
        <v>65</v>
      </c>
      <c r="L53" s="34" t="s">
        <v>152</v>
      </c>
      <c r="M53" s="5">
        <v>0.18381094453982</v>
      </c>
      <c r="N53" s="5" t="s">
        <v>165</v>
      </c>
      <c r="O53" s="5" t="s">
        <v>166</v>
      </c>
      <c r="P53" s="5" t="s">
        <v>167</v>
      </c>
      <c r="Q53" s="5" t="s">
        <v>168</v>
      </c>
      <c r="R53" s="5" t="s">
        <v>169</v>
      </c>
      <c r="S53" s="24" t="s">
        <v>72</v>
      </c>
      <c r="T53" s="36" t="s">
        <v>73</v>
      </c>
      <c r="U53" s="8">
        <v>1860000.0</v>
      </c>
      <c r="V53" s="8">
        <v>1200.0</v>
      </c>
      <c r="W53" s="5">
        <v>0.34911451612</v>
      </c>
      <c r="X53" s="5">
        <v>0.2925</v>
      </c>
      <c r="Y53" s="9"/>
      <c r="AA53" s="5">
        <f>352551+ 296802</f>
        <v>649353</v>
      </c>
      <c r="AB53" s="5">
        <f>205+146</f>
        <v>351</v>
      </c>
      <c r="AC53" s="5">
        <f t="shared" ref="AC53:AD53" si="16">U53-AA53</f>
        <v>1210647</v>
      </c>
      <c r="AD53" s="5">
        <f t="shared" si="16"/>
        <v>849</v>
      </c>
      <c r="AE53" s="5">
        <v>1210647.0</v>
      </c>
      <c r="AF53" s="5">
        <v>849.0</v>
      </c>
    </row>
    <row r="54" ht="27.0" customHeight="1">
      <c r="A54" s="35" t="s">
        <v>144</v>
      </c>
      <c r="B54" s="30">
        <v>0.05</v>
      </c>
      <c r="C54" s="28">
        <v>0.01</v>
      </c>
      <c r="D54" s="25" t="s">
        <v>170</v>
      </c>
      <c r="E54" s="5">
        <v>5.0</v>
      </c>
      <c r="F54" s="5" t="s">
        <v>62</v>
      </c>
      <c r="G54" s="5" t="s">
        <v>63</v>
      </c>
      <c r="H54" s="24">
        <v>0.01</v>
      </c>
      <c r="I54" s="25">
        <v>2.0</v>
      </c>
      <c r="J54" s="5" t="s">
        <v>64</v>
      </c>
      <c r="K54" s="5" t="s">
        <v>65</v>
      </c>
      <c r="L54" s="5" t="s">
        <v>158</v>
      </c>
      <c r="M54" s="5">
        <v>0.704320121563819</v>
      </c>
      <c r="N54" s="5" t="s">
        <v>171</v>
      </c>
      <c r="O54" s="5" t="s">
        <v>172</v>
      </c>
      <c r="P54" s="5" t="s">
        <v>173</v>
      </c>
      <c r="Q54" s="5" t="s">
        <v>174</v>
      </c>
      <c r="R54" s="5" t="s">
        <v>175</v>
      </c>
      <c r="S54" s="21" t="s">
        <v>73</v>
      </c>
      <c r="T54" s="36" t="s">
        <v>73</v>
      </c>
      <c r="U54" s="6">
        <v>620000.0</v>
      </c>
      <c r="V54" s="8">
        <v>800.0</v>
      </c>
      <c r="W54" s="5">
        <v>0.23640967741</v>
      </c>
      <c r="X54" s="5">
        <v>0.2325</v>
      </c>
      <c r="Y54" s="29"/>
      <c r="AA54" s="5">
        <f>77673+ 68901</f>
        <v>146574</v>
      </c>
      <c r="AB54" s="5">
        <f>92+94</f>
        <v>186</v>
      </c>
      <c r="AC54" s="5">
        <f t="shared" ref="AC54:AD54" si="17">U54-AA54</f>
        <v>473426</v>
      </c>
      <c r="AD54" s="5">
        <f t="shared" si="17"/>
        <v>614</v>
      </c>
      <c r="AE54" s="5">
        <v>473426.0</v>
      </c>
      <c r="AF54" s="5">
        <v>614.0</v>
      </c>
    </row>
    <row r="55" ht="27.0" customHeight="1">
      <c r="A55" s="35" t="s">
        <v>144</v>
      </c>
      <c r="B55" s="30">
        <v>0.05</v>
      </c>
      <c r="C55" s="23">
        <v>0.1</v>
      </c>
      <c r="D55" s="25" t="s">
        <v>170</v>
      </c>
      <c r="E55" s="5">
        <v>6.0</v>
      </c>
      <c r="F55" s="5" t="s">
        <v>62</v>
      </c>
      <c r="G55" s="5" t="s">
        <v>63</v>
      </c>
      <c r="H55" s="24">
        <v>0.01</v>
      </c>
      <c r="I55" s="25">
        <v>2.0</v>
      </c>
      <c r="J55" s="5" t="s">
        <v>64</v>
      </c>
      <c r="K55" s="5" t="s">
        <v>65</v>
      </c>
      <c r="L55" s="5" t="s">
        <v>158</v>
      </c>
      <c r="M55" s="5">
        <v>0.737474480310674</v>
      </c>
      <c r="N55" s="5" t="s">
        <v>176</v>
      </c>
      <c r="O55" s="5" t="s">
        <v>177</v>
      </c>
      <c r="P55" s="5" t="s">
        <v>178</v>
      </c>
      <c r="Q55" s="5" t="s">
        <v>179</v>
      </c>
      <c r="R55" s="5" t="s">
        <v>180</v>
      </c>
      <c r="S55" s="21" t="s">
        <v>73</v>
      </c>
      <c r="T55" s="36" t="s">
        <v>73</v>
      </c>
      <c r="U55" s="8">
        <v>620000.0</v>
      </c>
      <c r="V55" s="8">
        <v>800.0</v>
      </c>
      <c r="W55" s="5">
        <v>0.29160645161</v>
      </c>
      <c r="X55" s="5">
        <v>0.26375</v>
      </c>
      <c r="Y55" s="29"/>
      <c r="AA55" s="5">
        <f>103129+77667</f>
        <v>180796</v>
      </c>
      <c r="AB55" s="5">
        <f>122+89</f>
        <v>211</v>
      </c>
      <c r="AC55" s="5">
        <f t="shared" ref="AC55:AD55" si="18">U55-AA55</f>
        <v>439204</v>
      </c>
      <c r="AD55" s="5">
        <f t="shared" si="18"/>
        <v>589</v>
      </c>
      <c r="AE55" s="5">
        <v>439204.0</v>
      </c>
      <c r="AF55" s="5">
        <v>589.0</v>
      </c>
    </row>
    <row r="56" ht="27.0" customHeight="1">
      <c r="A56" s="35" t="s">
        <v>144</v>
      </c>
      <c r="B56" s="30">
        <v>0.05</v>
      </c>
      <c r="C56" s="23">
        <v>0.1</v>
      </c>
      <c r="D56" s="25" t="s">
        <v>170</v>
      </c>
      <c r="E56" s="5">
        <v>7.0</v>
      </c>
      <c r="F56" s="5" t="s">
        <v>62</v>
      </c>
      <c r="G56" s="5" t="s">
        <v>63</v>
      </c>
      <c r="H56" s="31">
        <v>0.005</v>
      </c>
      <c r="I56" s="25">
        <v>2.0</v>
      </c>
      <c r="J56" s="5" t="s">
        <v>64</v>
      </c>
      <c r="K56" s="5" t="s">
        <v>65</v>
      </c>
      <c r="L56" s="5" t="s">
        <v>114</v>
      </c>
      <c r="M56" s="5">
        <v>0.462860141036199</v>
      </c>
      <c r="N56" s="5" t="s">
        <v>159</v>
      </c>
      <c r="O56" s="5" t="s">
        <v>181</v>
      </c>
      <c r="P56" s="5" t="s">
        <v>182</v>
      </c>
      <c r="Q56" s="5" t="s">
        <v>183</v>
      </c>
      <c r="R56" s="5" t="s">
        <v>184</v>
      </c>
      <c r="S56" s="21" t="s">
        <v>73</v>
      </c>
      <c r="T56" s="36" t="s">
        <v>73</v>
      </c>
      <c r="U56" s="8">
        <v>620000.0</v>
      </c>
      <c r="V56" s="8">
        <v>800.0</v>
      </c>
      <c r="W56" s="5">
        <v>0.35694838709</v>
      </c>
      <c r="X56" s="5">
        <v>0.2575</v>
      </c>
      <c r="Y56" s="29"/>
      <c r="AA56" s="5">
        <f>131901+89407</f>
        <v>221308</v>
      </c>
      <c r="AB56" s="5">
        <f>146+60</f>
        <v>206</v>
      </c>
      <c r="AC56" s="5">
        <f t="shared" ref="AC56:AD56" si="19">U56-AA56</f>
        <v>398692</v>
      </c>
      <c r="AD56" s="5">
        <f t="shared" si="19"/>
        <v>594</v>
      </c>
      <c r="AE56" s="5">
        <v>398692.0</v>
      </c>
      <c r="AF56" s="5">
        <v>594.0</v>
      </c>
    </row>
    <row r="57" ht="27.0" customHeight="1">
      <c r="A57" s="35" t="s">
        <v>144</v>
      </c>
      <c r="B57" s="30">
        <v>0.05</v>
      </c>
      <c r="C57" s="30">
        <v>0.05</v>
      </c>
      <c r="D57" s="25" t="s">
        <v>170</v>
      </c>
      <c r="E57" s="5">
        <v>8.0</v>
      </c>
      <c r="F57" s="5" t="s">
        <v>62</v>
      </c>
      <c r="G57" s="5" t="s">
        <v>63</v>
      </c>
      <c r="H57" s="31">
        <v>0.005</v>
      </c>
      <c r="I57" s="25">
        <v>2.0</v>
      </c>
      <c r="J57" s="5" t="s">
        <v>64</v>
      </c>
      <c r="K57" s="5" t="s">
        <v>65</v>
      </c>
      <c r="L57" s="34" t="s">
        <v>185</v>
      </c>
      <c r="M57" s="5">
        <v>0.578406312437427</v>
      </c>
      <c r="N57" s="5" t="s">
        <v>186</v>
      </c>
      <c r="O57" s="5" t="s">
        <v>187</v>
      </c>
      <c r="P57" s="5" t="s">
        <v>188</v>
      </c>
      <c r="Q57" s="5" t="s">
        <v>189</v>
      </c>
      <c r="R57" s="5" t="s">
        <v>190</v>
      </c>
      <c r="S57" s="21" t="s">
        <v>73</v>
      </c>
      <c r="T57" s="36" t="s">
        <v>73</v>
      </c>
      <c r="U57" s="8">
        <v>620000.0</v>
      </c>
      <c r="V57" s="8">
        <v>800.0</v>
      </c>
      <c r="W57" s="5">
        <v>0.26645806451</v>
      </c>
      <c r="X57" s="5">
        <v>0.19875</v>
      </c>
      <c r="AA57" s="5">
        <f>83961+81243</f>
        <v>165204</v>
      </c>
      <c r="AB57" s="5">
        <f>111+48</f>
        <v>159</v>
      </c>
      <c r="AC57" s="5">
        <f t="shared" ref="AC57:AD57" si="20">U57-AA57</f>
        <v>454796</v>
      </c>
      <c r="AD57" s="5">
        <f t="shared" si="20"/>
        <v>641</v>
      </c>
      <c r="AE57" s="5">
        <v>454796.0</v>
      </c>
      <c r="AF57" s="5">
        <v>641.0</v>
      </c>
    </row>
    <row r="58" ht="27.0" customHeight="1">
      <c r="A58" s="35" t="s">
        <v>144</v>
      </c>
      <c r="B58" s="32">
        <v>0.005</v>
      </c>
      <c r="C58" s="28">
        <v>0.01</v>
      </c>
      <c r="D58" s="31" t="s">
        <v>191</v>
      </c>
      <c r="E58" s="5">
        <v>9.0</v>
      </c>
      <c r="F58" s="5" t="s">
        <v>62</v>
      </c>
      <c r="G58" s="5" t="s">
        <v>63</v>
      </c>
      <c r="H58" s="24">
        <v>0.01</v>
      </c>
      <c r="I58" s="25">
        <v>2.0</v>
      </c>
      <c r="J58" s="5" t="s">
        <v>64</v>
      </c>
      <c r="K58" s="5" t="s">
        <v>65</v>
      </c>
      <c r="L58" s="5" t="s">
        <v>192</v>
      </c>
      <c r="M58" s="5">
        <v>0.339528292583024</v>
      </c>
      <c r="N58" s="5" t="s">
        <v>89</v>
      </c>
      <c r="O58" s="5" t="s">
        <v>193</v>
      </c>
      <c r="P58" s="5" t="s">
        <v>194</v>
      </c>
      <c r="Q58" s="5" t="s">
        <v>195</v>
      </c>
      <c r="R58" s="5" t="s">
        <v>196</v>
      </c>
      <c r="S58" s="21" t="s">
        <v>73</v>
      </c>
      <c r="T58" s="36" t="s">
        <v>73</v>
      </c>
      <c r="U58" s="6">
        <v>465000.0</v>
      </c>
      <c r="V58" s="6">
        <v>600.0</v>
      </c>
      <c r="W58" s="5">
        <v>0.4298344086</v>
      </c>
      <c r="X58" s="5">
        <v>0.415</v>
      </c>
      <c r="AA58" s="5">
        <f t="shared" ref="AA58:AA59" si="22">96920+102953</f>
        <v>199873</v>
      </c>
      <c r="AB58" s="5">
        <f t="shared" ref="AB58:AB59" si="23">84+165</f>
        <v>249</v>
      </c>
      <c r="AC58" s="5">
        <f t="shared" ref="AC58:AD58" si="21">U58-AA58</f>
        <v>265127</v>
      </c>
      <c r="AD58" s="5">
        <f t="shared" si="21"/>
        <v>351</v>
      </c>
      <c r="AE58" s="5">
        <v>265127.0</v>
      </c>
      <c r="AF58" s="5">
        <v>351.0</v>
      </c>
    </row>
    <row r="59" ht="27.0" customHeight="1">
      <c r="A59" s="35" t="s">
        <v>144</v>
      </c>
      <c r="B59" s="32">
        <v>0.005</v>
      </c>
      <c r="C59" s="28">
        <v>0.01</v>
      </c>
      <c r="D59" s="31" t="s">
        <v>191</v>
      </c>
      <c r="E59" s="5">
        <v>10.0</v>
      </c>
      <c r="F59" s="5" t="s">
        <v>62</v>
      </c>
      <c r="G59" s="5" t="s">
        <v>63</v>
      </c>
      <c r="H59" s="24">
        <v>0.01</v>
      </c>
      <c r="I59" s="25">
        <v>2.0</v>
      </c>
      <c r="J59" s="5" t="s">
        <v>64</v>
      </c>
      <c r="K59" s="5" t="s">
        <v>65</v>
      </c>
      <c r="L59" s="5" t="s">
        <v>192</v>
      </c>
      <c r="M59" s="5">
        <v>0.339528292583024</v>
      </c>
      <c r="N59" s="5" t="s">
        <v>89</v>
      </c>
      <c r="O59" s="5" t="s">
        <v>193</v>
      </c>
      <c r="P59" s="5" t="s">
        <v>194</v>
      </c>
      <c r="Q59" s="5" t="s">
        <v>195</v>
      </c>
      <c r="R59" s="5" t="s">
        <v>196</v>
      </c>
      <c r="S59" s="21" t="s">
        <v>73</v>
      </c>
      <c r="T59" s="36" t="s">
        <v>73</v>
      </c>
      <c r="U59" s="6">
        <v>465000.0</v>
      </c>
      <c r="V59" s="6">
        <v>600.0</v>
      </c>
      <c r="W59" s="5">
        <v>0.4298344086</v>
      </c>
      <c r="X59" s="5">
        <v>0.415</v>
      </c>
      <c r="AA59" s="5">
        <f t="shared" si="22"/>
        <v>199873</v>
      </c>
      <c r="AB59" s="5">
        <f t="shared" si="23"/>
        <v>249</v>
      </c>
      <c r="AC59" s="5">
        <f t="shared" ref="AC59:AD59" si="24">U59-AA59</f>
        <v>265127</v>
      </c>
      <c r="AD59" s="5">
        <f t="shared" si="24"/>
        <v>351</v>
      </c>
      <c r="AE59" s="5">
        <v>265127.0</v>
      </c>
      <c r="AF59" s="5">
        <v>351.0</v>
      </c>
    </row>
    <row r="60" ht="27.0" customHeight="1">
      <c r="A60" s="35" t="s">
        <v>144</v>
      </c>
      <c r="B60" s="32">
        <v>0.005</v>
      </c>
      <c r="C60" s="23">
        <v>0.1</v>
      </c>
      <c r="D60" s="31" t="s">
        <v>191</v>
      </c>
      <c r="E60" s="5">
        <v>11.0</v>
      </c>
      <c r="F60" s="5" t="s">
        <v>62</v>
      </c>
      <c r="G60" s="5" t="s">
        <v>63</v>
      </c>
      <c r="H60" s="24">
        <v>0.01</v>
      </c>
      <c r="I60" s="25">
        <v>2.0</v>
      </c>
      <c r="J60" s="5" t="s">
        <v>64</v>
      </c>
      <c r="K60" s="5" t="s">
        <v>65</v>
      </c>
      <c r="L60" s="5" t="s">
        <v>81</v>
      </c>
      <c r="M60" s="5">
        <v>0.367188738915525</v>
      </c>
      <c r="N60" s="5" t="s">
        <v>197</v>
      </c>
      <c r="O60" s="5" t="s">
        <v>198</v>
      </c>
      <c r="P60" s="5" t="s">
        <v>199</v>
      </c>
      <c r="Q60" s="5" t="s">
        <v>200</v>
      </c>
      <c r="R60" s="5" t="s">
        <v>201</v>
      </c>
      <c r="S60" s="21" t="s">
        <v>73</v>
      </c>
      <c r="T60" s="36" t="s">
        <v>73</v>
      </c>
      <c r="U60" s="6">
        <v>465000.0</v>
      </c>
      <c r="V60" s="6">
        <v>600.0</v>
      </c>
      <c r="W60" s="5">
        <v>0.71905806451</v>
      </c>
      <c r="X60" s="5">
        <v>0.715</v>
      </c>
      <c r="AA60" s="5">
        <f>154607+179755</f>
        <v>334362</v>
      </c>
      <c r="AB60" s="5">
        <f>194+235</f>
        <v>429</v>
      </c>
      <c r="AC60" s="5">
        <f t="shared" ref="AC60:AD60" si="25">U60-AA60</f>
        <v>130638</v>
      </c>
      <c r="AD60" s="5">
        <f t="shared" si="25"/>
        <v>171</v>
      </c>
      <c r="AE60" s="5">
        <v>130638.0</v>
      </c>
      <c r="AF60" s="5">
        <v>171.0</v>
      </c>
    </row>
    <row r="61" ht="27.0" customHeight="1">
      <c r="A61" s="37" t="s">
        <v>164</v>
      </c>
      <c r="B61" s="32">
        <v>0.005</v>
      </c>
      <c r="C61" s="23">
        <v>0.1</v>
      </c>
      <c r="D61" s="31" t="s">
        <v>191</v>
      </c>
      <c r="E61" s="5">
        <v>12.0</v>
      </c>
      <c r="F61" s="5" t="s">
        <v>62</v>
      </c>
      <c r="G61" s="5" t="s">
        <v>63</v>
      </c>
      <c r="H61" s="24">
        <v>0.01</v>
      </c>
      <c r="I61" s="25">
        <v>2.0</v>
      </c>
      <c r="J61" s="5" t="s">
        <v>64</v>
      </c>
      <c r="K61" s="5" t="s">
        <v>65</v>
      </c>
      <c r="L61" s="5" t="s">
        <v>202</v>
      </c>
      <c r="M61" s="5">
        <v>0.765184120359349</v>
      </c>
      <c r="N61" s="5" t="s">
        <v>203</v>
      </c>
      <c r="O61" s="5" t="s">
        <v>204</v>
      </c>
      <c r="P61" s="5" t="s">
        <v>205</v>
      </c>
      <c r="Q61" s="5" t="s">
        <v>206</v>
      </c>
      <c r="R61" s="5" t="s">
        <v>207</v>
      </c>
      <c r="S61" s="21" t="s">
        <v>73</v>
      </c>
      <c r="T61" s="36" t="s">
        <v>73</v>
      </c>
      <c r="U61" s="6">
        <v>930000.0</v>
      </c>
      <c r="V61" s="6">
        <v>600.0</v>
      </c>
      <c r="W61" s="5">
        <v>0.77140430107</v>
      </c>
      <c r="X61" s="5">
        <v>0.78666666666</v>
      </c>
      <c r="AA61" s="5">
        <f>363411+353995</f>
        <v>717406</v>
      </c>
      <c r="AB61" s="5">
        <f>252+220</f>
        <v>472</v>
      </c>
      <c r="AC61" s="5">
        <f t="shared" ref="AC61:AD61" si="26">U61-AA61</f>
        <v>212594</v>
      </c>
      <c r="AD61" s="5">
        <f t="shared" si="26"/>
        <v>128</v>
      </c>
      <c r="AE61" s="5">
        <v>212594.0</v>
      </c>
      <c r="AF61" s="5">
        <v>128.0</v>
      </c>
    </row>
    <row r="62">
      <c r="U62" s="38"/>
    </row>
    <row r="63">
      <c r="A63" s="5" t="s">
        <v>208</v>
      </c>
      <c r="U63" s="38"/>
    </row>
    <row r="64">
      <c r="A64" s="3" t="s">
        <v>1</v>
      </c>
      <c r="B64" s="3" t="s">
        <v>32</v>
      </c>
      <c r="C64" s="3" t="s">
        <v>33</v>
      </c>
      <c r="D64" s="3" t="s">
        <v>34</v>
      </c>
      <c r="E64" s="3" t="s">
        <v>35</v>
      </c>
      <c r="F64" s="3" t="s">
        <v>36</v>
      </c>
      <c r="G64" s="3" t="s">
        <v>37</v>
      </c>
      <c r="H64" s="3" t="s">
        <v>38</v>
      </c>
      <c r="I64" s="3" t="s">
        <v>39</v>
      </c>
      <c r="J64" s="3" t="s">
        <v>40</v>
      </c>
      <c r="K64" s="3" t="s">
        <v>41</v>
      </c>
      <c r="L64" s="3" t="s">
        <v>42</v>
      </c>
      <c r="M64" s="3" t="s">
        <v>43</v>
      </c>
      <c r="N64" s="3" t="s">
        <v>14</v>
      </c>
      <c r="O64" s="19" t="s">
        <v>44</v>
      </c>
      <c r="P64" s="19" t="s">
        <v>45</v>
      </c>
      <c r="Q64" s="19" t="s">
        <v>46</v>
      </c>
      <c r="R64" s="19" t="s">
        <v>47</v>
      </c>
      <c r="S64" s="19" t="s">
        <v>48</v>
      </c>
      <c r="T64" s="19" t="s">
        <v>49</v>
      </c>
      <c r="U64" s="39" t="s">
        <v>50</v>
      </c>
      <c r="V64" s="19" t="s">
        <v>51</v>
      </c>
      <c r="W64" s="19" t="s">
        <v>52</v>
      </c>
      <c r="X64" s="19" t="s">
        <v>53</v>
      </c>
      <c r="Y64" s="20" t="s">
        <v>54</v>
      </c>
      <c r="Z64" s="3" t="s">
        <v>55</v>
      </c>
      <c r="AA64" s="3" t="s">
        <v>56</v>
      </c>
      <c r="AB64" s="3" t="s">
        <v>57</v>
      </c>
      <c r="AC64" s="3" t="s">
        <v>58</v>
      </c>
      <c r="AD64" s="3" t="s">
        <v>59</v>
      </c>
    </row>
    <row r="65" ht="28.5" customHeight="1">
      <c r="A65" s="40" t="s">
        <v>209</v>
      </c>
      <c r="B65" s="22">
        <v>0.01</v>
      </c>
      <c r="C65" s="23">
        <v>0.1</v>
      </c>
      <c r="D65" s="24" t="s">
        <v>210</v>
      </c>
      <c r="E65" s="5">
        <v>1.0</v>
      </c>
      <c r="F65" s="5" t="s">
        <v>62</v>
      </c>
      <c r="G65" s="5" t="s">
        <v>63</v>
      </c>
      <c r="H65" s="24">
        <v>0.01</v>
      </c>
      <c r="I65" s="25">
        <v>2.0</v>
      </c>
      <c r="J65" s="5" t="s">
        <v>64</v>
      </c>
      <c r="K65" s="5" t="s">
        <v>65</v>
      </c>
      <c r="L65" s="34" t="s">
        <v>211</v>
      </c>
      <c r="M65" s="5">
        <v>0.152424344297858</v>
      </c>
      <c r="N65" s="5" t="s">
        <v>212</v>
      </c>
      <c r="O65" s="5" t="s">
        <v>213</v>
      </c>
      <c r="P65" s="5" t="s">
        <v>214</v>
      </c>
      <c r="Q65" s="5" t="s">
        <v>215</v>
      </c>
      <c r="R65" s="5" t="s">
        <v>216</v>
      </c>
      <c r="S65" s="24" t="s">
        <v>72</v>
      </c>
      <c r="T65" s="36" t="s">
        <v>73</v>
      </c>
      <c r="U65" s="6">
        <v>2268000.0</v>
      </c>
      <c r="V65" s="8">
        <v>2520.0</v>
      </c>
      <c r="W65" s="5">
        <v>0.34730335097</v>
      </c>
      <c r="X65" s="5">
        <v>0.29484126984</v>
      </c>
      <c r="Y65" s="5" t="s">
        <v>74</v>
      </c>
      <c r="AA65" s="5">
        <f>381485+406199</f>
        <v>787684</v>
      </c>
      <c r="AB65" s="5">
        <f>298+445</f>
        <v>743</v>
      </c>
      <c r="AC65" s="27">
        <f t="shared" ref="AC65:AD65" si="27">U65-AA65</f>
        <v>1480316</v>
      </c>
      <c r="AD65" s="27">
        <f t="shared" si="27"/>
        <v>1777</v>
      </c>
    </row>
    <row r="66" ht="27.75" customHeight="1">
      <c r="A66" s="40" t="s">
        <v>209</v>
      </c>
      <c r="B66" s="22">
        <v>0.01</v>
      </c>
      <c r="C66" s="30">
        <v>0.05</v>
      </c>
      <c r="D66" s="24" t="s">
        <v>210</v>
      </c>
      <c r="E66" s="5">
        <v>2.0</v>
      </c>
      <c r="F66" s="5" t="s">
        <v>62</v>
      </c>
      <c r="G66" s="5" t="s">
        <v>63</v>
      </c>
      <c r="H66" s="24">
        <v>0.01</v>
      </c>
      <c r="I66" s="25">
        <v>2.0</v>
      </c>
      <c r="J66" s="5" t="s">
        <v>64</v>
      </c>
      <c r="K66" s="5" t="s">
        <v>65</v>
      </c>
      <c r="L66" s="5" t="s">
        <v>217</v>
      </c>
      <c r="M66" s="5">
        <v>0.209545802545794</v>
      </c>
      <c r="N66" s="5" t="s">
        <v>218</v>
      </c>
      <c r="O66" s="5" t="s">
        <v>219</v>
      </c>
      <c r="P66" s="5" t="s">
        <v>220</v>
      </c>
      <c r="Q66" s="5" t="s">
        <v>221</v>
      </c>
      <c r="R66" s="5" t="s">
        <v>222</v>
      </c>
      <c r="S66" s="24" t="s">
        <v>72</v>
      </c>
      <c r="T66" s="36" t="s">
        <v>73</v>
      </c>
      <c r="U66" s="8">
        <v>2268000.0</v>
      </c>
      <c r="V66" s="8">
        <v>2520.0</v>
      </c>
      <c r="W66" s="5">
        <v>0.31355246913</v>
      </c>
      <c r="X66" s="5">
        <v>0.28611111111</v>
      </c>
      <c r="AA66" s="5">
        <f>419558+ 291579</f>
        <v>711137</v>
      </c>
      <c r="AB66" s="5">
        <f>488+233</f>
        <v>721</v>
      </c>
      <c r="AC66" s="27">
        <f t="shared" ref="AC66:AD66" si="28">U66-AA66</f>
        <v>1556863</v>
      </c>
      <c r="AD66" s="27">
        <f t="shared" si="28"/>
        <v>1799</v>
      </c>
    </row>
    <row r="67" ht="31.5" customHeight="1">
      <c r="A67" s="40" t="s">
        <v>209</v>
      </c>
      <c r="B67" s="22">
        <v>0.01</v>
      </c>
      <c r="C67" s="23">
        <v>0.1</v>
      </c>
      <c r="D67" s="24" t="s">
        <v>210</v>
      </c>
      <c r="E67" s="5">
        <v>3.0</v>
      </c>
      <c r="F67" s="5" t="s">
        <v>62</v>
      </c>
      <c r="G67" s="5" t="s">
        <v>63</v>
      </c>
      <c r="H67" s="25">
        <v>0.05</v>
      </c>
      <c r="I67" s="25">
        <v>2.0</v>
      </c>
      <c r="J67" s="5" t="s">
        <v>64</v>
      </c>
      <c r="K67" s="5" t="s">
        <v>65</v>
      </c>
      <c r="L67" s="5" t="s">
        <v>223</v>
      </c>
      <c r="M67" s="5">
        <v>0.276264242502485</v>
      </c>
      <c r="N67" s="5" t="s">
        <v>224</v>
      </c>
      <c r="O67" s="5" t="s">
        <v>225</v>
      </c>
      <c r="P67" s="5" t="s">
        <v>226</v>
      </c>
      <c r="Q67" s="5" t="s">
        <v>227</v>
      </c>
      <c r="R67" s="5" t="s">
        <v>228</v>
      </c>
      <c r="S67" s="24" t="s">
        <v>72</v>
      </c>
      <c r="T67" s="36" t="s">
        <v>73</v>
      </c>
      <c r="U67" s="8">
        <v>2268000.0</v>
      </c>
      <c r="V67" s="8">
        <v>2520.0</v>
      </c>
      <c r="W67" s="5">
        <v>0.32005070546</v>
      </c>
      <c r="X67" s="5">
        <v>0.24523809523</v>
      </c>
      <c r="AA67" s="5">
        <f>407596+318279</f>
        <v>725875</v>
      </c>
      <c r="AB67" s="5">
        <f>352+266</f>
        <v>618</v>
      </c>
      <c r="AC67" s="27">
        <f t="shared" ref="AC67:AD67" si="29">U67-AA67</f>
        <v>1542125</v>
      </c>
      <c r="AD67" s="27">
        <f t="shared" si="29"/>
        <v>1902</v>
      </c>
    </row>
    <row r="68" ht="31.5" customHeight="1">
      <c r="A68" s="40" t="s">
        <v>209</v>
      </c>
      <c r="B68" s="22">
        <v>0.01</v>
      </c>
      <c r="C68" s="23">
        <v>0.1</v>
      </c>
      <c r="D68" s="24" t="s">
        <v>210</v>
      </c>
      <c r="E68" s="5">
        <v>4.0</v>
      </c>
      <c r="F68" s="5" t="s">
        <v>62</v>
      </c>
      <c r="G68" s="5" t="s">
        <v>63</v>
      </c>
      <c r="H68" s="31">
        <v>0.005</v>
      </c>
      <c r="I68" s="25">
        <v>2.0</v>
      </c>
      <c r="J68" s="5" t="s">
        <v>64</v>
      </c>
      <c r="K68" s="5" t="s">
        <v>65</v>
      </c>
      <c r="L68" s="5" t="s">
        <v>229</v>
      </c>
      <c r="M68" s="5">
        <v>0.244964670218083</v>
      </c>
      <c r="N68" s="5" t="s">
        <v>230</v>
      </c>
      <c r="O68" s="5" t="s">
        <v>231</v>
      </c>
      <c r="P68" s="5" t="s">
        <v>232</v>
      </c>
      <c r="Q68" s="5" t="s">
        <v>233</v>
      </c>
      <c r="R68" s="5" t="s">
        <v>234</v>
      </c>
      <c r="S68" s="24" t="s">
        <v>72</v>
      </c>
      <c r="T68" s="36" t="s">
        <v>73</v>
      </c>
      <c r="U68" s="8">
        <v>2268000.0</v>
      </c>
      <c r="V68" s="8">
        <v>2520.0</v>
      </c>
      <c r="W68" s="5">
        <v>0.42594312169</v>
      </c>
      <c r="X68" s="5">
        <v>0.3873015873</v>
      </c>
      <c r="AA68" s="33">
        <f>505575+460464</f>
        <v>966039</v>
      </c>
      <c r="AB68" s="5">
        <f>582+394</f>
        <v>976</v>
      </c>
      <c r="AC68" s="27">
        <f t="shared" ref="AC68:AD68" si="30">U68-AA68</f>
        <v>1301961</v>
      </c>
      <c r="AD68" s="27">
        <f t="shared" si="30"/>
        <v>1544</v>
      </c>
    </row>
    <row r="69" ht="31.5" customHeight="1">
      <c r="A69" s="40" t="s">
        <v>209</v>
      </c>
      <c r="B69" s="30">
        <v>0.05</v>
      </c>
      <c r="C69" s="23">
        <v>0.1</v>
      </c>
      <c r="D69" s="25" t="s">
        <v>235</v>
      </c>
      <c r="E69" s="5">
        <v>5.0</v>
      </c>
      <c r="F69" s="5" t="s">
        <v>62</v>
      </c>
      <c r="G69" s="5" t="s">
        <v>63</v>
      </c>
      <c r="H69" s="31">
        <v>0.005</v>
      </c>
      <c r="I69" s="25">
        <v>2.0</v>
      </c>
      <c r="J69" s="5" t="s">
        <v>64</v>
      </c>
      <c r="K69" s="5" t="s">
        <v>65</v>
      </c>
      <c r="L69" s="5" t="s">
        <v>236</v>
      </c>
      <c r="M69" s="5">
        <v>1.025764535593</v>
      </c>
      <c r="N69" s="5" t="s">
        <v>237</v>
      </c>
      <c r="O69" s="5" t="s">
        <v>238</v>
      </c>
      <c r="P69" s="5" t="s">
        <v>239</v>
      </c>
      <c r="Q69" s="5" t="s">
        <v>240</v>
      </c>
      <c r="R69" s="5" t="s">
        <v>241</v>
      </c>
      <c r="S69" s="24" t="s">
        <v>72</v>
      </c>
      <c r="T69" s="36" t="s">
        <v>73</v>
      </c>
      <c r="U69" s="6">
        <v>1512000.0</v>
      </c>
      <c r="V69" s="6">
        <v>1680.0</v>
      </c>
      <c r="W69" s="5">
        <v>0.4478531746</v>
      </c>
      <c r="X69" s="5">
        <v>0.35357142857</v>
      </c>
      <c r="AA69" s="5">
        <f>424271+252883</f>
        <v>677154</v>
      </c>
      <c r="AB69" s="5">
        <f>422+172</f>
        <v>594</v>
      </c>
      <c r="AC69" s="27">
        <f t="shared" ref="AC69:AD69" si="31">U69-AA69</f>
        <v>834846</v>
      </c>
      <c r="AD69" s="27">
        <f t="shared" si="31"/>
        <v>1086</v>
      </c>
    </row>
    <row r="70" ht="31.5" customHeight="1">
      <c r="A70" s="40" t="s">
        <v>209</v>
      </c>
      <c r="B70" s="30">
        <v>0.05</v>
      </c>
      <c r="C70" s="28">
        <v>0.01</v>
      </c>
      <c r="D70" s="25" t="s">
        <v>235</v>
      </c>
      <c r="E70" s="5">
        <v>6.0</v>
      </c>
      <c r="F70" s="5" t="s">
        <v>62</v>
      </c>
      <c r="G70" s="5" t="s">
        <v>63</v>
      </c>
      <c r="H70" s="31">
        <v>0.005</v>
      </c>
      <c r="I70" s="25">
        <v>2.0</v>
      </c>
      <c r="J70" s="5" t="s">
        <v>64</v>
      </c>
      <c r="K70" s="5" t="s">
        <v>65</v>
      </c>
      <c r="L70" s="5" t="s">
        <v>242</v>
      </c>
      <c r="M70" s="5">
        <v>0.436142143491565</v>
      </c>
      <c r="N70" s="5" t="s">
        <v>243</v>
      </c>
      <c r="O70" s="5" t="s">
        <v>244</v>
      </c>
      <c r="P70" s="5" t="s">
        <v>245</v>
      </c>
      <c r="Q70" s="5" t="s">
        <v>246</v>
      </c>
      <c r="R70" s="5" t="s">
        <v>247</v>
      </c>
      <c r="S70" s="24" t="s">
        <v>72</v>
      </c>
      <c r="T70" s="36" t="s">
        <v>73</v>
      </c>
      <c r="U70" s="6">
        <v>1512000.0</v>
      </c>
      <c r="V70" s="8">
        <v>1680.0</v>
      </c>
      <c r="W70" s="5">
        <v>0.22884920634</v>
      </c>
      <c r="X70" s="5">
        <v>0.24702380952</v>
      </c>
      <c r="AA70" s="5">
        <f>178406+167614</f>
        <v>346020</v>
      </c>
      <c r="AB70" s="5">
        <f>214+201</f>
        <v>415</v>
      </c>
      <c r="AC70" s="27">
        <f t="shared" ref="AC70:AD70" si="32">U70-AA70</f>
        <v>1165980</v>
      </c>
      <c r="AD70" s="27">
        <f t="shared" si="32"/>
        <v>1265</v>
      </c>
    </row>
    <row r="71" ht="31.5" customHeight="1">
      <c r="A71" s="40" t="s">
        <v>209</v>
      </c>
      <c r="B71" s="30">
        <v>0.05</v>
      </c>
      <c r="C71" s="30">
        <v>0.05</v>
      </c>
      <c r="D71" s="25" t="s">
        <v>235</v>
      </c>
      <c r="E71" s="5">
        <v>7.0</v>
      </c>
      <c r="F71" s="5" t="s">
        <v>62</v>
      </c>
      <c r="G71" s="5" t="s">
        <v>63</v>
      </c>
      <c r="H71" s="31">
        <v>0.005</v>
      </c>
      <c r="I71" s="25">
        <v>2.0</v>
      </c>
      <c r="J71" s="5" t="s">
        <v>64</v>
      </c>
      <c r="K71" s="5" t="s">
        <v>65</v>
      </c>
      <c r="L71" s="5" t="s">
        <v>248</v>
      </c>
      <c r="M71" s="5">
        <v>1.01683358232556</v>
      </c>
      <c r="N71" s="5" t="s">
        <v>249</v>
      </c>
      <c r="O71" s="5" t="s">
        <v>250</v>
      </c>
      <c r="P71" s="5" t="s">
        <v>251</v>
      </c>
      <c r="Q71" s="5" t="s">
        <v>252</v>
      </c>
      <c r="R71" s="5" t="s">
        <v>253</v>
      </c>
      <c r="S71" s="24" t="s">
        <v>72</v>
      </c>
      <c r="T71" s="36" t="s">
        <v>73</v>
      </c>
      <c r="U71" s="8">
        <v>1512000.0</v>
      </c>
      <c r="V71" s="8">
        <v>1680.0</v>
      </c>
      <c r="W71" s="5">
        <v>0.33799537037</v>
      </c>
      <c r="X71" s="5">
        <v>0.33869047619</v>
      </c>
      <c r="AA71" s="5">
        <f>364530+146519</f>
        <v>511049</v>
      </c>
      <c r="AB71" s="5">
        <f>484+85</f>
        <v>569</v>
      </c>
      <c r="AC71" s="27">
        <f t="shared" ref="AC71:AD71" si="33">U71-AA71</f>
        <v>1000951</v>
      </c>
      <c r="AD71" s="27">
        <f t="shared" si="33"/>
        <v>1111</v>
      </c>
    </row>
    <row r="72" ht="31.5" customHeight="1">
      <c r="A72" s="40" t="s">
        <v>209</v>
      </c>
      <c r="B72" s="30">
        <v>0.05</v>
      </c>
      <c r="C72" s="23">
        <v>0.1</v>
      </c>
      <c r="D72" s="25" t="s">
        <v>235</v>
      </c>
      <c r="E72" s="5">
        <v>8.0</v>
      </c>
      <c r="F72" s="5" t="s">
        <v>62</v>
      </c>
      <c r="G72" s="5" t="s">
        <v>63</v>
      </c>
      <c r="H72" s="24">
        <v>0.01</v>
      </c>
      <c r="I72" s="25">
        <v>2.0</v>
      </c>
      <c r="J72" s="5" t="s">
        <v>64</v>
      </c>
      <c r="K72" s="5" t="s">
        <v>65</v>
      </c>
      <c r="L72" s="5" t="s">
        <v>236</v>
      </c>
      <c r="M72" s="5">
        <v>1.1391666565928</v>
      </c>
      <c r="N72" s="5" t="s">
        <v>254</v>
      </c>
      <c r="O72" s="5" t="s">
        <v>255</v>
      </c>
      <c r="P72" s="5" t="s">
        <v>256</v>
      </c>
      <c r="Q72" s="5" t="s">
        <v>257</v>
      </c>
      <c r="R72" s="5" t="s">
        <v>258</v>
      </c>
      <c r="S72" s="24" t="s">
        <v>72</v>
      </c>
      <c r="T72" s="36" t="s">
        <v>73</v>
      </c>
      <c r="U72" s="6">
        <v>1512000.0</v>
      </c>
      <c r="V72" s="8">
        <v>1680.0</v>
      </c>
      <c r="W72" s="5">
        <v>0.39161111111</v>
      </c>
      <c r="X72" s="5">
        <v>0.33392857142</v>
      </c>
      <c r="AA72" s="5">
        <f>381709+ 210407</f>
        <v>592116</v>
      </c>
      <c r="AB72" s="5">
        <f>436+125</f>
        <v>561</v>
      </c>
      <c r="AC72" s="27">
        <f t="shared" ref="AC72:AD72" si="34">U72-AA72</f>
        <v>919884</v>
      </c>
      <c r="AD72" s="27">
        <f t="shared" si="34"/>
        <v>1119</v>
      </c>
    </row>
    <row r="73" ht="31.5" customHeight="1">
      <c r="A73" s="40" t="s">
        <v>209</v>
      </c>
      <c r="B73" s="30">
        <v>0.05</v>
      </c>
      <c r="C73" s="23">
        <v>0.1</v>
      </c>
      <c r="D73" s="31" t="s">
        <v>259</v>
      </c>
      <c r="E73" s="5">
        <v>9.0</v>
      </c>
      <c r="F73" s="5" t="s">
        <v>62</v>
      </c>
      <c r="G73" s="5" t="s">
        <v>63</v>
      </c>
      <c r="H73" s="24">
        <v>0.01</v>
      </c>
      <c r="I73" s="25">
        <v>2.0</v>
      </c>
      <c r="J73" s="5" t="s">
        <v>64</v>
      </c>
      <c r="K73" s="5" t="s">
        <v>65</v>
      </c>
      <c r="L73" s="5" t="s">
        <v>260</v>
      </c>
      <c r="M73" s="5">
        <v>0.33945106745657</v>
      </c>
      <c r="N73" s="5" t="s">
        <v>261</v>
      </c>
      <c r="O73" s="5" t="s">
        <v>262</v>
      </c>
      <c r="P73" s="5" t="s">
        <v>263</v>
      </c>
      <c r="Q73" s="5" t="s">
        <v>264</v>
      </c>
      <c r="R73" s="5" t="s">
        <v>265</v>
      </c>
      <c r="S73" s="24" t="s">
        <v>72</v>
      </c>
      <c r="T73" s="36" t="s">
        <v>73</v>
      </c>
      <c r="U73" s="6">
        <v>1134000.0</v>
      </c>
      <c r="V73" s="6">
        <v>1260.0</v>
      </c>
      <c r="W73" s="5">
        <v>0.3231340388</v>
      </c>
      <c r="X73" s="5">
        <v>0.32063492063</v>
      </c>
      <c r="AA73" s="5">
        <f>148893+217541</f>
        <v>366434</v>
      </c>
      <c r="AB73" s="5">
        <f>192+212</f>
        <v>404</v>
      </c>
      <c r="AC73" s="27">
        <f t="shared" ref="AC73:AD73" si="35">U73-AA73</f>
        <v>767566</v>
      </c>
      <c r="AD73" s="27">
        <f t="shared" si="35"/>
        <v>856</v>
      </c>
    </row>
    <row r="74" ht="31.5" customHeight="1">
      <c r="A74" s="40" t="s">
        <v>209</v>
      </c>
      <c r="B74" s="30">
        <v>0.05</v>
      </c>
      <c r="C74" s="30">
        <v>0.05</v>
      </c>
      <c r="D74" s="31" t="s">
        <v>259</v>
      </c>
      <c r="E74" s="5">
        <v>10.0</v>
      </c>
      <c r="F74" s="5" t="s">
        <v>62</v>
      </c>
      <c r="G74" s="5" t="s">
        <v>63</v>
      </c>
      <c r="H74" s="24">
        <v>0.01</v>
      </c>
      <c r="I74" s="25">
        <v>2.0</v>
      </c>
      <c r="J74" s="5" t="s">
        <v>64</v>
      </c>
      <c r="K74" s="5" t="s">
        <v>65</v>
      </c>
      <c r="L74" s="5" t="s">
        <v>266</v>
      </c>
      <c r="M74" s="5">
        <v>0.44925574392805</v>
      </c>
      <c r="N74" s="5" t="s">
        <v>267</v>
      </c>
      <c r="O74" s="5" t="s">
        <v>268</v>
      </c>
      <c r="P74" s="5" t="s">
        <v>269</v>
      </c>
      <c r="Q74" s="5" t="s">
        <v>270</v>
      </c>
      <c r="R74" s="5" t="s">
        <v>271</v>
      </c>
      <c r="S74" s="24" t="s">
        <v>72</v>
      </c>
      <c r="T74" s="36" t="s">
        <v>73</v>
      </c>
      <c r="U74" s="8">
        <v>1134000.0</v>
      </c>
      <c r="V74" s="8">
        <v>1260.0</v>
      </c>
      <c r="W74" s="5">
        <v>0.3038068783</v>
      </c>
      <c r="X74" s="5">
        <v>0.27857142857</v>
      </c>
      <c r="AA74" s="5">
        <f>133609+210908</f>
        <v>344517</v>
      </c>
      <c r="AB74" s="5">
        <f>155+196</f>
        <v>351</v>
      </c>
      <c r="AC74" s="27">
        <f t="shared" ref="AC74:AD74" si="36">U74-AA74</f>
        <v>789483</v>
      </c>
      <c r="AD74" s="27">
        <f t="shared" si="36"/>
        <v>909</v>
      </c>
    </row>
    <row r="75" ht="31.5" customHeight="1">
      <c r="A75" s="40" t="s">
        <v>209</v>
      </c>
      <c r="B75" s="30">
        <v>0.05</v>
      </c>
      <c r="C75" s="30">
        <v>0.05</v>
      </c>
      <c r="D75" s="31" t="s">
        <v>259</v>
      </c>
      <c r="E75" s="5">
        <v>11.0</v>
      </c>
      <c r="F75" s="5" t="s">
        <v>62</v>
      </c>
      <c r="G75" s="5" t="s">
        <v>63</v>
      </c>
      <c r="H75" s="31">
        <v>0.005</v>
      </c>
      <c r="I75" s="25">
        <v>2.0</v>
      </c>
      <c r="J75" s="5" t="s">
        <v>64</v>
      </c>
      <c r="K75" s="5" t="s">
        <v>65</v>
      </c>
      <c r="L75" s="5" t="s">
        <v>266</v>
      </c>
      <c r="M75" s="5">
        <v>0.379558557766632</v>
      </c>
      <c r="N75" s="5" t="s">
        <v>272</v>
      </c>
      <c r="O75" s="5" t="s">
        <v>273</v>
      </c>
      <c r="P75" s="5" t="s">
        <v>274</v>
      </c>
      <c r="Q75" s="5" t="s">
        <v>275</v>
      </c>
      <c r="R75" s="5" t="s">
        <v>276</v>
      </c>
      <c r="S75" s="24" t="s">
        <v>72</v>
      </c>
      <c r="T75" s="36" t="s">
        <v>73</v>
      </c>
      <c r="U75" s="8">
        <v>1134000.0</v>
      </c>
      <c r="V75" s="8">
        <v>1260.0</v>
      </c>
      <c r="W75" s="5">
        <v>0.30970811287</v>
      </c>
      <c r="X75" s="5">
        <v>0.27539682539</v>
      </c>
      <c r="Z75" s="5"/>
      <c r="AA75" s="5">
        <f>133363+217846</f>
        <v>351209</v>
      </c>
      <c r="AB75" s="5">
        <f>150+197</f>
        <v>347</v>
      </c>
      <c r="AC75" s="27">
        <f t="shared" ref="AC75:AD75" si="37">U75-AA75</f>
        <v>782791</v>
      </c>
      <c r="AD75" s="27">
        <f t="shared" si="37"/>
        <v>913</v>
      </c>
    </row>
    <row r="76" ht="31.5" customHeight="1">
      <c r="A76" s="40" t="s">
        <v>209</v>
      </c>
      <c r="B76" s="30">
        <v>0.05</v>
      </c>
      <c r="C76" s="28">
        <v>0.01</v>
      </c>
      <c r="D76" s="31" t="s">
        <v>259</v>
      </c>
      <c r="E76" s="5">
        <v>12.0</v>
      </c>
      <c r="F76" s="5" t="s">
        <v>62</v>
      </c>
      <c r="G76" s="5" t="s">
        <v>63</v>
      </c>
      <c r="H76" s="31">
        <v>0.005</v>
      </c>
      <c r="I76" s="25">
        <v>2.0</v>
      </c>
      <c r="J76" s="5" t="s">
        <v>64</v>
      </c>
      <c r="K76" s="5" t="s">
        <v>65</v>
      </c>
      <c r="L76" s="5" t="s">
        <v>277</v>
      </c>
      <c r="M76" s="5">
        <v>0.202667060192189</v>
      </c>
      <c r="N76" s="5" t="s">
        <v>278</v>
      </c>
      <c r="O76" s="5" t="s">
        <v>279</v>
      </c>
      <c r="P76" s="5" t="s">
        <v>280</v>
      </c>
      <c r="Q76" s="5" t="s">
        <v>281</v>
      </c>
      <c r="R76" s="5" t="s">
        <v>282</v>
      </c>
      <c r="S76" s="24" t="s">
        <v>72</v>
      </c>
      <c r="T76" s="36" t="s">
        <v>73</v>
      </c>
      <c r="U76" s="8">
        <v>1134000.0</v>
      </c>
      <c r="V76" s="8">
        <v>1260.0</v>
      </c>
      <c r="W76" s="5">
        <v>0.32284303351</v>
      </c>
      <c r="X76" s="5">
        <v>0.36984126984</v>
      </c>
      <c r="AA76" s="5">
        <f>123752+242352</f>
        <v>366104</v>
      </c>
      <c r="AB76" s="5">
        <f>180+286</f>
        <v>466</v>
      </c>
      <c r="AC76" s="27">
        <f t="shared" ref="AC76:AD76" si="38">U76-AA76</f>
        <v>767896</v>
      </c>
      <c r="AD76" s="27">
        <f t="shared" si="38"/>
        <v>794</v>
      </c>
    </row>
    <row r="77">
      <c r="U77" s="38"/>
    </row>
    <row r="78">
      <c r="A78" s="5" t="s">
        <v>283</v>
      </c>
      <c r="U78" s="38"/>
    </row>
    <row r="79">
      <c r="A79" s="3" t="s">
        <v>1</v>
      </c>
      <c r="B79" s="3" t="s">
        <v>32</v>
      </c>
      <c r="C79" s="3" t="s">
        <v>33</v>
      </c>
      <c r="D79" s="3" t="s">
        <v>34</v>
      </c>
      <c r="E79" s="3" t="s">
        <v>35</v>
      </c>
      <c r="F79" s="3" t="s">
        <v>36</v>
      </c>
      <c r="G79" s="3" t="s">
        <v>37</v>
      </c>
      <c r="H79" s="3" t="s">
        <v>38</v>
      </c>
      <c r="I79" s="3" t="s">
        <v>39</v>
      </c>
      <c r="J79" s="3" t="s">
        <v>40</v>
      </c>
      <c r="K79" s="3" t="s">
        <v>41</v>
      </c>
      <c r="L79" s="3" t="s">
        <v>42</v>
      </c>
      <c r="M79" s="3" t="s">
        <v>43</v>
      </c>
      <c r="N79" s="3" t="s">
        <v>14</v>
      </c>
      <c r="O79" s="19" t="s">
        <v>44</v>
      </c>
      <c r="P79" s="19" t="s">
        <v>45</v>
      </c>
      <c r="Q79" s="19" t="s">
        <v>46</v>
      </c>
      <c r="R79" s="19" t="s">
        <v>47</v>
      </c>
      <c r="S79" s="19" t="s">
        <v>48</v>
      </c>
      <c r="T79" s="19" t="s">
        <v>49</v>
      </c>
      <c r="U79" s="39" t="s">
        <v>50</v>
      </c>
      <c r="V79" s="19" t="s">
        <v>51</v>
      </c>
      <c r="W79" s="19" t="s">
        <v>52</v>
      </c>
      <c r="X79" s="19" t="s">
        <v>53</v>
      </c>
      <c r="Y79" s="20" t="s">
        <v>54</v>
      </c>
      <c r="Z79" s="3" t="s">
        <v>55</v>
      </c>
      <c r="AA79" s="3" t="s">
        <v>56</v>
      </c>
      <c r="AB79" s="3" t="s">
        <v>57</v>
      </c>
      <c r="AC79" s="3" t="s">
        <v>58</v>
      </c>
      <c r="AD79" s="3" t="s">
        <v>59</v>
      </c>
    </row>
    <row r="80" ht="31.5" customHeight="1">
      <c r="A80" s="40" t="s">
        <v>284</v>
      </c>
      <c r="B80" s="22">
        <v>0.01</v>
      </c>
      <c r="C80" s="28">
        <v>0.01</v>
      </c>
      <c r="D80" s="24" t="s">
        <v>285</v>
      </c>
      <c r="E80" s="5">
        <v>1.0</v>
      </c>
      <c r="F80" s="5" t="s">
        <v>62</v>
      </c>
      <c r="G80" s="5" t="s">
        <v>63</v>
      </c>
      <c r="H80" s="31">
        <v>0.005</v>
      </c>
      <c r="I80" s="25">
        <v>2.0</v>
      </c>
      <c r="J80" s="5" t="s">
        <v>64</v>
      </c>
      <c r="K80" s="5" t="s">
        <v>65</v>
      </c>
      <c r="L80" s="5">
        <v>28.57</v>
      </c>
      <c r="M80" s="5">
        <v>1.73161213853222</v>
      </c>
      <c r="N80" s="5" t="s">
        <v>16</v>
      </c>
      <c r="O80" s="5" t="s">
        <v>286</v>
      </c>
      <c r="P80" s="5" t="s">
        <v>287</v>
      </c>
      <c r="Q80" s="5" t="s">
        <v>288</v>
      </c>
      <c r="R80" s="5" t="s">
        <v>289</v>
      </c>
      <c r="S80" s="24" t="s">
        <v>72</v>
      </c>
      <c r="T80" s="36" t="s">
        <v>73</v>
      </c>
      <c r="U80" s="6">
        <v>1890000.0</v>
      </c>
      <c r="V80" s="8">
        <v>2100.0</v>
      </c>
      <c r="W80" s="5">
        <v>0.31221375661</v>
      </c>
      <c r="X80" s="5">
        <v>0.28809523809</v>
      </c>
      <c r="Y80" s="5" t="s">
        <v>74</v>
      </c>
      <c r="AA80" s="5">
        <f>175435+414649</f>
        <v>590084</v>
      </c>
      <c r="AB80" s="5">
        <f>161+444</f>
        <v>605</v>
      </c>
      <c r="AC80" s="27">
        <f t="shared" ref="AC80:AD80" si="39">U80-AA80</f>
        <v>1299916</v>
      </c>
      <c r="AD80" s="27">
        <f t="shared" si="39"/>
        <v>1495</v>
      </c>
    </row>
    <row r="81" ht="31.5" customHeight="1">
      <c r="A81" s="40" t="s">
        <v>284</v>
      </c>
      <c r="B81" s="22">
        <v>0.01</v>
      </c>
      <c r="C81" s="23">
        <v>0.1</v>
      </c>
      <c r="D81" s="24" t="s">
        <v>285</v>
      </c>
      <c r="E81" s="5">
        <v>2.0</v>
      </c>
      <c r="F81" s="5" t="s">
        <v>62</v>
      </c>
      <c r="G81" s="5" t="s">
        <v>63</v>
      </c>
      <c r="H81" s="31">
        <v>0.005</v>
      </c>
      <c r="I81" s="25">
        <v>2.0</v>
      </c>
      <c r="J81" s="5" t="s">
        <v>64</v>
      </c>
      <c r="K81" s="5" t="s">
        <v>65</v>
      </c>
      <c r="L81" s="5">
        <v>17.14</v>
      </c>
      <c r="M81" s="5">
        <v>1.74745525594859</v>
      </c>
      <c r="N81" s="5" t="s">
        <v>17</v>
      </c>
      <c r="O81" s="5" t="s">
        <v>290</v>
      </c>
      <c r="P81" s="5" t="s">
        <v>291</v>
      </c>
      <c r="Q81" s="5" t="s">
        <v>292</v>
      </c>
      <c r="R81" s="5" t="s">
        <v>293</v>
      </c>
      <c r="S81" s="24" t="s">
        <v>72</v>
      </c>
      <c r="T81" s="36" t="s">
        <v>73</v>
      </c>
      <c r="U81" s="8">
        <v>1890000.0</v>
      </c>
      <c r="V81" s="8">
        <v>2100.0</v>
      </c>
      <c r="W81" s="5">
        <v>0.31888730158</v>
      </c>
      <c r="X81" s="5">
        <v>0.30619047619</v>
      </c>
      <c r="AA81" s="5">
        <f>248012+354685</f>
        <v>602697</v>
      </c>
      <c r="AB81" s="5">
        <f>269+374</f>
        <v>643</v>
      </c>
      <c r="AC81" s="27">
        <f t="shared" ref="AC81:AD81" si="40">U81-AA81</f>
        <v>1287303</v>
      </c>
      <c r="AD81" s="27">
        <f t="shared" si="40"/>
        <v>1457</v>
      </c>
    </row>
    <row r="82" ht="31.5" customHeight="1">
      <c r="A82" s="40" t="s">
        <v>284</v>
      </c>
      <c r="B82" s="30">
        <v>0.05</v>
      </c>
      <c r="C82" s="23">
        <v>0.1</v>
      </c>
      <c r="D82" s="24" t="s">
        <v>285</v>
      </c>
      <c r="E82" s="5">
        <v>3.0</v>
      </c>
      <c r="F82" s="5" t="s">
        <v>62</v>
      </c>
      <c r="G82" s="5" t="s">
        <v>63</v>
      </c>
      <c r="H82" s="31">
        <v>0.005</v>
      </c>
      <c r="I82" s="25">
        <v>2.0</v>
      </c>
      <c r="J82" s="5" t="s">
        <v>64</v>
      </c>
      <c r="K82" s="5" t="s">
        <v>65</v>
      </c>
      <c r="L82" s="5">
        <v>8.57</v>
      </c>
      <c r="M82" s="5">
        <v>2.31722256451638</v>
      </c>
      <c r="N82" s="5" t="s">
        <v>18</v>
      </c>
      <c r="O82" s="5" t="s">
        <v>294</v>
      </c>
      <c r="P82" s="5" t="s">
        <v>295</v>
      </c>
      <c r="Q82" s="5" t="s">
        <v>296</v>
      </c>
      <c r="R82" s="5" t="s">
        <v>297</v>
      </c>
      <c r="S82" s="24" t="s">
        <v>72</v>
      </c>
      <c r="T82" s="36" t="s">
        <v>73</v>
      </c>
      <c r="U82" s="8">
        <v>1890000.0</v>
      </c>
      <c r="V82" s="8">
        <v>2100.0</v>
      </c>
      <c r="W82" s="5">
        <v>0.43261428571</v>
      </c>
      <c r="X82" s="5">
        <v>0.45904761904</v>
      </c>
      <c r="AA82" s="5">
        <f>538056+279585</f>
        <v>817641</v>
      </c>
      <c r="AB82" s="5">
        <f>782+182</f>
        <v>964</v>
      </c>
      <c r="AC82" s="27">
        <f t="shared" ref="AC82:AD82" si="41">U82-AA82</f>
        <v>1072359</v>
      </c>
      <c r="AD82" s="27">
        <f t="shared" si="41"/>
        <v>1136</v>
      </c>
    </row>
    <row r="83" ht="31.5" customHeight="1">
      <c r="A83" s="40" t="s">
        <v>284</v>
      </c>
      <c r="B83" s="22">
        <v>0.01</v>
      </c>
      <c r="C83" s="28">
        <v>0.01</v>
      </c>
      <c r="D83" s="24" t="s">
        <v>285</v>
      </c>
      <c r="E83" s="5">
        <v>4.0</v>
      </c>
      <c r="F83" s="5" t="s">
        <v>62</v>
      </c>
      <c r="G83" s="5" t="s">
        <v>63</v>
      </c>
      <c r="H83" s="24">
        <v>0.01</v>
      </c>
      <c r="I83" s="25">
        <v>2.0</v>
      </c>
      <c r="J83" s="5" t="s">
        <v>64</v>
      </c>
      <c r="K83" s="5" t="s">
        <v>65</v>
      </c>
      <c r="L83" s="5">
        <v>31.42</v>
      </c>
      <c r="M83" s="5">
        <v>1.71494363706888</v>
      </c>
      <c r="N83" s="5" t="s">
        <v>19</v>
      </c>
      <c r="O83" s="5" t="s">
        <v>298</v>
      </c>
      <c r="P83" s="5" t="s">
        <v>299</v>
      </c>
      <c r="Q83" s="5" t="s">
        <v>300</v>
      </c>
      <c r="R83" s="5" t="s">
        <v>301</v>
      </c>
      <c r="S83" s="24" t="s">
        <v>72</v>
      </c>
      <c r="T83" s="36" t="s">
        <v>73</v>
      </c>
      <c r="U83" s="8">
        <v>1890000.0</v>
      </c>
      <c r="V83" s="8">
        <v>2100.0</v>
      </c>
      <c r="W83" s="5">
        <v>0.32572592592</v>
      </c>
      <c r="X83" s="5">
        <v>0.16428571428</v>
      </c>
      <c r="AA83" s="5">
        <f>158591+457031</f>
        <v>615622</v>
      </c>
      <c r="AB83" s="5">
        <v>345.0</v>
      </c>
      <c r="AC83" s="27">
        <f t="shared" ref="AC83:AD83" si="42">U83-AA83</f>
        <v>1274378</v>
      </c>
      <c r="AD83" s="27">
        <f t="shared" si="42"/>
        <v>1755</v>
      </c>
    </row>
    <row r="84" ht="31.5" customHeight="1">
      <c r="A84" s="22" t="s">
        <v>302</v>
      </c>
      <c r="B84" s="22">
        <v>0.01</v>
      </c>
      <c r="C84" s="28">
        <v>0.01</v>
      </c>
      <c r="D84" s="24" t="s">
        <v>285</v>
      </c>
      <c r="E84" s="5">
        <v>5.0</v>
      </c>
      <c r="F84" s="5" t="s">
        <v>62</v>
      </c>
      <c r="G84" s="5" t="s">
        <v>63</v>
      </c>
      <c r="H84" s="24">
        <v>0.01</v>
      </c>
      <c r="I84" s="25">
        <v>2.0</v>
      </c>
      <c r="J84" s="5" t="s">
        <v>64</v>
      </c>
      <c r="K84" s="5" t="s">
        <v>65</v>
      </c>
      <c r="L84" s="5">
        <v>17.14</v>
      </c>
      <c r="M84" s="5">
        <v>2.02864542317873</v>
      </c>
      <c r="N84" s="5" t="s">
        <v>20</v>
      </c>
      <c r="O84" s="5" t="s">
        <v>303</v>
      </c>
      <c r="P84" s="5" t="s">
        <v>304</v>
      </c>
      <c r="Q84" s="5" t="s">
        <v>305</v>
      </c>
      <c r="R84" s="5" t="s">
        <v>306</v>
      </c>
      <c r="S84" s="24" t="s">
        <v>72</v>
      </c>
      <c r="T84" s="36" t="s">
        <v>73</v>
      </c>
      <c r="U84" s="8">
        <v>3780000.0</v>
      </c>
      <c r="V84" s="8">
        <v>2100.0</v>
      </c>
      <c r="W84" s="5">
        <v>0.24689867724</v>
      </c>
      <c r="X84" s="5">
        <v>0.07809523809</v>
      </c>
      <c r="AA84" s="5">
        <f>261253+672024</f>
        <v>933277</v>
      </c>
      <c r="AB84" s="5">
        <v>164.0</v>
      </c>
      <c r="AC84" s="27">
        <f t="shared" ref="AC84:AD84" si="43">U84-AA84</f>
        <v>2846723</v>
      </c>
      <c r="AD84" s="27">
        <f t="shared" si="43"/>
        <v>1936</v>
      </c>
    </row>
    <row r="85" ht="31.5" customHeight="1">
      <c r="A85" s="40" t="s">
        <v>284</v>
      </c>
      <c r="B85" s="30">
        <v>0.05</v>
      </c>
      <c r="C85" s="28">
        <v>0.01</v>
      </c>
      <c r="D85" s="25" t="s">
        <v>307</v>
      </c>
      <c r="E85" s="5">
        <v>6.0</v>
      </c>
      <c r="F85" s="5" t="s">
        <v>62</v>
      </c>
      <c r="G85" s="5" t="s">
        <v>63</v>
      </c>
      <c r="H85" s="24">
        <v>0.01</v>
      </c>
      <c r="I85" s="25">
        <v>2.0</v>
      </c>
      <c r="J85" s="5" t="s">
        <v>64</v>
      </c>
      <c r="K85" s="5" t="s">
        <v>65</v>
      </c>
      <c r="L85" s="5">
        <v>40.0</v>
      </c>
      <c r="M85" s="5">
        <v>3.65860224366936</v>
      </c>
      <c r="N85" s="5" t="s">
        <v>21</v>
      </c>
      <c r="O85" s="5" t="s">
        <v>308</v>
      </c>
      <c r="P85" s="5" t="s">
        <v>309</v>
      </c>
      <c r="Q85" s="5" t="s">
        <v>310</v>
      </c>
      <c r="R85" s="5" t="s">
        <v>311</v>
      </c>
      <c r="S85" s="36" t="s">
        <v>73</v>
      </c>
      <c r="T85" s="36" t="s">
        <v>73</v>
      </c>
      <c r="U85" s="8">
        <v>1260000.0</v>
      </c>
      <c r="V85" s="8">
        <v>1400.0</v>
      </c>
      <c r="W85" s="5">
        <v>0.10615396825</v>
      </c>
      <c r="X85" s="5">
        <v>0.09</v>
      </c>
      <c r="AA85" s="5">
        <f>7802+125952</f>
        <v>133754</v>
      </c>
      <c r="AB85" s="5">
        <v>126.0</v>
      </c>
      <c r="AC85" s="27">
        <f t="shared" ref="AC85:AD85" si="44">U85-AA85</f>
        <v>1126246</v>
      </c>
      <c r="AD85" s="27">
        <f t="shared" si="44"/>
        <v>1274</v>
      </c>
    </row>
    <row r="86" ht="31.5" customHeight="1">
      <c r="A86" s="40" t="s">
        <v>284</v>
      </c>
      <c r="B86" s="30">
        <v>0.05</v>
      </c>
      <c r="C86" s="23">
        <v>0.1</v>
      </c>
      <c r="D86" s="25" t="s">
        <v>307</v>
      </c>
      <c r="E86" s="5">
        <v>7.0</v>
      </c>
      <c r="F86" s="5" t="s">
        <v>62</v>
      </c>
      <c r="G86" s="5" t="s">
        <v>63</v>
      </c>
      <c r="H86" s="24">
        <v>0.01</v>
      </c>
      <c r="I86" s="25">
        <v>2.0</v>
      </c>
      <c r="J86" s="5" t="s">
        <v>64</v>
      </c>
      <c r="K86" s="5" t="s">
        <v>65</v>
      </c>
      <c r="L86" s="5">
        <v>8.571</v>
      </c>
      <c r="M86" s="5">
        <v>2.10426964839638</v>
      </c>
      <c r="N86" s="5" t="s">
        <v>23</v>
      </c>
      <c r="O86" s="5" t="s">
        <v>312</v>
      </c>
      <c r="P86" s="5" t="s">
        <v>313</v>
      </c>
      <c r="Q86" s="5" t="s">
        <v>314</v>
      </c>
      <c r="R86" s="5" t="s">
        <v>315</v>
      </c>
      <c r="S86" s="36" t="s">
        <v>73</v>
      </c>
      <c r="T86" s="36" t="s">
        <v>73</v>
      </c>
      <c r="U86" s="8">
        <v>1260000.0</v>
      </c>
      <c r="V86" s="8">
        <v>1400.0</v>
      </c>
      <c r="W86" s="5">
        <v>0.35181269841</v>
      </c>
      <c r="X86" s="5">
        <v>0.47</v>
      </c>
      <c r="AA86" s="5">
        <f>293625+149659</f>
        <v>443284</v>
      </c>
      <c r="AB86" s="5">
        <f>561+97</f>
        <v>658</v>
      </c>
      <c r="AC86" s="27">
        <f t="shared" ref="AC86:AD86" si="45">U86-AA86</f>
        <v>816716</v>
      </c>
      <c r="AD86" s="27">
        <f t="shared" si="45"/>
        <v>742</v>
      </c>
    </row>
    <row r="87" ht="31.5" customHeight="1">
      <c r="A87" s="40" t="s">
        <v>284</v>
      </c>
      <c r="B87" s="30">
        <v>0.05</v>
      </c>
      <c r="C87" s="23">
        <v>0.1</v>
      </c>
      <c r="D87" s="25" t="s">
        <v>307</v>
      </c>
      <c r="E87" s="5">
        <v>8.0</v>
      </c>
      <c r="F87" s="5" t="s">
        <v>62</v>
      </c>
      <c r="G87" s="5" t="s">
        <v>63</v>
      </c>
      <c r="H87" s="31">
        <v>0.005</v>
      </c>
      <c r="I87" s="25">
        <v>2.0</v>
      </c>
      <c r="J87" s="5" t="s">
        <v>64</v>
      </c>
      <c r="K87" s="5" t="s">
        <v>65</v>
      </c>
      <c r="L87" s="5">
        <v>34.28</v>
      </c>
      <c r="M87" s="5">
        <v>2.69511431137208</v>
      </c>
      <c r="N87" s="5" t="s">
        <v>24</v>
      </c>
      <c r="O87" s="5" t="s">
        <v>316</v>
      </c>
      <c r="P87" s="5" t="s">
        <v>317</v>
      </c>
      <c r="Q87" s="5" t="s">
        <v>318</v>
      </c>
      <c r="R87" s="5" t="s">
        <v>319</v>
      </c>
      <c r="S87" s="36" t="s">
        <v>73</v>
      </c>
      <c r="T87" s="36" t="s">
        <v>73</v>
      </c>
      <c r="U87" s="8">
        <v>1260000.0</v>
      </c>
      <c r="V87" s="8">
        <v>1400.0</v>
      </c>
      <c r="W87" s="5">
        <v>0.34456111111</v>
      </c>
      <c r="X87" s="5">
        <v>0.32642857142</v>
      </c>
      <c r="AA87" s="5">
        <f>223548+210599</f>
        <v>434147</v>
      </c>
      <c r="AB87" s="5">
        <f>229+228</f>
        <v>457</v>
      </c>
      <c r="AC87" s="27">
        <f t="shared" ref="AC87:AD87" si="46">U87-AA87</f>
        <v>825853</v>
      </c>
      <c r="AD87" s="27">
        <f t="shared" si="46"/>
        <v>943</v>
      </c>
    </row>
    <row r="88" ht="31.5" customHeight="1">
      <c r="A88" s="40" t="s">
        <v>284</v>
      </c>
      <c r="B88" s="30">
        <v>0.05</v>
      </c>
      <c r="C88" s="23">
        <v>0.1</v>
      </c>
      <c r="D88" s="25" t="s">
        <v>307</v>
      </c>
      <c r="E88" s="5">
        <v>9.0</v>
      </c>
      <c r="F88" s="5" t="s">
        <v>62</v>
      </c>
      <c r="G88" s="5" t="s">
        <v>63</v>
      </c>
      <c r="H88" s="31">
        <v>0.005</v>
      </c>
      <c r="I88" s="24">
        <v>1.0</v>
      </c>
      <c r="J88" s="5" t="s">
        <v>64</v>
      </c>
      <c r="K88" s="5" t="s">
        <v>65</v>
      </c>
      <c r="L88" s="5">
        <v>17.14</v>
      </c>
      <c r="M88" s="5">
        <v>2.90223972924584</v>
      </c>
      <c r="N88" s="5" t="s">
        <v>25</v>
      </c>
      <c r="O88" s="5" t="s">
        <v>320</v>
      </c>
      <c r="P88" s="5" t="s">
        <v>321</v>
      </c>
      <c r="Q88" s="5" t="s">
        <v>322</v>
      </c>
      <c r="R88" s="5" t="s">
        <v>323</v>
      </c>
      <c r="S88" s="36" t="s">
        <v>73</v>
      </c>
      <c r="T88" s="36" t="s">
        <v>73</v>
      </c>
      <c r="U88" s="8">
        <v>1260000.0</v>
      </c>
      <c r="V88" s="8">
        <v>1400.0</v>
      </c>
      <c r="W88" s="5">
        <v>0.1359531746</v>
      </c>
      <c r="X88" s="5">
        <v>0.09285714285</v>
      </c>
      <c r="AA88" s="5">
        <f>34225+137076</f>
        <v>171301</v>
      </c>
      <c r="AB88" s="5">
        <f>35+95</f>
        <v>130</v>
      </c>
      <c r="AC88" s="27">
        <f t="shared" ref="AC88:AD88" si="47">U88-AA88</f>
        <v>1088699</v>
      </c>
      <c r="AD88" s="27">
        <f t="shared" si="47"/>
        <v>1270</v>
      </c>
    </row>
    <row r="89" ht="31.5" customHeight="1">
      <c r="A89" s="40" t="s">
        <v>284</v>
      </c>
      <c r="B89" s="30">
        <v>0.05</v>
      </c>
      <c r="C89" s="23">
        <v>0.1</v>
      </c>
      <c r="D89" s="25" t="s">
        <v>307</v>
      </c>
      <c r="E89" s="5">
        <v>10.0</v>
      </c>
      <c r="F89" s="5" t="s">
        <v>62</v>
      </c>
      <c r="G89" s="5" t="s">
        <v>63</v>
      </c>
      <c r="H89" s="21">
        <v>0.001</v>
      </c>
      <c r="I89" s="25">
        <v>2.0</v>
      </c>
      <c r="J89" s="5" t="s">
        <v>64</v>
      </c>
      <c r="K89" s="5" t="s">
        <v>65</v>
      </c>
      <c r="L89" s="5">
        <v>17.14</v>
      </c>
      <c r="M89" s="5">
        <v>1.84514629402379</v>
      </c>
      <c r="N89" s="5" t="s">
        <v>25</v>
      </c>
      <c r="O89" s="5" t="s">
        <v>324</v>
      </c>
      <c r="P89" s="5" t="s">
        <v>325</v>
      </c>
      <c r="Q89" s="5" t="s">
        <v>326</v>
      </c>
      <c r="R89" s="5" t="s">
        <v>327</v>
      </c>
      <c r="S89" s="36" t="s">
        <v>73</v>
      </c>
      <c r="T89" s="36" t="s">
        <v>73</v>
      </c>
      <c r="U89" s="8">
        <v>1260000.0</v>
      </c>
      <c r="V89" s="8">
        <v>1400.0</v>
      </c>
      <c r="W89" s="5">
        <v>0.33098730158</v>
      </c>
      <c r="X89" s="5">
        <v>0.635</v>
      </c>
      <c r="AA89" s="5">
        <f>192705+224339</f>
        <v>417044</v>
      </c>
      <c r="AB89" s="5">
        <f>589+300</f>
        <v>889</v>
      </c>
      <c r="AC89" s="27">
        <f t="shared" ref="AC89:AD89" si="48">U89-AA89</f>
        <v>842956</v>
      </c>
      <c r="AD89" s="27">
        <f t="shared" si="48"/>
        <v>511</v>
      </c>
    </row>
    <row r="90" ht="31.5" customHeight="1">
      <c r="A90" s="40" t="s">
        <v>284</v>
      </c>
      <c r="B90" s="32">
        <v>0.005</v>
      </c>
      <c r="C90" s="23">
        <v>0.1</v>
      </c>
      <c r="D90" s="31" t="s">
        <v>328</v>
      </c>
      <c r="E90" s="5">
        <v>11.0</v>
      </c>
      <c r="F90" s="5" t="s">
        <v>62</v>
      </c>
      <c r="G90" s="5" t="s">
        <v>63</v>
      </c>
      <c r="H90" s="21">
        <v>0.001</v>
      </c>
      <c r="I90" s="25">
        <v>2.0</v>
      </c>
      <c r="J90" s="5" t="s">
        <v>64</v>
      </c>
      <c r="K90" s="5" t="s">
        <v>65</v>
      </c>
      <c r="L90" s="5">
        <v>14.28</v>
      </c>
      <c r="M90" s="5">
        <v>1.60681546401537</v>
      </c>
      <c r="N90" s="5" t="s">
        <v>26</v>
      </c>
      <c r="O90" s="5" t="s">
        <v>329</v>
      </c>
      <c r="P90" s="5" t="s">
        <v>330</v>
      </c>
      <c r="Q90" s="5" t="s">
        <v>331</v>
      </c>
      <c r="R90" s="5" t="s">
        <v>332</v>
      </c>
      <c r="S90" s="41" t="s">
        <v>333</v>
      </c>
      <c r="T90" s="36" t="s">
        <v>73</v>
      </c>
      <c r="U90" s="8">
        <v>945000.0</v>
      </c>
      <c r="V90" s="8">
        <v>1050.0</v>
      </c>
      <c r="W90" s="5">
        <v>0.41489100529</v>
      </c>
      <c r="X90" s="5">
        <v>0.28</v>
      </c>
      <c r="AA90" s="5">
        <f>150107+241965 </f>
        <v>392072</v>
      </c>
      <c r="AB90" s="5">
        <f>35+259</f>
        <v>294</v>
      </c>
      <c r="AC90" s="27">
        <f t="shared" ref="AC90:AD90" si="49">U90-AA90</f>
        <v>552928</v>
      </c>
      <c r="AD90" s="27">
        <f t="shared" si="49"/>
        <v>756</v>
      </c>
    </row>
    <row r="91" ht="31.5" customHeight="1">
      <c r="A91" s="40" t="s">
        <v>284</v>
      </c>
      <c r="B91" s="30">
        <v>0.05</v>
      </c>
      <c r="C91" s="23">
        <v>0.1</v>
      </c>
      <c r="D91" s="31" t="s">
        <v>328</v>
      </c>
      <c r="E91" s="5">
        <v>12.0</v>
      </c>
      <c r="F91" s="5" t="s">
        <v>62</v>
      </c>
      <c r="G91" s="5" t="s">
        <v>63</v>
      </c>
      <c r="H91" s="31">
        <v>0.005</v>
      </c>
      <c r="I91" s="25">
        <v>2.0</v>
      </c>
      <c r="J91" s="5" t="s">
        <v>64</v>
      </c>
      <c r="K91" s="5" t="s">
        <v>65</v>
      </c>
      <c r="L91" s="5">
        <v>5.71</v>
      </c>
      <c r="M91" s="5">
        <v>1.47637738645543</v>
      </c>
      <c r="N91" s="5" t="s">
        <v>28</v>
      </c>
      <c r="O91" s="5" t="s">
        <v>334</v>
      </c>
      <c r="P91" s="5" t="s">
        <v>335</v>
      </c>
      <c r="Q91" s="5" t="s">
        <v>336</v>
      </c>
      <c r="R91" s="5" t="s">
        <v>337</v>
      </c>
      <c r="S91" s="41" t="s">
        <v>333</v>
      </c>
      <c r="T91" s="36" t="s">
        <v>73</v>
      </c>
      <c r="U91" s="8">
        <v>945000.0</v>
      </c>
      <c r="V91" s="8">
        <v>1050.0</v>
      </c>
      <c r="W91" s="5">
        <v>0.71119576719</v>
      </c>
      <c r="X91" s="5">
        <v>0.75047619047</v>
      </c>
      <c r="AA91" s="5">
        <f>350338+321742</f>
        <v>672080</v>
      </c>
      <c r="AB91" s="5">
        <f>398+390</f>
        <v>788</v>
      </c>
      <c r="AC91" s="27">
        <f t="shared" ref="AC91:AD91" si="50">U91-AA91</f>
        <v>272920</v>
      </c>
      <c r="AD91" s="27">
        <f t="shared" si="50"/>
        <v>262</v>
      </c>
    </row>
    <row r="92" ht="31.5" customHeight="1">
      <c r="A92" s="40" t="s">
        <v>284</v>
      </c>
      <c r="B92" s="30">
        <v>0.05</v>
      </c>
      <c r="C92" s="28">
        <v>0.01</v>
      </c>
      <c r="D92" s="31" t="s">
        <v>328</v>
      </c>
      <c r="E92" s="5">
        <v>13.0</v>
      </c>
      <c r="F92" s="5" t="s">
        <v>62</v>
      </c>
      <c r="G92" s="5" t="s">
        <v>63</v>
      </c>
      <c r="H92" s="31">
        <v>0.005</v>
      </c>
      <c r="I92" s="25">
        <v>2.0</v>
      </c>
      <c r="J92" s="5" t="s">
        <v>64</v>
      </c>
      <c r="K92" s="5" t="s">
        <v>65</v>
      </c>
      <c r="L92" s="5">
        <v>2.85</v>
      </c>
      <c r="M92" s="5">
        <v>1.68438758796298</v>
      </c>
      <c r="N92" s="5" t="s">
        <v>29</v>
      </c>
      <c r="O92" s="5" t="s">
        <v>338</v>
      </c>
      <c r="P92" s="5" t="s">
        <v>339</v>
      </c>
      <c r="Q92" s="5" t="s">
        <v>340</v>
      </c>
      <c r="R92" s="5" t="s">
        <v>341</v>
      </c>
      <c r="S92" s="41" t="s">
        <v>333</v>
      </c>
      <c r="T92" s="36" t="s">
        <v>73</v>
      </c>
      <c r="U92" s="8">
        <v>945000.0</v>
      </c>
      <c r="V92" s="8">
        <v>1050.0</v>
      </c>
      <c r="W92" s="5">
        <v>0.13784021164</v>
      </c>
      <c r="X92" s="5">
        <v>0.10571428571</v>
      </c>
      <c r="AA92" s="5">
        <f>33068+97191</f>
        <v>130259</v>
      </c>
      <c r="AB92" s="5">
        <f>34+77</f>
        <v>111</v>
      </c>
      <c r="AC92" s="27">
        <f t="shared" ref="AC92:AD92" si="51">U92-AA92</f>
        <v>814741</v>
      </c>
      <c r="AD92" s="27">
        <f t="shared" si="51"/>
        <v>939</v>
      </c>
    </row>
    <row r="93" ht="31.5" customHeight="1">
      <c r="A93" s="40" t="s">
        <v>284</v>
      </c>
      <c r="B93" s="32">
        <v>0.005</v>
      </c>
      <c r="C93" s="28">
        <v>0.01</v>
      </c>
      <c r="D93" s="31" t="s">
        <v>328</v>
      </c>
      <c r="E93" s="5">
        <v>14.0</v>
      </c>
      <c r="F93" s="5" t="s">
        <v>62</v>
      </c>
      <c r="G93" s="5" t="s">
        <v>63</v>
      </c>
      <c r="H93" s="31">
        <v>0.005</v>
      </c>
      <c r="I93" s="25">
        <v>2.0</v>
      </c>
      <c r="J93" s="5" t="s">
        <v>64</v>
      </c>
      <c r="K93" s="5" t="s">
        <v>65</v>
      </c>
      <c r="L93" s="5">
        <v>25.71</v>
      </c>
      <c r="M93" s="5">
        <v>1.37044916357444</v>
      </c>
      <c r="N93" s="5" t="s">
        <v>30</v>
      </c>
      <c r="O93" s="5" t="s">
        <v>342</v>
      </c>
      <c r="P93" s="5" t="s">
        <v>343</v>
      </c>
      <c r="Q93" s="5" t="s">
        <v>344</v>
      </c>
      <c r="R93" s="5" t="s">
        <v>345</v>
      </c>
      <c r="S93" s="41" t="s">
        <v>333</v>
      </c>
      <c r="T93" s="36" t="s">
        <v>73</v>
      </c>
      <c r="U93" s="8">
        <v>945000.0</v>
      </c>
      <c r="V93" s="8">
        <v>1050.0</v>
      </c>
      <c r="W93" s="5">
        <v>0.22311851851</v>
      </c>
      <c r="X93" s="5">
        <v>0.19333333333</v>
      </c>
      <c r="AA93" s="5">
        <f>26079+184768</f>
        <v>210847</v>
      </c>
      <c r="AB93" s="5">
        <v>194.0</v>
      </c>
      <c r="AC93" s="27">
        <f t="shared" ref="AC93:AD93" si="52">U93-AA93</f>
        <v>734153</v>
      </c>
      <c r="AD93" s="27">
        <f t="shared" si="52"/>
        <v>856</v>
      </c>
    </row>
    <row r="95">
      <c r="D95" s="7"/>
      <c r="H95" s="8"/>
    </row>
    <row r="96">
      <c r="D96" s="8"/>
      <c r="H96" s="8"/>
    </row>
    <row r="97">
      <c r="D97" s="8"/>
      <c r="H97" s="8"/>
    </row>
    <row r="98">
      <c r="H98" s="8"/>
    </row>
    <row r="99">
      <c r="H99" s="8" t="s">
        <v>346</v>
      </c>
    </row>
    <row r="100">
      <c r="A100" s="3" t="s">
        <v>347</v>
      </c>
      <c r="B100" s="3" t="s">
        <v>348</v>
      </c>
      <c r="D100" s="3"/>
      <c r="E100" s="3" t="s">
        <v>5</v>
      </c>
      <c r="F100" s="3" t="s">
        <v>6</v>
      </c>
      <c r="G100" s="3" t="s">
        <v>8</v>
      </c>
      <c r="H100" s="3" t="s">
        <v>9</v>
      </c>
    </row>
    <row r="101">
      <c r="A101" s="5">
        <v>40.0</v>
      </c>
      <c r="B101" s="8">
        <v>1890000.0</v>
      </c>
      <c r="C101" s="8"/>
      <c r="D101" s="10"/>
      <c r="E101" s="10">
        <v>92.667</v>
      </c>
      <c r="F101" s="10">
        <v>74.0</v>
      </c>
      <c r="G101" s="5">
        <v>2700000.0</v>
      </c>
      <c r="H101" s="6">
        <v>3000.0</v>
      </c>
      <c r="I101" s="5">
        <v>30.0</v>
      </c>
    </row>
    <row r="102">
      <c r="A102" s="6">
        <v>51.43</v>
      </c>
      <c r="B102" s="8">
        <v>1890000.0</v>
      </c>
      <c r="C102" s="8"/>
      <c r="D102" s="11"/>
      <c r="E102" s="11">
        <v>100.0</v>
      </c>
      <c r="F102" s="10">
        <v>84.0</v>
      </c>
      <c r="G102" s="6">
        <v>1800000.0</v>
      </c>
      <c r="H102" s="6">
        <v>2000.0</v>
      </c>
      <c r="I102" s="5">
        <v>20.0</v>
      </c>
    </row>
    <row r="103">
      <c r="A103" s="6">
        <v>45.71</v>
      </c>
      <c r="B103" s="8">
        <f>1890000*2</f>
        <v>3780000</v>
      </c>
      <c r="C103" s="8"/>
      <c r="D103" s="11"/>
      <c r="E103" s="11">
        <v>98.44</v>
      </c>
      <c r="F103" s="10">
        <v>84.0</v>
      </c>
      <c r="G103" s="6">
        <v>1800000.0</v>
      </c>
      <c r="H103" s="6">
        <v>2000.0</v>
      </c>
      <c r="I103" s="5">
        <v>20.0</v>
      </c>
    </row>
    <row r="104">
      <c r="A104" s="6">
        <v>37.14</v>
      </c>
      <c r="B104" s="5">
        <v>1260000.0</v>
      </c>
      <c r="D104" s="10"/>
      <c r="E104" s="10">
        <v>52.89</v>
      </c>
      <c r="F104" s="10">
        <v>50.0</v>
      </c>
      <c r="G104" s="8">
        <v>1350000.0</v>
      </c>
      <c r="H104" s="8">
        <v>1500.0</v>
      </c>
      <c r="I104" s="5">
        <v>15.0</v>
      </c>
    </row>
    <row r="105">
      <c r="A105" s="6">
        <v>37.14</v>
      </c>
      <c r="B105" s="5">
        <v>1260000.0</v>
      </c>
      <c r="D105" s="10"/>
      <c r="E105" s="10">
        <v>87.55</v>
      </c>
      <c r="F105" s="10">
        <v>72.0</v>
      </c>
      <c r="G105" s="8">
        <v>1350000.0</v>
      </c>
      <c r="H105" s="8">
        <v>1500.0</v>
      </c>
      <c r="I105" s="5">
        <v>15.0</v>
      </c>
    </row>
    <row r="106">
      <c r="A106" s="42">
        <v>40.0</v>
      </c>
      <c r="B106" s="43">
        <v>945000.0</v>
      </c>
      <c r="C106" s="43"/>
      <c r="E106" s="5">
        <v>96.667</v>
      </c>
      <c r="F106" s="5">
        <v>66.0</v>
      </c>
      <c r="G106" s="5">
        <v>1996718.0</v>
      </c>
      <c r="H106" s="5">
        <v>2325.0</v>
      </c>
      <c r="I106" s="44">
        <v>30.0</v>
      </c>
      <c r="J106" s="5" t="s">
        <v>349</v>
      </c>
    </row>
    <row r="107">
      <c r="A107" s="42">
        <v>22.86</v>
      </c>
      <c r="B107" s="43">
        <v>945000.0</v>
      </c>
      <c r="C107" s="45"/>
      <c r="D107" s="10"/>
      <c r="E107" s="5">
        <v>87.556</v>
      </c>
      <c r="F107" s="5">
        <v>76.0</v>
      </c>
      <c r="G107" s="5">
        <v>2222565.0</v>
      </c>
      <c r="H107" s="5">
        <v>2618.0</v>
      </c>
      <c r="I107" s="44">
        <v>30.0</v>
      </c>
    </row>
    <row r="108">
      <c r="A108" s="46">
        <v>28.57</v>
      </c>
      <c r="B108" s="46">
        <v>1299916.0</v>
      </c>
      <c r="C108" s="9"/>
      <c r="D108" s="11"/>
      <c r="E108" s="5">
        <v>91.111</v>
      </c>
      <c r="F108" s="5">
        <v>70.0</v>
      </c>
      <c r="G108" s="5">
        <v>2073135.0</v>
      </c>
      <c r="H108" s="5">
        <v>2458.0</v>
      </c>
      <c r="I108" s="42">
        <v>30.0</v>
      </c>
    </row>
    <row r="109">
      <c r="A109" s="46">
        <v>17.14</v>
      </c>
      <c r="B109" s="46">
        <v>1287303.0</v>
      </c>
      <c r="C109" s="9"/>
      <c r="D109" s="11"/>
      <c r="E109" s="5">
        <v>99.778</v>
      </c>
      <c r="F109" s="5">
        <v>80.0</v>
      </c>
      <c r="G109" s="5">
        <v>3341469.0</v>
      </c>
      <c r="H109" s="5">
        <v>1950.0</v>
      </c>
      <c r="I109" s="42">
        <v>30.0</v>
      </c>
    </row>
    <row r="110">
      <c r="A110" s="46">
        <v>8.57</v>
      </c>
      <c r="B110" s="46">
        <v>1072359.0</v>
      </c>
      <c r="C110" s="9"/>
      <c r="D110" s="10"/>
      <c r="E110" s="5">
        <v>79.333</v>
      </c>
      <c r="F110" s="5">
        <v>62.0</v>
      </c>
      <c r="G110" s="5">
        <v>3392209.0</v>
      </c>
      <c r="H110" s="5">
        <v>1936.0</v>
      </c>
      <c r="I110" s="42">
        <v>20.0</v>
      </c>
    </row>
    <row r="111">
      <c r="A111" s="46">
        <v>31.42</v>
      </c>
      <c r="B111" s="46">
        <v>1274378.0</v>
      </c>
      <c r="C111" s="9"/>
      <c r="D111" s="10"/>
      <c r="E111" s="5">
        <v>97.111</v>
      </c>
      <c r="F111" s="5">
        <v>72.0</v>
      </c>
      <c r="G111" s="5">
        <v>1448090.0</v>
      </c>
      <c r="H111" s="5">
        <v>1652.0</v>
      </c>
      <c r="I111" s="42">
        <v>20.0</v>
      </c>
    </row>
    <row r="112">
      <c r="A112" s="46">
        <v>17.14</v>
      </c>
      <c r="B112" s="46">
        <v>2846723.0</v>
      </c>
      <c r="C112" s="9"/>
      <c r="D112" s="46"/>
      <c r="E112" s="5">
        <v>89.556</v>
      </c>
      <c r="F112" s="5">
        <v>74.0</v>
      </c>
      <c r="G112" s="5">
        <v>1495852.0</v>
      </c>
      <c r="H112" s="5">
        <v>1711.0</v>
      </c>
      <c r="I112" s="42">
        <v>20.0</v>
      </c>
    </row>
    <row r="113">
      <c r="A113" s="46">
        <v>40.0</v>
      </c>
      <c r="B113" s="46">
        <v>1126246.0</v>
      </c>
      <c r="C113" s="9"/>
      <c r="D113" s="46"/>
      <c r="E113" s="5">
        <v>56.667</v>
      </c>
      <c r="F113" s="5">
        <v>50.0</v>
      </c>
      <c r="G113" s="5">
        <v>950889.0</v>
      </c>
      <c r="H113" s="5">
        <v>1136.0</v>
      </c>
      <c r="I113" s="42">
        <v>20.0</v>
      </c>
    </row>
    <row r="114">
      <c r="A114" s="46">
        <v>8.571</v>
      </c>
      <c r="B114" s="46">
        <v>816716.0</v>
      </c>
      <c r="C114" s="9"/>
      <c r="D114" s="46"/>
      <c r="E114" s="5">
        <v>23.556</v>
      </c>
      <c r="F114" s="5">
        <v>18.0</v>
      </c>
      <c r="G114" s="5">
        <v>1045948.0</v>
      </c>
      <c r="H114" s="5">
        <v>1278.0</v>
      </c>
      <c r="I114" s="42">
        <v>15.0</v>
      </c>
    </row>
    <row r="115">
      <c r="A115" s="46">
        <v>34.28</v>
      </c>
      <c r="B115" s="46">
        <v>825853.0</v>
      </c>
      <c r="C115" s="9"/>
      <c r="D115" s="46"/>
      <c r="E115" s="5">
        <v>44.444</v>
      </c>
      <c r="F115" s="5">
        <v>24.0</v>
      </c>
      <c r="G115" s="5">
        <v>982381.0</v>
      </c>
      <c r="H115" s="5">
        <v>1206.0</v>
      </c>
      <c r="I115" s="42">
        <v>15.0</v>
      </c>
    </row>
    <row r="116">
      <c r="A116" s="46">
        <v>17.14</v>
      </c>
      <c r="B116" s="46">
        <v>1088699.0</v>
      </c>
      <c r="C116" s="9"/>
      <c r="D116" s="46"/>
      <c r="E116" s="5">
        <v>71.111</v>
      </c>
      <c r="F116" s="34">
        <v>66.0</v>
      </c>
      <c r="G116" s="5">
        <v>753515.0</v>
      </c>
      <c r="H116" s="5">
        <v>952.0</v>
      </c>
      <c r="I116" s="46">
        <v>15.0</v>
      </c>
    </row>
    <row r="117">
      <c r="A117" s="46">
        <v>17.14</v>
      </c>
      <c r="B117" s="46">
        <v>842956.0</v>
      </c>
      <c r="C117" s="9"/>
      <c r="D117" s="46"/>
      <c r="E117" s="5">
        <v>79.111</v>
      </c>
      <c r="F117" s="34">
        <v>68.0</v>
      </c>
      <c r="G117" s="5">
        <v>1025609.0</v>
      </c>
      <c r="H117" s="5">
        <v>1163.0</v>
      </c>
      <c r="I117" s="46">
        <v>15.0</v>
      </c>
    </row>
    <row r="118">
      <c r="A118" s="46">
        <v>14.28</v>
      </c>
      <c r="B118" s="46">
        <v>552928.0</v>
      </c>
      <c r="C118" s="9"/>
      <c r="D118" s="46"/>
      <c r="E118" s="9"/>
      <c r="F118" s="9"/>
      <c r="G118" s="9"/>
      <c r="H118" s="9"/>
      <c r="I118" s="9"/>
    </row>
    <row r="119">
      <c r="A119" s="46">
        <v>5.71</v>
      </c>
      <c r="B119" s="46">
        <v>272920.0</v>
      </c>
      <c r="C119" s="9"/>
      <c r="D119" s="46"/>
      <c r="E119" s="9"/>
      <c r="F119" s="9"/>
      <c r="G119" s="9"/>
      <c r="H119" s="9"/>
      <c r="I119" s="9"/>
    </row>
    <row r="120">
      <c r="A120" s="46">
        <v>2.85</v>
      </c>
      <c r="B120" s="46">
        <v>814741.0</v>
      </c>
      <c r="C120" s="9"/>
      <c r="D120" s="46"/>
      <c r="E120" s="9"/>
      <c r="F120" s="9"/>
      <c r="G120" s="9"/>
      <c r="H120" s="9"/>
      <c r="I120" s="9"/>
    </row>
    <row r="121">
      <c r="A121" s="46">
        <v>25.71</v>
      </c>
      <c r="B121" s="46">
        <v>734153.0</v>
      </c>
      <c r="C121" s="9"/>
      <c r="D121" s="46"/>
      <c r="E121" s="3" t="s">
        <v>5</v>
      </c>
      <c r="F121" s="3" t="s">
        <v>6</v>
      </c>
      <c r="G121" s="3" t="s">
        <v>8</v>
      </c>
      <c r="H121" s="3" t="s">
        <v>9</v>
      </c>
      <c r="I121" s="3"/>
    </row>
    <row r="122">
      <c r="E122" s="10">
        <v>92.667</v>
      </c>
      <c r="F122" s="10">
        <v>74.0</v>
      </c>
      <c r="G122" s="5">
        <v>2700000.0</v>
      </c>
      <c r="H122" s="6">
        <v>3000.0</v>
      </c>
      <c r="I122" s="6"/>
    </row>
    <row r="123">
      <c r="E123" s="11">
        <v>100.0</v>
      </c>
      <c r="F123" s="10">
        <v>84.0</v>
      </c>
      <c r="G123" s="6">
        <v>1800000.0</v>
      </c>
      <c r="H123" s="6">
        <v>2000.0</v>
      </c>
      <c r="I123" s="6"/>
    </row>
    <row r="124">
      <c r="E124" s="11">
        <v>98.44</v>
      </c>
      <c r="F124" s="10">
        <v>84.0</v>
      </c>
      <c r="G124" s="6">
        <v>1800000.0</v>
      </c>
      <c r="H124" s="6">
        <v>2000.0</v>
      </c>
      <c r="I124" s="6"/>
    </row>
    <row r="125">
      <c r="E125" s="10">
        <v>52.89</v>
      </c>
      <c r="F125" s="10">
        <v>50.0</v>
      </c>
      <c r="G125" s="8">
        <v>1350000.0</v>
      </c>
      <c r="H125" s="8">
        <v>1500.0</v>
      </c>
      <c r="I125" s="8"/>
    </row>
    <row r="126">
      <c r="E126" s="10">
        <v>87.55</v>
      </c>
      <c r="F126" s="10">
        <v>72.0</v>
      </c>
      <c r="G126" s="8">
        <v>1350000.0</v>
      </c>
      <c r="H126" s="8">
        <v>1500.0</v>
      </c>
      <c r="I126" s="8"/>
    </row>
    <row r="136">
      <c r="A136" s="9"/>
    </row>
    <row r="139">
      <c r="E139" s="9"/>
    </row>
    <row r="143">
      <c r="A143" s="46"/>
      <c r="B143" s="46"/>
      <c r="C143" s="9"/>
      <c r="D143" s="46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13"/>
      <c r="B146" s="13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</sheetData>
  <conditionalFormatting sqref="X35:X46">
    <cfRule type="colorScale" priority="1">
      <colorScale>
        <cfvo type="formula" val="0"/>
        <cfvo type="formula" val="1"/>
        <color rgb="FFFFFFFF"/>
        <color rgb="FF57BB8A"/>
      </colorScale>
    </cfRule>
  </conditionalFormatting>
  <conditionalFormatting sqref="W35:W46">
    <cfRule type="colorScale" priority="2">
      <colorScale>
        <cfvo type="formula" val="0"/>
        <cfvo type="formula" val="1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