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drawings/drawing1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G:\我的雲端硬碟\碩論\程式\active_contour\ACM\result\experience_3\fullACM\"/>
    </mc:Choice>
  </mc:AlternateContent>
  <xr:revisionPtr revIDLastSave="0" documentId="13_ncr:1_{63188947-4460-4825-908A-3D9845DC201D}" xr6:coauthVersionLast="47" xr6:coauthVersionMax="47" xr10:uidLastSave="{00000000-0000-0000-0000-000000000000}"/>
  <bookViews>
    <workbookView xWindow="-108" yWindow="-108" windowWidth="23256" windowHeight="12456" tabRatio="649" firstSheet="2" activeTab="8" xr2:uid="{00000000-000D-0000-FFFF-FFFF00000000}"/>
  </bookViews>
  <sheets>
    <sheet name="55_104_2" sheetId="36" r:id="rId1"/>
    <sheet name="14_33_103_3" sheetId="37" r:id="rId2"/>
    <sheet name="14_16_33_49_55_4" sheetId="38" r:id="rId3"/>
    <sheet name="14_16_33_49_55_103_5" sheetId="39" r:id="rId4"/>
    <sheet name="8068" sheetId="34" r:id="rId5"/>
    <sheet name="134008" sheetId="40" r:id="rId6"/>
    <sheet name="160067" sheetId="41" r:id="rId7"/>
    <sheet name="100039" sheetId="42" r:id="rId8"/>
    <sheet name="工作表1" sheetId="43" r:id="rId9"/>
    <sheet name="工作表2" sheetId="4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0" i="42" l="1"/>
  <c r="M30" i="42"/>
  <c r="N29" i="42"/>
  <c r="M29" i="42"/>
  <c r="N28" i="42"/>
  <c r="M28" i="42"/>
  <c r="N27" i="42"/>
  <c r="M27" i="42"/>
  <c r="N22" i="42"/>
  <c r="M22" i="42"/>
  <c r="N21" i="42"/>
  <c r="M21" i="42"/>
  <c r="N20" i="42"/>
  <c r="M20" i="42"/>
  <c r="N19" i="42"/>
  <c r="M19" i="42"/>
  <c r="N14" i="42"/>
  <c r="M14" i="42"/>
  <c r="N13" i="42"/>
  <c r="M13" i="42"/>
  <c r="N12" i="42"/>
  <c r="M12" i="42"/>
  <c r="N11" i="42"/>
  <c r="M11" i="42"/>
  <c r="N6" i="42"/>
  <c r="M6" i="42"/>
  <c r="N5" i="42"/>
  <c r="M5" i="42"/>
  <c r="N4" i="42"/>
  <c r="M4" i="42"/>
  <c r="N3" i="42"/>
  <c r="M3" i="42"/>
  <c r="N30" i="41"/>
  <c r="M30" i="41"/>
  <c r="N29" i="41"/>
  <c r="M29" i="41"/>
  <c r="N28" i="41"/>
  <c r="M28" i="41"/>
  <c r="N27" i="41"/>
  <c r="M27" i="41"/>
  <c r="N22" i="41"/>
  <c r="M22" i="41"/>
  <c r="N21" i="41"/>
  <c r="M21" i="41"/>
  <c r="N20" i="41"/>
  <c r="M20" i="41"/>
  <c r="N19" i="41"/>
  <c r="M19" i="41"/>
  <c r="N14" i="41"/>
  <c r="M14" i="41"/>
  <c r="N13" i="41"/>
  <c r="M13" i="41"/>
  <c r="N12" i="41"/>
  <c r="M12" i="41"/>
  <c r="N11" i="41"/>
  <c r="M11" i="41"/>
  <c r="N6" i="41"/>
  <c r="M6" i="41"/>
  <c r="N5" i="41"/>
  <c r="M5" i="41"/>
  <c r="N4" i="41"/>
  <c r="M4" i="41"/>
  <c r="N3" i="41"/>
  <c r="M3" i="41"/>
  <c r="N30" i="40"/>
  <c r="M30" i="40"/>
  <c r="N29" i="40"/>
  <c r="M29" i="40"/>
  <c r="N28" i="40"/>
  <c r="M28" i="40"/>
  <c r="N27" i="40"/>
  <c r="M27" i="40"/>
  <c r="N22" i="40"/>
  <c r="M22" i="40"/>
  <c r="N21" i="40"/>
  <c r="M21" i="40"/>
  <c r="N20" i="40"/>
  <c r="M20" i="40"/>
  <c r="N19" i="40"/>
  <c r="M19" i="40"/>
  <c r="N14" i="40"/>
  <c r="M14" i="40"/>
  <c r="N13" i="40"/>
  <c r="M13" i="40"/>
  <c r="N12" i="40"/>
  <c r="M12" i="40"/>
  <c r="N11" i="40"/>
  <c r="M11" i="40"/>
  <c r="N6" i="40"/>
  <c r="M6" i="40"/>
  <c r="N5" i="40"/>
  <c r="M5" i="40"/>
  <c r="N4" i="40"/>
  <c r="M4" i="40"/>
  <c r="N3" i="40"/>
  <c r="M3" i="40"/>
  <c r="N30" i="39"/>
  <c r="M30" i="39"/>
  <c r="N29" i="39"/>
  <c r="M29" i="39"/>
  <c r="N28" i="39"/>
  <c r="M28" i="39"/>
  <c r="N27" i="39"/>
  <c r="M27" i="39"/>
  <c r="N22" i="39"/>
  <c r="M22" i="39"/>
  <c r="N21" i="39"/>
  <c r="M21" i="39"/>
  <c r="N20" i="39"/>
  <c r="M20" i="39"/>
  <c r="N19" i="39"/>
  <c r="M19" i="39"/>
  <c r="N14" i="39"/>
  <c r="M14" i="39"/>
  <c r="N13" i="39"/>
  <c r="M13" i="39"/>
  <c r="N12" i="39"/>
  <c r="M12" i="39"/>
  <c r="N11" i="39"/>
  <c r="M11" i="39"/>
  <c r="N6" i="39"/>
  <c r="M6" i="39"/>
  <c r="N5" i="39"/>
  <c r="M5" i="39"/>
  <c r="N4" i="39"/>
  <c r="M4" i="39"/>
  <c r="N3" i="39"/>
  <c r="M3" i="39"/>
  <c r="N30" i="38"/>
  <c r="M30" i="38"/>
  <c r="N29" i="38"/>
  <c r="M29" i="38"/>
  <c r="N28" i="38"/>
  <c r="M28" i="38"/>
  <c r="N27" i="38"/>
  <c r="M27" i="38"/>
  <c r="N22" i="38"/>
  <c r="M22" i="38"/>
  <c r="N21" i="38"/>
  <c r="M21" i="38"/>
  <c r="N20" i="38"/>
  <c r="M20" i="38"/>
  <c r="N19" i="38"/>
  <c r="M19" i="38"/>
  <c r="N14" i="38"/>
  <c r="M14" i="38"/>
  <c r="N13" i="38"/>
  <c r="M13" i="38"/>
  <c r="N12" i="38"/>
  <c r="M12" i="38"/>
  <c r="N11" i="38"/>
  <c r="M11" i="38"/>
  <c r="N6" i="38"/>
  <c r="M6" i="38"/>
  <c r="N5" i="38"/>
  <c r="M5" i="38"/>
  <c r="N4" i="38"/>
  <c r="M4" i="38"/>
  <c r="N3" i="38"/>
  <c r="M3" i="38"/>
  <c r="N30" i="37"/>
  <c r="M30" i="37"/>
  <c r="N29" i="37"/>
  <c r="M29" i="37"/>
  <c r="N28" i="37"/>
  <c r="M28" i="37"/>
  <c r="N27" i="37"/>
  <c r="M27" i="37"/>
  <c r="N22" i="37"/>
  <c r="M22" i="37"/>
  <c r="N21" i="37"/>
  <c r="M21" i="37"/>
  <c r="N20" i="37"/>
  <c r="M20" i="37"/>
  <c r="N19" i="37"/>
  <c r="M19" i="37"/>
  <c r="N14" i="37"/>
  <c r="M14" i="37"/>
  <c r="N13" i="37"/>
  <c r="M13" i="37"/>
  <c r="N12" i="37"/>
  <c r="M12" i="37"/>
  <c r="N11" i="37"/>
  <c r="M11" i="37"/>
  <c r="N6" i="37"/>
  <c r="M6" i="37"/>
  <c r="N5" i="37"/>
  <c r="M5" i="37"/>
  <c r="N4" i="37"/>
  <c r="M4" i="37"/>
  <c r="N3" i="37"/>
  <c r="M3" i="37"/>
  <c r="C26" i="43" a="1"/>
  <c r="G14" i="43" a="1"/>
  <c r="D26" i="43" a="1"/>
  <c r="I21" i="43" a="1"/>
  <c r="B5" i="43" a="1"/>
  <c r="L21" i="43" a="1"/>
  <c r="J8" i="43" a="1"/>
  <c r="B7" i="43" a="1"/>
  <c r="K29" i="43" a="1"/>
  <c r="I27" i="43" a="1"/>
  <c r="H12" i="43" a="1"/>
  <c r="J21" i="43" a="1"/>
  <c r="L14" i="43" a="1"/>
  <c r="F6" i="43" a="1"/>
  <c r="E20" i="43" a="1"/>
  <c r="D21" i="43" a="1"/>
  <c r="J6" i="43" a="1"/>
  <c r="F19" i="43" a="1"/>
  <c r="L26" i="43" a="1"/>
  <c r="C20" i="43" a="1"/>
  <c r="K27" i="43" a="1"/>
  <c r="G15" i="43" a="1"/>
  <c r="G26" i="43" a="1"/>
  <c r="N29" i="43" a="1"/>
  <c r="M5" i="43" a="1"/>
  <c r="I12" i="43" a="1"/>
  <c r="I7" i="43" a="1"/>
  <c r="N15" i="43" a="1"/>
  <c r="H19" i="43" a="1"/>
  <c r="C29" i="43" a="1"/>
  <c r="J20" i="43" a="1"/>
  <c r="L29" i="43" a="1"/>
  <c r="C14" i="43" a="1"/>
  <c r="D15" i="43" a="1"/>
  <c r="C21" i="43" a="1"/>
  <c r="E27" i="43" a="1"/>
  <c r="N14" i="43" a="1"/>
  <c r="J19" i="43" a="1"/>
  <c r="D7" i="43" a="1"/>
  <c r="L7" i="43" a="1"/>
  <c r="F5" i="43" a="1"/>
  <c r="B22" i="43" a="1"/>
  <c r="G21" i="43" a="1"/>
  <c r="K26" i="43" a="1"/>
  <c r="J5" i="43" a="1"/>
  <c r="D14" i="43" a="1"/>
  <c r="I6" i="43" a="1"/>
  <c r="I15" i="43" a="1"/>
  <c r="K8" i="43" a="1"/>
  <c r="K5" i="43" a="1"/>
  <c r="I13" i="43" a="1"/>
  <c r="N26" i="43" a="1"/>
  <c r="M15" i="43" a="1"/>
  <c r="B19" i="43" a="1"/>
  <c r="D8" i="43" a="1"/>
  <c r="K19" i="43" a="1"/>
  <c r="N19" i="43" a="1"/>
  <c r="F15" i="43" a="1"/>
  <c r="M12" i="43" a="1"/>
  <c r="F13" i="43" a="1"/>
  <c r="J14" i="43" a="1"/>
  <c r="H6" i="43" a="1"/>
  <c r="F14" i="43" a="1"/>
  <c r="C27" i="43" a="1"/>
  <c r="C5" i="43" a="1"/>
  <c r="K15" i="43" a="1"/>
  <c r="L8" i="43" a="1"/>
  <c r="F28" i="43" a="1"/>
  <c r="G7" i="43" a="1"/>
  <c r="E28" i="43" a="1"/>
  <c r="B28" i="43" a="1"/>
  <c r="C7" i="43" a="1"/>
  <c r="E7" i="43" a="1"/>
  <c r="C28" i="43" a="1"/>
  <c r="D29" i="43" a="1"/>
  <c r="K21" i="43" a="1"/>
  <c r="L22" i="43" a="1"/>
  <c r="H21" i="43" a="1"/>
  <c r="I8" i="43" a="1"/>
  <c r="I14" i="43" a="1"/>
  <c r="N21" i="43" a="1"/>
  <c r="F7" i="43" a="1"/>
  <c r="M29" i="43" a="1"/>
  <c r="M19" i="43" a="1"/>
  <c r="D12" i="43" a="1"/>
  <c r="E19" i="43" a="1"/>
  <c r="L12" i="43" a="1"/>
  <c r="H26" i="43" a="1"/>
  <c r="N8" i="43" a="1"/>
  <c r="E29" i="43" a="1"/>
  <c r="N12" i="43" a="1"/>
  <c r="H20" i="43" a="1"/>
  <c r="K12" i="43" a="1"/>
  <c r="G29" i="43" a="1"/>
  <c r="K13" i="43" a="1"/>
  <c r="L19" i="43" a="1"/>
  <c r="C6" i="43" a="1"/>
  <c r="J7" i="43" a="1"/>
  <c r="J27" i="43" a="1"/>
  <c r="G6" i="43" a="1"/>
  <c r="H22" i="43" a="1"/>
  <c r="L13" i="43" a="1"/>
  <c r="D20" i="43" a="1"/>
  <c r="G19" i="43" a="1"/>
  <c r="J15" i="43" a="1"/>
  <c r="B6" i="43" a="1"/>
  <c r="E21" i="43" a="1"/>
  <c r="J12" i="43" a="1"/>
  <c r="H28" i="43" a="1"/>
  <c r="D13" i="43" a="1"/>
  <c r="F26" i="43" a="1"/>
  <c r="G12" i="43" a="1"/>
  <c r="C15" i="43" a="1"/>
  <c r="H14" i="43" a="1"/>
  <c r="M21" i="43" a="1"/>
  <c r="F12" i="43" a="1"/>
  <c r="I22" i="43" a="1"/>
  <c r="I5" i="43" a="1"/>
  <c r="M26" i="43" a="1"/>
  <c r="I20" i="43" a="1"/>
  <c r="D27" i="43" a="1"/>
  <c r="C8" i="43" a="1"/>
  <c r="G28" i="43" a="1"/>
  <c r="G13" i="43" a="1"/>
  <c r="F21" i="43" a="1"/>
  <c r="L20" i="43" a="1"/>
  <c r="B12" i="43" a="1"/>
  <c r="H8" i="43" a="1"/>
  <c r="E13" i="43" a="1"/>
  <c r="H27" i="43" a="1"/>
  <c r="F8" i="43" a="1"/>
  <c r="I26" i="43" a="1"/>
  <c r="D28" i="43" a="1"/>
  <c r="K28" i="43" a="1"/>
  <c r="F20" i="43" a="1"/>
  <c r="H7" i="43" a="1"/>
  <c r="I19" i="43" a="1"/>
  <c r="C22" i="43" a="1"/>
  <c r="E5" i="43" a="1"/>
  <c r="M7" i="43" a="1"/>
  <c r="E8" i="43" a="1"/>
  <c r="G5" i="43" a="1"/>
  <c r="D19" i="43" a="1"/>
  <c r="G8" i="43" a="1"/>
  <c r="F22" i="43" a="1"/>
  <c r="G22" i="43" a="1"/>
  <c r="N22" i="43" a="1"/>
  <c r="D22" i="43" a="1"/>
  <c r="B27" i="43" a="1"/>
  <c r="J28" i="43" a="1"/>
  <c r="H29" i="43" a="1"/>
  <c r="J22" i="43" a="1"/>
  <c r="J13" i="43" a="1"/>
  <c r="J26" i="43" a="1"/>
  <c r="G20" i="43" a="1"/>
  <c r="B13" i="43" a="1"/>
  <c r="E6" i="43" a="1"/>
  <c r="M22" i="43" a="1"/>
  <c r="K22" i="43" a="1"/>
  <c r="B8" i="43" a="1"/>
  <c r="C13" i="43" a="1"/>
  <c r="L6" i="43" a="1"/>
  <c r="F29" i="43" a="1"/>
  <c r="K14" i="43" a="1"/>
  <c r="B29" i="43" a="1"/>
  <c r="D6" i="43" a="1"/>
  <c r="D5" i="43" a="1"/>
  <c r="B21" i="43" a="1"/>
  <c r="M28" i="43" a="1"/>
  <c r="L5" i="43" a="1"/>
  <c r="B26" i="43" a="1"/>
  <c r="I28" i="43" a="1"/>
  <c r="N28" i="43" a="1"/>
  <c r="E12" i="43" a="1"/>
  <c r="F27" i="43" a="1"/>
  <c r="L15" i="43" a="1"/>
  <c r="N7" i="43" a="1"/>
  <c r="E15" i="43" a="1"/>
  <c r="J29" i="43" a="1"/>
  <c r="H5" i="43" a="1"/>
  <c r="K20" i="43" a="1"/>
  <c r="K7" i="43" a="1"/>
  <c r="N5" i="43" a="1"/>
  <c r="M8" i="43" a="1"/>
  <c r="H15" i="43" a="1"/>
  <c r="K6" i="43" a="1"/>
  <c r="B20" i="43" a="1"/>
  <c r="H13" i="43" a="1"/>
  <c r="G27" i="43" a="1"/>
  <c r="E22" i="43" a="1"/>
  <c r="M14" i="43" a="1"/>
  <c r="B15" i="43" a="1"/>
  <c r="L27" i="43" a="1"/>
  <c r="E26" i="43" a="1"/>
  <c r="L28" i="43" a="1"/>
  <c r="C19" i="43" a="1"/>
  <c r="I29" i="43" a="1"/>
  <c r="B14" i="43" a="1"/>
  <c r="C12" i="43" a="1"/>
  <c r="E14" i="43" a="1"/>
  <c r="J27" i="43" l="1"/>
  <c r="K7" i="43"/>
  <c r="C6" i="43"/>
  <c r="I20" i="43"/>
  <c r="H26" i="43"/>
  <c r="F7" i="43"/>
  <c r="I13" i="43"/>
  <c r="G26" i="43"/>
  <c r="E14" i="43"/>
  <c r="K20" i="43"/>
  <c r="I12" i="43"/>
  <c r="E29" i="43"/>
  <c r="L12" i="43"/>
  <c r="N21" i="43"/>
  <c r="K5" i="43"/>
  <c r="G15" i="43"/>
  <c r="K22" i="43"/>
  <c r="H5" i="43"/>
  <c r="G13" i="43"/>
  <c r="G22" i="43"/>
  <c r="I5" i="43"/>
  <c r="I14" i="43"/>
  <c r="K8" i="43"/>
  <c r="K27" i="43"/>
  <c r="F15" i="43"/>
  <c r="J29" i="43"/>
  <c r="H29" i="43"/>
  <c r="F22" i="43"/>
  <c r="E19" i="43"/>
  <c r="I8" i="43"/>
  <c r="I15" i="43"/>
  <c r="C20" i="43"/>
  <c r="J7" i="43"/>
  <c r="E15" i="43"/>
  <c r="K19" i="43"/>
  <c r="G8" i="43"/>
  <c r="I22" i="43"/>
  <c r="H21" i="43"/>
  <c r="I6" i="43"/>
  <c r="L26" i="43"/>
  <c r="F21" i="43"/>
  <c r="N7" i="43"/>
  <c r="L19" i="43"/>
  <c r="D19" i="43"/>
  <c r="D12" i="43"/>
  <c r="L22" i="43"/>
  <c r="D14" i="43"/>
  <c r="F19" i="43"/>
  <c r="J22" i="43"/>
  <c r="L15" i="43"/>
  <c r="E6" i="43"/>
  <c r="G5" i="43"/>
  <c r="F12" i="43"/>
  <c r="K21" i="43"/>
  <c r="J5" i="43"/>
  <c r="J6" i="43"/>
  <c r="C12" i="43"/>
  <c r="F27" i="43"/>
  <c r="D8" i="43"/>
  <c r="E8" i="43"/>
  <c r="M21" i="43"/>
  <c r="D29" i="43"/>
  <c r="K26" i="43"/>
  <c r="D21" i="43"/>
  <c r="I7" i="43"/>
  <c r="E12" i="43"/>
  <c r="G28" i="43"/>
  <c r="M7" i="43"/>
  <c r="H14" i="43"/>
  <c r="C28" i="43"/>
  <c r="G21" i="43"/>
  <c r="E20" i="43"/>
  <c r="B14" i="43"/>
  <c r="N28" i="43"/>
  <c r="K13" i="43"/>
  <c r="E5" i="43"/>
  <c r="C15" i="43"/>
  <c r="E7" i="43"/>
  <c r="B22" i="43"/>
  <c r="F6" i="43"/>
  <c r="I29" i="43"/>
  <c r="I28" i="43"/>
  <c r="J28" i="43"/>
  <c r="C22" i="43"/>
  <c r="G12" i="43"/>
  <c r="C7" i="43"/>
  <c r="F5" i="43"/>
  <c r="L14" i="43"/>
  <c r="C19" i="43"/>
  <c r="B26" i="43"/>
  <c r="B13" i="43"/>
  <c r="I19" i="43"/>
  <c r="F26" i="43"/>
  <c r="B28" i="43"/>
  <c r="L7" i="43"/>
  <c r="J21" i="43"/>
  <c r="L28" i="43"/>
  <c r="L5" i="43"/>
  <c r="G29" i="43"/>
  <c r="H7" i="43"/>
  <c r="D13" i="43"/>
  <c r="E28" i="43"/>
  <c r="D7" i="43"/>
  <c r="H12" i="43"/>
  <c r="E26" i="43"/>
  <c r="M28" i="43"/>
  <c r="C8" i="43"/>
  <c r="F20" i="43"/>
  <c r="H28" i="43"/>
  <c r="G7" i="43"/>
  <c r="J19" i="43"/>
  <c r="I27" i="43"/>
  <c r="L27" i="43"/>
  <c r="B21" i="43"/>
  <c r="B27" i="43"/>
  <c r="K28" i="43"/>
  <c r="J12" i="43"/>
  <c r="F28" i="43"/>
  <c r="N14" i="43"/>
  <c r="K29" i="43"/>
  <c r="B15" i="43"/>
  <c r="D5" i="43"/>
  <c r="B19" i="43"/>
  <c r="D28" i="43"/>
  <c r="E21" i="43"/>
  <c r="L8" i="43"/>
  <c r="E27" i="43"/>
  <c r="B7" i="43"/>
  <c r="M14" i="43"/>
  <c r="D6" i="43"/>
  <c r="K12" i="43"/>
  <c r="I26" i="43"/>
  <c r="B6" i="43"/>
  <c r="K15" i="43"/>
  <c r="C21" i="43"/>
  <c r="J8" i="43"/>
  <c r="E22" i="43"/>
  <c r="B29" i="43"/>
  <c r="G20" i="43"/>
  <c r="F8" i="43"/>
  <c r="J15" i="43"/>
  <c r="C5" i="43"/>
  <c r="D15" i="43"/>
  <c r="L21" i="43"/>
  <c r="G27" i="43"/>
  <c r="K14" i="43"/>
  <c r="H20" i="43"/>
  <c r="H27" i="43"/>
  <c r="G19" i="43"/>
  <c r="C27" i="43"/>
  <c r="C14" i="43"/>
  <c r="B5" i="43"/>
  <c r="H13" i="43"/>
  <c r="F29" i="43"/>
  <c r="D22" i="43"/>
  <c r="E13" i="43"/>
  <c r="D20" i="43"/>
  <c r="F14" i="43"/>
  <c r="L29" i="43"/>
  <c r="I21" i="43"/>
  <c r="B20" i="43"/>
  <c r="L6" i="43"/>
  <c r="D27" i="43"/>
  <c r="H8" i="43"/>
  <c r="L13" i="43"/>
  <c r="H6" i="43"/>
  <c r="J20" i="43"/>
  <c r="D26" i="43"/>
  <c r="K6" i="43"/>
  <c r="C13" i="43"/>
  <c r="J26" i="43"/>
  <c r="B12" i="43"/>
  <c r="H22" i="43"/>
  <c r="J14" i="43"/>
  <c r="C29" i="43"/>
  <c r="G14" i="43"/>
  <c r="H15" i="43"/>
  <c r="B8" i="43"/>
  <c r="J13" i="43"/>
  <c r="L20" i="43"/>
  <c r="G6" i="43"/>
  <c r="F13" i="43"/>
  <c r="H19" i="43"/>
  <c r="C26" i="43"/>
  <c r="M8" i="43"/>
  <c r="N8" i="43"/>
  <c r="M15" i="43"/>
  <c r="N15" i="43"/>
  <c r="M22" i="43"/>
  <c r="N22" i="43"/>
  <c r="M29" i="43"/>
  <c r="N29" i="43"/>
  <c r="M5" i="43"/>
  <c r="M12" i="43"/>
  <c r="N12" i="43"/>
  <c r="M19" i="43"/>
  <c r="N5" i="43"/>
  <c r="N19" i="43"/>
  <c r="M26" i="43"/>
  <c r="N26" i="43"/>
  <c r="N30" i="36"/>
  <c r="M30" i="36"/>
  <c r="N29" i="36"/>
  <c r="M29" i="36"/>
  <c r="N28" i="36"/>
  <c r="M28" i="36"/>
  <c r="N27" i="36"/>
  <c r="M27" i="36"/>
  <c r="N22" i="36"/>
  <c r="M22" i="36"/>
  <c r="N21" i="36"/>
  <c r="M21" i="36"/>
  <c r="N20" i="36"/>
  <c r="M20" i="36"/>
  <c r="N19" i="36"/>
  <c r="M19" i="36"/>
  <c r="N14" i="36"/>
  <c r="M14" i="36"/>
  <c r="N13" i="36"/>
  <c r="M13" i="36"/>
  <c r="N12" i="36"/>
  <c r="M12" i="36"/>
  <c r="N11" i="36"/>
  <c r="M11" i="36"/>
  <c r="N6" i="36"/>
  <c r="M6" i="36"/>
  <c r="N5" i="36"/>
  <c r="M5" i="36"/>
  <c r="N4" i="36"/>
  <c r="M4" i="36"/>
  <c r="N3" i="36"/>
  <c r="M3" i="36"/>
  <c r="N30" i="34"/>
  <c r="M30" i="34"/>
  <c r="N29" i="34"/>
  <c r="M29" i="34"/>
  <c r="N28" i="34"/>
  <c r="M28" i="34"/>
  <c r="N27" i="34"/>
  <c r="M27" i="34"/>
  <c r="N22" i="34"/>
  <c r="N21" i="34"/>
  <c r="N20" i="34"/>
  <c r="N19" i="34"/>
  <c r="M22" i="34"/>
  <c r="M21" i="34"/>
  <c r="M20" i="34"/>
  <c r="M19" i="34"/>
  <c r="M12" i="34"/>
  <c r="N14" i="34"/>
  <c r="M14" i="34"/>
  <c r="N13" i="34"/>
  <c r="M13" i="34"/>
  <c r="N12" i="34"/>
  <c r="N11" i="34"/>
  <c r="M11" i="34"/>
  <c r="M6" i="34"/>
  <c r="M5" i="34"/>
  <c r="M4" i="34"/>
  <c r="M3" i="34"/>
  <c r="N6" i="34"/>
  <c r="N5" i="34"/>
  <c r="N4" i="34"/>
  <c r="N3" i="34"/>
  <c r="N20" i="43" a="1"/>
  <c r="N13" i="43" a="1"/>
  <c r="N27" i="43" a="1"/>
  <c r="M13" i="43" a="1"/>
  <c r="N6" i="43" a="1"/>
  <c r="M20" i="43" a="1"/>
  <c r="M6" i="43" a="1"/>
  <c r="M27" i="43" a="1"/>
  <c r="M27" i="43" l="1"/>
  <c r="N27" i="43"/>
  <c r="M6" i="43"/>
  <c r="N6" i="43"/>
  <c r="M20" i="43"/>
  <c r="M13" i="43"/>
  <c r="N13" i="43"/>
  <c r="N20" i="4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41643-2C82-44F1-9C2C-9012088F0C38}" keepAlive="1" name="查詢 - MDAD_list" description="與活頁簿中 'MDAD_list' 查詢的連接。" type="5" refreshedVersion="0" background="1">
    <dbPr connection="Provider=Microsoft.Mashup.OleDb.1;Data Source=$Workbook$;Location=MDAD_list;Extended Properties=&quot;&quot;" command="SELECT * FROM [MDAD_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<sst xmlns="http://schemas.openxmlformats.org/spreadsheetml/2006/main" count="720" uniqueCount="31">
  <si>
    <t>moment</t>
    <phoneticPr fontId="1" type="noConversion"/>
  </si>
  <si>
    <t>Gabor</t>
    <phoneticPr fontId="1" type="noConversion"/>
  </si>
  <si>
    <t>MDAD</t>
    <phoneticPr fontId="1" type="noConversion"/>
  </si>
  <si>
    <t>Escb</t>
    <phoneticPr fontId="1" type="noConversion"/>
  </si>
  <si>
    <t>Ecbs</t>
    <phoneticPr fontId="1" type="noConversion"/>
  </si>
  <si>
    <t>It</t>
    <phoneticPr fontId="1" type="noConversion"/>
  </si>
  <si>
    <t xml:space="preserve"> </t>
    <phoneticPr fontId="1" type="noConversion"/>
  </si>
  <si>
    <t>DWHT</t>
    <phoneticPr fontId="1" type="noConversion"/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</si>
  <si>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</si>
  <si>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</si>
  <si>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</si>
  <si>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</si>
  <si>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</si>
  <si>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</si>
  <si>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</si>
  <si>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</si>
  <si>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</si>
  <si>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</si>
  <si>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Myself</t>
    <phoneticPr fontId="1" type="noConversion"/>
  </si>
  <si>
    <t>mean</t>
    <phoneticPr fontId="1" type="noConversion"/>
  </si>
  <si>
    <t>std</t>
    <phoneticPr fontId="1" type="noConversion"/>
  </si>
  <si>
    <t>0</t>
    <phoneticPr fontId="1" type="noConversion"/>
  </si>
  <si>
    <t xml:space="preserve"> </t>
  </si>
  <si>
    <t>0</t>
  </si>
  <si>
    <t>mean</t>
  </si>
  <si>
    <t>std</t>
  </si>
  <si>
    <t>moment</t>
  </si>
  <si>
    <t>DWHT</t>
  </si>
  <si>
    <t>Gabor</t>
  </si>
  <si>
    <t>Myself</t>
  </si>
  <si>
    <r>
      <rPr>
        <sz val="14"/>
        <color theme="1"/>
        <rFont val="標楷體"/>
        <family val="4"/>
        <charset val="136"/>
      </rPr>
      <t>本文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</si>
</sst>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176" fontId="3" fillId="0" borderId="0" xfId="0" applyNumberFormat="1" applyFont="1"/>
  </cellXfs>
  <cellStyles count="1">
    <cellStyle name="一般" xfId="0" builtinId="0"/>
  </cellStyles>
  <dxfs count="576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76" formatCode="0.000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moment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工作表1!$B$4:$L$4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工作表1!$B$5:$L$5</c:f>
              <c:numCache>
                <c:formatCode>0.0000</c:formatCode>
                <c:ptCount val="11"/>
                <c:pt idx="0">
                  <c:v>17.891100000000002</c:v>
                </c:pt>
                <c:pt idx="1">
                  <c:v>19.581499999999998</c:v>
                </c:pt>
                <c:pt idx="2">
                  <c:v>15.277900000000001</c:v>
                </c:pt>
                <c:pt idx="3">
                  <c:v>16.952000000000002</c:v>
                </c:pt>
                <c:pt idx="4">
                  <c:v>15.816888288175299</c:v>
                </c:pt>
                <c:pt idx="5">
                  <c:v>15.142182793261799</c:v>
                </c:pt>
                <c:pt idx="6">
                  <c:v>13.401</c:v>
                </c:pt>
                <c:pt idx="7">
                  <c:v>15.22</c:v>
                </c:pt>
                <c:pt idx="8">
                  <c:v>17.147099999999998</c:v>
                </c:pt>
                <c:pt idx="9">
                  <c:v>17.297899999999998</c:v>
                </c:pt>
                <c:pt idx="10">
                  <c:v>20.0068924625762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7-46FA-8B6C-9FE0C4A0F99F}"/>
            </c:ext>
          </c:extLst>
        </c:ser>
        <c:ser>
          <c:idx val="1"/>
          <c:order val="1"/>
          <c:tx>
            <c:strRef>
              <c:f>工作表1!$A$6</c:f>
              <c:strCache>
                <c:ptCount val="1"/>
                <c:pt idx="0">
                  <c:v>DWHT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工作表1!$B$4:$L$4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工作表1!$B$6:$L$6</c:f>
              <c:numCache>
                <c:formatCode>0.0000</c:formatCode>
                <c:ptCount val="11"/>
                <c:pt idx="0">
                  <c:v>17.252407203975299</c:v>
                </c:pt>
                <c:pt idx="1">
                  <c:v>12.81</c:v>
                </c:pt>
                <c:pt idx="2">
                  <c:v>11.660299999999999</c:v>
                </c:pt>
                <c:pt idx="3">
                  <c:v>12.4605</c:v>
                </c:pt>
                <c:pt idx="4">
                  <c:v>13.6341</c:v>
                </c:pt>
                <c:pt idx="5">
                  <c:v>14.1305</c:v>
                </c:pt>
                <c:pt idx="6">
                  <c:v>16.0137</c:v>
                </c:pt>
                <c:pt idx="7">
                  <c:v>14.0442</c:v>
                </c:pt>
                <c:pt idx="8">
                  <c:v>15.944800000000001</c:v>
                </c:pt>
                <c:pt idx="9">
                  <c:v>15.674099999999999</c:v>
                </c:pt>
                <c:pt idx="10">
                  <c:v>17.2455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7-46FA-8B6C-9FE0C4A0F99F}"/>
            </c:ext>
          </c:extLst>
        </c:ser>
        <c:ser>
          <c:idx val="2"/>
          <c:order val="2"/>
          <c:tx>
            <c:strRef>
              <c:f>工作表1!$A$7</c:f>
              <c:strCache>
                <c:ptCount val="1"/>
                <c:pt idx="0">
                  <c:v>Gabor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工作表1!$B$4:$L$4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工作表1!$B$7:$L$7</c:f>
              <c:numCache>
                <c:formatCode>0.0000</c:formatCode>
                <c:ptCount val="11"/>
                <c:pt idx="0">
                  <c:v>14.3048155612586</c:v>
                </c:pt>
                <c:pt idx="1">
                  <c:v>20.445399999999999</c:v>
                </c:pt>
                <c:pt idx="2">
                  <c:v>22.150600000000001</c:v>
                </c:pt>
                <c:pt idx="3">
                  <c:v>20.927199999999999</c:v>
                </c:pt>
                <c:pt idx="4">
                  <c:v>21.4206</c:v>
                </c:pt>
                <c:pt idx="5">
                  <c:v>23.823399999999999</c:v>
                </c:pt>
                <c:pt idx="6">
                  <c:v>20.684100000000001</c:v>
                </c:pt>
                <c:pt idx="7">
                  <c:v>17.512799999999999</c:v>
                </c:pt>
                <c:pt idx="8">
                  <c:v>16.364999999999998</c:v>
                </c:pt>
                <c:pt idx="9">
                  <c:v>18.859500000000001</c:v>
                </c:pt>
                <c:pt idx="10">
                  <c:v>25.780899999999999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7-46FA-8B6C-9FE0C4A0F99F}"/>
            </c:ext>
          </c:extLst>
        </c:ser>
        <c:ser>
          <c:idx val="3"/>
          <c:order val="3"/>
          <c:tx>
            <c:strRef>
              <c:f>工作表1!$A$8</c:f>
              <c:strCache>
                <c:ptCount val="1"/>
                <c:pt idx="0">
                  <c:v>本文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工作表1!$B$4:$L$4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工作表1!$B$8:$L$8</c:f>
              <c:numCache>
                <c:formatCode>0.0000</c:formatCode>
                <c:ptCount val="11"/>
                <c:pt idx="0">
                  <c:v>12.0002888899478</c:v>
                </c:pt>
                <c:pt idx="1">
                  <c:v>12.740399999999999</c:v>
                </c:pt>
                <c:pt idx="2">
                  <c:v>14.7736</c:v>
                </c:pt>
                <c:pt idx="3">
                  <c:v>12.309200000000001</c:v>
                </c:pt>
                <c:pt idx="4">
                  <c:v>15.192600000000001</c:v>
                </c:pt>
                <c:pt idx="5">
                  <c:v>13.2837</c:v>
                </c:pt>
                <c:pt idx="6">
                  <c:v>14.827400000000001</c:v>
                </c:pt>
                <c:pt idx="7">
                  <c:v>15.0443</c:v>
                </c:pt>
                <c:pt idx="8">
                  <c:v>13.8728</c:v>
                </c:pt>
                <c:pt idx="9">
                  <c:v>15.324999999999999</c:v>
                </c:pt>
                <c:pt idx="10">
                  <c:v>15.1038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57-46FA-8B6C-9FE0C4A0F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932991"/>
        <c:axId val="1254934239"/>
      </c:lineChart>
      <c:catAx>
        <c:axId val="125493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254934239"/>
        <c:crosses val="autoZero"/>
        <c:auto val="1"/>
        <c:lblAlgn val="ctr"/>
        <c:lblOffset val="100"/>
        <c:noMultiLvlLbl val="0"/>
      </c:catAx>
      <c:valAx>
        <c:axId val="1254934239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25493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工作表1!$A$12</c:f>
              <c:strCache>
                <c:ptCount val="1"/>
                <c:pt idx="0">
                  <c:v>moment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工作表1!$B$11:$L$11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工作表1!$B$12:$L$12</c:f>
              <c:numCache>
                <c:formatCode>0.0000</c:formatCode>
                <c:ptCount val="11"/>
                <c:pt idx="0">
                  <c:v>0.66</c:v>
                </c:pt>
                <c:pt idx="1">
                  <c:v>0.56999999999999995</c:v>
                </c:pt>
                <c:pt idx="2">
                  <c:v>0.72</c:v>
                </c:pt>
                <c:pt idx="3">
                  <c:v>0.66</c:v>
                </c:pt>
                <c:pt idx="4">
                  <c:v>0.68</c:v>
                </c:pt>
                <c:pt idx="5">
                  <c:v>0.65</c:v>
                </c:pt>
                <c:pt idx="6">
                  <c:v>0.71</c:v>
                </c:pt>
                <c:pt idx="7">
                  <c:v>0.78</c:v>
                </c:pt>
                <c:pt idx="8">
                  <c:v>0.59</c:v>
                </c:pt>
                <c:pt idx="9">
                  <c:v>0.65</c:v>
                </c:pt>
                <c:pt idx="10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88C-AD2C-58B395791385}"/>
            </c:ext>
          </c:extLst>
        </c:ser>
        <c:ser>
          <c:idx val="1"/>
          <c:order val="1"/>
          <c:tx>
            <c:strRef>
              <c:f>工作表1!$A$13</c:f>
              <c:strCache>
                <c:ptCount val="1"/>
                <c:pt idx="0">
                  <c:v>DWHT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工作表1!$B$11:$L$11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工作表1!$B$13:$L$13</c:f>
              <c:numCache>
                <c:formatCode>0.0000</c:formatCode>
                <c:ptCount val="11"/>
                <c:pt idx="0">
                  <c:v>0.82</c:v>
                </c:pt>
                <c:pt idx="1">
                  <c:v>0.75</c:v>
                </c:pt>
                <c:pt idx="2">
                  <c:v>0.85</c:v>
                </c:pt>
                <c:pt idx="3">
                  <c:v>0.86</c:v>
                </c:pt>
                <c:pt idx="4">
                  <c:v>0.66</c:v>
                </c:pt>
                <c:pt idx="5">
                  <c:v>0.68</c:v>
                </c:pt>
                <c:pt idx="6">
                  <c:v>0.62</c:v>
                </c:pt>
                <c:pt idx="7">
                  <c:v>0.65</c:v>
                </c:pt>
                <c:pt idx="8">
                  <c:v>0.64</c:v>
                </c:pt>
                <c:pt idx="9">
                  <c:v>0.68</c:v>
                </c:pt>
                <c:pt idx="10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88C-AD2C-58B395791385}"/>
            </c:ext>
          </c:extLst>
        </c:ser>
        <c:ser>
          <c:idx val="2"/>
          <c:order val="2"/>
          <c:tx>
            <c:strRef>
              <c:f>工作表1!$A$14</c:f>
              <c:strCache>
                <c:ptCount val="1"/>
                <c:pt idx="0">
                  <c:v>Gabor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工作表1!$B$11:$L$11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工作表1!$B$14:$L$14</c:f>
              <c:numCache>
                <c:formatCode>0.0000</c:formatCode>
                <c:ptCount val="11"/>
                <c:pt idx="0">
                  <c:v>0.92</c:v>
                </c:pt>
                <c:pt idx="1">
                  <c:v>0.68</c:v>
                </c:pt>
                <c:pt idx="2">
                  <c:v>0.56000000000000005</c:v>
                </c:pt>
                <c:pt idx="3">
                  <c:v>0.61</c:v>
                </c:pt>
                <c:pt idx="4">
                  <c:v>0.57999999999999996</c:v>
                </c:pt>
                <c:pt idx="5">
                  <c:v>0.76</c:v>
                </c:pt>
                <c:pt idx="6">
                  <c:v>0.71</c:v>
                </c:pt>
                <c:pt idx="7">
                  <c:v>0.6</c:v>
                </c:pt>
                <c:pt idx="8">
                  <c:v>0.73</c:v>
                </c:pt>
                <c:pt idx="9">
                  <c:v>0.71</c:v>
                </c:pt>
                <c:pt idx="10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C-488C-AD2C-58B395791385}"/>
            </c:ext>
          </c:extLst>
        </c:ser>
        <c:ser>
          <c:idx val="3"/>
          <c:order val="3"/>
          <c:tx>
            <c:strRef>
              <c:f>工作表1!$A$15</c:f>
              <c:strCache>
                <c:ptCount val="1"/>
                <c:pt idx="0">
                  <c:v>本文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工作表1!$B$11:$L$11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工作表1!$B$15:$L$15</c:f>
              <c:numCache>
                <c:formatCode>0.0000</c:formatCode>
                <c:ptCount val="11"/>
                <c:pt idx="0">
                  <c:v>0.93</c:v>
                </c:pt>
                <c:pt idx="1">
                  <c:v>0.86</c:v>
                </c:pt>
                <c:pt idx="2">
                  <c:v>0.81</c:v>
                </c:pt>
                <c:pt idx="3">
                  <c:v>0.85</c:v>
                </c:pt>
                <c:pt idx="4">
                  <c:v>0.79</c:v>
                </c:pt>
                <c:pt idx="5">
                  <c:v>0.8</c:v>
                </c:pt>
                <c:pt idx="6">
                  <c:v>0.81</c:v>
                </c:pt>
                <c:pt idx="7">
                  <c:v>0.69</c:v>
                </c:pt>
                <c:pt idx="8">
                  <c:v>0.81</c:v>
                </c:pt>
                <c:pt idx="9">
                  <c:v>0.7</c:v>
                </c:pt>
                <c:pt idx="10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C-488C-AD2C-58B395791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222799"/>
        <c:axId val="1061227791"/>
      </c:lineChart>
      <c:catAx>
        <c:axId val="106122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061227791"/>
        <c:crosses val="autoZero"/>
        <c:auto val="1"/>
        <c:lblAlgn val="ctr"/>
        <c:lblOffset val="100"/>
        <c:noMultiLvlLbl val="0"/>
      </c:catAx>
      <c:valAx>
        <c:axId val="106122779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61222799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工作表1!$A$19</c:f>
              <c:strCache>
                <c:ptCount val="1"/>
                <c:pt idx="0">
                  <c:v>moment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工作表1!$B$18:$L$18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工作表1!$B$19:$L$19</c:f>
              <c:numCache>
                <c:formatCode>0.0000</c:formatCode>
                <c:ptCount val="11"/>
                <c:pt idx="0">
                  <c:v>0.51139999999999997</c:v>
                </c:pt>
                <c:pt idx="1">
                  <c:v>0.48399999999999999</c:v>
                </c:pt>
                <c:pt idx="2">
                  <c:v>0.57730000000000004</c:v>
                </c:pt>
                <c:pt idx="3">
                  <c:v>0.52239999999999998</c:v>
                </c:pt>
                <c:pt idx="4">
                  <c:v>0.48581884720951501</c:v>
                </c:pt>
                <c:pt idx="5">
                  <c:v>0.46111619396157399</c:v>
                </c:pt>
                <c:pt idx="6">
                  <c:v>0.56630000000000003</c:v>
                </c:pt>
                <c:pt idx="7">
                  <c:v>0.624</c:v>
                </c:pt>
                <c:pt idx="8">
                  <c:v>0.4657</c:v>
                </c:pt>
                <c:pt idx="9">
                  <c:v>0.52239999999999998</c:v>
                </c:pt>
                <c:pt idx="10">
                  <c:v>0.53979871912168298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7-4A31-AA50-CD9F1616B749}"/>
            </c:ext>
          </c:extLst>
        </c:ser>
        <c:ser>
          <c:idx val="1"/>
          <c:order val="1"/>
          <c:tx>
            <c:strRef>
              <c:f>工作表1!$A$20</c:f>
              <c:strCache>
                <c:ptCount val="1"/>
                <c:pt idx="0">
                  <c:v>DWHT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工作表1!$B$18:$L$18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工作表1!$B$20:$L$20</c:f>
              <c:numCache>
                <c:formatCode>0.0000</c:formatCode>
                <c:ptCount val="11"/>
                <c:pt idx="0">
                  <c:v>0.66148215919487696</c:v>
                </c:pt>
                <c:pt idx="1">
                  <c:v>0.56999999999999995</c:v>
                </c:pt>
                <c:pt idx="2">
                  <c:v>0.6048</c:v>
                </c:pt>
                <c:pt idx="3">
                  <c:v>0.64500000000000002</c:v>
                </c:pt>
                <c:pt idx="4">
                  <c:v>0.4904</c:v>
                </c:pt>
                <c:pt idx="5">
                  <c:v>0.49309999999999998</c:v>
                </c:pt>
                <c:pt idx="6">
                  <c:v>0.46839999999999998</c:v>
                </c:pt>
                <c:pt idx="7">
                  <c:v>0.50049999999999994</c:v>
                </c:pt>
                <c:pt idx="8">
                  <c:v>0.51880000000000004</c:v>
                </c:pt>
                <c:pt idx="9">
                  <c:v>0.54800000000000004</c:v>
                </c:pt>
                <c:pt idx="10">
                  <c:v>0.4007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7-4A31-AA50-CD9F1616B749}"/>
            </c:ext>
          </c:extLst>
        </c:ser>
        <c:ser>
          <c:idx val="2"/>
          <c:order val="2"/>
          <c:tx>
            <c:strRef>
              <c:f>工作表1!$A$21</c:f>
              <c:strCache>
                <c:ptCount val="1"/>
                <c:pt idx="0">
                  <c:v>Gabor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工作表1!$B$18:$L$18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工作表1!$B$21:$L$21</c:f>
              <c:numCache>
                <c:formatCode>0.0000</c:formatCode>
                <c:ptCount val="11"/>
                <c:pt idx="0">
                  <c:v>0.63220494053065002</c:v>
                </c:pt>
                <c:pt idx="1">
                  <c:v>0.46200000000000002</c:v>
                </c:pt>
                <c:pt idx="2">
                  <c:v>0.36959999999999998</c:v>
                </c:pt>
                <c:pt idx="3">
                  <c:v>0.40710000000000002</c:v>
                </c:pt>
                <c:pt idx="4">
                  <c:v>0.39069999999999999</c:v>
                </c:pt>
                <c:pt idx="5">
                  <c:v>0.49309999999999998</c:v>
                </c:pt>
                <c:pt idx="6">
                  <c:v>0.4995</c:v>
                </c:pt>
                <c:pt idx="7">
                  <c:v>0.3614</c:v>
                </c:pt>
                <c:pt idx="8">
                  <c:v>0.49409999999999998</c:v>
                </c:pt>
                <c:pt idx="9">
                  <c:v>0.4748</c:v>
                </c:pt>
                <c:pt idx="10">
                  <c:v>0.61570000000000003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7-4A31-AA50-CD9F1616B749}"/>
            </c:ext>
          </c:extLst>
        </c:ser>
        <c:ser>
          <c:idx val="3"/>
          <c:order val="3"/>
          <c:tx>
            <c:strRef>
              <c:f>工作表1!$A$22</c:f>
              <c:strCache>
                <c:ptCount val="1"/>
                <c:pt idx="0">
                  <c:v>本文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工作表1!$B$18:$L$18</c:f>
              <c:strCach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strCache>
            </c:strRef>
          </c:cat>
          <c:val>
            <c:numRef>
              <c:f>工作表1!$B$22:$L$22</c:f>
              <c:numCache>
                <c:formatCode>0.0000</c:formatCode>
                <c:ptCount val="11"/>
                <c:pt idx="0">
                  <c:v>0.82616651418115294</c:v>
                </c:pt>
                <c:pt idx="1">
                  <c:v>0.68889999999999996</c:v>
                </c:pt>
                <c:pt idx="2">
                  <c:v>0.71089999999999998</c:v>
                </c:pt>
                <c:pt idx="3">
                  <c:v>0.66420000000000001</c:v>
                </c:pt>
                <c:pt idx="4">
                  <c:v>0.69079999999999997</c:v>
                </c:pt>
                <c:pt idx="5">
                  <c:v>0.6542</c:v>
                </c:pt>
                <c:pt idx="6">
                  <c:v>0.70909999999999995</c:v>
                </c:pt>
                <c:pt idx="7">
                  <c:v>0.55900000000000005</c:v>
                </c:pt>
                <c:pt idx="8">
                  <c:v>0.72829999999999995</c:v>
                </c:pt>
                <c:pt idx="9">
                  <c:v>0.54349999999999998</c:v>
                </c:pt>
                <c:pt idx="10">
                  <c:v>0.4602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77-4A31-AA50-CD9F1616B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169759"/>
        <c:axId val="1065174751"/>
      </c:lineChart>
      <c:catAx>
        <c:axId val="106516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65174751"/>
        <c:crosses val="autoZero"/>
        <c:auto val="1"/>
        <c:lblAlgn val="ctr"/>
        <c:lblOffset val="100"/>
        <c:noMultiLvlLbl val="0"/>
      </c:catAx>
      <c:valAx>
        <c:axId val="1065174751"/>
        <c:scaling>
          <c:orientation val="minMax"/>
          <c:max val="0.85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06516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240030</xdr:colOff>
      <xdr:row>0</xdr:row>
      <xdr:rowOff>152400</xdr:rowOff>
    </xdr:from>
    <xdr:to>
      <xdr:col>22</xdr:col>
      <xdr:colOff>422910</xdr:colOff>
      <xdr:row>13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CCB69A4-81DD-4D6A-AE8D-C202B1D19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209550</xdr:colOff>
      <xdr:row>13</xdr:row>
      <xdr:rowOff>220980</xdr:rowOff>
    </xdr:from>
    <xdr:to>
      <xdr:col>22</xdr:col>
      <xdr:colOff>392430</xdr:colOff>
      <xdr:row>26</xdr:row>
      <xdr:rowOff>22860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8EA17D6-49BE-4F0F-B96D-8F741A40A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156210</xdr:colOff>
      <xdr:row>27</xdr:row>
      <xdr:rowOff>60960</xdr:rowOff>
    </xdr:from>
    <xdr:to>
      <xdr:col>22</xdr:col>
      <xdr:colOff>339090</xdr:colOff>
      <xdr:row>41</xdr:row>
      <xdr:rowOff>60960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7C1CBA6-0254-46CD-8BE0-CCD90D1F0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3F8C09-9817-436D-B53D-73A88C365957}" name="表格55_104_2_Myself" displayName="表格55_104_2_Myself" ref="A2:N6" totalsRowShown="0" headerRowDxfId="575" dataDxfId="574">
  <autoFilter ref="A2:N6" xr:uid="{B97D2F2D-8412-46EF-A09F-9221A8664A8E}"/>
  <tableColumns count="14">
    <tableColumn id="1" xr3:uid="{B4F1B084-8B56-4551-B3F5-66DCD9D90A3D}" name=" " dataDxfId="573"/>
    <tableColumn id="14" xr3:uid="{19C8074D-310A-4B87-BF2A-B3459359A376}" name="0" dataDxfId="572"/>
    <tableColumn id="2" xr3:uid="{233AEF73-1951-4040-A15E-5F6173BA6716}" name="0.01" dataDxfId="571"/>
    <tableColumn id="3" xr3:uid="{6727F971-F1E9-4BEA-A1F0-6545CB2D5C44}" name="0.02" dataDxfId="570"/>
    <tableColumn id="4" xr3:uid="{9688876E-D6BC-410B-8A8F-A4CD7726E940}" name="0.03" dataDxfId="569"/>
    <tableColumn id="5" xr3:uid="{915816C1-B051-4D23-A0CA-F47886FA8C8C}" name="0.04" dataDxfId="568"/>
    <tableColumn id="6" xr3:uid="{BE673C1F-31B8-45B9-B7BF-F5F2B8E06D1C}" name="0.05" dataDxfId="567"/>
    <tableColumn id="7" xr3:uid="{EB85C9E5-FD86-4C14-B961-51154A07D850}" name="0.06" dataDxfId="566"/>
    <tableColumn id="8" xr3:uid="{D9A82609-ACA3-4752-9E86-F7A883BDBCAC}" name="0.07" dataDxfId="565"/>
    <tableColumn id="9" xr3:uid="{25BE0EE4-C7B1-483B-A72A-E9195E5A43E2}" name="0.08" dataDxfId="564"/>
    <tableColumn id="10" xr3:uid="{231C3C12-E630-4AF3-B1D8-6EF87F516B3F}" name="0.09" dataDxfId="563"/>
    <tableColumn id="11" xr3:uid="{4C1BA23E-CD92-4729-8FA2-BF015087795A}" name="0.1" dataDxfId="562"/>
    <tableColumn id="12" xr3:uid="{C75813EC-E61E-484C-8669-84163614E376}" name="mean" dataDxfId="561">
      <calculatedColumnFormula>AVERAGE(表格55_104_2_Myself[[#This Row],[0.01]:[0.1]])</calculatedColumnFormula>
    </tableColumn>
    <tableColumn id="13" xr3:uid="{586DFECE-5598-4E88-B7F3-A6271AD4C452}" name="std" dataDxfId="560">
      <calculatedColumnFormula>_xlfn.STDEV.S(表格55_104_2_Myself[[#This Row],[0.01]:[0.1]])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629219-59DD-456E-A901-70FEAE2B9EC5}" name="表格55_104_2_moment" displayName="表格55_104_2_moment" ref="A10:N14" totalsRowShown="0" headerRowDxfId="559" dataDxfId="558">
  <autoFilter ref="A10:N14" xr:uid="{9781811A-DD68-4913-824A-8A328BBB83DB}"/>
  <tableColumns count="14">
    <tableColumn id="1" xr3:uid="{C9CE6590-58C6-4F4B-8F92-3D0A78EE8525}" name=" " dataDxfId="557"/>
    <tableColumn id="14" xr3:uid="{4A6CAC78-9C93-4403-8FCD-F1E283F00B9E}" name="0" dataDxfId="556"/>
    <tableColumn id="2" xr3:uid="{2FD37B80-6535-4D1C-9966-B3E5C7FBA801}" name="0.01" dataDxfId="555"/>
    <tableColumn id="3" xr3:uid="{871B464F-457B-4484-873D-814D245FF518}" name="0.02" dataDxfId="554"/>
    <tableColumn id="4" xr3:uid="{97394A45-F1FE-48E4-B625-F25EC1804E03}" name="0.03" dataDxfId="553"/>
    <tableColumn id="5" xr3:uid="{187D3708-B669-4465-BEE4-63AEDDBD7761}" name="0.04" dataDxfId="552"/>
    <tableColumn id="6" xr3:uid="{764053EC-E2A5-4F68-ABFB-73348275FFF7}" name="0.05" dataDxfId="551"/>
    <tableColumn id="7" xr3:uid="{A5139667-11CE-457D-83E9-9D21B977A9BE}" name="0.06" dataDxfId="550"/>
    <tableColumn id="8" xr3:uid="{853D5D0B-3306-40C2-8921-B79D486C9144}" name="0.07" dataDxfId="549"/>
    <tableColumn id="9" xr3:uid="{ECD68F81-5301-4F52-A790-B7A9D46053C0}" name="0.08" dataDxfId="548"/>
    <tableColumn id="10" xr3:uid="{522D5F3D-EB5B-4544-B7D9-335177AB6FBB}" name="0.09" dataDxfId="547"/>
    <tableColumn id="11" xr3:uid="{DE396BD0-8A88-4BEB-949B-F96291EC3BFD}" name="0.1" dataDxfId="546"/>
    <tableColumn id="12" xr3:uid="{4E2C291A-C8AB-400A-B5A2-34C2317C4640}" name="mean" dataDxfId="545">
      <calculatedColumnFormula>AVERAGE(表格55_104_2_moment[[#This Row],[0.01]:[0.1]])</calculatedColumnFormula>
    </tableColumn>
    <tableColumn id="13" xr3:uid="{A0F589A3-C70A-4231-B757-09D1A4509D6A}" name="std" dataDxfId="544">
      <calculatedColumnFormula>_xlfn.STDEV.S(表格55_104_2_moment[[#This Row],[0.01]:[0.1]])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49C8ED-4A61-4FA8-BCB2-E077FDAC3512}" name="表格55_104_2_Gabor" displayName="表格55_104_2_Gabor" ref="A18:N22" totalsRowShown="0" headerRowDxfId="543" dataDxfId="542">
  <autoFilter ref="A18:N22" xr:uid="{8C20ADFB-296F-40A5-9C29-7A97466DC9C7}"/>
  <tableColumns count="14">
    <tableColumn id="1" xr3:uid="{D22AE28B-056F-4FAD-95A8-DA97B29CA6CE}" name=" " dataDxfId="541"/>
    <tableColumn id="14" xr3:uid="{DDE1E8FC-C9F3-44BD-898B-330377D1CCB3}" name="0" dataDxfId="540"/>
    <tableColumn id="2" xr3:uid="{25F6104A-2E0F-4D01-8A90-102C4204CDED}" name="0.01" dataDxfId="539"/>
    <tableColumn id="3" xr3:uid="{E4A477C1-2803-4B7E-BE93-190A84D524E1}" name="0.02" dataDxfId="538"/>
    <tableColumn id="4" xr3:uid="{EB609133-D1AF-4D16-B8F1-2B67B34F4517}" name="0.03" dataDxfId="537"/>
    <tableColumn id="5" xr3:uid="{5372B56C-52D5-4BED-A070-AA461137C6EA}" name="0.04" dataDxfId="536"/>
    <tableColumn id="6" xr3:uid="{3A76DE0C-86CD-48AD-A594-50EB03177F52}" name="0.05" dataDxfId="535"/>
    <tableColumn id="7" xr3:uid="{12198C3A-5AE2-46CC-8159-AE0B3F80D195}" name="0.06" dataDxfId="534"/>
    <tableColumn id="8" xr3:uid="{1362F1ED-9582-4FFA-86CB-2CB59962234B}" name="0.07" dataDxfId="533"/>
    <tableColumn id="9" xr3:uid="{E126700C-7D22-4C3F-B9CB-B3524B8A8E3E}" name="0.08" dataDxfId="532"/>
    <tableColumn id="10" xr3:uid="{3A54DB42-2F3C-4E31-A966-6E67D5ECB03A}" name="0.09" dataDxfId="531"/>
    <tableColumn id="11" xr3:uid="{49A802A4-5DFD-4F00-BF02-A8C4A0BB971D}" name="0.1" dataDxfId="530"/>
    <tableColumn id="12" xr3:uid="{D7170AB1-5E31-4767-A1CD-D10370F06452}" name="mean" dataDxfId="529">
      <calculatedColumnFormula>AVERAGE(表格55_104_2_Gabor[[#This Row],[0.01]:[0.1]])</calculatedColumnFormula>
    </tableColumn>
    <tableColumn id="13" xr3:uid="{822E6B5A-7C49-4FC3-97FE-926D6BEDDDEF}" name="std" dataDxfId="528">
      <calculatedColumnFormula>_xlfn.STDEV.S(表格55_104_2_Gabor[[#This Row],[0.01]:[0.1]])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FEB71A-9104-4096-8429-941B0EE9D103}" name="表格55_104_2_DWHT" displayName="表格55_104_2_DWHT" ref="A26:N30" totalsRowShown="0" headerRowDxfId="527" dataDxfId="526">
  <autoFilter ref="A26:N30" xr:uid="{07421F40-75FE-42B2-B62B-0D4C84BEE44F}"/>
  <tableColumns count="14">
    <tableColumn id="1" xr3:uid="{084FB625-D20E-4005-81AE-C5D3CEED798A}" name=" " dataDxfId="525"/>
    <tableColumn id="14" xr3:uid="{12D02686-D32F-4D3D-8009-D6ADE3E3B62F}" name="0" dataDxfId="524"/>
    <tableColumn id="2" xr3:uid="{439F8295-AEE5-47BA-B884-FED01B3BD035}" name="0.01" dataDxfId="523"/>
    <tableColumn id="3" xr3:uid="{D2A731D2-EDF1-4152-B856-64B77C61032B}" name="0.02" dataDxfId="522"/>
    <tableColumn id="4" xr3:uid="{C0EEAC98-EF29-41D7-9F9E-680FCC2742DC}" name="0.03" dataDxfId="521"/>
    <tableColumn id="5" xr3:uid="{B0C24FF2-37E6-4C4B-A4A6-78C7F4337BB5}" name="0.04" dataDxfId="520"/>
    <tableColumn id="6" xr3:uid="{2EF0F1A3-1043-4A28-A714-8D65B3A17B49}" name="0.05" dataDxfId="519"/>
    <tableColumn id="7" xr3:uid="{3F8B4210-BCF4-432D-9666-B3656C263A79}" name="0.06" dataDxfId="518"/>
    <tableColumn id="8" xr3:uid="{E1C8935D-0D98-4DCC-85D8-18B228DC752F}" name="0.07" dataDxfId="517"/>
    <tableColumn id="9" xr3:uid="{9FC5A750-516C-43D2-81F7-4FC3B2DC8891}" name="0.08" dataDxfId="516"/>
    <tableColumn id="10" xr3:uid="{CE7642DA-70EE-44E7-821D-EE926B1476FD}" name="0.09" dataDxfId="515"/>
    <tableColumn id="11" xr3:uid="{AF267CD9-AC7F-429A-99FC-8FD4D54B8C5B}" name="0.1" dataDxfId="514"/>
    <tableColumn id="12" xr3:uid="{844F6169-D90F-4E72-B2BB-D54CBD62E560}" name="mean" dataDxfId="513">
      <calculatedColumnFormula>AVERAGE(表格55_104_2_DWHT[[#This Row],[0.01]:[0.1]])</calculatedColumnFormula>
    </tableColumn>
    <tableColumn id="13" xr3:uid="{052798F9-AD0B-449E-BF7E-43BF03864EE0}" name="std" dataDxfId="512">
      <calculatedColumnFormula>_xlfn.STDEV.S(表格55_104_2_DWHT[[#This Row],[0.01]:[0.1]])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6A9A68-46C8-42C0-982E-C4509F831650}" name="表格14_33_103_3_myself" displayName="表格14_33_103_3_myself" ref="A2:N6" totalsRowShown="0" headerRowDxfId="511" dataDxfId="510">
  <autoFilter ref="A2:N6" xr:uid="{B97D2F2D-8412-46EF-A09F-9221A8664A8E}"/>
  <tableColumns count="14">
    <tableColumn id="1" xr3:uid="{284C933E-B1D0-4023-95B3-472CDF801AD1}" name=" " dataDxfId="509"/>
    <tableColumn id="14" xr3:uid="{B4DD49A0-D8B5-4EB2-B1D3-279661FFE768}" name="0" dataDxfId="508"/>
    <tableColumn id="2" xr3:uid="{EB0F7C5E-DE0E-4361-995A-AD65DBAAA23B}" name="0.01" dataDxfId="507"/>
    <tableColumn id="3" xr3:uid="{302894A8-961B-4D99-9D3F-A9C05C8C3947}" name="0.02" dataDxfId="506"/>
    <tableColumn id="4" xr3:uid="{EB76CB63-DD88-4956-9728-6A1D20A1ABE7}" name="0.03" dataDxfId="505"/>
    <tableColumn id="5" xr3:uid="{FAD63A06-EA89-44C2-91FA-8D688ACDB675}" name="0.04" dataDxfId="504"/>
    <tableColumn id="6" xr3:uid="{5DBB3814-2FD1-4CB6-8B4C-9C85DEBC51C9}" name="0.05" dataDxfId="503"/>
    <tableColumn id="7" xr3:uid="{29A448C6-188A-4326-A39F-375A26DE5BE1}" name="0.06" dataDxfId="502"/>
    <tableColumn id="8" xr3:uid="{FF2EB105-0952-45E8-98A8-79E523325C7F}" name="0.07" dataDxfId="501"/>
    <tableColumn id="9" xr3:uid="{BAFA32E4-DF16-4A4D-92E8-0249C91DE643}" name="0.08" dataDxfId="500"/>
    <tableColumn id="10" xr3:uid="{0BA661CE-B16B-478D-B97A-18BF790BCADF}" name="0.09" dataDxfId="499"/>
    <tableColumn id="11" xr3:uid="{F899972B-C40D-4A84-B863-DD892DDCDA4A}" name="0.1" dataDxfId="498"/>
    <tableColumn id="12" xr3:uid="{768C98A8-4383-4AD3-8D0E-88942CC7A414}" name="mean" dataDxfId="497">
      <calculatedColumnFormula>AVERAGE(表格14_33_103_3_myself[[#This Row],[0.01]:[0.1]])</calculatedColumnFormula>
    </tableColumn>
    <tableColumn id="13" xr3:uid="{13740C69-58CE-4A2E-84F0-0B28A8848026}" name="std" dataDxfId="496">
      <calculatedColumnFormula>_xlfn.STDEV.S(表格14_33_103_3_myself[[#This Row],[0.01]:[0.1]])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456D6B-423D-4C5B-813D-0432910BCEEE}" name="表格14_33_103_3_moment" displayName="表格14_33_103_3_moment" ref="A10:N14" totalsRowShown="0" headerRowDxfId="495" dataDxfId="494">
  <autoFilter ref="A10:N14" xr:uid="{9781811A-DD68-4913-824A-8A328BBB83DB}"/>
  <tableColumns count="14">
    <tableColumn id="1" xr3:uid="{C33100E1-72C0-4C87-8368-93ED18CDB968}" name=" " dataDxfId="493"/>
    <tableColumn id="14" xr3:uid="{673C9C4D-B10A-4B83-B046-C28778EAC91B}" name="0" dataDxfId="492"/>
    <tableColumn id="2" xr3:uid="{1028D9A6-DE97-41CC-9A90-989CA8379288}" name="0.01" dataDxfId="491"/>
    <tableColumn id="3" xr3:uid="{5BEB8153-4D9F-40AE-89FB-558D418F4217}" name="0.02" dataDxfId="490"/>
    <tableColumn id="4" xr3:uid="{685694C4-1CDE-4F5D-8D36-B824C0B04BC2}" name="0.03" dataDxfId="489"/>
    <tableColumn id="5" xr3:uid="{2AE71454-25FF-4F52-81B1-4199C2C6BFCA}" name="0.04" dataDxfId="488"/>
    <tableColumn id="6" xr3:uid="{204DFAA9-A644-447A-9711-6CC6DCAD3221}" name="0.05" dataDxfId="487"/>
    <tableColumn id="7" xr3:uid="{F9F32F8B-B716-45EE-AA99-CA05105F0C3F}" name="0.06" dataDxfId="486"/>
    <tableColumn id="8" xr3:uid="{2E274DF6-BE68-437E-A1C5-9EE5E4B9828C}" name="0.07" dataDxfId="485"/>
    <tableColumn id="9" xr3:uid="{4E9627F3-68A3-4A06-8E37-5F36CB4B0DC7}" name="0.08" dataDxfId="484"/>
    <tableColumn id="10" xr3:uid="{9E751751-0409-4E0A-A8C5-270464E2FB06}" name="0.09" dataDxfId="483"/>
    <tableColumn id="11" xr3:uid="{D91FABD6-94EF-4E9C-9A7B-902FF3BD1148}" name="0.1" dataDxfId="482"/>
    <tableColumn id="12" xr3:uid="{24F8A143-C0C7-4841-94B4-5BB6AC5BEBED}" name="mean" dataDxfId="481">
      <calculatedColumnFormula>AVERAGE(表格14_33_103_3_moment[[#This Row],[0.01]:[0.1]])</calculatedColumnFormula>
    </tableColumn>
    <tableColumn id="13" xr3:uid="{FDDC5A60-D46A-4D3B-8BB4-EA7FC6427D0E}" name="std" dataDxfId="480">
      <calculatedColumnFormula>_xlfn.STDEV.S(表格14_33_103_3_moment[[#This Row],[0.01]:[0.1]])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1582BA-A6EB-4954-876E-D4449A16C5CA}" name="表格14_33_103_3_Gabor" displayName="表格14_33_103_3_Gabor" ref="A18:N22" totalsRowShown="0" headerRowDxfId="479" dataDxfId="478">
  <autoFilter ref="A18:N22" xr:uid="{8C20ADFB-296F-40A5-9C29-7A97466DC9C7}"/>
  <tableColumns count="14">
    <tableColumn id="1" xr3:uid="{2C987D26-CCAA-4332-8791-7730890C6D6B}" name=" " dataDxfId="477"/>
    <tableColumn id="14" xr3:uid="{7015487A-9422-4236-9502-1C35D1CC47D6}" name="0" dataDxfId="476"/>
    <tableColumn id="2" xr3:uid="{91E57483-F353-498B-922E-A3614639FEF1}" name="0.01" dataDxfId="475"/>
    <tableColumn id="3" xr3:uid="{5B8A12CD-F860-4805-B93B-255AE9151E8F}" name="0.02" dataDxfId="474"/>
    <tableColumn id="4" xr3:uid="{ABA4BB9A-6B08-4D55-9984-0A6ECA8493C7}" name="0.03" dataDxfId="473"/>
    <tableColumn id="5" xr3:uid="{F2EA6E60-6A29-43F7-899D-1B0DDDF2A835}" name="0.04" dataDxfId="472"/>
    <tableColumn id="6" xr3:uid="{E8CDFD6B-4C61-4A74-98C3-836AC164E825}" name="0.05" dataDxfId="471"/>
    <tableColumn id="7" xr3:uid="{5D431C04-3850-467E-BBA0-62BE1BB0547E}" name="0.06" dataDxfId="470"/>
    <tableColumn id="8" xr3:uid="{CB722CC5-58DB-45F5-B977-3E8D4327059D}" name="0.07" dataDxfId="469"/>
    <tableColumn id="9" xr3:uid="{E84A05F9-D735-4996-AD96-D02794211ED5}" name="0.08" dataDxfId="468"/>
    <tableColumn id="10" xr3:uid="{09360C7B-3231-4DBB-A1F9-F2D45DFCCFD8}" name="0.09" dataDxfId="467"/>
    <tableColumn id="11" xr3:uid="{4D3B2B9D-2A1F-43C6-9E80-4D9C03794E05}" name="0.1" dataDxfId="466"/>
    <tableColumn id="12" xr3:uid="{0633922A-0841-4F6B-A1FE-CBAC2792EC54}" name="mean" dataDxfId="465">
      <calculatedColumnFormula>AVERAGE(表格14_33_103_3_Gabor[[#This Row],[0.01]:[0.1]])</calculatedColumnFormula>
    </tableColumn>
    <tableColumn id="13" xr3:uid="{CF8EF3D2-3FC4-43ED-9645-76D0A1792180}" name="std" dataDxfId="464">
      <calculatedColumnFormula>_xlfn.STDEV.S(表格14_33_103_3_Gabor[[#This Row],[0.01]:[0.1]])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1FE51F4-88F6-467B-9A67-E006CD07E8A2}" name="表格14_33_103_3_DWHT" displayName="表格14_33_103_3_DWHT" ref="A26:N30" totalsRowShown="0" headerRowDxfId="463" dataDxfId="462">
  <autoFilter ref="A26:N30" xr:uid="{07421F40-75FE-42B2-B62B-0D4C84BEE44F}"/>
  <tableColumns count="14">
    <tableColumn id="1" xr3:uid="{F7EE55D5-BBF8-4B18-BF6D-0316FE922A26}" name=" " dataDxfId="461"/>
    <tableColumn id="14" xr3:uid="{0D6A3F7A-AFA0-4517-95AF-DEF849E38DDF}" name="0" dataDxfId="460"/>
    <tableColumn id="2" xr3:uid="{618DA43E-33FB-455F-AF5D-CFB7B9E21E0B}" name="0.01" dataDxfId="459"/>
    <tableColumn id="3" xr3:uid="{A610C228-3F74-44A2-8966-FBF89F4B7E6B}" name="0.02" dataDxfId="458"/>
    <tableColumn id="4" xr3:uid="{DB84C46D-6AAC-45BE-B07F-46CA8C4648B3}" name="0.03" dataDxfId="457"/>
    <tableColumn id="5" xr3:uid="{0A7080EC-2661-44B1-810D-EBF4BF8093EE}" name="0.04" dataDxfId="456"/>
    <tableColumn id="6" xr3:uid="{9B88671C-2282-4CC1-924F-943D61E5D32B}" name="0.05" dataDxfId="455"/>
    <tableColumn id="7" xr3:uid="{926497BB-755D-471C-B8EE-E43822E513BE}" name="0.06" dataDxfId="454"/>
    <tableColumn id="8" xr3:uid="{0A5C8DD9-EB40-460C-BBFB-E3796173751F}" name="0.07" dataDxfId="453"/>
    <tableColumn id="9" xr3:uid="{CCD30F41-4F00-4A6E-A6FA-A83795275046}" name="0.08" dataDxfId="452"/>
    <tableColumn id="10" xr3:uid="{1B70F706-F5F5-4378-9094-BF4DFCF51CBC}" name="0.09" dataDxfId="451"/>
    <tableColumn id="11" xr3:uid="{6EC1B6D1-5B9E-43E0-9108-ABBDDC2E3C7B}" name="0.1" dataDxfId="450"/>
    <tableColumn id="12" xr3:uid="{50B8FDBC-8476-4526-9504-9B711945343A}" name="mean" dataDxfId="449">
      <calculatedColumnFormula>AVERAGE(表格14_33_103_3_DWHT[[#This Row],[0.01]:[0.1]])</calculatedColumnFormula>
    </tableColumn>
    <tableColumn id="13" xr3:uid="{22698DF7-C57E-4926-B1FA-2748AE8E4170}" name="std" dataDxfId="448">
      <calculatedColumnFormula>_xlfn.STDEV.S(表格14_33_103_3_DWHT[[#This Row],[0.01]:[0.1]])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452EAE-2BEA-433A-8D34-1AE80E227BEF}" name="表格14_16_33_49_55_4_myself" displayName="表格14_16_33_49_55_4_myself" ref="A2:N6" totalsRowShown="0" headerRowDxfId="447" dataDxfId="446">
  <autoFilter ref="A2:N6" xr:uid="{B97D2F2D-8412-46EF-A09F-9221A8664A8E}"/>
  <tableColumns count="14">
    <tableColumn id="1" xr3:uid="{FC74D101-F156-482E-B6A4-6189A66B3A09}" name=" " dataDxfId="445"/>
    <tableColumn id="14" xr3:uid="{32FFB6E8-BC9A-4D29-98B5-378D3618F8D9}" name="0" dataDxfId="444"/>
    <tableColumn id="2" xr3:uid="{70CFADD1-4A41-4868-BC33-3FDE1B1548CD}" name="0.01" dataDxfId="443"/>
    <tableColumn id="3" xr3:uid="{578A40F5-8B66-48D7-96A6-1EA3223A288A}" name="0.02" dataDxfId="442"/>
    <tableColumn id="4" xr3:uid="{E013CB4F-7014-4CB2-B288-C301FD3A065A}" name="0.03" dataDxfId="441"/>
    <tableColumn id="5" xr3:uid="{76775C9F-7FFF-4C51-848B-6A86FA29DBAB}" name="0.04" dataDxfId="440"/>
    <tableColumn id="6" xr3:uid="{6E581AB2-6B1F-41B5-9C57-AA3A86B33378}" name="0.05" dataDxfId="439"/>
    <tableColumn id="7" xr3:uid="{208458E9-E2B0-469E-AFF8-CFB838F38488}" name="0.06" dataDxfId="438"/>
    <tableColumn id="8" xr3:uid="{F204B9D5-47F2-4F7D-AF8C-F1A0D095F879}" name="0.07" dataDxfId="437"/>
    <tableColumn id="9" xr3:uid="{B216F271-331B-4659-9C03-DB88C894BD49}" name="0.08" dataDxfId="436"/>
    <tableColumn id="10" xr3:uid="{BE826613-BFBB-4E01-AD85-51886C1C2790}" name="0.09" dataDxfId="435"/>
    <tableColumn id="11" xr3:uid="{33758D92-E9E6-4C1B-83EC-2BB36816BB52}" name="0.1" dataDxfId="434"/>
    <tableColumn id="12" xr3:uid="{D6EF8BB8-053B-48B9-B6B0-8415FF978AD4}" name="mean" dataDxfId="433">
      <calculatedColumnFormula>AVERAGE(表格14_16_33_49_55_4_myself[[#This Row],[0.01]:[0.1]])</calculatedColumnFormula>
    </tableColumn>
    <tableColumn id="13" xr3:uid="{729124C6-CB40-4CF5-A083-74C1323A5CD3}" name="std" dataDxfId="432">
      <calculatedColumnFormula>_xlfn.STDEV.S(表格14_16_33_49_55_4_myself[[#This Row],[0.01]:[0.1]])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D599C-A7BD-4490-B36F-A9E9D1FE2DDA}" name="表格14_16_33_49_55_4_moment" displayName="表格14_16_33_49_55_4_moment" ref="A10:N14" totalsRowShown="0" headerRowDxfId="431" dataDxfId="430">
  <autoFilter ref="A10:N14" xr:uid="{9781811A-DD68-4913-824A-8A328BBB83DB}"/>
  <tableColumns count="14">
    <tableColumn id="1" xr3:uid="{3615745A-0E3D-4933-B14D-3C90AB6FBF1A}" name=" " dataDxfId="429"/>
    <tableColumn id="14" xr3:uid="{2CA2C2D0-F2E6-49E9-AA55-CE29C0C0BE0F}" name="0" dataDxfId="428"/>
    <tableColumn id="2" xr3:uid="{296FC769-95D4-435F-A375-5E8F8E94DD45}" name="0.01" dataDxfId="427"/>
    <tableColumn id="3" xr3:uid="{E2A60966-5828-4DF4-99EE-0A0F6D17A42B}" name="0.02" dataDxfId="426"/>
    <tableColumn id="4" xr3:uid="{F5A5D342-4991-4E9B-8BB2-F77CFE024FEF}" name="0.03" dataDxfId="425"/>
    <tableColumn id="5" xr3:uid="{218203E0-BDCE-4C12-90BB-EDC00827D5D3}" name="0.04" dataDxfId="424"/>
    <tableColumn id="6" xr3:uid="{35E992F6-B7DF-4B93-A15E-831C5A28B85B}" name="0.05" dataDxfId="423"/>
    <tableColumn id="7" xr3:uid="{55DD133F-6B18-4048-82F0-BBECD265FA01}" name="0.06" dataDxfId="422"/>
    <tableColumn id="8" xr3:uid="{FB7F1567-C668-44DC-820E-A0F6D6425BD5}" name="0.07" dataDxfId="421"/>
    <tableColumn id="9" xr3:uid="{1177623E-6F14-4E65-91FD-B44192C65B3B}" name="0.08" dataDxfId="420"/>
    <tableColumn id="10" xr3:uid="{DB33FECF-8FDD-41A1-953B-24D5E2272CBB}" name="0.09" dataDxfId="419"/>
    <tableColumn id="11" xr3:uid="{9A83972D-859E-48F7-A76C-8C3E9B147228}" name="0.1" dataDxfId="418"/>
    <tableColumn id="12" xr3:uid="{23B25BC4-7230-4C10-9222-B9F926D0C047}" name="mean" dataDxfId="417">
      <calculatedColumnFormula>AVERAGE(表格14_16_33_49_55_4_moment[[#This Row],[0.01]:[0.1]])</calculatedColumnFormula>
    </tableColumn>
    <tableColumn id="13" xr3:uid="{8EF5F393-C224-4DAC-A780-C197DCD1B2B9}" name="std" dataDxfId="416">
      <calculatedColumnFormula>_xlfn.STDEV.S(表格14_16_33_49_55_4_moment[[#This Row],[0.01]:[0.1]])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8CC3196-C867-44D6-8107-E8AD32FA7086}" name="表格14_16_33_49_55_4_Gabor" displayName="表格14_16_33_49_55_4_Gabor" ref="A18:N22" totalsRowShown="0" headerRowDxfId="415" dataDxfId="414">
  <autoFilter ref="A18:N22" xr:uid="{8C20ADFB-296F-40A5-9C29-7A97466DC9C7}"/>
  <tableColumns count="14">
    <tableColumn id="1" xr3:uid="{0DF45866-02DE-4D37-9B01-BC296400FA27}" name=" " dataDxfId="413"/>
    <tableColumn id="14" xr3:uid="{058DF26C-2CDB-44B3-AEE8-AE18277AAE0B}" name="0" dataDxfId="412"/>
    <tableColumn id="2" xr3:uid="{9DB831AF-D322-4754-A786-AAA54B6CAA0A}" name="0.01" dataDxfId="411"/>
    <tableColumn id="3" xr3:uid="{0A46E07D-5ECD-48C9-BB04-ABD03C5BA2D2}" name="0.02" dataDxfId="410"/>
    <tableColumn id="4" xr3:uid="{EC725FF8-31B8-420C-BBBB-13074D66228C}" name="0.03" dataDxfId="409"/>
    <tableColumn id="5" xr3:uid="{CFD848BD-0BFD-493D-B7BC-6C43C41C27C4}" name="0.04" dataDxfId="408"/>
    <tableColumn id="6" xr3:uid="{869762BB-4323-4C9B-B521-614DAE58DAE2}" name="0.05" dataDxfId="407"/>
    <tableColumn id="7" xr3:uid="{662ED8FC-5622-403A-8F8E-32CE56551D1E}" name="0.06" dataDxfId="406"/>
    <tableColumn id="8" xr3:uid="{A2B6B466-113F-4A68-9FDF-179910EEF026}" name="0.07" dataDxfId="405"/>
    <tableColumn id="9" xr3:uid="{BB837CCF-E170-454F-BDC1-79616D067FB8}" name="0.08" dataDxfId="404"/>
    <tableColumn id="10" xr3:uid="{2820B2E7-3A1F-4E63-8E47-70CE02F14814}" name="0.09" dataDxfId="403"/>
    <tableColumn id="11" xr3:uid="{1316214C-1599-4265-86CF-169B4BAA7C0F}" name="0.1" dataDxfId="402"/>
    <tableColumn id="12" xr3:uid="{CAFB46EF-1328-45FA-9C6E-897279847F7C}" name="mean" dataDxfId="401">
      <calculatedColumnFormula>AVERAGE(表格14_16_33_49_55_4_Gabor[[#This Row],[0.01]:[0.1]])</calculatedColumnFormula>
    </tableColumn>
    <tableColumn id="13" xr3:uid="{70584EFE-04FD-4114-9182-C4756EB456C1}" name="std" dataDxfId="400">
      <calculatedColumnFormula>_xlfn.STDEV.S(表格14_16_33_49_55_4_Gabor[[#This Row],[0.01]:[0.1]])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6145C9-6906-4CB0-BFA3-E61FF80A0762}" name="表格14_16_33_49_55_4_DWHT" displayName="表格14_16_33_49_55_4_DWHT" ref="A26:N30" totalsRowShown="0" headerRowDxfId="399" dataDxfId="398">
  <autoFilter ref="A26:N30" xr:uid="{07421F40-75FE-42B2-B62B-0D4C84BEE44F}"/>
  <tableColumns count="14">
    <tableColumn id="1" xr3:uid="{173CEDFE-17DC-49C0-AEE7-EBBCDCD50310}" name=" " dataDxfId="397"/>
    <tableColumn id="14" xr3:uid="{57707894-2D54-4D41-8319-D8A98FE3A2DD}" name="0" dataDxfId="396"/>
    <tableColumn id="2" xr3:uid="{F4FFD04D-B795-4B8A-BA0E-A7869431DFC9}" name="0.01" dataDxfId="395"/>
    <tableColumn id="3" xr3:uid="{688ECE1B-2F28-4E8E-8B7B-B7FF65D100E4}" name="0.02" dataDxfId="394"/>
    <tableColumn id="4" xr3:uid="{C36199DC-A15A-47D4-8980-DD095A3443EE}" name="0.03" dataDxfId="393"/>
    <tableColumn id="5" xr3:uid="{ACBBE5F9-9E2E-4A47-9697-F76EF0611B50}" name="0.04" dataDxfId="392"/>
    <tableColumn id="6" xr3:uid="{D21FC93D-80CC-4CB4-889C-889DA6EFCE22}" name="0.05" dataDxfId="391"/>
    <tableColumn id="7" xr3:uid="{6CBC6E17-9A8C-407A-9B31-114EF343B385}" name="0.06" dataDxfId="390"/>
    <tableColumn id="8" xr3:uid="{B68173C9-AD63-43A5-9144-F354E1B53868}" name="0.07" dataDxfId="389"/>
    <tableColumn id="9" xr3:uid="{F4E96901-334E-4F14-9D90-D07185E17BDE}" name="0.08" dataDxfId="388"/>
    <tableColumn id="10" xr3:uid="{A289ABFB-51AF-49A4-B716-DF1353B9C667}" name="0.09" dataDxfId="387"/>
    <tableColumn id="11" xr3:uid="{1FD614BA-7734-4CD4-86D9-E18996B3CA03}" name="0.1" dataDxfId="386"/>
    <tableColumn id="12" xr3:uid="{C535AF1D-0238-4622-A989-15C11FBC266D}" name="mean" dataDxfId="385">
      <calculatedColumnFormula>AVERAGE(表格14_16_33_49_55_4_DWHT[[#This Row],[0.01]:[0.1]])</calculatedColumnFormula>
    </tableColumn>
    <tableColumn id="13" xr3:uid="{D2566B78-056F-4793-8804-B5AE700359FE}" name="std" dataDxfId="384">
      <calculatedColumnFormula>_xlfn.STDEV.S(表格14_16_33_49_55_4_DWHT[[#This Row],[0.01]:[0.1]])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8E36BA7-477F-4DF4-9892-55809718F470}" name="表格14_16_33_49_55_103_5_myself" displayName="表格14_16_33_49_55_103_5_myself" ref="A2:N6" totalsRowShown="0" headerRowDxfId="383" dataDxfId="382">
  <autoFilter ref="A2:N6" xr:uid="{B97D2F2D-8412-46EF-A09F-9221A8664A8E}"/>
  <tableColumns count="14">
    <tableColumn id="1" xr3:uid="{186C7600-3402-405E-8419-A5EC28C4A9DE}" name=" " dataDxfId="381"/>
    <tableColumn id="14" xr3:uid="{CEBC9CF2-6276-4C0B-8BC5-4290C4584003}" name="0" dataDxfId="380"/>
    <tableColumn id="2" xr3:uid="{92A41297-DEB5-4072-8535-095047EB5FB3}" name="0.01" dataDxfId="379"/>
    <tableColumn id="3" xr3:uid="{84242AF5-16D8-49F9-BBD2-8714D61304E2}" name="0.02" dataDxfId="378"/>
    <tableColumn id="4" xr3:uid="{14D426F0-9121-4532-9548-82460C49B04B}" name="0.03" dataDxfId="377"/>
    <tableColumn id="5" xr3:uid="{C0F50C50-9055-4E40-96B4-0F0525AF5B47}" name="0.04" dataDxfId="376"/>
    <tableColumn id="6" xr3:uid="{4CF22C55-06A7-4880-B307-2C57A905A531}" name="0.05" dataDxfId="375"/>
    <tableColumn id="7" xr3:uid="{E20F3D57-8E88-4031-B0F6-472A8AEA8E90}" name="0.06" dataDxfId="374"/>
    <tableColumn id="8" xr3:uid="{CC7DD579-F10D-4D22-8B20-504ACDBD4B8D}" name="0.07" dataDxfId="373"/>
    <tableColumn id="9" xr3:uid="{40833320-3BB6-4B9F-9AA0-EF4365B1645D}" name="0.08" dataDxfId="372"/>
    <tableColumn id="10" xr3:uid="{84970677-15F8-43A2-BC94-02F215359B63}" name="0.09" dataDxfId="371"/>
    <tableColumn id="11" xr3:uid="{435895A2-5F28-4ABC-8317-7CC76CB429C4}" name="0.1" dataDxfId="370"/>
    <tableColumn id="12" xr3:uid="{D48979B8-CDFB-4ECC-82FD-3B4795B7AB42}" name="mean" dataDxfId="369">
      <calculatedColumnFormula>AVERAGE(表格14_16_33_49_55_103_5_myself[[#This Row],[0.01]:[0.1]])</calculatedColumnFormula>
    </tableColumn>
    <tableColumn id="13" xr3:uid="{6DD50F86-CA62-47A4-B106-823C91F2E992}" name="std" dataDxfId="368">
      <calculatedColumnFormula>_xlfn.STDEV.S(表格14_16_33_49_55_103_5_myself[[#This Row],[0.01]:[0.1]])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AEBB7D3-BCC3-4B22-8EDA-053FF1D1E2F4}" name="表格14_16_33_49_55_103_5_moment" displayName="表格14_16_33_49_55_103_5_moment" ref="A10:N14" totalsRowShown="0" headerRowDxfId="367" dataDxfId="366">
  <autoFilter ref="A10:N14" xr:uid="{9781811A-DD68-4913-824A-8A328BBB83DB}"/>
  <tableColumns count="14">
    <tableColumn id="1" xr3:uid="{EDF3E419-2096-4093-88EC-982DDEB513D0}" name=" " dataDxfId="365"/>
    <tableColumn id="14" xr3:uid="{CA1D60D8-A7F1-4F3A-81EE-10127A90BBE3}" name="0" dataDxfId="364"/>
    <tableColumn id="2" xr3:uid="{D81AC10F-9BA5-4EA5-97E4-47688B213CA2}" name="0.01" dataDxfId="363"/>
    <tableColumn id="3" xr3:uid="{F8CD5E79-F28E-497D-B70B-C42C361E9C5F}" name="0.02" dataDxfId="362"/>
    <tableColumn id="4" xr3:uid="{A1B65CA1-5543-4484-A43F-65B6EE7FF9C1}" name="0.03" dataDxfId="361"/>
    <tableColumn id="5" xr3:uid="{90F6A408-4C94-4207-8B26-813F7CFEA806}" name="0.04" dataDxfId="360"/>
    <tableColumn id="6" xr3:uid="{DC45465D-E4B7-4ED4-8131-8527258F02D3}" name="0.05" dataDxfId="359"/>
    <tableColumn id="7" xr3:uid="{ED4D9205-9658-44D8-9AA3-FB1B3B2531E0}" name="0.06" dataDxfId="358"/>
    <tableColumn id="8" xr3:uid="{6F844462-AC9A-47BF-BF49-2CC00308D476}" name="0.07" dataDxfId="357"/>
    <tableColumn id="9" xr3:uid="{3DD17B66-83F5-46F8-B594-2AE610EEA4B1}" name="0.08" dataDxfId="356"/>
    <tableColumn id="10" xr3:uid="{7369C92A-28AE-43CA-8CFB-74AEF95CD568}" name="0.09" dataDxfId="355"/>
    <tableColumn id="11" xr3:uid="{A4D7A246-2D13-4451-95B2-9535A6F96D35}" name="0.1" dataDxfId="354"/>
    <tableColumn id="12" xr3:uid="{B21768DE-67E6-4FB7-BE37-3B017BBC3DBC}" name="mean" dataDxfId="353">
      <calculatedColumnFormula>AVERAGE(表格14_16_33_49_55_103_5_moment[[#This Row],[0.01]:[0.1]])</calculatedColumnFormula>
    </tableColumn>
    <tableColumn id="13" xr3:uid="{6A3E9253-DBA2-43A1-BEDC-F965B27F54D5}" name="std" dataDxfId="352">
      <calculatedColumnFormula>_xlfn.STDEV.S(表格14_16_33_49_55_103_5_moment[[#This Row],[0.01]:[0.1]])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B129AFD-AC00-4687-A7D8-47C0BEEB74F4}" name="表格14_16_33_49_55_103_5_Gabor" displayName="表格14_16_33_49_55_103_5_Gabor" ref="A18:N22" totalsRowShown="0" headerRowDxfId="351" dataDxfId="350">
  <autoFilter ref="A18:N22" xr:uid="{8C20ADFB-296F-40A5-9C29-7A97466DC9C7}"/>
  <tableColumns count="14">
    <tableColumn id="1" xr3:uid="{136F8C87-D8B8-447A-8ABF-04A973FCF1DF}" name=" " dataDxfId="349"/>
    <tableColumn id="14" xr3:uid="{5B526BFE-9CDA-4382-A20F-166EEF628518}" name="0" dataDxfId="348"/>
    <tableColumn id="2" xr3:uid="{475695F8-442B-4B52-9C23-A35C63B952F2}" name="0.01" dataDxfId="347"/>
    <tableColumn id="3" xr3:uid="{7C02452F-B18B-4AB0-9B1D-994A12C344BB}" name="0.02" dataDxfId="346"/>
    <tableColumn id="4" xr3:uid="{E0BBF5E0-0060-44A6-A45A-37124538E92B}" name="0.03" dataDxfId="345"/>
    <tableColumn id="5" xr3:uid="{B9B747FF-5343-4A29-8805-6EFC56CA799C}" name="0.04" dataDxfId="344"/>
    <tableColumn id="6" xr3:uid="{C16FB7C3-CDF2-4D70-888C-65B0346366B4}" name="0.05" dataDxfId="343"/>
    <tableColumn id="7" xr3:uid="{35C96048-CFAA-43B7-8797-33BF205F12DD}" name="0.06" dataDxfId="342"/>
    <tableColumn id="8" xr3:uid="{D66EA7CA-66F5-450E-92EB-FA0567FB4406}" name="0.07" dataDxfId="341"/>
    <tableColumn id="9" xr3:uid="{6FBECEF2-4367-4BA7-A520-58E5D114F2BC}" name="0.08" dataDxfId="340"/>
    <tableColumn id="10" xr3:uid="{35209B6E-C615-42C6-B1A8-F5B109A78DA5}" name="0.09" dataDxfId="339"/>
    <tableColumn id="11" xr3:uid="{FC3A4202-A251-4F5E-A37D-88AC2E27A46B}" name="0.1" dataDxfId="338"/>
    <tableColumn id="12" xr3:uid="{1F554CA2-F925-4503-942E-4902B66A11B4}" name="mean" dataDxfId="337">
      <calculatedColumnFormula>AVERAGE(表格14_16_33_49_55_103_5_Gabor[[#This Row],[0.01]:[0.1]])</calculatedColumnFormula>
    </tableColumn>
    <tableColumn id="13" xr3:uid="{80EAD1CC-C724-4C86-A5C0-FB0BBAD66FA8}" name="std" dataDxfId="336">
      <calculatedColumnFormula>_xlfn.STDEV.S(表格14_16_33_49_55_103_5_Gabor[[#This Row],[0.01]:[0.1]])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8F0FD7-ED12-4E63-9D25-3D1D2070C206}" name="表格14_16_33_49_55_103_5_DWHT" displayName="表格14_16_33_49_55_103_5_DWHT" ref="A26:N30" totalsRowShown="0" headerRowDxfId="335" dataDxfId="334">
  <autoFilter ref="A26:N30" xr:uid="{07421F40-75FE-42B2-B62B-0D4C84BEE44F}"/>
  <tableColumns count="14">
    <tableColumn id="1" xr3:uid="{1C380414-CFA7-4E89-A8B7-611616AD50B8}" name=" " dataDxfId="333"/>
    <tableColumn id="14" xr3:uid="{FB211EF7-F807-4154-9E58-DD2F8B8E20D3}" name="0" dataDxfId="332"/>
    <tableColumn id="2" xr3:uid="{F848684B-AB34-4E82-9F01-7D2385B7012A}" name="0.01" dataDxfId="331"/>
    <tableColumn id="3" xr3:uid="{E619729D-1E6A-4DC4-A2B1-4111C19C18F2}" name="0.02" dataDxfId="330"/>
    <tableColumn id="4" xr3:uid="{A91B46F7-0664-46AF-A9EB-E45C4A796E21}" name="0.03" dataDxfId="329"/>
    <tableColumn id="5" xr3:uid="{784753F7-4E37-4E6B-BA4A-FB1B850E4413}" name="0.04" dataDxfId="328"/>
    <tableColumn id="6" xr3:uid="{21453829-4284-479B-8E3B-C7B1EF72A885}" name="0.05" dataDxfId="327"/>
    <tableColumn id="7" xr3:uid="{6A42E928-C4BA-42A0-BC90-42818B8BFFDC}" name="0.06" dataDxfId="326"/>
    <tableColumn id="8" xr3:uid="{D971FB8D-4E08-4A04-A7E5-8F7E4C990A4F}" name="0.07" dataDxfId="325"/>
    <tableColumn id="9" xr3:uid="{3EF1EBCC-54E1-41D1-A976-A67D7483BA03}" name="0.08" dataDxfId="324"/>
    <tableColumn id="10" xr3:uid="{23AFDC4D-96A8-4E51-B0A0-9A920FADB2F1}" name="0.09" dataDxfId="323"/>
    <tableColumn id="11" xr3:uid="{699047D9-A072-4CA9-9FC6-7948E866DEFE}" name="0.1" dataDxfId="322"/>
    <tableColumn id="12" xr3:uid="{36EE6630-26A2-4A41-8C28-024B2FA0D862}" name="mean" dataDxfId="321">
      <calculatedColumnFormula>AVERAGE(表格14_16_33_49_55_103_5_DWHT[[#This Row],[0.01]:[0.1]])</calculatedColumnFormula>
    </tableColumn>
    <tableColumn id="13" xr3:uid="{AF3A2C7D-8533-4961-AD94-97616925D4C3}" name="std" dataDxfId="320">
      <calculatedColumnFormula>_xlfn.STDEV.S(表格14_16_33_49_55_103_5_DWHT[[#This Row],[0.01]:[0.1]])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7D2F2D-8412-46EF-A09F-9221A8664A8E}" name="表格8068_myself" displayName="表格8068_myself" ref="A2:N6" totalsRowShown="0" headerRowDxfId="319" dataDxfId="318">
  <autoFilter ref="A2:N6" xr:uid="{B97D2F2D-8412-46EF-A09F-9221A8664A8E}"/>
  <tableColumns count="14">
    <tableColumn id="1" xr3:uid="{24599EA7-A2C1-4DB5-AF7A-6DA54F4D30D8}" name=" " dataDxfId="317"/>
    <tableColumn id="14" xr3:uid="{323F8D61-0316-4D43-886C-9E2979F82748}" name="0" dataDxfId="316"/>
    <tableColumn id="2" xr3:uid="{A99BA228-25D4-44EE-932E-8B30B9F13408}" name="0.01" dataDxfId="315"/>
    <tableColumn id="3" xr3:uid="{5DEB8A0A-1DC1-4C59-A9C0-0C13D97DA61F}" name="0.02" dataDxfId="314"/>
    <tableColumn id="4" xr3:uid="{F2BEB8B0-7FF3-451F-B83E-40D90A9A20D0}" name="0.03" dataDxfId="313"/>
    <tableColumn id="5" xr3:uid="{C5711247-5592-4E46-A489-632DB47176A9}" name="0.04" dataDxfId="312"/>
    <tableColumn id="6" xr3:uid="{B58FEA14-7581-45FD-B1D9-51AC6D718B02}" name="0.05" dataDxfId="311"/>
    <tableColumn id="7" xr3:uid="{71B4AAB2-3192-4AE2-B4C2-5E12F691EDAA}" name="0.06" dataDxfId="310"/>
    <tableColumn id="8" xr3:uid="{3BDB5013-6FC3-44BF-99EE-928351F11A82}" name="0.07" dataDxfId="309"/>
    <tableColumn id="9" xr3:uid="{F38D16D8-3202-46A8-AE10-399CDA5BB72B}" name="0.08" dataDxfId="308"/>
    <tableColumn id="10" xr3:uid="{FA3DCF98-53D3-4FD7-885B-86ED14D2F5BD}" name="0.09" dataDxfId="307"/>
    <tableColumn id="11" xr3:uid="{11E4E98F-C2A9-4C2C-8B6D-170D9D1F6B7E}" name="0.1" dataDxfId="306"/>
    <tableColumn id="12" xr3:uid="{F7F396FC-E344-4B3C-A145-2C98C71FEC1F}" name="mean" dataDxfId="305"/>
    <tableColumn id="13" xr3:uid="{88B1883B-79E7-46ED-89E4-A63DE8472876}" name="std" dataDxfId="30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1811A-DD68-4913-824A-8A328BBB83DB}" name="表格8068_moment" displayName="表格8068_moment" ref="A10:N14" totalsRowShown="0" headerRowDxfId="303" dataDxfId="302">
  <autoFilter ref="A10:N14" xr:uid="{9781811A-DD68-4913-824A-8A328BBB83DB}"/>
  <tableColumns count="14">
    <tableColumn id="1" xr3:uid="{83F8E094-317E-430B-9C59-4DD695A4B9A2}" name=" " dataDxfId="301"/>
    <tableColumn id="14" xr3:uid="{BA9CD624-D278-4513-BBDB-D4AA135718C1}" name="0" dataDxfId="300"/>
    <tableColumn id="2" xr3:uid="{86A8E068-0592-4432-B6B7-10B19622C25C}" name="0.01" dataDxfId="299"/>
    <tableColumn id="3" xr3:uid="{B380095F-8DC2-4F8C-9CCA-03ADA6F3D37C}" name="0.02" dataDxfId="298"/>
    <tableColumn id="4" xr3:uid="{7782D378-1E05-4CCC-AFD9-4F43D3189CD2}" name="0.03" dataDxfId="297"/>
    <tableColumn id="5" xr3:uid="{2B8D7957-EAEC-4007-9B69-119978CC8490}" name="0.04" dataDxfId="296"/>
    <tableColumn id="6" xr3:uid="{ED445B2C-A6D6-4599-9B6D-FD17A70B81E0}" name="0.05" dataDxfId="295"/>
    <tableColumn id="7" xr3:uid="{E4B9E784-7EF2-48DC-98C6-1EE3497F9B65}" name="0.06" dataDxfId="294"/>
    <tableColumn id="8" xr3:uid="{AC518D58-475B-4AC6-8375-AA3C875676EE}" name="0.07" dataDxfId="293"/>
    <tableColumn id="9" xr3:uid="{F7758DE4-3EC6-40BC-8BD7-BF526C0C0DDB}" name="0.08" dataDxfId="292"/>
    <tableColumn id="10" xr3:uid="{E7A66FD8-D970-4F6A-A326-15A8AD795D92}" name="0.09" dataDxfId="291"/>
    <tableColumn id="11" xr3:uid="{8C90690A-B51E-4F2B-8A8E-B1F75F73D3A0}" name="0.1" dataDxfId="290"/>
    <tableColumn id="12" xr3:uid="{130FFD54-EB61-4727-838A-5F623678874C}" name="mean" dataDxfId="289"/>
    <tableColumn id="13" xr3:uid="{D4DE1682-AA79-45CA-B9C0-16000AEA1CCA}" name="std" dataDxfId="288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0ADFB-296F-40A5-9C29-7A97466DC9C7}" name="表格8068_Gabor" displayName="表格8068_Gabor" ref="A18:N22" totalsRowShown="0" headerRowDxfId="287" dataDxfId="286">
  <autoFilter ref="A18:N22" xr:uid="{8C20ADFB-296F-40A5-9C29-7A97466DC9C7}"/>
  <tableColumns count="14">
    <tableColumn id="1" xr3:uid="{B9A3155A-D345-4549-B1E5-333AB59DB293}" name=" " dataDxfId="285"/>
    <tableColumn id="14" xr3:uid="{5E0BB871-70CD-45CD-AAA2-220DE574386D}" name="0" dataDxfId="284"/>
    <tableColumn id="2" xr3:uid="{37A13AE9-AAEE-4C14-9A46-385A0627B2AD}" name="0.01" dataDxfId="283"/>
    <tableColumn id="3" xr3:uid="{ECC4F4B6-5E89-4F9D-BF04-56947A4DB62F}" name="0.02" dataDxfId="282"/>
    <tableColumn id="4" xr3:uid="{EC067C86-CF22-472C-9290-8BC6F1E38EA3}" name="0.03" dataDxfId="281"/>
    <tableColumn id="5" xr3:uid="{6E9BD47F-2940-48E4-B0EC-B7DD2C11A7F1}" name="0.04" dataDxfId="280"/>
    <tableColumn id="6" xr3:uid="{F4232EB7-A27D-4E9F-8774-EFE18F6A1ADB}" name="0.05" dataDxfId="279"/>
    <tableColumn id="7" xr3:uid="{EEBEDEDF-A0CE-4F91-9903-C34F5F703C36}" name="0.06" dataDxfId="278"/>
    <tableColumn id="8" xr3:uid="{FC5B4273-7E79-4A4C-808B-2132CC3B5293}" name="0.07" dataDxfId="277"/>
    <tableColumn id="9" xr3:uid="{499A4E90-F5BA-49DA-B0E0-7B91A4709103}" name="0.08" dataDxfId="276"/>
    <tableColumn id="10" xr3:uid="{BD9F4B27-7E0E-43D1-A86B-D22C08B4054D}" name="0.09" dataDxfId="275"/>
    <tableColumn id="11" xr3:uid="{A64D0605-BCA9-47FD-B2DF-B65E07BDF31C}" name="0.1" dataDxfId="274"/>
    <tableColumn id="12" xr3:uid="{2A570D45-3A78-4CC7-905A-7FB768D807DC}" name="mean" dataDxfId="273"/>
    <tableColumn id="13" xr3:uid="{9A86C84D-6819-4E88-8438-9EC14834ADED}" name="std" dataDxfId="27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421F40-75FE-42B2-B62B-0D4C84BEE44F}" name="表格8068_DWHT" displayName="表格8068_DWHT" ref="A26:N30" totalsRowShown="0" headerRowDxfId="271" dataDxfId="270">
  <autoFilter ref="A26:N30" xr:uid="{07421F40-75FE-42B2-B62B-0D4C84BEE44F}"/>
  <tableColumns count="14">
    <tableColumn id="1" xr3:uid="{A0666FF7-DC34-4435-B5B3-B3F87082F4A0}" name=" " dataDxfId="269"/>
    <tableColumn id="14" xr3:uid="{D3AC5C3E-D0EB-4D73-A127-A7DABFD929A7}" name="0" dataDxfId="268"/>
    <tableColumn id="2" xr3:uid="{BBD8CB76-2A9F-4DDC-80AF-565C8F4719E5}" name="0.01" dataDxfId="267"/>
    <tableColumn id="3" xr3:uid="{330F1276-7E23-40EC-A7D9-0ACC3FA75C55}" name="0.02" dataDxfId="266"/>
    <tableColumn id="4" xr3:uid="{3E12B712-4AB8-41BD-A6AD-32D83AE17251}" name="0.03" dataDxfId="265"/>
    <tableColumn id="5" xr3:uid="{6713960A-F3F6-4884-8078-A37F6DD69FBB}" name="0.04" dataDxfId="264"/>
    <tableColumn id="6" xr3:uid="{158FE9A9-E86A-44FC-B8B9-0C03572F6532}" name="0.05" dataDxfId="263"/>
    <tableColumn id="7" xr3:uid="{F32592A0-2694-4EA0-9A15-DD65EFE3BB81}" name="0.06" dataDxfId="262"/>
    <tableColumn id="8" xr3:uid="{00A5B027-D8C8-44E6-8294-5A330E5F4E80}" name="0.07" dataDxfId="261"/>
    <tableColumn id="9" xr3:uid="{FB8220E9-1CA6-4827-8A1D-D9BD3A9FF79F}" name="0.08" dataDxfId="260"/>
    <tableColumn id="10" xr3:uid="{DD8CAA8F-24C2-4D30-9976-3F8C5E176CDE}" name="0.09" dataDxfId="259"/>
    <tableColumn id="11" xr3:uid="{FD217C76-9665-4B27-86DE-1EBA595861E5}" name="0.1" dataDxfId="258"/>
    <tableColumn id="12" xr3:uid="{C09C0B55-1871-4AF0-A200-C65D4C4FC0DC}" name="mean" dataDxfId="257">
      <calculatedColumnFormula>AVERAGE(表格8068_DWHT[[#This Row],[0.01]:[0.1]])</calculatedColumnFormula>
    </tableColumn>
    <tableColumn id="13" xr3:uid="{959EA3F4-A75A-4770-96AB-27632E6D7FC5}" name="std" dataDxfId="256">
      <calculatedColumnFormula>_xlfn.STDEV.S(表格8068_DWHT[[#This Row],[0.01]:[0.1]])</calculatedColumnFormula>
    </tableColumn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67C0218-8F76-47CD-8AED-6D5D130495EB}" name="表格134008_myself" displayName="表格134008_myself" ref="A2:N6" totalsRowShown="0" headerRowDxfId="255" dataDxfId="254">
  <autoFilter ref="A2:N6" xr:uid="{B97D2F2D-8412-46EF-A09F-9221A8664A8E}"/>
  <tableColumns count="14">
    <tableColumn id="1" xr3:uid="{3D0BBEBD-B087-4DD0-B898-AEC25FF21E1E}" name=" " dataDxfId="253"/>
    <tableColumn id="14" xr3:uid="{74468FA2-BA24-442A-990A-0905DCCE5766}" name="0" dataDxfId="252"/>
    <tableColumn id="2" xr3:uid="{329D2A45-8910-4649-B3ED-404E38391A7D}" name="0.01" dataDxfId="251"/>
    <tableColumn id="3" xr3:uid="{2B313A14-4A6B-4B86-93AE-44C4B447938F}" name="0.02" dataDxfId="250"/>
    <tableColumn id="4" xr3:uid="{8296AFC6-1EC1-4209-B26E-7EBBA7073911}" name="0.03" dataDxfId="249"/>
    <tableColumn id="5" xr3:uid="{6C566CD2-C28D-4822-B346-2641FBFE962E}" name="0.04" dataDxfId="248"/>
    <tableColumn id="6" xr3:uid="{75D6EEAE-0B69-4F4F-B39B-E0101AEF0441}" name="0.05" dataDxfId="247"/>
    <tableColumn id="7" xr3:uid="{E64858C1-2A6E-4DDB-92E3-2A148C51464C}" name="0.06" dataDxfId="246"/>
    <tableColumn id="8" xr3:uid="{FA2A07A1-9C18-4668-B72B-74C2AE8A6D21}" name="0.07" dataDxfId="245"/>
    <tableColumn id="9" xr3:uid="{23B69817-3760-4C0B-989E-49900617861D}" name="0.08" dataDxfId="244"/>
    <tableColumn id="10" xr3:uid="{8DD33246-5EC1-43C0-9366-86F995FE8A8B}" name="0.09" dataDxfId="243"/>
    <tableColumn id="11" xr3:uid="{C75B53F2-2A83-4481-9C92-4EA0910BCB80}" name="0.1" dataDxfId="242"/>
    <tableColumn id="12" xr3:uid="{CC8C2427-947A-4A4A-9B30-76DB98DC7F33}" name="mean" dataDxfId="241">
      <calculatedColumnFormula>AVERAGE(表格134008_myself[[#This Row],[0.01]:[0.1]])</calculatedColumnFormula>
    </tableColumn>
    <tableColumn id="13" xr3:uid="{EC923977-F23A-4355-B081-5E4FE1236AE5}" name="std" dataDxfId="240">
      <calculatedColumnFormula>_xlfn.STDEV.S(表格134008_myself[[#This Row],[0.01]:[0.1]])</calculatedColumnFormula>
    </tableColumn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73803A-4312-4F86-9AA4-2B79DA21C6B2}" name="表格134008_moment" displayName="表格134008_moment" ref="A10:N14" totalsRowShown="0" headerRowDxfId="239" dataDxfId="238">
  <autoFilter ref="A10:N14" xr:uid="{9781811A-DD68-4913-824A-8A328BBB83DB}"/>
  <tableColumns count="14">
    <tableColumn id="1" xr3:uid="{411264E4-F546-477D-AB94-203FF3A4739A}" name=" " dataDxfId="237"/>
    <tableColumn id="14" xr3:uid="{0A294093-4A9E-4BA6-B993-D9D66713E7AF}" name="0" dataDxfId="236"/>
    <tableColumn id="2" xr3:uid="{A47A5549-CA5E-4769-A72F-DC08F0465A00}" name="0.01" dataDxfId="235"/>
    <tableColumn id="3" xr3:uid="{72315DA8-2A0E-4F42-9AFD-2320606FB039}" name="0.02" dataDxfId="234"/>
    <tableColumn id="4" xr3:uid="{B3CBAEE3-D84D-4F42-86CF-D5DE84B55D1C}" name="0.03" dataDxfId="233"/>
    <tableColumn id="5" xr3:uid="{504E5956-9036-4A28-AFB6-BA85DF395C39}" name="0.04" dataDxfId="232"/>
    <tableColumn id="6" xr3:uid="{C29CA199-EB5B-4923-B33B-3F9E6B96D4F0}" name="0.05" dataDxfId="231"/>
    <tableColumn id="7" xr3:uid="{6F594283-796D-4F62-93F9-522D0FE316DD}" name="0.06" dataDxfId="230"/>
    <tableColumn id="8" xr3:uid="{66495EAA-0E94-441D-936F-E61514B0B9B8}" name="0.07" dataDxfId="229"/>
    <tableColumn id="9" xr3:uid="{1B6155A0-3CEA-4177-8A7A-8F69FB84F049}" name="0.08" dataDxfId="228"/>
    <tableColumn id="10" xr3:uid="{B8EED524-656A-40B1-B7AB-3B6AE7D3E414}" name="0.09" dataDxfId="227"/>
    <tableColumn id="11" xr3:uid="{D1584110-BB23-4059-B46E-7896D7B27121}" name="0.1" dataDxfId="226"/>
    <tableColumn id="12" xr3:uid="{8CBF09BE-CD28-4042-81D1-C5DF751979A0}" name="mean" dataDxfId="225">
      <calculatedColumnFormula>AVERAGE(表格134008_moment[[#This Row],[0.01]:[0.1]])</calculatedColumnFormula>
    </tableColumn>
    <tableColumn id="13" xr3:uid="{44D3470C-D72B-40AD-86F9-5D4D6CD213E5}" name="std" dataDxfId="224">
      <calculatedColumnFormula>_xlfn.STDEV.S(表格134008_moment[[#This Row],[0.01]:[0.1]])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F186AE7-4829-40D8-B4DE-B64607E718B2}" name="表格134008_Gabor" displayName="表格134008_Gabor" ref="A18:N22" totalsRowShown="0" headerRowDxfId="223" dataDxfId="222">
  <autoFilter ref="A18:N22" xr:uid="{8C20ADFB-296F-40A5-9C29-7A97466DC9C7}"/>
  <tableColumns count="14">
    <tableColumn id="1" xr3:uid="{F68428D1-A42B-4CE6-BC29-ABFE35A7F973}" name=" " dataDxfId="221"/>
    <tableColumn id="14" xr3:uid="{0773AA3D-BF65-4B4B-B8F5-11F4F93499D6}" name="0" dataDxfId="220"/>
    <tableColumn id="2" xr3:uid="{A2520C0B-60CC-4D6C-90B2-6E4198FE64D3}" name="0.01" dataDxfId="219"/>
    <tableColumn id="3" xr3:uid="{D44AC785-F9E8-43FA-B678-A5E58D1E8934}" name="0.02" dataDxfId="218"/>
    <tableColumn id="4" xr3:uid="{F9797FA4-C96C-4F5C-AC2D-351F25C37E50}" name="0.03" dataDxfId="217"/>
    <tableColumn id="5" xr3:uid="{A4145D9A-5E20-4EB0-A18F-8EC8C5F62155}" name="0.04" dataDxfId="216"/>
    <tableColumn id="6" xr3:uid="{EA101039-9AE6-4C8D-8C05-F746EF0EFF06}" name="0.05" dataDxfId="215"/>
    <tableColumn id="7" xr3:uid="{444B752A-F9F5-44DF-93F6-6B4AB2EBBCD2}" name="0.06" dataDxfId="214"/>
    <tableColumn id="8" xr3:uid="{2F55DD3D-58C9-4A6B-BC6C-7A65709F14DD}" name="0.07" dataDxfId="213"/>
    <tableColumn id="9" xr3:uid="{40724B21-A842-4890-9B2E-567213BA95FD}" name="0.08" dataDxfId="212"/>
    <tableColumn id="10" xr3:uid="{4F695DFD-DE8C-43A9-98A2-2793116768A9}" name="0.09" dataDxfId="211"/>
    <tableColumn id="11" xr3:uid="{C6999247-3D79-48E5-944C-19E955EA86D0}" name="0.1" dataDxfId="210"/>
    <tableColumn id="12" xr3:uid="{4FAED85B-83F4-430D-B5EB-4600B1FC8FB7}" name="mean" dataDxfId="209">
      <calculatedColumnFormula>AVERAGE(表格134008_Gabor[[#This Row],[0.01]:[0.1]])</calculatedColumnFormula>
    </tableColumn>
    <tableColumn id="13" xr3:uid="{DBCF66BD-63EA-49B8-B684-6C331F26A149}" name="std" dataDxfId="208">
      <calculatedColumnFormula>_xlfn.STDEV.S(表格134008_Gabor[[#This Row],[0.01]:[0.1]])</calculatedColumnFormula>
    </tableColumn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329F269-DD3F-4F8B-A252-EE6D2D5A4C05}" name="表格134008_DWHT" displayName="表格134008_DWHT" ref="A26:N30" totalsRowShown="0" headerRowDxfId="207" dataDxfId="206">
  <autoFilter ref="A26:N30" xr:uid="{07421F40-75FE-42B2-B62B-0D4C84BEE44F}"/>
  <tableColumns count="14">
    <tableColumn id="1" xr3:uid="{2659807B-8DC6-491D-A40F-562EBC7442C2}" name=" " dataDxfId="205"/>
    <tableColumn id="14" xr3:uid="{874E6B31-821A-4F63-838B-4E490ABA9AD2}" name="0" dataDxfId="204"/>
    <tableColumn id="2" xr3:uid="{CFC05B8C-ED93-477B-AA0D-672E3D54DEE7}" name="0.01" dataDxfId="203"/>
    <tableColumn id="3" xr3:uid="{B7ABD675-03DE-4330-AE44-4CA777D0EE3E}" name="0.02" dataDxfId="202"/>
    <tableColumn id="4" xr3:uid="{9A16C20C-07B1-45D0-9D0B-155D04DDD4AE}" name="0.03" dataDxfId="201"/>
    <tableColumn id="5" xr3:uid="{D1F121EA-B817-4DED-B3DA-2EFF8994D3D0}" name="0.04" dataDxfId="200"/>
    <tableColumn id="6" xr3:uid="{661D210B-EDAE-404A-B8F0-D246AB92DFF9}" name="0.05" dataDxfId="199"/>
    <tableColumn id="7" xr3:uid="{706DD80F-927C-454E-AD25-5C0331ADDCEF}" name="0.06" dataDxfId="198"/>
    <tableColumn id="8" xr3:uid="{00E63B44-C21E-434E-A83A-2C360201B2D7}" name="0.07" dataDxfId="197"/>
    <tableColumn id="9" xr3:uid="{45260DFD-1D44-4CF4-909D-F906AA2F6805}" name="0.08" dataDxfId="196"/>
    <tableColumn id="10" xr3:uid="{A3B7093D-7D3E-474D-AAB1-E417E7902D28}" name="0.09" dataDxfId="195"/>
    <tableColumn id="11" xr3:uid="{70AA1830-B7F0-492D-B51D-85E8540A99BC}" name="0.1" dataDxfId="194"/>
    <tableColumn id="12" xr3:uid="{B8216E23-A09C-44EE-93BA-B4056EAF8444}" name="mean" dataDxfId="193">
      <calculatedColumnFormula>AVERAGE(表格134008_DWHT[[#This Row],[0.01]:[0.1]])</calculatedColumnFormula>
    </tableColumn>
    <tableColumn id="13" xr3:uid="{9306FA05-68F0-47AA-B3CD-0301CE536514}" name="std" dataDxfId="192">
      <calculatedColumnFormula>_xlfn.STDEV.S(表格134008_DWHT[[#This Row],[0.01]:[0.1]])</calculatedColumnFormula>
    </tableColumn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23AA592-3A35-45B2-8C79-A0FB06352D07}" name="表格160067_myself" displayName="表格160067_myself" ref="A2:N6" totalsRowShown="0" headerRowDxfId="191" dataDxfId="190">
  <autoFilter ref="A2:N6" xr:uid="{B97D2F2D-8412-46EF-A09F-9221A8664A8E}"/>
  <tableColumns count="14">
    <tableColumn id="1" xr3:uid="{8499C642-B301-4686-956F-D98ED0A268CD}" name=" " dataDxfId="189"/>
    <tableColumn id="14" xr3:uid="{D5D72045-0806-4243-BBD7-6950E38675C9}" name="0" dataDxfId="188"/>
    <tableColumn id="2" xr3:uid="{34098A8D-6414-48A9-B61D-2E48353C2BBE}" name="0.01" dataDxfId="187"/>
    <tableColumn id="3" xr3:uid="{2E2E9BCF-5774-4400-8BEA-043D3220FC2E}" name="0.02" dataDxfId="186"/>
    <tableColumn id="4" xr3:uid="{EF8FE8DF-2E85-4291-AB52-39E5D121912F}" name="0.03" dataDxfId="185"/>
    <tableColumn id="5" xr3:uid="{DDB860BC-9E48-4706-9747-7DDA3EAAE4F6}" name="0.04" dataDxfId="184"/>
    <tableColumn id="6" xr3:uid="{BE4152AE-014C-4B95-8702-6521FEBA585B}" name="0.05" dataDxfId="183"/>
    <tableColumn id="7" xr3:uid="{9C45BE76-592A-41B4-9E1A-8D548EFAD0E7}" name="0.06" dataDxfId="182"/>
    <tableColumn id="8" xr3:uid="{E3F1F83B-B365-4308-B75C-5AF2D9FFBFEA}" name="0.07" dataDxfId="181"/>
    <tableColumn id="9" xr3:uid="{91E97FB6-910D-4CEE-9B7A-95ACDE884A88}" name="0.08" dataDxfId="180"/>
    <tableColumn id="10" xr3:uid="{4D257C42-FA8C-4289-B8DF-6CB936673005}" name="0.09" dataDxfId="179"/>
    <tableColumn id="11" xr3:uid="{6FCCDD34-D9CB-4762-B9A7-20FE500D8FCE}" name="0.1" dataDxfId="178"/>
    <tableColumn id="12" xr3:uid="{CF4E59E0-59F2-4205-AB14-41DA4002DFA7}" name="mean" dataDxfId="177">
      <calculatedColumnFormula>AVERAGE(表格160067_myself[[#This Row],[0.01]:[0.1]])</calculatedColumnFormula>
    </tableColumn>
    <tableColumn id="13" xr3:uid="{0C442BFC-73AA-4DA3-9E0C-9085C9CF5A29}" name="std" dataDxfId="176">
      <calculatedColumnFormula>_xlfn.STDEV.S(表格160067_myself[[#This Row],[0.01]:[0.1]])</calculatedColumnFormula>
    </tableColumn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231828-5062-4A76-B8F4-CF1A0E760FB6}" name="表格160067_moment" displayName="表格160067_moment" ref="A10:N14" totalsRowShown="0" headerRowDxfId="175" dataDxfId="174">
  <autoFilter ref="A10:N14" xr:uid="{9781811A-DD68-4913-824A-8A328BBB83DB}"/>
  <tableColumns count="14">
    <tableColumn id="1" xr3:uid="{8C2CD2AC-6C02-4545-BB6A-CD4624C64D75}" name=" " dataDxfId="173"/>
    <tableColumn id="14" xr3:uid="{A84B4439-3930-48B6-9026-2F7FBD040E26}" name="0" dataDxfId="172"/>
    <tableColumn id="2" xr3:uid="{FB0D3DC4-6EF7-4EFF-81F1-C3735CE3418E}" name="0.01" dataDxfId="171"/>
    <tableColumn id="3" xr3:uid="{F224754D-F6F5-4557-8FD1-9F1065798455}" name="0.02" dataDxfId="170"/>
    <tableColumn id="4" xr3:uid="{12C9C4D4-300C-4A72-91EE-B8046F866E7E}" name="0.03" dataDxfId="169"/>
    <tableColumn id="5" xr3:uid="{9901FB99-EEE2-4110-AFC0-851C9587A538}" name="0.04" dataDxfId="168"/>
    <tableColumn id="6" xr3:uid="{A2AC7F5B-EFF3-44C0-A2AA-50BAC42E09FA}" name="0.05" dataDxfId="167"/>
    <tableColumn id="7" xr3:uid="{F1559079-48CB-4ECA-990A-DFC293007A21}" name="0.06" dataDxfId="166"/>
    <tableColumn id="8" xr3:uid="{C91E3DF8-D3E7-4F69-AE86-DAEAF619C53A}" name="0.07" dataDxfId="165"/>
    <tableColumn id="9" xr3:uid="{2383ABF0-7E12-4B47-B9D1-2CC41D671AB9}" name="0.08" dataDxfId="164"/>
    <tableColumn id="10" xr3:uid="{781C4E6A-5504-472B-A47E-EABFC3954A8A}" name="0.09" dataDxfId="163"/>
    <tableColumn id="11" xr3:uid="{11C07526-1226-48CA-8653-A919D2855D6A}" name="0.1" dataDxfId="162"/>
    <tableColumn id="12" xr3:uid="{0551E0A1-B942-47D4-B5EC-15FB4A2B7344}" name="mean" dataDxfId="161">
      <calculatedColumnFormula>AVERAGE(表格160067_moment[[#This Row],[0.01]:[0.1]])</calculatedColumnFormula>
    </tableColumn>
    <tableColumn id="13" xr3:uid="{41D97798-9B14-41B0-BA51-21FDAB9EAD25}" name="std" dataDxfId="160">
      <calculatedColumnFormula>_xlfn.STDEV.S(表格160067_moment[[#This Row],[0.01]:[0.1]])</calculatedColumnFormula>
    </tableColumn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849F92-795A-44F8-8C3E-8F8C34FF2BED}" name="表格160067_Gabor" displayName="表格160067_Gabor" ref="A18:N22" totalsRowShown="0" headerRowDxfId="159" dataDxfId="158">
  <autoFilter ref="A18:N22" xr:uid="{8C20ADFB-296F-40A5-9C29-7A97466DC9C7}"/>
  <tableColumns count="14">
    <tableColumn id="1" xr3:uid="{C1FB062D-3F9A-4C16-A7F1-AB64FB43F0F2}" name=" " dataDxfId="157"/>
    <tableColumn id="14" xr3:uid="{B3084CF4-21A5-473F-A248-2FACF17669B7}" name="0" dataDxfId="156"/>
    <tableColumn id="2" xr3:uid="{00B120E9-B5FF-4252-980E-D7EE08630195}" name="0.01" dataDxfId="155"/>
    <tableColumn id="3" xr3:uid="{400EABFB-0A7A-4E93-BC1D-B351AA0995A0}" name="0.02" dataDxfId="154"/>
    <tableColumn id="4" xr3:uid="{568C1944-5E08-4E88-950D-528F64F6DCE1}" name="0.03" dataDxfId="153"/>
    <tableColumn id="5" xr3:uid="{08B28DE7-9014-41AE-9A58-36D50F333AE4}" name="0.04" dataDxfId="152"/>
    <tableColumn id="6" xr3:uid="{B7868F13-4F08-4CCB-858E-0E2055F44117}" name="0.05" dataDxfId="151"/>
    <tableColumn id="7" xr3:uid="{32E26D6B-9842-4B55-A7C6-898D8EF5C1D6}" name="0.06" dataDxfId="150"/>
    <tableColumn id="8" xr3:uid="{6E8730DE-CB24-44F2-8F87-A8C0D50B8C40}" name="0.07" dataDxfId="149"/>
    <tableColumn id="9" xr3:uid="{656AB577-123F-4B24-A23D-746D9EDF1840}" name="0.08" dataDxfId="148"/>
    <tableColumn id="10" xr3:uid="{6BD077ED-6D42-4035-ACFB-0ECCDE8A2CB9}" name="0.09" dataDxfId="147"/>
    <tableColumn id="11" xr3:uid="{DF5BF596-AD18-4545-8BCD-77917D590409}" name="0.1" dataDxfId="146"/>
    <tableColumn id="12" xr3:uid="{42D3C20B-373E-4957-88B1-1B9264B582D4}" name="mean" dataDxfId="145">
      <calculatedColumnFormula>AVERAGE(表格160067_Gabor[[#This Row],[0.01]:[0.1]])</calculatedColumnFormula>
    </tableColumn>
    <tableColumn id="13" xr3:uid="{ADE6302D-CF69-440E-8556-4191C701CD57}" name="std" dataDxfId="144">
      <calculatedColumnFormula>_xlfn.STDEV.S(表格160067_Gabor[[#This Row],[0.01]:[0.1]])</calculatedColumnFormula>
    </tableColumn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4BA0802-56E3-49F1-B867-C91927007145}" name="表格160067_DWHT" displayName="表格160067_DWHT" ref="A26:N30" totalsRowShown="0" headerRowDxfId="143" dataDxfId="142">
  <autoFilter ref="A26:N30" xr:uid="{07421F40-75FE-42B2-B62B-0D4C84BEE44F}"/>
  <tableColumns count="14">
    <tableColumn id="1" xr3:uid="{41E8A624-8AC0-46BC-94A5-989CBCBEB1A1}" name=" " dataDxfId="141"/>
    <tableColumn id="14" xr3:uid="{EBAF0342-D70E-41D7-9FD6-541C7C540A6B}" name="0" dataDxfId="140"/>
    <tableColumn id="2" xr3:uid="{97A6A4B4-3B1E-455E-863A-05D377BEA92C}" name="0.01" dataDxfId="139"/>
    <tableColumn id="3" xr3:uid="{C19BCA74-A41B-4B07-AB53-3BCEBF51A763}" name="0.02" dataDxfId="138"/>
    <tableColumn id="4" xr3:uid="{F9A0D39E-96C3-4A6C-9D03-453D4E98779E}" name="0.03" dataDxfId="137"/>
    <tableColumn id="5" xr3:uid="{A0C965AD-9234-4719-9D32-4DA77273B9C3}" name="0.04" dataDxfId="136"/>
    <tableColumn id="6" xr3:uid="{7528CA66-7791-462D-846C-1BB69B743A2A}" name="0.05" dataDxfId="135"/>
    <tableColumn id="7" xr3:uid="{8A998F18-C33B-4667-9DA6-C3FA302FF6C4}" name="0.06" dataDxfId="134"/>
    <tableColumn id="8" xr3:uid="{C348780B-497B-4F05-A916-293882F3DE56}" name="0.07" dataDxfId="133"/>
    <tableColumn id="9" xr3:uid="{18E34DEB-4AEB-4CC8-86C7-91BA09D0A62F}" name="0.08" dataDxfId="132"/>
    <tableColumn id="10" xr3:uid="{99EEFE4F-F37B-4304-BAF5-4AB55E4D2857}" name="0.09" dataDxfId="131"/>
    <tableColumn id="11" xr3:uid="{7FB6CBEF-B3DB-45A9-BAB7-3A0C31EF69D5}" name="0.1" dataDxfId="130"/>
    <tableColumn id="12" xr3:uid="{6E500157-D06A-4342-BCCA-801C78A5F4E3}" name="mean" dataDxfId="129">
      <calculatedColumnFormula>AVERAGE(表格160067_DWHT[[#This Row],[0.01]:[0.1]])</calculatedColumnFormula>
    </tableColumn>
    <tableColumn id="13" xr3:uid="{F7DD5331-BE1C-49DB-92AF-17406AAD5596}" name="std" dataDxfId="128">
      <calculatedColumnFormula>_xlfn.STDEV.S(表格160067_DWHT[[#This Row],[0.01]:[0.1]])</calculatedColumnFormula>
    </tableColumn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BD2E47-48B8-437D-8376-21A40D01F76D}" name="表格100039_myself" displayName="表格100039_myself" ref="A2:N6" totalsRowShown="0" headerRowDxfId="127" dataDxfId="126">
  <autoFilter ref="A2:N6" xr:uid="{B97D2F2D-8412-46EF-A09F-9221A8664A8E}"/>
  <tableColumns count="14">
    <tableColumn id="1" xr3:uid="{B5C7501D-AE5A-48D5-8F02-36BBCF6FD3E8}" name=" " dataDxfId="125"/>
    <tableColumn id="14" xr3:uid="{659B40E0-F3CD-4E46-A5E4-35961F22832C}" name="0" dataDxfId="124"/>
    <tableColumn id="2" xr3:uid="{E7B945DB-F52E-4699-9528-26EAE9C83713}" name="0.01" dataDxfId="123"/>
    <tableColumn id="3" xr3:uid="{5AF68CA7-ADAA-4CFC-9E5B-A88F73E5535C}" name="0.02" dataDxfId="122"/>
    <tableColumn id="4" xr3:uid="{8F873F16-27A5-4FAE-9302-AFCF81945E03}" name="0.03" dataDxfId="121"/>
    <tableColumn id="5" xr3:uid="{328E0771-17D4-4225-844A-AF964AB19E1A}" name="0.04" dataDxfId="120"/>
    <tableColumn id="6" xr3:uid="{A7DB4094-2950-41D7-9A69-38ABD1863AC0}" name="0.05" dataDxfId="119"/>
    <tableColumn id="7" xr3:uid="{19BCED92-281E-4BD1-90BC-13F5B15A35F0}" name="0.06" dataDxfId="118"/>
    <tableColumn id="8" xr3:uid="{F4ED7C94-A28F-4AB7-82E1-F668145CC6E3}" name="0.07" dataDxfId="117"/>
    <tableColumn id="9" xr3:uid="{3FC7A2B7-FC87-405A-AB67-8A3F73C57635}" name="0.08" dataDxfId="116"/>
    <tableColumn id="10" xr3:uid="{710F70DE-8C15-40F2-B476-37749A42AB25}" name="0.09" dataDxfId="115"/>
    <tableColumn id="11" xr3:uid="{E2DA3D38-9349-4311-B3B8-4558A76B587E}" name="0.1" dataDxfId="114"/>
    <tableColumn id="12" xr3:uid="{7A61C99D-BDB4-4EE8-801B-2CC81171F2AE}" name="mean" dataDxfId="113">
      <calculatedColumnFormula>AVERAGE(表格100039_myself[[#This Row],[0.01]:[0.1]])</calculatedColumnFormula>
    </tableColumn>
    <tableColumn id="13" xr3:uid="{3B30A778-B0F5-4FEF-BB2B-8C2F7B2EEF6A}" name="std" dataDxfId="112">
      <calculatedColumnFormula>_xlfn.STDEV.S(表格100039_myself[[#This Row],[0.01]:[0.1]])</calculatedColumnFormula>
    </tableColumn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D0E455D-D109-4CAE-B5C2-C56E37777601}" name="表格100039_moment" displayName="表格100039_moment" ref="A10:N14" totalsRowShown="0" headerRowDxfId="111" dataDxfId="110">
  <autoFilter ref="A10:N14" xr:uid="{9781811A-DD68-4913-824A-8A328BBB83DB}"/>
  <tableColumns count="14">
    <tableColumn id="1" xr3:uid="{18FCDB89-20B3-44B0-B016-C1CBFBE81FA3}" name=" " dataDxfId="109"/>
    <tableColumn id="14" xr3:uid="{B41A50E6-D73E-442F-8F97-9B2CEC0E2897}" name="0" dataDxfId="108"/>
    <tableColumn id="2" xr3:uid="{B4FAF97D-AF8B-4863-A0F9-0B77659F11FF}" name="0.01" dataDxfId="107"/>
    <tableColumn id="3" xr3:uid="{53747B2D-0DD7-4871-9D63-551B2E45B9B4}" name="0.02" dataDxfId="106"/>
    <tableColumn id="4" xr3:uid="{80B8E406-82EB-4B15-903A-3D0C0DC1BB0E}" name="0.03" dataDxfId="105"/>
    <tableColumn id="5" xr3:uid="{5BD6314D-C048-4133-A4D3-BD24412BBCBA}" name="0.04" dataDxfId="104"/>
    <tableColumn id="6" xr3:uid="{776FDD38-DB3D-4296-B622-A3427E7F334F}" name="0.05" dataDxfId="103"/>
    <tableColumn id="7" xr3:uid="{8B5F31E7-3414-41C1-B468-4E426D71CB74}" name="0.06" dataDxfId="102"/>
    <tableColumn id="8" xr3:uid="{B7F4BB28-BD33-4A94-A805-B7DBCA2E77B1}" name="0.07" dataDxfId="101"/>
    <tableColumn id="9" xr3:uid="{C6C115D1-4278-47B6-8850-FF5E7D1A467E}" name="0.08" dataDxfId="100"/>
    <tableColumn id="10" xr3:uid="{FF9B909A-467D-4FCB-B584-765F40A678BF}" name="0.09" dataDxfId="99"/>
    <tableColumn id="11" xr3:uid="{BA0485EC-8F05-40AC-AC5D-26C147C6A976}" name="0.1" dataDxfId="98"/>
    <tableColumn id="12" xr3:uid="{7A2D4AC1-9B8D-4958-8A56-E02FFF99602C}" name="mean" dataDxfId="97">
      <calculatedColumnFormula>AVERAGE(表格100039_moment[[#This Row],[0.01]:[0.1]])</calculatedColumnFormula>
    </tableColumn>
    <tableColumn id="13" xr3:uid="{A8C41B61-30FB-46A4-A3E9-4CE3044A11F6}" name="std" dataDxfId="96">
      <calculatedColumnFormula>_xlfn.STDEV.S(表格100039_moment[[#This Row],[0.01]:[0.1]])</calculatedColumnFormula>
    </tableColumn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D417E8-5FEC-42DA-A79A-28AEFF925CB4}" name="表格100039_Gabor" displayName="表格100039_Gabor" ref="A18:N22" totalsRowShown="0" headerRowDxfId="95" dataDxfId="94">
  <autoFilter ref="A18:N22" xr:uid="{8C20ADFB-296F-40A5-9C29-7A97466DC9C7}"/>
  <tableColumns count="14">
    <tableColumn id="1" xr3:uid="{DEEE1EFD-0B41-40C0-8AD9-3B3A339A353A}" name=" " dataDxfId="93"/>
    <tableColumn id="14" xr3:uid="{33AAF3BA-BC95-4C7A-B509-ECE9E905BACA}" name="0" dataDxfId="92"/>
    <tableColumn id="2" xr3:uid="{20DFD990-5A54-46CC-B25F-08EF45B23873}" name="0.01" dataDxfId="91"/>
    <tableColumn id="3" xr3:uid="{EE8BA119-4153-4612-B3F2-444783EA36F0}" name="0.02" dataDxfId="90"/>
    <tableColumn id="4" xr3:uid="{5FBA827E-12BD-4954-B6ED-20AC39B6B540}" name="0.03" dataDxfId="89"/>
    <tableColumn id="5" xr3:uid="{7FA796E7-6518-4D1E-BE9E-C0B96792FC75}" name="0.04" dataDxfId="88"/>
    <tableColumn id="6" xr3:uid="{89D8260B-D202-4CBC-B667-A2C8F62C53B9}" name="0.05" dataDxfId="87"/>
    <tableColumn id="7" xr3:uid="{0ABD9AA7-EB33-4D38-8CEF-CB6EA439D45F}" name="0.06" dataDxfId="86"/>
    <tableColumn id="8" xr3:uid="{B80D789E-0A82-4CBD-A837-FD14023B7111}" name="0.07" dataDxfId="85"/>
    <tableColumn id="9" xr3:uid="{9E68A3C5-D3F1-4B53-846D-E83EEEEF3147}" name="0.08" dataDxfId="84"/>
    <tableColumn id="10" xr3:uid="{F1CB8205-CB55-4137-9DCC-BE419E6C9FB7}" name="0.09" dataDxfId="83"/>
    <tableColumn id="11" xr3:uid="{D5F7A789-12DB-4BE0-918B-2F7593F08166}" name="0.1" dataDxfId="82"/>
    <tableColumn id="12" xr3:uid="{7681D4E8-2EA2-40CC-BFEA-820BB045FE6F}" name="mean" dataDxfId="81">
      <calculatedColumnFormula>AVERAGE(表格100039_Gabor[[#This Row],[0.01]:[0.1]])</calculatedColumnFormula>
    </tableColumn>
    <tableColumn id="13" xr3:uid="{C4EDF533-8F59-47E0-8D9A-938CA202F2DB}" name="std" dataDxfId="80">
      <calculatedColumnFormula>_xlfn.STDEV.S(表格100039_Gabor[[#This Row],[0.01]:[0.1]])</calculatedColumnFormula>
    </tableColumn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713BC9F-9FF7-4822-A8EF-D54BFA4DC715}" name="表格100039_DWHT" displayName="表格100039_DWHT" ref="A26:N30" totalsRowShown="0" headerRowDxfId="79" dataDxfId="78">
  <autoFilter ref="A26:N30" xr:uid="{07421F40-75FE-42B2-B62B-0D4C84BEE44F}"/>
  <tableColumns count="14">
    <tableColumn id="1" xr3:uid="{8B5B5866-61BA-4B2E-B9DE-29A5DECEC3AD}" name=" " dataDxfId="77"/>
    <tableColumn id="14" xr3:uid="{26F1A58F-D78F-4CE1-AD6C-0BBB065F000A}" name="0" dataDxfId="76"/>
    <tableColumn id="2" xr3:uid="{A46A406F-D943-4468-9EFA-6D45480BDB35}" name="0.01" dataDxfId="75"/>
    <tableColumn id="3" xr3:uid="{A8847D0C-B202-4191-9688-92D2780D7A28}" name="0.02" dataDxfId="74"/>
    <tableColumn id="4" xr3:uid="{D5E1C15F-F140-4B23-9D36-11F495B3EA27}" name="0.03" dataDxfId="73"/>
    <tableColumn id="5" xr3:uid="{6C29FD72-0A51-4D98-A1B0-B8E005A6C8E2}" name="0.04" dataDxfId="72"/>
    <tableColumn id="6" xr3:uid="{1DF70D6F-591C-41F1-845D-485A7EF3AECB}" name="0.05" dataDxfId="71"/>
    <tableColumn id="7" xr3:uid="{D68D4244-7D32-481A-B8B8-B28CE53F03F9}" name="0.06" dataDxfId="70"/>
    <tableColumn id="8" xr3:uid="{C58E8F27-1334-418E-9499-C26942C3F5DB}" name="0.07" dataDxfId="69"/>
    <tableColumn id="9" xr3:uid="{093D3C43-6A4B-45E6-9743-D8E81933290F}" name="0.08" dataDxfId="68"/>
    <tableColumn id="10" xr3:uid="{B15B0D09-FE4F-4F86-9A9D-ACA791935C14}" name="0.09" dataDxfId="67"/>
    <tableColumn id="11" xr3:uid="{3CDB87E1-79D8-41C8-8003-39DDA77AC62C}" name="0.1" dataDxfId="66"/>
    <tableColumn id="12" xr3:uid="{90ED9582-4520-4ED8-A386-2204E41C8420}" name="mean" dataDxfId="65">
      <calculatedColumnFormula>AVERAGE(表格100039_DWHT[[#This Row],[0.01]:[0.1]])</calculatedColumnFormula>
    </tableColumn>
    <tableColumn id="13" xr3:uid="{A7C29F74-2BB6-4166-AEC0-51330AE09019}" name="std" dataDxfId="64">
      <calculatedColumnFormula>_xlfn.STDEV.S(表格100039_DWHT[[#This Row],[0.01]:[0.1]])</calculatedColumnFormula>
    </tableColumn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08DA69F-B924-4E10-8A0C-B4A669A2B8F8}" name="表格8_534" displayName="表格8_534" ref="A4:N8" totalsRowShown="0" headerRowDxfId="63" dataDxfId="62">
  <autoFilter ref="A4:N8" xr:uid="{808DA69F-B924-4E10-8A0C-B4A669A2B8F8}"/>
  <tableColumns count="14">
    <tableColumn id="1" xr3:uid="{BFCC98BF-8FB0-4A85-BA0C-36211B1D2397}" name=" " dataDxfId="61"/>
    <tableColumn id="14" xr3:uid="{1D031A51-A294-445C-BFB7-48BAC987FCD7}" name="0" dataDxfId="60">
      <calculatedColumnFormula array="1">INDIRECT("'"&amp;$A$1&amp;"'!"&amp;CHAR(65+COLUMN()-1)&amp;"11")</calculatedColumnFormula>
    </tableColumn>
    <tableColumn id="2" xr3:uid="{12925C0C-FB6D-46FB-8D8F-81BC373C0C4D}" name="0.01" dataDxfId="59"/>
    <tableColumn id="3" xr3:uid="{0EEFC685-3AB7-4D05-AAE6-99037ACEB759}" name="0.02" dataDxfId="58"/>
    <tableColumn id="4" xr3:uid="{D4BD3AA1-32A0-4256-8D6C-0D3AC240A80B}" name="0.03" dataDxfId="57"/>
    <tableColumn id="5" xr3:uid="{73C21ACE-BBEF-4270-9DD4-D13605CBB0B3}" name="0.04" dataDxfId="56"/>
    <tableColumn id="6" xr3:uid="{CE1204AD-532E-49FD-9406-A40661571BDF}" name="0.05" dataDxfId="55"/>
    <tableColumn id="7" xr3:uid="{D34F1ECD-73E3-4AAF-AEB6-84CF516719DB}" name="0.06" dataDxfId="54"/>
    <tableColumn id="8" xr3:uid="{4F6F54EF-3C2C-4E24-932A-608D5BA4E12F}" name="0.07" dataDxfId="53"/>
    <tableColumn id="9" xr3:uid="{E4F0B063-A510-42A5-8A60-C01DFB12B9B7}" name="0.08" dataDxfId="52"/>
    <tableColumn id="10" xr3:uid="{05B61BA9-0EB1-4AA6-A548-AB12937C222E}" name="0.09" dataDxfId="51"/>
    <tableColumn id="11" xr3:uid="{4C54C783-B699-4B62-A38D-7B681EFFEDC8}" name="0.1" dataDxfId="50"/>
    <tableColumn id="12" xr3:uid="{23EE00FB-0C9F-4B37-8D46-1BE670FDA572}" name="mean" dataDxfId="49"/>
    <tableColumn id="13" xr3:uid="{2B745B8B-2C58-4D84-AAE6-BF96452BB7D9}" name="std" dataDxfId="48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CE7FD7B-6B7A-442E-B791-A84F11D697A1}" name="表格8_53435" displayName="表格8_53435" ref="A11:N15" totalsRowShown="0" headerRowDxfId="47" dataDxfId="46">
  <autoFilter ref="A11:N15" xr:uid="{9CE7FD7B-6B7A-442E-B791-A84F11D697A1}"/>
  <tableColumns count="14">
    <tableColumn id="1" xr3:uid="{ACB29591-D914-4958-8F26-749D1DD05564}" name=" " dataDxfId="45"/>
    <tableColumn id="14" xr3:uid="{A7DE3378-18CA-4FB7-8E3E-69745B9C1204}" name="0" dataDxfId="44"/>
    <tableColumn id="2" xr3:uid="{4BDD9C93-EB17-4200-97AB-3537967F0A49}" name="0.01" dataDxfId="43"/>
    <tableColumn id="3" xr3:uid="{BE02A56E-8282-4D3D-8F8E-0E85A33F72DB}" name="0.02" dataDxfId="42"/>
    <tableColumn id="4" xr3:uid="{C0863C13-EB33-429B-83CA-264DBF846C54}" name="0.03" dataDxfId="41"/>
    <tableColumn id="5" xr3:uid="{5BFCD00C-AB27-43FF-8CA9-3AD484DB1A3F}" name="0.04" dataDxfId="40"/>
    <tableColumn id="6" xr3:uid="{593E2270-9A00-4AFD-9832-2E6EC20DAD44}" name="0.05" dataDxfId="39"/>
    <tableColumn id="7" xr3:uid="{B687EBE4-60E8-49AB-B38D-997DD6194218}" name="0.06" dataDxfId="38"/>
    <tableColumn id="8" xr3:uid="{5EE03BB7-167B-4811-AA9A-2CC276F08874}" name="0.07" dataDxfId="37"/>
    <tableColumn id="9" xr3:uid="{D3AA95E8-40A8-4D22-B60B-3D46C2448CAD}" name="0.08" dataDxfId="36"/>
    <tableColumn id="10" xr3:uid="{20EF9615-727B-4471-BAD2-A8AB2356C572}" name="0.09" dataDxfId="35"/>
    <tableColumn id="11" xr3:uid="{254BFBA5-A7F9-415B-9B4C-50F8A247C05C}" name="0.1" dataDxfId="34"/>
    <tableColumn id="12" xr3:uid="{7F9BC50F-04EA-4CFE-A716-6439136BD046}" name="mean" dataDxfId="33"/>
    <tableColumn id="13" xr3:uid="{55264576-CB21-4B7A-889A-4203CE6333CE}" name="std" dataDxfId="32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FC68B2F-6CE2-4C30-8E66-B94127AD8877}" name="表格8_53436" displayName="表格8_53436" ref="A18:N22" totalsRowShown="0" headerRowDxfId="31" dataDxfId="30">
  <autoFilter ref="A18:N22" xr:uid="{FFC68B2F-6CE2-4C30-8E66-B94127AD8877}"/>
  <tableColumns count="14">
    <tableColumn id="1" xr3:uid="{B3D96314-2276-4E32-83F7-7BE23588D6BD}" name=" " dataDxfId="29"/>
    <tableColumn id="14" xr3:uid="{91D38490-D204-4612-B81C-0E0C30C29D1D}" name="0" dataDxfId="28"/>
    <tableColumn id="2" xr3:uid="{00ABDEB0-4A1E-4A27-8EE9-2AEAB23B6204}" name="0.01" dataDxfId="27"/>
    <tableColumn id="3" xr3:uid="{F37AC850-65CB-4CD7-8299-56C7E2668411}" name="0.02" dataDxfId="26"/>
    <tableColumn id="4" xr3:uid="{488039AA-8833-4116-9370-99A2E6195953}" name="0.03" dataDxfId="25"/>
    <tableColumn id="5" xr3:uid="{2EBB3258-AAD0-4BB2-BCBD-06C6ADAE2BE5}" name="0.04" dataDxfId="24"/>
    <tableColumn id="6" xr3:uid="{002183CA-6B5F-45FB-8FFF-ED3FFE907432}" name="0.05" dataDxfId="23"/>
    <tableColumn id="7" xr3:uid="{B0F2BA07-6A01-458F-BA07-901167900332}" name="0.06" dataDxfId="22"/>
    <tableColumn id="8" xr3:uid="{6922667F-1390-434A-8F89-4F44B3DB7892}" name="0.07" dataDxfId="21"/>
    <tableColumn id="9" xr3:uid="{3B1E774A-FBC0-4A05-8CB2-57B9E4F6ECA8}" name="0.08" dataDxfId="20"/>
    <tableColumn id="10" xr3:uid="{05A5D711-4233-40CD-8774-211AB27DB43C}" name="0.09" dataDxfId="19"/>
    <tableColumn id="11" xr3:uid="{9A0F5D78-7B00-465F-B114-23A612C3A7D2}" name="0.1" dataDxfId="18"/>
    <tableColumn id="12" xr3:uid="{7A122711-434C-4B21-B040-E902DF4360A7}" name="mean" dataDxfId="17"/>
    <tableColumn id="13" xr3:uid="{E6FAB67F-C5C6-430A-AFAE-276491B013CF}" name="std" dataDxfId="16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0F692F0-C105-45C0-AAFF-0CD42D7CAB16}" name="表格8_53437" displayName="表格8_53437" ref="A25:N29" totalsRowShown="0" headerRowDxfId="15" dataDxfId="14">
  <autoFilter ref="A25:N29" xr:uid="{10F692F0-C105-45C0-AAFF-0CD42D7CAB16}"/>
  <tableColumns count="14">
    <tableColumn id="1" xr3:uid="{959B5787-82BF-4A98-81F9-6E71217B2496}" name=" " dataDxfId="13"/>
    <tableColumn id="14" xr3:uid="{647B6F1E-CFB5-481D-922E-4AAC87396575}" name="0" dataDxfId="12"/>
    <tableColumn id="2" xr3:uid="{96B2CBEA-89DC-468F-A5C4-E236E605A7BC}" name="0.01" dataDxfId="11"/>
    <tableColumn id="3" xr3:uid="{45F94AD8-1AAE-4A4B-8A51-BDFD79E86E04}" name="0.02" dataDxfId="10"/>
    <tableColumn id="4" xr3:uid="{F0957085-F14C-4423-941F-1E799FC98063}" name="0.03" dataDxfId="9"/>
    <tableColumn id="5" xr3:uid="{764BE927-4146-4A50-82BB-E6692BDE3706}" name="0.04" dataDxfId="8"/>
    <tableColumn id="6" xr3:uid="{7D9DEC46-3D3C-4EEA-9981-49E964AD0605}" name="0.05" dataDxfId="7"/>
    <tableColumn id="7" xr3:uid="{91449A88-82AA-4B04-9344-B4534A135C47}" name="0.06" dataDxfId="6"/>
    <tableColumn id="8" xr3:uid="{825E4788-043A-43E6-98D7-5F8103A692E9}" name="0.07" dataDxfId="5"/>
    <tableColumn id="9" xr3:uid="{701AC949-9347-40F5-BFD6-3FDFFFC8B433}" name="0.08" dataDxfId="4"/>
    <tableColumn id="10" xr3:uid="{7DF5954D-BBFC-46CD-BF31-133A8D43358E}" name="0.09" dataDxfId="3"/>
    <tableColumn id="11" xr3:uid="{8A909C16-2AC9-435B-9661-DBFA1316609D}" name="0.1" dataDxfId="2"/>
    <tableColumn id="12" xr3:uid="{9707C367-2728-47B0-ADFE-07AB7DDFA22C}" name="mean" dataDxfId="1"/>
    <tableColumn id="13" xr3:uid="{281DFA11-9E6B-4180-A41D-18E82CA2ABBC}" name="st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0C4B-2DCB-4AB8-8AAD-C150FBD79973}">
  <dimension ref="A1:N30"/>
  <sheetViews>
    <sheetView topLeftCell="A25" workbookViewId="0">
      <selection activeCell="L27" sqref="L27:L30"/>
    </sheetView>
  </sheetViews>
  <sheetFormatPr defaultRowHeight="18" x14ac:dyDescent="0.35"/>
  <cols>
    <col min="1" max="1" width="11.375" style="1" bestFit="1" customWidth="1"/>
    <col min="2" max="14" width="12.3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4.2545000000000002</v>
      </c>
      <c r="C3" s="2">
        <v>4.827</v>
      </c>
      <c r="D3" s="2">
        <v>5.6852999999999998</v>
      </c>
      <c r="E3" s="2">
        <v>4.5117000000000003</v>
      </c>
      <c r="F3" s="2">
        <v>5.5641999999999996</v>
      </c>
      <c r="G3" s="2">
        <v>4.2876000000000003</v>
      </c>
      <c r="H3" s="2">
        <v>4.2641</v>
      </c>
      <c r="I3" s="2">
        <v>5.5666000000000002</v>
      </c>
      <c r="J3" s="2">
        <v>6.7732999999999999</v>
      </c>
      <c r="K3" s="2">
        <v>7.6143999999999998</v>
      </c>
      <c r="L3" s="2">
        <v>6.9709000000000003</v>
      </c>
      <c r="M3" s="2">
        <f>AVERAGE(表格55_104_2_Myself[[#This Row],[0.01]:[0.1]])</f>
        <v>5.6065100000000001</v>
      </c>
      <c r="N3" s="2">
        <f>_xlfn.STDEV.S(表格55_104_2_Myself[[#This Row],[0.01]:[0.1]])</f>
        <v>1.1837794937778259</v>
      </c>
    </row>
    <row r="4" spans="1:14" x14ac:dyDescent="0.35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0.98</v>
      </c>
      <c r="L4" s="2">
        <v>1</v>
      </c>
      <c r="M4" s="2">
        <f>AVERAGE(表格55_104_2_Myself[[#This Row],[0.01]:[0.1]])</f>
        <v>0.998</v>
      </c>
      <c r="N4" s="2">
        <f>_xlfn.STDEV.S(表格55_104_2_Myself[[#This Row],[0.01]:[0.1]])</f>
        <v>6.324555320336764E-3</v>
      </c>
    </row>
    <row r="5" spans="1:14" x14ac:dyDescent="0.35">
      <c r="A5" s="1" t="s">
        <v>4</v>
      </c>
      <c r="B5" s="2">
        <v>0.75370000000000004</v>
      </c>
      <c r="C5" s="2">
        <v>0.752</v>
      </c>
      <c r="D5" s="2">
        <v>0.74480000000000002</v>
      </c>
      <c r="E5" s="2">
        <v>0.74380000000000002</v>
      </c>
      <c r="F5" s="2">
        <v>0.72230000000000005</v>
      </c>
      <c r="G5" s="2">
        <v>0.74050000000000005</v>
      </c>
      <c r="H5" s="2">
        <v>0.73299999999999998</v>
      </c>
      <c r="I5" s="2">
        <v>0.72629999999999995</v>
      </c>
      <c r="J5" s="2">
        <v>0.67449999999999999</v>
      </c>
      <c r="K5" s="2">
        <v>0.69130000000000003</v>
      </c>
      <c r="L5" s="2">
        <v>0.70450000000000002</v>
      </c>
      <c r="M5" s="2">
        <f>AVERAGE(表格55_104_2_Myself[[#This Row],[0.01]:[0.1]])</f>
        <v>0.72330000000000005</v>
      </c>
      <c r="N5" s="2">
        <f>_xlfn.STDEV.S(表格55_104_2_Myself[[#This Row],[0.01]:[0.1]])</f>
        <v>2.5527762664727727E-2</v>
      </c>
    </row>
    <row r="6" spans="1:14" x14ac:dyDescent="0.35">
      <c r="A6" s="1" t="s">
        <v>5</v>
      </c>
      <c r="B6" s="2">
        <v>76</v>
      </c>
      <c r="C6" s="2">
        <v>126</v>
      </c>
      <c r="D6" s="2">
        <v>119</v>
      </c>
      <c r="E6" s="2">
        <v>127</v>
      </c>
      <c r="F6" s="2">
        <v>132</v>
      </c>
      <c r="G6" s="2">
        <v>134</v>
      </c>
      <c r="H6" s="2">
        <v>114</v>
      </c>
      <c r="I6" s="2">
        <v>200</v>
      </c>
      <c r="J6" s="2">
        <v>200</v>
      </c>
      <c r="K6" s="2">
        <v>197</v>
      </c>
      <c r="L6" s="2">
        <v>157</v>
      </c>
      <c r="M6" s="2">
        <f>AVERAGE(表格55_104_2_Myself[[#This Row],[0.01]:[0.1]])</f>
        <v>150.6</v>
      </c>
      <c r="N6" s="2">
        <f>_xlfn.STDEV.S(表格55_104_2_Myself[[#This Row],[0.01]:[0.1]])</f>
        <v>35.271014224777318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11.0679</v>
      </c>
      <c r="C11" s="2">
        <v>11.298400000000001</v>
      </c>
      <c r="D11" s="2">
        <v>14.0114</v>
      </c>
      <c r="E11" s="2">
        <v>20.623699999999999</v>
      </c>
      <c r="F11" s="2">
        <v>12.745900000000001</v>
      </c>
      <c r="G11" s="2">
        <v>26.5273</v>
      </c>
      <c r="H11" s="2">
        <v>16.3582</v>
      </c>
      <c r="I11" s="2">
        <v>13.2308</v>
      </c>
      <c r="J11" s="2">
        <v>15.8064</v>
      </c>
      <c r="K11" s="2">
        <v>24.683199999999999</v>
      </c>
      <c r="L11" s="2">
        <v>20.8857</v>
      </c>
      <c r="M11" s="2">
        <f>AVERAGE(表格55_104_2_moment[[#This Row],[0.01]:[0.1]])</f>
        <v>17.617100000000001</v>
      </c>
      <c r="N11" s="2">
        <f>_xlfn.STDEV.S(表格55_104_2_moment[[#This Row],[0.01]:[0.1]])</f>
        <v>5.2683915506643224</v>
      </c>
    </row>
    <row r="12" spans="1:14" x14ac:dyDescent="0.35">
      <c r="A12" s="1" t="s">
        <v>3</v>
      </c>
      <c r="B12" s="2">
        <v>0.93</v>
      </c>
      <c r="C12" s="2">
        <v>0.87</v>
      </c>
      <c r="D12" s="2">
        <v>0.9</v>
      </c>
      <c r="E12" s="2">
        <v>0.83</v>
      </c>
      <c r="F12" s="2">
        <v>0.91</v>
      </c>
      <c r="G12" s="2">
        <v>0.8</v>
      </c>
      <c r="H12" s="2">
        <v>0.83</v>
      </c>
      <c r="I12" s="2">
        <v>0.94</v>
      </c>
      <c r="J12" s="2">
        <v>0.79</v>
      </c>
      <c r="K12" s="2">
        <v>0.8</v>
      </c>
      <c r="L12" s="2">
        <v>0.81</v>
      </c>
      <c r="M12" s="2">
        <f>AVERAGE(表格55_104_2_moment[[#This Row],[0.01]:[0.1]])</f>
        <v>0.84800000000000009</v>
      </c>
      <c r="N12" s="2">
        <f>_xlfn.STDEV.S(表格55_104_2_moment[[#This Row],[0.01]:[0.1]])</f>
        <v>5.3291650377896897E-2</v>
      </c>
    </row>
    <row r="13" spans="1:14" x14ac:dyDescent="0.35">
      <c r="A13" s="1" t="s">
        <v>4</v>
      </c>
      <c r="B13" s="2">
        <v>0.58889999999999998</v>
      </c>
      <c r="C13" s="2">
        <v>0.5635</v>
      </c>
      <c r="D13" s="2">
        <v>0.55459999999999998</v>
      </c>
      <c r="E13" s="2">
        <v>0.54600000000000004</v>
      </c>
      <c r="F13" s="2">
        <v>0.56210000000000004</v>
      </c>
      <c r="G13" s="2">
        <v>0.48680000000000001</v>
      </c>
      <c r="H13" s="2">
        <v>0.51749999999999996</v>
      </c>
      <c r="I13" s="2">
        <v>0.53849999999999998</v>
      </c>
      <c r="J13" s="2">
        <v>0.5353</v>
      </c>
      <c r="K13" s="2">
        <v>0.53749999999999998</v>
      </c>
      <c r="L13" s="2">
        <v>0.50960000000000005</v>
      </c>
      <c r="M13" s="2">
        <f>AVERAGE(表格55_104_2_moment[[#This Row],[0.01]:[0.1]])</f>
        <v>0.53513999999999995</v>
      </c>
      <c r="N13" s="2">
        <f>_xlfn.STDEV.S(表格55_104_2_moment[[#This Row],[0.01]:[0.1]])</f>
        <v>2.4369525596075473E-2</v>
      </c>
    </row>
    <row r="14" spans="1:14" x14ac:dyDescent="0.35">
      <c r="A14" s="1" t="s">
        <v>5</v>
      </c>
      <c r="B14" s="2">
        <v>109</v>
      </c>
      <c r="C14" s="2">
        <v>108</v>
      </c>
      <c r="D14" s="2">
        <v>101</v>
      </c>
      <c r="E14" s="2">
        <v>108</v>
      </c>
      <c r="F14" s="2">
        <v>106</v>
      </c>
      <c r="G14" s="2">
        <v>122</v>
      </c>
      <c r="H14" s="2">
        <v>106</v>
      </c>
      <c r="I14" s="2">
        <v>113</v>
      </c>
      <c r="J14" s="2">
        <v>84</v>
      </c>
      <c r="K14" s="2">
        <v>96</v>
      </c>
      <c r="L14" s="2">
        <v>127</v>
      </c>
      <c r="M14" s="2">
        <f>AVERAGE(表格55_104_2_moment[[#This Row],[0.01]:[0.1]])</f>
        <v>107.1</v>
      </c>
      <c r="N14" s="2">
        <f>_xlfn.STDEV.S(表格55_104_2_moment[[#This Row],[0.01]:[0.1]])</f>
        <v>12.251530516633395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10.1988879848492</v>
      </c>
      <c r="C19" s="2">
        <v>10.832599999999999</v>
      </c>
      <c r="D19" s="2">
        <v>12.213958567291099</v>
      </c>
      <c r="E19" s="2">
        <v>13.8683</v>
      </c>
      <c r="F19" s="2">
        <v>13.9944090236507</v>
      </c>
      <c r="G19" s="2">
        <v>12.179600000000001</v>
      </c>
      <c r="H19" s="2">
        <v>14.661</v>
      </c>
      <c r="I19" s="2">
        <v>14.8887</v>
      </c>
      <c r="J19" s="2">
        <v>17.675699999999999</v>
      </c>
      <c r="K19" s="2">
        <v>16.086300000000001</v>
      </c>
      <c r="L19" s="2">
        <v>18.5108</v>
      </c>
      <c r="M19" s="2">
        <f>AVERAGE(表格55_104_2_Gabor[[#This Row],[0.01]:[0.1]])</f>
        <v>14.491136759094179</v>
      </c>
      <c r="N19" s="2">
        <f>_xlfn.STDEV.S(表格55_104_2_Gabor[[#This Row],[0.01]:[0.1]])</f>
        <v>2.4399200673846093</v>
      </c>
    </row>
    <row r="20" spans="1:14" x14ac:dyDescent="0.35">
      <c r="A20" s="1" t="s">
        <v>3</v>
      </c>
      <c r="B20" s="2">
        <v>0.83</v>
      </c>
      <c r="C20" s="2">
        <v>0.78</v>
      </c>
      <c r="D20" s="2">
        <v>0.87</v>
      </c>
      <c r="E20" s="2">
        <v>0.8</v>
      </c>
      <c r="F20" s="2">
        <v>0.82</v>
      </c>
      <c r="G20" s="2">
        <v>0.8</v>
      </c>
      <c r="H20" s="2">
        <v>0.73</v>
      </c>
      <c r="I20" s="2">
        <v>0.8</v>
      </c>
      <c r="J20" s="2">
        <v>0.67</v>
      </c>
      <c r="K20" s="2">
        <v>0.69</v>
      </c>
      <c r="L20" s="2">
        <v>0.63</v>
      </c>
      <c r="M20" s="2">
        <f>AVERAGE(表格55_104_2_Gabor[[#This Row],[0.01]:[0.1]])</f>
        <v>0.75900000000000012</v>
      </c>
      <c r="N20" s="2">
        <f>_xlfn.STDEV.S(表格55_104_2_Gabor[[#This Row],[0.01]:[0.1]])</f>
        <v>7.5784782993245647E-2</v>
      </c>
    </row>
    <row r="21" spans="1:14" x14ac:dyDescent="0.35">
      <c r="A21" s="1" t="s">
        <v>4</v>
      </c>
      <c r="B21" s="2">
        <v>0.42933618843683102</v>
      </c>
      <c r="C21" s="2">
        <v>0.42649999999999999</v>
      </c>
      <c r="D21" s="2">
        <v>0.50285510349750195</v>
      </c>
      <c r="E21" s="2">
        <v>0.41360000000000002</v>
      </c>
      <c r="F21" s="2">
        <v>0.45253390435403301</v>
      </c>
      <c r="G21" s="2">
        <v>0.39329999999999998</v>
      </c>
      <c r="H21" s="2">
        <v>0.4168</v>
      </c>
      <c r="I21" s="2">
        <v>0.40720000000000001</v>
      </c>
      <c r="J21" s="2">
        <v>0.36549999999999999</v>
      </c>
      <c r="K21" s="2">
        <v>0.31979999999999997</v>
      </c>
      <c r="L21" s="2">
        <v>0.33900000000000002</v>
      </c>
      <c r="M21" s="2">
        <f>AVERAGE(表格55_104_2_Gabor[[#This Row],[0.01]:[0.1]])</f>
        <v>0.40370890078515353</v>
      </c>
      <c r="N21" s="2">
        <f>_xlfn.STDEV.S(表格55_104_2_Gabor[[#This Row],[0.01]:[0.1]])</f>
        <v>5.3552563972044123E-2</v>
      </c>
    </row>
    <row r="22" spans="1:14" x14ac:dyDescent="0.35">
      <c r="A22" s="1" t="s">
        <v>5</v>
      </c>
      <c r="B22" s="2">
        <v>41</v>
      </c>
      <c r="C22" s="2">
        <v>40</v>
      </c>
      <c r="D22" s="2">
        <v>36</v>
      </c>
      <c r="E22" s="2">
        <v>47</v>
      </c>
      <c r="F22" s="2">
        <v>38</v>
      </c>
      <c r="G22" s="2">
        <v>42</v>
      </c>
      <c r="H22" s="2">
        <v>45</v>
      </c>
      <c r="I22" s="2">
        <v>46</v>
      </c>
      <c r="J22" s="2">
        <v>66</v>
      </c>
      <c r="K22" s="2">
        <v>66</v>
      </c>
      <c r="L22" s="2">
        <v>59</v>
      </c>
      <c r="M22" s="2">
        <f>AVERAGE(表格55_104_2_Gabor[[#This Row],[0.01]:[0.1]])</f>
        <v>48.5</v>
      </c>
      <c r="N22" s="2">
        <f>_xlfn.STDEV.S(表格55_104_2_Gabor[[#This Row],[0.01]:[0.1]])</f>
        <v>11.17785509140481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8.1944120901555308</v>
      </c>
      <c r="C27" s="2">
        <v>9.0912085997841192</v>
      </c>
      <c r="D27" s="2">
        <v>11.2498</v>
      </c>
      <c r="E27" s="2">
        <v>12.598817246704201</v>
      </c>
      <c r="F27" s="2">
        <v>15.994199999999999</v>
      </c>
      <c r="G27" s="2">
        <v>12.3492</v>
      </c>
      <c r="H27" s="2">
        <v>17.180099999999999</v>
      </c>
      <c r="I27" s="2">
        <v>16.113499999999998</v>
      </c>
      <c r="J27" s="2">
        <v>13.723000000000001</v>
      </c>
      <c r="K27" s="2">
        <v>13.155200000000001</v>
      </c>
      <c r="L27" s="2">
        <v>14.2599</v>
      </c>
      <c r="M27" s="2">
        <f>AVERAGE(表格55_104_2_DWHT[[#This Row],[0.01]:[0.1]])</f>
        <v>13.571492584648832</v>
      </c>
      <c r="N27" s="2">
        <f>_xlfn.STDEV.S(表格55_104_2_DWHT[[#This Row],[0.01]:[0.1]])</f>
        <v>2.4478293490550613</v>
      </c>
    </row>
    <row r="28" spans="1:14" x14ac:dyDescent="0.35">
      <c r="A28" s="1" t="s">
        <v>3</v>
      </c>
      <c r="B28" s="2">
        <v>0.98</v>
      </c>
      <c r="C28" s="2">
        <v>0.95</v>
      </c>
      <c r="D28" s="2">
        <v>0.95</v>
      </c>
      <c r="E28" s="2">
        <v>0.94</v>
      </c>
      <c r="F28" s="2">
        <v>0.92</v>
      </c>
      <c r="G28" s="2">
        <v>0.96</v>
      </c>
      <c r="H28" s="2">
        <v>0.77</v>
      </c>
      <c r="I28" s="2">
        <v>0.67</v>
      </c>
      <c r="J28" s="2">
        <v>0.85</v>
      </c>
      <c r="K28" s="2">
        <v>0.87</v>
      </c>
      <c r="L28" s="2">
        <v>0.85</v>
      </c>
      <c r="M28" s="2">
        <f>AVERAGE(表格55_104_2_DWHT[[#This Row],[0.01]:[0.1]])</f>
        <v>0.873</v>
      </c>
      <c r="N28" s="2">
        <f>_xlfn.STDEV.S(表格55_104_2_DWHT[[#This Row],[0.01]:[0.1]])</f>
        <v>9.3695725029954893E-2</v>
      </c>
    </row>
    <row r="29" spans="1:14" x14ac:dyDescent="0.35">
      <c r="A29" s="1" t="s">
        <v>4</v>
      </c>
      <c r="B29" s="2">
        <v>0.537830121341899</v>
      </c>
      <c r="C29" s="2">
        <v>0.51284796573875802</v>
      </c>
      <c r="D29" s="2">
        <v>0.51819999999999999</v>
      </c>
      <c r="E29" s="2">
        <v>0.51998572448251301</v>
      </c>
      <c r="F29" s="2">
        <v>0.48220000000000002</v>
      </c>
      <c r="G29" s="2">
        <v>0.58350000000000002</v>
      </c>
      <c r="H29" s="2">
        <v>0.36259999999999998</v>
      </c>
      <c r="I29" s="2">
        <v>0.27939999999999998</v>
      </c>
      <c r="J29" s="2">
        <v>0.42899999999999999</v>
      </c>
      <c r="K29" s="2">
        <v>0.44829999999999998</v>
      </c>
      <c r="L29" s="2">
        <v>0.46500000000000002</v>
      </c>
      <c r="M29" s="2">
        <f>AVERAGE(表格55_104_2_DWHT[[#This Row],[0.01]:[0.1]])</f>
        <v>0.46010336902212706</v>
      </c>
      <c r="N29" s="2">
        <f>_xlfn.STDEV.S(表格55_104_2_DWHT[[#This Row],[0.01]:[0.1]])</f>
        <v>8.7400373615315066E-2</v>
      </c>
    </row>
    <row r="30" spans="1:14" x14ac:dyDescent="0.35">
      <c r="A30" s="1" t="s">
        <v>5</v>
      </c>
      <c r="B30" s="2">
        <v>200</v>
      </c>
      <c r="C30" s="2">
        <v>200</v>
      </c>
      <c r="D30" s="2">
        <v>111</v>
      </c>
      <c r="E30" s="2">
        <v>200</v>
      </c>
      <c r="F30" s="2">
        <v>200</v>
      </c>
      <c r="G30" s="2">
        <v>195</v>
      </c>
      <c r="H30" s="2">
        <v>200</v>
      </c>
      <c r="I30" s="2">
        <v>140</v>
      </c>
      <c r="J30" s="2">
        <v>200</v>
      </c>
      <c r="K30" s="2">
        <v>179</v>
      </c>
      <c r="L30" s="2">
        <v>149</v>
      </c>
      <c r="M30" s="2">
        <f>AVERAGE(表格55_104_2_DWHT[[#This Row],[0.01]:[0.1]])</f>
        <v>177.4</v>
      </c>
      <c r="N30" s="2">
        <f>_xlfn.STDEV.S(表格55_104_2_DWHT[[#This Row],[0.01]:[0.1]])</f>
        <v>32.455781885170794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AE75-90D8-4E80-A659-B4D922C1094E}">
  <dimension ref="A1:N30"/>
  <sheetViews>
    <sheetView workbookViewId="0">
      <selection activeCell="B3" sqref="B3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6.9976000000000003</v>
      </c>
      <c r="C3" s="2">
        <v>7.1360000000000001</v>
      </c>
      <c r="D3" s="2">
        <v>6.9600999999999997</v>
      </c>
      <c r="E3" s="2">
        <v>7.0551000000000004</v>
      </c>
      <c r="F3" s="2">
        <v>8.4137000000000004</v>
      </c>
      <c r="G3" s="2">
        <v>6.3996000000000004</v>
      </c>
      <c r="H3" s="2">
        <v>6.9316000000000004</v>
      </c>
      <c r="I3" s="2">
        <v>12.3383</v>
      </c>
      <c r="J3" s="2">
        <v>8.5772999999999993</v>
      </c>
      <c r="K3" s="2">
        <v>7.5831999999999997</v>
      </c>
      <c r="L3" s="2">
        <v>6.6615000000000002</v>
      </c>
      <c r="M3" s="2">
        <f>AVERAGE(表格14_33_103_3_myself[[#This Row],[0.01]:[0.1]])</f>
        <v>7.8056400000000012</v>
      </c>
      <c r="N3" s="2">
        <f>_xlfn.STDEV.S(表格14_33_103_3_myself[[#This Row],[0.01]:[0.1]])</f>
        <v>1.742804221936586</v>
      </c>
    </row>
    <row r="4" spans="1:14" x14ac:dyDescent="0.35">
      <c r="A4" s="1" t="s">
        <v>3</v>
      </c>
      <c r="B4" s="2">
        <v>1</v>
      </c>
      <c r="C4" s="2">
        <v>0.99</v>
      </c>
      <c r="D4" s="2">
        <v>1</v>
      </c>
      <c r="E4" s="2">
        <v>0.99</v>
      </c>
      <c r="F4" s="2">
        <v>0.99</v>
      </c>
      <c r="G4" s="2">
        <v>1</v>
      </c>
      <c r="H4" s="2">
        <v>1</v>
      </c>
      <c r="I4" s="2">
        <v>0.99</v>
      </c>
      <c r="J4" s="2">
        <v>0.98</v>
      </c>
      <c r="K4" s="2">
        <v>0.99</v>
      </c>
      <c r="L4" s="2">
        <v>1</v>
      </c>
      <c r="M4" s="2">
        <f>AVERAGE(表格14_33_103_3_myself[[#This Row],[0.01]:[0.1]])</f>
        <v>0.99299999999999999</v>
      </c>
      <c r="N4" s="2">
        <f>_xlfn.STDEV.S(表格14_33_103_3_myself[[#This Row],[0.01]:[0.1]])</f>
        <v>6.7494855771055356E-3</v>
      </c>
    </row>
    <row r="5" spans="1:14" x14ac:dyDescent="0.35">
      <c r="A5" s="1" t="s">
        <v>4</v>
      </c>
      <c r="B5" s="2">
        <v>0.94679999999999997</v>
      </c>
      <c r="C5" s="2">
        <v>0.89570000000000005</v>
      </c>
      <c r="D5" s="2">
        <v>0.91400000000000003</v>
      </c>
      <c r="E5" s="2">
        <v>0.88070000000000004</v>
      </c>
      <c r="F5" s="2">
        <v>0.86029999999999995</v>
      </c>
      <c r="G5" s="2">
        <v>0.96719999999999995</v>
      </c>
      <c r="H5" s="2">
        <v>0.93140000000000001</v>
      </c>
      <c r="I5" s="2">
        <v>0.93020000000000003</v>
      </c>
      <c r="J5" s="2">
        <v>0.92889999999999995</v>
      </c>
      <c r="K5" s="2">
        <v>0.9123</v>
      </c>
      <c r="L5" s="2">
        <v>0.9446</v>
      </c>
      <c r="M5" s="2">
        <f>AVERAGE(表格14_33_103_3_myself[[#This Row],[0.01]:[0.1]])</f>
        <v>0.91652999999999984</v>
      </c>
      <c r="N5" s="2">
        <f>_xlfn.STDEV.S(表格14_33_103_3_myself[[#This Row],[0.01]:[0.1]])</f>
        <v>3.1305237403490303E-2</v>
      </c>
    </row>
    <row r="6" spans="1:14" x14ac:dyDescent="0.35">
      <c r="A6" s="1" t="s">
        <v>5</v>
      </c>
      <c r="B6" s="2">
        <v>47</v>
      </c>
      <c r="C6" s="2">
        <v>76</v>
      </c>
      <c r="D6" s="2">
        <v>80</v>
      </c>
      <c r="E6" s="2">
        <v>80</v>
      </c>
      <c r="F6" s="2">
        <v>79</v>
      </c>
      <c r="G6" s="2">
        <v>54</v>
      </c>
      <c r="H6" s="2">
        <v>72</v>
      </c>
      <c r="I6" s="2">
        <v>120</v>
      </c>
      <c r="J6" s="2">
        <v>60</v>
      </c>
      <c r="K6" s="2">
        <v>93</v>
      </c>
      <c r="L6" s="2">
        <v>47</v>
      </c>
      <c r="M6" s="2">
        <f>AVERAGE(表格14_33_103_3_myself[[#This Row],[0.01]:[0.1]])</f>
        <v>76.099999999999994</v>
      </c>
      <c r="N6" s="2">
        <f>_xlfn.STDEV.S(表格14_33_103_3_myself[[#This Row],[0.01]:[0.1]])</f>
        <v>20.717410820638548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7.6253000000000002</v>
      </c>
      <c r="C11" s="2">
        <v>7.2728999999999999</v>
      </c>
      <c r="D11" s="2">
        <v>7.6947000000000001</v>
      </c>
      <c r="E11" s="2">
        <v>8.5669000000000004</v>
      </c>
      <c r="F11" s="2">
        <v>8.5467999999999993</v>
      </c>
      <c r="G11" s="2">
        <v>7.9107000000000003</v>
      </c>
      <c r="H11" s="2">
        <v>7.3414000000000001</v>
      </c>
      <c r="I11" s="2">
        <v>8.1613000000000007</v>
      </c>
      <c r="J11" s="2">
        <v>8.7484999999999999</v>
      </c>
      <c r="K11" s="2">
        <v>7.6855000000000002</v>
      </c>
      <c r="L11" s="2">
        <v>8.0909999999999993</v>
      </c>
      <c r="M11" s="2">
        <f>AVERAGE(表格14_33_103_3_moment[[#This Row],[0.01]:[0.1]])</f>
        <v>8.00197</v>
      </c>
      <c r="N11" s="2">
        <f>_xlfn.STDEV.S(表格14_33_103_3_moment[[#This Row],[0.01]:[0.1]])</f>
        <v>0.51396056712120974</v>
      </c>
    </row>
    <row r="12" spans="1:14" x14ac:dyDescent="0.35">
      <c r="A12" s="1" t="s">
        <v>3</v>
      </c>
      <c r="B12" s="2">
        <v>0.99</v>
      </c>
      <c r="C12" s="2">
        <v>0.99</v>
      </c>
      <c r="D12" s="2">
        <v>0.99</v>
      </c>
      <c r="E12" s="2">
        <v>0.99</v>
      </c>
      <c r="F12" s="2">
        <v>0.99</v>
      </c>
      <c r="G12" s="2">
        <v>0.99</v>
      </c>
      <c r="H12" s="2">
        <v>0.99</v>
      </c>
      <c r="I12" s="2">
        <v>0.99</v>
      </c>
      <c r="J12" s="2">
        <v>0.99</v>
      </c>
      <c r="K12" s="2">
        <v>0.99</v>
      </c>
      <c r="L12" s="2">
        <v>0.98</v>
      </c>
      <c r="M12" s="2">
        <f>AVERAGE(表格14_33_103_3_moment[[#This Row],[0.01]:[0.1]])</f>
        <v>0.9890000000000001</v>
      </c>
      <c r="N12" s="2">
        <f>_xlfn.STDEV.S(表格14_33_103_3_moment[[#This Row],[0.01]:[0.1]])</f>
        <v>3.1622776601683824E-3</v>
      </c>
    </row>
    <row r="13" spans="1:14" x14ac:dyDescent="0.35">
      <c r="A13" s="1" t="s">
        <v>4</v>
      </c>
      <c r="B13" s="2">
        <v>0.95779999999999998</v>
      </c>
      <c r="C13" s="2">
        <v>0.95189999999999997</v>
      </c>
      <c r="D13" s="2">
        <v>0.95189999999999997</v>
      </c>
      <c r="E13" s="2">
        <v>0.96120000000000005</v>
      </c>
      <c r="F13" s="2">
        <v>0.9587</v>
      </c>
      <c r="G13" s="2">
        <v>0.97829999999999995</v>
      </c>
      <c r="H13" s="2">
        <v>0.96250000000000002</v>
      </c>
      <c r="I13" s="2">
        <v>0.96250000000000002</v>
      </c>
      <c r="J13" s="2">
        <v>0.97019999999999995</v>
      </c>
      <c r="K13" s="2">
        <v>0.97909999999999997</v>
      </c>
      <c r="L13" s="2">
        <v>0.96719999999999995</v>
      </c>
      <c r="M13" s="2">
        <f>AVERAGE(表格14_33_103_3_moment[[#This Row],[0.01]:[0.1]])</f>
        <v>0.96435000000000015</v>
      </c>
      <c r="N13" s="2">
        <f>_xlfn.STDEV.S(表格14_33_103_3_moment[[#This Row],[0.01]:[0.1]])</f>
        <v>9.5055831547102305E-3</v>
      </c>
    </row>
    <row r="14" spans="1:14" x14ac:dyDescent="0.35">
      <c r="A14" s="1" t="s">
        <v>5</v>
      </c>
      <c r="B14" s="2">
        <v>97</v>
      </c>
      <c r="C14" s="2">
        <v>100</v>
      </c>
      <c r="D14" s="2">
        <v>105</v>
      </c>
      <c r="E14" s="2">
        <v>108</v>
      </c>
      <c r="F14" s="2">
        <v>107</v>
      </c>
      <c r="G14" s="2">
        <v>200</v>
      </c>
      <c r="H14" s="2">
        <v>84</v>
      </c>
      <c r="I14" s="2">
        <v>200</v>
      </c>
      <c r="J14" s="2">
        <v>142</v>
      </c>
      <c r="K14" s="2">
        <v>200</v>
      </c>
      <c r="L14" s="2">
        <v>115</v>
      </c>
      <c r="M14" s="2">
        <f>AVERAGE(表格14_33_103_3_moment[[#This Row],[0.01]:[0.1]])</f>
        <v>136.1</v>
      </c>
      <c r="N14" s="2">
        <f>_xlfn.STDEV.S(表格14_33_103_3_moment[[#This Row],[0.01]:[0.1]])</f>
        <v>46.369170792672143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8.42365964422196</v>
      </c>
      <c r="C19" s="2">
        <v>12.8566</v>
      </c>
      <c r="D19" s="2">
        <v>11.454213871678199</v>
      </c>
      <c r="E19" s="2">
        <v>11.033200000000001</v>
      </c>
      <c r="F19" s="2">
        <v>14.368009493977</v>
      </c>
      <c r="G19" s="2">
        <v>15.7342</v>
      </c>
      <c r="H19" s="2">
        <v>12.7562</v>
      </c>
      <c r="I19" s="2">
        <v>10.621</v>
      </c>
      <c r="J19" s="2">
        <v>10.2455</v>
      </c>
      <c r="K19" s="2">
        <v>13.3148</v>
      </c>
      <c r="L19" s="2">
        <v>14.933</v>
      </c>
      <c r="M19" s="2">
        <f>AVERAGE(表格14_33_103_3_Gabor[[#This Row],[0.01]:[0.1]])</f>
        <v>12.73167233656552</v>
      </c>
      <c r="N19" s="2">
        <f>_xlfn.STDEV.S(表格14_33_103_3_Gabor[[#This Row],[0.01]:[0.1]])</f>
        <v>1.8870188290434668</v>
      </c>
    </row>
    <row r="20" spans="1:14" x14ac:dyDescent="0.35">
      <c r="A20" s="1" t="s">
        <v>3</v>
      </c>
      <c r="B20" s="2">
        <v>0.9</v>
      </c>
      <c r="C20" s="2">
        <v>0.86</v>
      </c>
      <c r="D20" s="2">
        <v>0.86</v>
      </c>
      <c r="E20" s="2">
        <v>0.97</v>
      </c>
      <c r="F20" s="2">
        <v>0.81</v>
      </c>
      <c r="G20" s="2">
        <v>0.72</v>
      </c>
      <c r="H20" s="2">
        <v>0.92</v>
      </c>
      <c r="I20" s="2">
        <v>0.95</v>
      </c>
      <c r="J20" s="2">
        <v>0.97</v>
      </c>
      <c r="K20" s="2">
        <v>0.94</v>
      </c>
      <c r="L20" s="2">
        <v>0.92</v>
      </c>
      <c r="M20" s="2">
        <f>AVERAGE(表格14_33_103_3_Gabor[[#This Row],[0.01]:[0.1]])</f>
        <v>0.89200000000000002</v>
      </c>
      <c r="N20" s="2">
        <f>_xlfn.STDEV.S(表格14_33_103_3_Gabor[[#This Row],[0.01]:[0.1]])</f>
        <v>8.0111034057598937E-2</v>
      </c>
    </row>
    <row r="21" spans="1:14" x14ac:dyDescent="0.35">
      <c r="A21" s="1" t="s">
        <v>4</v>
      </c>
      <c r="B21" s="2">
        <v>0.78918228279386704</v>
      </c>
      <c r="C21" s="2">
        <v>0.76149999999999995</v>
      </c>
      <c r="D21" s="2">
        <v>0.71081771720613296</v>
      </c>
      <c r="E21" s="2">
        <v>0.93230000000000002</v>
      </c>
      <c r="F21" s="2">
        <v>0.68185689948892703</v>
      </c>
      <c r="G21" s="2">
        <v>0.59240000000000004</v>
      </c>
      <c r="H21" s="2">
        <v>0.84670000000000001</v>
      </c>
      <c r="I21" s="2">
        <v>0.89649999999999996</v>
      </c>
      <c r="J21" s="2">
        <v>0.91400000000000003</v>
      </c>
      <c r="K21" s="2">
        <v>0.88590000000000002</v>
      </c>
      <c r="L21" s="2">
        <v>0.8569</v>
      </c>
      <c r="M21" s="2">
        <f>AVERAGE(表格14_33_103_3_Gabor[[#This Row],[0.01]:[0.1]])</f>
        <v>0.80788746166950598</v>
      </c>
      <c r="N21" s="2">
        <f>_xlfn.STDEV.S(表格14_33_103_3_Gabor[[#This Row],[0.01]:[0.1]])</f>
        <v>0.11473544993535519</v>
      </c>
    </row>
    <row r="22" spans="1:14" x14ac:dyDescent="0.35">
      <c r="A22" s="1" t="s">
        <v>5</v>
      </c>
      <c r="B22" s="2">
        <v>84</v>
      </c>
      <c r="C22" s="2">
        <v>77</v>
      </c>
      <c r="D22" s="2">
        <v>77</v>
      </c>
      <c r="E22" s="2">
        <v>200</v>
      </c>
      <c r="F22" s="2">
        <v>61</v>
      </c>
      <c r="G22" s="2">
        <v>66</v>
      </c>
      <c r="H22" s="2">
        <v>200</v>
      </c>
      <c r="I22" s="2">
        <v>200</v>
      </c>
      <c r="J22" s="2">
        <v>200</v>
      </c>
      <c r="K22" s="2">
        <v>200</v>
      </c>
      <c r="L22" s="2">
        <v>200</v>
      </c>
      <c r="M22" s="2">
        <f>AVERAGE(表格14_33_103_3_Gabor[[#This Row],[0.01]:[0.1]])</f>
        <v>148.1</v>
      </c>
      <c r="N22" s="2">
        <f>_xlfn.STDEV.S(表格14_33_103_3_Gabor[[#This Row],[0.01]:[0.1]])</f>
        <v>67.163895724480483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13.4979199537146</v>
      </c>
      <c r="C27" s="2">
        <v>13.9018</v>
      </c>
      <c r="D27" s="2">
        <v>17.992999999999999</v>
      </c>
      <c r="E27" s="2">
        <v>12.1465777919956</v>
      </c>
      <c r="F27" s="2">
        <v>13.274151607905701</v>
      </c>
      <c r="G27" s="2">
        <v>13.487125910594401</v>
      </c>
      <c r="H27" s="2">
        <v>13.6027972608273</v>
      </c>
      <c r="I27" s="2">
        <v>23.420300000000001</v>
      </c>
      <c r="J27" s="2">
        <v>19.117744997683999</v>
      </c>
      <c r="K27" s="2">
        <v>19.743200000000002</v>
      </c>
      <c r="L27" s="2">
        <v>18.431100000000001</v>
      </c>
      <c r="M27" s="2">
        <f>AVERAGE(表格14_33_103_3_DWHT[[#This Row],[0.01]:[0.1]])</f>
        <v>16.511779756900701</v>
      </c>
      <c r="N27" s="2">
        <f>_xlfn.STDEV.S(表格14_33_103_3_DWHT[[#This Row],[0.01]:[0.1]])</f>
        <v>3.7237752018703012</v>
      </c>
    </row>
    <row r="28" spans="1:14" x14ac:dyDescent="0.35">
      <c r="A28" s="1" t="s">
        <v>3</v>
      </c>
      <c r="B28" s="2">
        <v>0.91</v>
      </c>
      <c r="C28" s="2">
        <v>0.75</v>
      </c>
      <c r="D28" s="2">
        <v>0.7</v>
      </c>
      <c r="E28" s="2">
        <v>0.78</v>
      </c>
      <c r="F28" s="2">
        <v>0.95</v>
      </c>
      <c r="G28" s="2">
        <v>0.85</v>
      </c>
      <c r="H28" s="2">
        <v>0.83</v>
      </c>
      <c r="I28" s="2">
        <v>0.62</v>
      </c>
      <c r="J28" s="2">
        <v>0.71</v>
      </c>
      <c r="K28" s="2">
        <v>0.74</v>
      </c>
      <c r="L28" s="2">
        <v>0.49</v>
      </c>
      <c r="M28" s="2">
        <f>AVERAGE(表格14_33_103_3_DWHT[[#This Row],[0.01]:[0.1]])</f>
        <v>0.74199999999999999</v>
      </c>
      <c r="N28" s="2">
        <f>_xlfn.STDEV.S(表格14_33_103_3_DWHT[[#This Row],[0.01]:[0.1]])</f>
        <v>0.12708702180439641</v>
      </c>
    </row>
    <row r="29" spans="1:14" x14ac:dyDescent="0.35">
      <c r="A29" s="1" t="s">
        <v>4</v>
      </c>
      <c r="B29" s="2">
        <v>0.80153321976149905</v>
      </c>
      <c r="C29" s="2">
        <v>0.64949999999999997</v>
      </c>
      <c r="D29" s="2">
        <v>0.65290000000000004</v>
      </c>
      <c r="E29" s="2">
        <v>0.70442930153322003</v>
      </c>
      <c r="F29" s="2">
        <v>0.85136286201022204</v>
      </c>
      <c r="G29" s="2">
        <v>0.75724020442930196</v>
      </c>
      <c r="H29" s="2">
        <v>0.71294718909710397</v>
      </c>
      <c r="I29" s="2">
        <v>0.51149999999999995</v>
      </c>
      <c r="J29" s="2">
        <v>0.58773424190800705</v>
      </c>
      <c r="K29" s="2">
        <v>0.629</v>
      </c>
      <c r="L29" s="2">
        <v>0.4037</v>
      </c>
      <c r="M29" s="2">
        <f>AVERAGE(表格14_33_103_3_DWHT[[#This Row],[0.01]:[0.1]])</f>
        <v>0.64603137989778547</v>
      </c>
      <c r="N29" s="2">
        <f>_xlfn.STDEV.S(表格14_33_103_3_DWHT[[#This Row],[0.01]:[0.1]])</f>
        <v>0.12604562062083408</v>
      </c>
    </row>
    <row r="30" spans="1:14" x14ac:dyDescent="0.35">
      <c r="A30" s="1" t="s">
        <v>5</v>
      </c>
      <c r="B30" s="2">
        <v>121</v>
      </c>
      <c r="C30" s="2">
        <v>167</v>
      </c>
      <c r="D30" s="2">
        <v>144</v>
      </c>
      <c r="E30" s="2">
        <v>129</v>
      </c>
      <c r="F30" s="2">
        <v>133</v>
      </c>
      <c r="G30" s="2">
        <v>124</v>
      </c>
      <c r="H30" s="2">
        <v>126</v>
      </c>
      <c r="I30" s="2">
        <v>169</v>
      </c>
      <c r="J30" s="2">
        <v>126</v>
      </c>
      <c r="K30" s="2">
        <v>180</v>
      </c>
      <c r="L30" s="2">
        <v>196</v>
      </c>
      <c r="M30" s="2">
        <f>AVERAGE(表格14_33_103_3_DWHT[[#This Row],[0.01]:[0.1]])</f>
        <v>149.4</v>
      </c>
      <c r="N30" s="2">
        <f>_xlfn.STDEV.S(表格14_33_103_3_DWHT[[#This Row],[0.01]:[0.1]])</f>
        <v>26.365802767136731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B3A8-9EF8-442A-BDC7-3333B71782D5}">
  <dimension ref="A1:N30"/>
  <sheetViews>
    <sheetView topLeftCell="A13" workbookViewId="0">
      <selection activeCell="B29" sqref="B29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7.3460000000000001</v>
      </c>
      <c r="C3" s="2">
        <v>7.5234977314777103</v>
      </c>
      <c r="D3" s="2">
        <v>7.6157257695109299</v>
      </c>
      <c r="E3" s="2">
        <v>6.0381170911367903</v>
      </c>
      <c r="F3" s="2">
        <v>5.8424987583476797</v>
      </c>
      <c r="G3" s="2">
        <v>5.82428480660659</v>
      </c>
      <c r="H3" s="2">
        <v>6.1097120311923803</v>
      </c>
      <c r="I3" s="2">
        <v>4.64259233275778</v>
      </c>
      <c r="J3" s="2">
        <v>6.5597961451424904</v>
      </c>
      <c r="K3" s="2">
        <v>4.4920067387638696</v>
      </c>
      <c r="L3" s="2">
        <v>4.9100317820115604</v>
      </c>
      <c r="M3" s="2">
        <f>AVERAGE(表格14_16_33_49_55_4_myself[[#This Row],[0.01]:[0.1]])</f>
        <v>5.9558263186947782</v>
      </c>
      <c r="N3" s="2">
        <f>_xlfn.STDEV.S(表格14_16_33_49_55_4_myself[[#This Row],[0.01]:[0.1]])</f>
        <v>1.085217631167853</v>
      </c>
    </row>
    <row r="4" spans="1:14" x14ac:dyDescent="0.35">
      <c r="A4" s="1" t="s">
        <v>3</v>
      </c>
      <c r="B4" s="2">
        <v>0.98</v>
      </c>
      <c r="C4" s="2">
        <v>0.98</v>
      </c>
      <c r="D4" s="2">
        <v>0.98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f>AVERAGE(表格14_16_33_49_55_4_myself[[#This Row],[0.01]:[0.1]])</f>
        <v>0.99600000000000011</v>
      </c>
      <c r="N4" s="2">
        <f>_xlfn.STDEV.S(表格14_16_33_49_55_4_myself[[#This Row],[0.01]:[0.1]])</f>
        <v>8.4327404271156824E-3</v>
      </c>
    </row>
    <row r="5" spans="1:14" x14ac:dyDescent="0.35">
      <c r="A5" s="1" t="s">
        <v>4</v>
      </c>
      <c r="B5" s="2">
        <v>0.94069999999999998</v>
      </c>
      <c r="C5" s="2">
        <v>0.951977401129944</v>
      </c>
      <c r="D5" s="2">
        <v>0.95856873822975497</v>
      </c>
      <c r="E5" s="2">
        <v>0.983992467043315</v>
      </c>
      <c r="F5" s="2">
        <v>0.99623352165724999</v>
      </c>
      <c r="G5" s="2">
        <v>0.99435028248587598</v>
      </c>
      <c r="H5" s="2">
        <v>0.97928436911487804</v>
      </c>
      <c r="I5" s="2">
        <v>1</v>
      </c>
      <c r="J5" s="2">
        <v>0.98587570621468901</v>
      </c>
      <c r="K5" s="2">
        <v>1</v>
      </c>
      <c r="L5" s="2">
        <v>1</v>
      </c>
      <c r="M5" s="2">
        <f>AVERAGE(表格14_16_33_49_55_4_myself[[#This Row],[0.01]:[0.1]])</f>
        <v>0.98502824858757076</v>
      </c>
      <c r="N5" s="2">
        <f>_xlfn.STDEV.S(表格14_16_33_49_55_4_myself[[#This Row],[0.01]:[0.1]])</f>
        <v>1.7359486253632938E-2</v>
      </c>
    </row>
    <row r="6" spans="1:14" x14ac:dyDescent="0.35">
      <c r="A6" s="1" t="s">
        <v>5</v>
      </c>
      <c r="B6" s="2">
        <v>35</v>
      </c>
      <c r="C6" s="2">
        <v>35</v>
      </c>
      <c r="D6" s="2">
        <v>40</v>
      </c>
      <c r="E6" s="2">
        <v>30</v>
      </c>
      <c r="F6" s="2">
        <v>33</v>
      </c>
      <c r="G6" s="2">
        <v>27</v>
      </c>
      <c r="H6" s="2">
        <v>25</v>
      </c>
      <c r="I6" s="2">
        <v>34</v>
      </c>
      <c r="J6" s="2">
        <v>28</v>
      </c>
      <c r="K6" s="2">
        <v>33</v>
      </c>
      <c r="L6" s="2">
        <v>32</v>
      </c>
      <c r="M6" s="2">
        <f>AVERAGE(表格14_16_33_49_55_4_myself[[#This Row],[0.01]:[0.1]])</f>
        <v>31.7</v>
      </c>
      <c r="N6" s="2">
        <f>_xlfn.STDEV.S(表格14_16_33_49_55_4_myself[[#This Row],[0.01]:[0.1]])</f>
        <v>4.3728963196287038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12.9031415048663</v>
      </c>
      <c r="C11" s="2">
        <v>11.334648565803599</v>
      </c>
      <c r="D11" s="2">
        <v>12.400770067989299</v>
      </c>
      <c r="E11" s="2">
        <v>12.834443277354801</v>
      </c>
      <c r="F11" s="2">
        <v>13.4419</v>
      </c>
      <c r="G11" s="2">
        <v>15.3026</v>
      </c>
      <c r="H11" s="2">
        <v>16.3846510037142</v>
      </c>
      <c r="I11" s="2">
        <v>17.649799999999999</v>
      </c>
      <c r="J11" s="2">
        <v>16.249199999999998</v>
      </c>
      <c r="K11" s="2">
        <v>13.4058715120006</v>
      </c>
      <c r="L11" s="2">
        <v>17.659400000000002</v>
      </c>
      <c r="M11" s="2">
        <f>AVERAGE(表格14_16_33_49_55_4_moment[[#This Row],[0.01]:[0.1]])</f>
        <v>14.66632844268625</v>
      </c>
      <c r="N11" s="2">
        <f>_xlfn.STDEV.S(表格14_16_33_49_55_4_moment[[#This Row],[0.01]:[0.1]])</f>
        <v>2.270564336639088</v>
      </c>
    </row>
    <row r="12" spans="1:14" x14ac:dyDescent="0.35">
      <c r="A12" s="1" t="s">
        <v>3</v>
      </c>
      <c r="B12" s="2">
        <v>0.91</v>
      </c>
      <c r="C12" s="2">
        <v>0.92</v>
      </c>
      <c r="D12" s="2">
        <v>0.89</v>
      </c>
      <c r="E12" s="2">
        <v>0.84</v>
      </c>
      <c r="F12" s="2">
        <v>0.92</v>
      </c>
      <c r="G12" s="2">
        <v>0.82</v>
      </c>
      <c r="H12" s="2">
        <v>0.71</v>
      </c>
      <c r="I12" s="2">
        <v>0.75</v>
      </c>
      <c r="J12" s="2">
        <v>0.86</v>
      </c>
      <c r="K12" s="2">
        <v>0.79</v>
      </c>
      <c r="L12" s="2">
        <v>0.77</v>
      </c>
      <c r="M12" s="2">
        <f>AVERAGE(表格14_16_33_49_55_4_moment[[#This Row],[0.01]:[0.1]])</f>
        <v>0.82699999999999996</v>
      </c>
      <c r="N12" s="2">
        <f>_xlfn.STDEV.S(表格14_16_33_49_55_4_moment[[#This Row],[0.01]:[0.1]])</f>
        <v>7.2118729267168266E-2</v>
      </c>
    </row>
    <row r="13" spans="1:14" x14ac:dyDescent="0.35">
      <c r="A13" s="1" t="s">
        <v>4</v>
      </c>
      <c r="B13" s="2">
        <v>0.87382297551789101</v>
      </c>
      <c r="C13" s="2">
        <v>0.870056497175141</v>
      </c>
      <c r="D13" s="2">
        <v>0.86158192090395502</v>
      </c>
      <c r="E13" s="2">
        <v>0.76271186440677996</v>
      </c>
      <c r="F13" s="2">
        <v>0.86719999999999997</v>
      </c>
      <c r="G13" s="2">
        <v>0.78059999999999996</v>
      </c>
      <c r="H13" s="2">
        <v>0.62429378531073398</v>
      </c>
      <c r="I13" s="2">
        <v>0.66290000000000004</v>
      </c>
      <c r="J13" s="2">
        <v>0.81920000000000004</v>
      </c>
      <c r="K13" s="2">
        <v>0.76271186440677996</v>
      </c>
      <c r="L13" s="2">
        <v>0.62519999999999998</v>
      </c>
      <c r="M13" s="2">
        <f>AVERAGE(表格14_16_33_49_55_4_moment[[#This Row],[0.01]:[0.1]])</f>
        <v>0.76364559322033898</v>
      </c>
      <c r="N13" s="2">
        <f>_xlfn.STDEV.S(表格14_16_33_49_55_4_moment[[#This Row],[0.01]:[0.1]])</f>
        <v>9.6465071887374992E-2</v>
      </c>
    </row>
    <row r="14" spans="1:14" x14ac:dyDescent="0.35">
      <c r="A14" s="1" t="s">
        <v>5</v>
      </c>
      <c r="B14" s="2">
        <v>48</v>
      </c>
      <c r="C14" s="2">
        <v>48</v>
      </c>
      <c r="D14" s="2">
        <v>45</v>
      </c>
      <c r="E14" s="2">
        <v>47</v>
      </c>
      <c r="F14" s="2">
        <v>33</v>
      </c>
      <c r="G14" s="2">
        <v>48</v>
      </c>
      <c r="H14" s="2">
        <v>46</v>
      </c>
      <c r="I14" s="2">
        <v>131</v>
      </c>
      <c r="J14" s="2">
        <v>54</v>
      </c>
      <c r="K14" s="2">
        <v>44</v>
      </c>
      <c r="L14" s="2">
        <v>174</v>
      </c>
      <c r="M14" s="2">
        <f>AVERAGE(表格14_16_33_49_55_4_moment[[#This Row],[0.01]:[0.1]])</f>
        <v>67</v>
      </c>
      <c r="N14" s="2">
        <f>_xlfn.STDEV.S(表格14_16_33_49_55_4_moment[[#This Row],[0.01]:[0.1]])</f>
        <v>46.482971792546422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7.9843920244937703</v>
      </c>
      <c r="C19" s="2">
        <v>10.396061896956599</v>
      </c>
      <c r="D19" s="2">
        <v>10.5748718406201</v>
      </c>
      <c r="E19" s="2">
        <v>11.370030094591099</v>
      </c>
      <c r="F19" s="2">
        <v>9.4679993028657297</v>
      </c>
      <c r="G19" s="2">
        <v>11.675209518769099</v>
      </c>
      <c r="H19" s="2">
        <v>6.7958999999999996</v>
      </c>
      <c r="I19" s="2">
        <v>7.8383000000000003</v>
      </c>
      <c r="J19" s="2">
        <v>8.8773999999999997</v>
      </c>
      <c r="K19" s="2">
        <v>7.4881000000000002</v>
      </c>
      <c r="L19" s="2">
        <v>8.2903000000000002</v>
      </c>
      <c r="M19" s="2">
        <f>AVERAGE(表格14_16_33_49_55_4_Gabor[[#This Row],[0.01]:[0.1]])</f>
        <v>9.2774172653802633</v>
      </c>
      <c r="N19" s="2">
        <f>_xlfn.STDEV.S(表格14_16_33_49_55_4_Gabor[[#This Row],[0.01]:[0.1]])</f>
        <v>1.6886736698520557</v>
      </c>
    </row>
    <row r="20" spans="1:14" x14ac:dyDescent="0.35">
      <c r="A20" s="1" t="s">
        <v>3</v>
      </c>
      <c r="B20" s="2">
        <v>0.89</v>
      </c>
      <c r="C20" s="2">
        <v>0.9</v>
      </c>
      <c r="D20" s="2">
        <v>0.86</v>
      </c>
      <c r="E20" s="2">
        <v>0.91</v>
      </c>
      <c r="F20" s="2">
        <v>0.89</v>
      </c>
      <c r="G20" s="2">
        <v>0.82</v>
      </c>
      <c r="H20" s="2">
        <v>1</v>
      </c>
      <c r="I20" s="2">
        <v>0.83</v>
      </c>
      <c r="J20" s="2">
        <v>0.74</v>
      </c>
      <c r="K20" s="2">
        <v>0.92</v>
      </c>
      <c r="L20" s="2">
        <v>0.8</v>
      </c>
      <c r="M20" s="2">
        <f>AVERAGE(表格14_16_33_49_55_4_Gabor[[#This Row],[0.01]:[0.1]])</f>
        <v>0.86699999999999999</v>
      </c>
      <c r="N20" s="2">
        <f>_xlfn.STDEV.S(表格14_16_33_49_55_4_Gabor[[#This Row],[0.01]:[0.1]])</f>
        <v>7.3189252398604729E-2</v>
      </c>
    </row>
    <row r="21" spans="1:14" x14ac:dyDescent="0.35">
      <c r="A21" s="1" t="s">
        <v>4</v>
      </c>
      <c r="B21" s="2">
        <v>0.74670433145009396</v>
      </c>
      <c r="C21" s="2">
        <v>0.80037664783427498</v>
      </c>
      <c r="D21" s="2">
        <v>0.78154425612052703</v>
      </c>
      <c r="E21" s="2">
        <v>0.81261770244821097</v>
      </c>
      <c r="F21" s="2">
        <v>0.69868173258003796</v>
      </c>
      <c r="G21" s="2">
        <v>0.71563088512241102</v>
      </c>
      <c r="H21" s="2">
        <v>0.85970000000000002</v>
      </c>
      <c r="I21" s="2">
        <v>0.74009999999999998</v>
      </c>
      <c r="J21" s="2">
        <v>0.66759999999999997</v>
      </c>
      <c r="K21" s="2">
        <v>0.80789999999999995</v>
      </c>
      <c r="L21" s="2">
        <v>0.68640000000000001</v>
      </c>
      <c r="M21" s="2">
        <f>AVERAGE(表格14_16_33_49_55_4_Gabor[[#This Row],[0.01]:[0.1]])</f>
        <v>0.75705512241054618</v>
      </c>
      <c r="N21" s="2">
        <f>_xlfn.STDEV.S(表格14_16_33_49_55_4_Gabor[[#This Row],[0.01]:[0.1]])</f>
        <v>6.4195972967578299E-2</v>
      </c>
    </row>
    <row r="22" spans="1:14" x14ac:dyDescent="0.35">
      <c r="A22" s="1" t="s">
        <v>5</v>
      </c>
      <c r="B22" s="2">
        <v>38</v>
      </c>
      <c r="C22" s="2">
        <v>38</v>
      </c>
      <c r="D22" s="2">
        <v>39</v>
      </c>
      <c r="E22" s="2">
        <v>40</v>
      </c>
      <c r="F22" s="2">
        <v>41</v>
      </c>
      <c r="G22" s="2">
        <v>32</v>
      </c>
      <c r="H22" s="2">
        <v>169</v>
      </c>
      <c r="I22" s="2">
        <v>165</v>
      </c>
      <c r="J22" s="2">
        <v>184</v>
      </c>
      <c r="K22" s="2">
        <v>186</v>
      </c>
      <c r="L22" s="2">
        <v>179</v>
      </c>
      <c r="M22" s="2">
        <f>AVERAGE(表格14_16_33_49_55_4_Gabor[[#This Row],[0.01]:[0.1]])</f>
        <v>107.3</v>
      </c>
      <c r="N22" s="2">
        <f>_xlfn.STDEV.S(表格14_16_33_49_55_4_Gabor[[#This Row],[0.01]:[0.1]])</f>
        <v>73.345529288884862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8.2790120690393394</v>
      </c>
      <c r="C27" s="2">
        <v>6.8446292268177498</v>
      </c>
      <c r="D27" s="2">
        <v>9.4947999999999997</v>
      </c>
      <c r="E27" s="2">
        <v>7.4043999999999999</v>
      </c>
      <c r="F27" s="2">
        <v>11.603199999999999</v>
      </c>
      <c r="G27" s="2">
        <v>9.3214000000000006</v>
      </c>
      <c r="H27" s="2">
        <v>8.7190999999999992</v>
      </c>
      <c r="I27" s="2">
        <v>8.5444999999999993</v>
      </c>
      <c r="J27" s="2">
        <v>15.303000000000001</v>
      </c>
      <c r="K27" s="2">
        <v>13.0115</v>
      </c>
      <c r="L27" s="2">
        <v>10.072100000000001</v>
      </c>
      <c r="M27" s="2">
        <f>AVERAGE(表格14_16_33_49_55_4_DWHT[[#This Row],[0.01]:[0.1]])</f>
        <v>10.031862922681775</v>
      </c>
      <c r="N27" s="2">
        <f>_xlfn.STDEV.S(表格14_16_33_49_55_4_DWHT[[#This Row],[0.01]:[0.1]])</f>
        <v>2.6018081656552772</v>
      </c>
    </row>
    <row r="28" spans="1:14" x14ac:dyDescent="0.35">
      <c r="A28" s="1" t="s">
        <v>3</v>
      </c>
      <c r="B28" s="2">
        <v>0.98</v>
      </c>
      <c r="C28" s="2">
        <v>1</v>
      </c>
      <c r="D28" s="2">
        <v>0.84</v>
      </c>
      <c r="E28" s="2">
        <v>0.98</v>
      </c>
      <c r="F28" s="2">
        <v>0.8</v>
      </c>
      <c r="G28" s="2">
        <v>0.71</v>
      </c>
      <c r="H28" s="2">
        <v>0.81</v>
      </c>
      <c r="I28" s="2">
        <v>0.8</v>
      </c>
      <c r="J28" s="2">
        <v>0.56000000000000005</v>
      </c>
      <c r="K28" s="2">
        <v>0.72</v>
      </c>
      <c r="L28" s="2">
        <v>0.82</v>
      </c>
      <c r="M28" s="2">
        <f>AVERAGE(表格14_16_33_49_55_4_DWHT[[#This Row],[0.01]:[0.1]])</f>
        <v>0.80399999999999994</v>
      </c>
      <c r="N28" s="2">
        <f>_xlfn.STDEV.S(表格14_16_33_49_55_4_DWHT[[#This Row],[0.01]:[0.1]])</f>
        <v>0.12755826555386923</v>
      </c>
    </row>
    <row r="29" spans="1:14" x14ac:dyDescent="0.35">
      <c r="A29" s="1" t="s">
        <v>4</v>
      </c>
      <c r="B29" s="2">
        <v>0.92467043314500896</v>
      </c>
      <c r="C29" s="2">
        <v>0.89077212806026396</v>
      </c>
      <c r="D29" s="2">
        <v>0.69110000000000005</v>
      </c>
      <c r="E29" s="2">
        <v>0.85309999999999997</v>
      </c>
      <c r="F29" s="2">
        <v>0.75890000000000002</v>
      </c>
      <c r="G29" s="2">
        <v>0.69679999999999997</v>
      </c>
      <c r="H29" s="2">
        <v>0.74760000000000004</v>
      </c>
      <c r="I29" s="2">
        <v>0.74199999999999999</v>
      </c>
      <c r="J29" s="2">
        <v>0.5292</v>
      </c>
      <c r="K29" s="2">
        <v>0.6855</v>
      </c>
      <c r="L29" s="2">
        <v>0.77590000000000003</v>
      </c>
      <c r="M29" s="2">
        <f>AVERAGE(表格14_16_33_49_55_4_DWHT[[#This Row],[0.01]:[0.1]])</f>
        <v>0.73708721280602651</v>
      </c>
      <c r="N29" s="2">
        <f>_xlfn.STDEV.S(表格14_16_33_49_55_4_DWHT[[#This Row],[0.01]:[0.1]])</f>
        <v>9.9337316087630731E-2</v>
      </c>
    </row>
    <row r="30" spans="1:14" x14ac:dyDescent="0.35">
      <c r="A30" s="1" t="s">
        <v>5</v>
      </c>
      <c r="B30" s="2">
        <v>93</v>
      </c>
      <c r="C30" s="2">
        <v>95</v>
      </c>
      <c r="D30" s="2">
        <v>200</v>
      </c>
      <c r="E30" s="2">
        <v>200</v>
      </c>
      <c r="F30" s="2">
        <v>200</v>
      </c>
      <c r="G30" s="2">
        <v>200</v>
      </c>
      <c r="H30" s="2">
        <v>200</v>
      </c>
      <c r="I30" s="2">
        <v>200</v>
      </c>
      <c r="J30" s="2">
        <v>200</v>
      </c>
      <c r="K30" s="2">
        <v>200</v>
      </c>
      <c r="L30" s="2">
        <v>200</v>
      </c>
      <c r="M30" s="2">
        <f>AVERAGE(表格14_16_33_49_55_4_DWHT[[#This Row],[0.01]:[0.1]])</f>
        <v>189.5</v>
      </c>
      <c r="N30" s="2">
        <f>_xlfn.STDEV.S(表格14_16_33_49_55_4_DWHT[[#This Row],[0.01]:[0.1]])</f>
        <v>33.203915431767982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21BB-9AE8-4B01-AA41-EB61CFB05F64}">
  <dimension ref="A1:N30"/>
  <sheetViews>
    <sheetView topLeftCell="A25" workbookViewId="0">
      <selection activeCell="L27" sqref="L27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5.4762586375101101</v>
      </c>
      <c r="C3" s="2">
        <v>6.0931734685379402</v>
      </c>
      <c r="D3" s="2">
        <v>6.4935015634470599</v>
      </c>
      <c r="E3" s="2">
        <v>6.9083019755669701</v>
      </c>
      <c r="F3" s="2">
        <v>5.7535414480826699</v>
      </c>
      <c r="G3" s="2">
        <v>5.5310023932272196</v>
      </c>
      <c r="H3" s="2">
        <v>5.7271424473393697</v>
      </c>
      <c r="I3" s="2">
        <v>5.7914000000000003</v>
      </c>
      <c r="J3" s="2">
        <v>5.7233000000000001</v>
      </c>
      <c r="K3" s="2">
        <v>5.3344145058870804</v>
      </c>
      <c r="L3" s="2">
        <v>4.5396999999999998</v>
      </c>
      <c r="M3" s="2">
        <f>AVERAGE(表格14_16_33_49_55_103_5_myself[[#This Row],[0.01]:[0.1]])</f>
        <v>5.7895477802088307</v>
      </c>
      <c r="N3" s="2">
        <f>_xlfn.STDEV.S(表格14_16_33_49_55_103_5_myself[[#This Row],[0.01]:[0.1]])</f>
        <v>0.63988236818460797</v>
      </c>
    </row>
    <row r="4" spans="1:14" x14ac:dyDescent="0.35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f>AVERAGE(表格14_16_33_49_55_103_5_myself[[#This Row],[0.01]:[0.1]])</f>
        <v>1</v>
      </c>
      <c r="N4" s="2">
        <f>_xlfn.STDEV.S(表格14_16_33_49_55_103_5_myself[[#This Row],[0.01]:[0.1]])</f>
        <v>0</v>
      </c>
    </row>
    <row r="5" spans="1:14" x14ac:dyDescent="0.35">
      <c r="A5" s="1" t="s">
        <v>4</v>
      </c>
      <c r="B5" s="2">
        <v>0.99524714828897298</v>
      </c>
      <c r="C5" s="2">
        <v>0.99524714828897298</v>
      </c>
      <c r="D5" s="2">
        <v>0.99714828897338403</v>
      </c>
      <c r="E5" s="2">
        <v>0.97813688212927796</v>
      </c>
      <c r="F5" s="2">
        <v>0.99809885931558895</v>
      </c>
      <c r="G5" s="2">
        <v>0.99809885931558895</v>
      </c>
      <c r="H5" s="2">
        <v>0.99714828897338403</v>
      </c>
      <c r="I5" s="2">
        <v>0.99809999999999999</v>
      </c>
      <c r="J5" s="2">
        <v>0.99519999999999997</v>
      </c>
      <c r="K5" s="2">
        <v>1</v>
      </c>
      <c r="L5" s="2">
        <v>1</v>
      </c>
      <c r="M5" s="2">
        <f>AVERAGE(表格14_16_33_49_55_103_5_myself[[#This Row],[0.01]:[0.1]])</f>
        <v>0.99571783269961966</v>
      </c>
      <c r="N5" s="2">
        <f>_xlfn.STDEV.S(表格14_16_33_49_55_103_5_myself[[#This Row],[0.01]:[0.1]])</f>
        <v>6.3888717304572814E-3</v>
      </c>
    </row>
    <row r="6" spans="1:14" x14ac:dyDescent="0.35">
      <c r="A6" s="1" t="s">
        <v>5</v>
      </c>
      <c r="B6" s="2">
        <v>65</v>
      </c>
      <c r="C6" s="2">
        <v>66</v>
      </c>
      <c r="D6" s="2">
        <v>66</v>
      </c>
      <c r="E6" s="2">
        <v>62</v>
      </c>
      <c r="F6" s="2">
        <v>66</v>
      </c>
      <c r="G6" s="2">
        <v>61</v>
      </c>
      <c r="H6" s="2">
        <v>56</v>
      </c>
      <c r="I6" s="2">
        <v>79</v>
      </c>
      <c r="J6" s="2">
        <v>79</v>
      </c>
      <c r="K6" s="2">
        <v>53</v>
      </c>
      <c r="L6" s="2">
        <v>150</v>
      </c>
      <c r="M6" s="2">
        <f>AVERAGE(表格14_16_33_49_55_103_5_myself[[#This Row],[0.01]:[0.1]])</f>
        <v>73.8</v>
      </c>
      <c r="N6" s="2">
        <f>_xlfn.STDEV.S(表格14_16_33_49_55_103_5_myself[[#This Row],[0.01]:[0.1]])</f>
        <v>28.078461496314215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8.1815276356404301</v>
      </c>
      <c r="C11" s="2">
        <v>8.3009779960241907</v>
      </c>
      <c r="D11" s="2">
        <v>8.2510199386095398</v>
      </c>
      <c r="E11" s="2">
        <v>8.6293618824026197</v>
      </c>
      <c r="F11" s="2">
        <v>8.7933136759041393</v>
      </c>
      <c r="G11" s="2">
        <v>8.8698407711170209</v>
      </c>
      <c r="H11" s="2">
        <v>12.372199999999999</v>
      </c>
      <c r="I11" s="2">
        <v>8.6940157464326902</v>
      </c>
      <c r="J11" s="2">
        <v>11.4646336940702</v>
      </c>
      <c r="K11" s="2">
        <v>11.424011198763701</v>
      </c>
      <c r="L11" s="2">
        <v>8.1132459668115402</v>
      </c>
      <c r="M11" s="2">
        <f>AVERAGE(表格14_16_33_49_55_103_5_moment[[#This Row],[0.01]:[0.1]])</f>
        <v>9.4912620870135633</v>
      </c>
      <c r="N11" s="2">
        <f>_xlfn.STDEV.S(表格14_16_33_49_55_103_5_moment[[#This Row],[0.01]:[0.1]])</f>
        <v>1.5998330900845954</v>
      </c>
    </row>
    <row r="12" spans="1:14" x14ac:dyDescent="0.35">
      <c r="A12" s="1" t="s">
        <v>3</v>
      </c>
      <c r="B12" s="2">
        <v>0.96</v>
      </c>
      <c r="C12" s="2">
        <v>0.96</v>
      </c>
      <c r="D12" s="2">
        <v>0.98</v>
      </c>
      <c r="E12" s="2">
        <v>0.98</v>
      </c>
      <c r="F12" s="2">
        <v>0.95</v>
      </c>
      <c r="G12" s="2">
        <v>0.98</v>
      </c>
      <c r="H12" s="2">
        <v>0.9</v>
      </c>
      <c r="I12" s="2">
        <v>0.92</v>
      </c>
      <c r="J12" s="2">
        <v>0.9</v>
      </c>
      <c r="K12" s="2">
        <v>0.94</v>
      </c>
      <c r="L12" s="2">
        <v>0.96</v>
      </c>
      <c r="M12" s="2">
        <f>AVERAGE(表格14_16_33_49_55_103_5_moment[[#This Row],[0.01]:[0.1]])</f>
        <v>0.94699999999999984</v>
      </c>
      <c r="N12" s="2">
        <f>_xlfn.STDEV.S(表格14_16_33_49_55_103_5_moment[[#This Row],[0.01]:[0.1]])</f>
        <v>3.1287200080686153E-2</v>
      </c>
    </row>
    <row r="13" spans="1:14" x14ac:dyDescent="0.35">
      <c r="A13" s="1" t="s">
        <v>4</v>
      </c>
      <c r="B13" s="2">
        <v>0.934410646387833</v>
      </c>
      <c r="C13" s="2">
        <v>0.95057034220532299</v>
      </c>
      <c r="D13" s="2">
        <v>0.97718631178707205</v>
      </c>
      <c r="E13" s="2">
        <v>0.94296577946768101</v>
      </c>
      <c r="F13" s="2">
        <v>0.91064638783270002</v>
      </c>
      <c r="G13" s="2">
        <v>0.96387832699619802</v>
      </c>
      <c r="H13" s="2">
        <v>0.87929999999999997</v>
      </c>
      <c r="I13" s="2">
        <v>0.88973384030418301</v>
      </c>
      <c r="J13" s="2">
        <v>0.86596958174905003</v>
      </c>
      <c r="K13" s="2">
        <v>0.94201520912547498</v>
      </c>
      <c r="L13" s="2">
        <v>0.95057034220532299</v>
      </c>
      <c r="M13" s="2">
        <f>AVERAGE(表格14_16_33_49_55_103_5_moment[[#This Row],[0.01]:[0.1]])</f>
        <v>0.9272836121673006</v>
      </c>
      <c r="N13" s="2">
        <f>_xlfn.STDEV.S(表格14_16_33_49_55_103_5_moment[[#This Row],[0.01]:[0.1]])</f>
        <v>3.8188954857445695E-2</v>
      </c>
    </row>
    <row r="14" spans="1:14" x14ac:dyDescent="0.35">
      <c r="A14" s="1" t="s">
        <v>5</v>
      </c>
      <c r="B14" s="2">
        <v>85</v>
      </c>
      <c r="C14" s="2">
        <v>79</v>
      </c>
      <c r="D14" s="2">
        <v>79</v>
      </c>
      <c r="E14" s="2">
        <v>76</v>
      </c>
      <c r="F14" s="2">
        <v>69</v>
      </c>
      <c r="G14" s="2">
        <v>72</v>
      </c>
      <c r="H14" s="2">
        <v>57</v>
      </c>
      <c r="I14" s="2">
        <v>68</v>
      </c>
      <c r="J14" s="2">
        <v>73</v>
      </c>
      <c r="K14" s="2">
        <v>60</v>
      </c>
      <c r="L14" s="2">
        <v>66</v>
      </c>
      <c r="M14" s="2">
        <f>AVERAGE(表格14_16_33_49_55_103_5_moment[[#This Row],[0.01]:[0.1]])</f>
        <v>69.900000000000006</v>
      </c>
      <c r="N14" s="2">
        <f>_xlfn.STDEV.S(表格14_16_33_49_55_103_5_moment[[#This Row],[0.01]:[0.1]])</f>
        <v>7.4602651129538096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9.1289296308652599</v>
      </c>
      <c r="C19" s="2">
        <v>8.5316198560324299</v>
      </c>
      <c r="D19" s="2">
        <v>9.0842144196897205</v>
      </c>
      <c r="E19" s="2">
        <v>7.9387999999999996</v>
      </c>
      <c r="F19" s="2">
        <v>10.510300000000001</v>
      </c>
      <c r="G19" s="2">
        <v>10.6960896877791</v>
      </c>
      <c r="H19" s="2">
        <v>9.6298999999999992</v>
      </c>
      <c r="I19" s="2">
        <v>7.7023000000000001</v>
      </c>
      <c r="J19" s="2">
        <v>8.8583999999999996</v>
      </c>
      <c r="K19" s="2">
        <v>10.2319</v>
      </c>
      <c r="L19" s="2">
        <v>11.780900000000001</v>
      </c>
      <c r="M19" s="2">
        <f>AVERAGE(表格14_16_33_49_55_103_5_Gabor[[#This Row],[0.01]:[0.1]])</f>
        <v>9.4964423963501243</v>
      </c>
      <c r="N19" s="2">
        <f>_xlfn.STDEV.S(表格14_16_33_49_55_103_5_Gabor[[#This Row],[0.01]:[0.1]])</f>
        <v>1.3079936093030606</v>
      </c>
    </row>
    <row r="20" spans="1:14" x14ac:dyDescent="0.35">
      <c r="A20" s="1" t="s">
        <v>3</v>
      </c>
      <c r="B20" s="2">
        <v>0.94</v>
      </c>
      <c r="C20" s="2">
        <v>0.96</v>
      </c>
      <c r="D20" s="2">
        <v>0.96</v>
      </c>
      <c r="E20" s="2">
        <v>0.97</v>
      </c>
      <c r="F20" s="2">
        <v>0.91</v>
      </c>
      <c r="G20" s="2">
        <v>0.85</v>
      </c>
      <c r="H20" s="2">
        <v>0.96</v>
      </c>
      <c r="I20" s="2">
        <v>0.96</v>
      </c>
      <c r="J20" s="2">
        <v>0.96</v>
      </c>
      <c r="K20" s="2">
        <v>0.94</v>
      </c>
      <c r="L20" s="2">
        <v>0.91</v>
      </c>
      <c r="M20" s="2">
        <f>AVERAGE(表格14_16_33_49_55_103_5_Gabor[[#This Row],[0.01]:[0.1]])</f>
        <v>0.93799999999999994</v>
      </c>
      <c r="N20" s="2">
        <f>_xlfn.STDEV.S(表格14_16_33_49_55_103_5_Gabor[[#This Row],[0.01]:[0.1]])</f>
        <v>3.7653389990514485E-2</v>
      </c>
    </row>
    <row r="21" spans="1:14" x14ac:dyDescent="0.35">
      <c r="A21" s="1" t="s">
        <v>4</v>
      </c>
      <c r="B21" s="2">
        <v>0.84980988593155904</v>
      </c>
      <c r="C21" s="2">
        <v>0.905893536121673</v>
      </c>
      <c r="D21" s="2">
        <v>0.91825095057034201</v>
      </c>
      <c r="E21" s="2">
        <v>0.94110000000000005</v>
      </c>
      <c r="F21" s="2">
        <v>0.91539999999999999</v>
      </c>
      <c r="G21" s="2">
        <v>0.76996197718631199</v>
      </c>
      <c r="H21" s="2">
        <v>0.91539999999999999</v>
      </c>
      <c r="I21" s="2">
        <v>0.8508</v>
      </c>
      <c r="J21" s="2">
        <v>0.92490000000000006</v>
      </c>
      <c r="K21" s="2">
        <v>0.89349999999999996</v>
      </c>
      <c r="L21" s="2">
        <v>0.84509999999999996</v>
      </c>
      <c r="M21" s="2">
        <f>AVERAGE(表格14_16_33_49_55_103_5_Gabor[[#This Row],[0.01]:[0.1]])</f>
        <v>0.88803064638783291</v>
      </c>
      <c r="N21" s="2">
        <f>_xlfn.STDEV.S(表格14_16_33_49_55_103_5_Gabor[[#This Row],[0.01]:[0.1]])</f>
        <v>5.1753157802850551E-2</v>
      </c>
    </row>
    <row r="22" spans="1:14" x14ac:dyDescent="0.35">
      <c r="A22" s="1" t="s">
        <v>5</v>
      </c>
      <c r="B22" s="2">
        <v>50</v>
      </c>
      <c r="C22" s="2">
        <v>51</v>
      </c>
      <c r="D22" s="2">
        <v>51</v>
      </c>
      <c r="E22" s="2">
        <v>200</v>
      </c>
      <c r="F22" s="2">
        <v>200</v>
      </c>
      <c r="G22" s="2">
        <v>46</v>
      </c>
      <c r="H22" s="2">
        <v>200</v>
      </c>
      <c r="I22" s="2">
        <v>200</v>
      </c>
      <c r="J22" s="2">
        <v>200</v>
      </c>
      <c r="K22" s="2">
        <v>200</v>
      </c>
      <c r="L22" s="2">
        <v>200</v>
      </c>
      <c r="M22" s="2">
        <f>AVERAGE(表格14_16_33_49_55_103_5_Gabor[[#This Row],[0.01]:[0.1]])</f>
        <v>154.80000000000001</v>
      </c>
      <c r="N22" s="2">
        <f>_xlfn.STDEV.S(表格14_16_33_49_55_103_5_Gabor[[#This Row],[0.01]:[0.1]])</f>
        <v>72.791635661126776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7.8927440316862398</v>
      </c>
      <c r="C27" s="2">
        <v>8.8518168665537207</v>
      </c>
      <c r="D27" s="2">
        <v>8.4689056839845502</v>
      </c>
      <c r="E27" s="2">
        <v>8.0761757207264608</v>
      </c>
      <c r="F27" s="2">
        <v>9.4723000000000006</v>
      </c>
      <c r="G27" s="2">
        <v>8.6256841555055797</v>
      </c>
      <c r="H27" s="2">
        <v>8.6473081718134299</v>
      </c>
      <c r="I27" s="2">
        <v>9.8629999999999995</v>
      </c>
      <c r="J27" s="2">
        <v>8.6744000000000003</v>
      </c>
      <c r="K27" s="2">
        <v>7.7831999999999999</v>
      </c>
      <c r="L27" s="2">
        <v>7.5023999999999997</v>
      </c>
      <c r="M27" s="2">
        <f>AVERAGE(表格14_16_33_49_55_103_5_DWHT[[#This Row],[0.01]:[0.1]])</f>
        <v>8.5965190598583732</v>
      </c>
      <c r="N27" s="2">
        <f>_xlfn.STDEV.S(表格14_16_33_49_55_103_5_DWHT[[#This Row],[0.01]:[0.1]])</f>
        <v>0.71424128735405545</v>
      </c>
    </row>
    <row r="28" spans="1:14" x14ac:dyDescent="0.35">
      <c r="A28" s="1" t="s">
        <v>3</v>
      </c>
      <c r="B28" s="2">
        <v>0.94</v>
      </c>
      <c r="C28" s="2">
        <v>0.9</v>
      </c>
      <c r="D28" s="2">
        <v>0.96</v>
      </c>
      <c r="E28" s="2">
        <v>0.98</v>
      </c>
      <c r="F28" s="2">
        <v>0.85</v>
      </c>
      <c r="G28" s="2">
        <v>0.94</v>
      </c>
      <c r="H28" s="2">
        <v>0.93</v>
      </c>
      <c r="I28" s="2">
        <v>0.88</v>
      </c>
      <c r="J28" s="2">
        <v>0.91</v>
      </c>
      <c r="K28" s="2">
        <v>0.94</v>
      </c>
      <c r="L28" s="2">
        <v>0.98</v>
      </c>
      <c r="M28" s="2">
        <f>AVERAGE(表格14_16_33_49_55_103_5_DWHT[[#This Row],[0.01]:[0.1]])</f>
        <v>0.92699999999999994</v>
      </c>
      <c r="N28" s="2">
        <f>_xlfn.STDEV.S(表格14_16_33_49_55_103_5_DWHT[[#This Row],[0.01]:[0.1]])</f>
        <v>4.2439499421071288E-2</v>
      </c>
    </row>
    <row r="29" spans="1:14" x14ac:dyDescent="0.35">
      <c r="A29" s="1" t="s">
        <v>4</v>
      </c>
      <c r="B29" s="2">
        <v>0.88212927756654003</v>
      </c>
      <c r="C29" s="2">
        <v>0.87357414448669202</v>
      </c>
      <c r="D29" s="2">
        <v>0.93250950570342195</v>
      </c>
      <c r="E29" s="2">
        <v>0.92585551330798499</v>
      </c>
      <c r="F29" s="2">
        <v>0.79659999999999997</v>
      </c>
      <c r="G29" s="2">
        <v>0.87072243346007605</v>
      </c>
      <c r="H29" s="2">
        <v>0.88783269961977196</v>
      </c>
      <c r="I29" s="2">
        <v>0.85360000000000003</v>
      </c>
      <c r="J29" s="2">
        <v>0.88119999999999998</v>
      </c>
      <c r="K29" s="2">
        <v>0.89070000000000005</v>
      </c>
      <c r="L29" s="2">
        <v>0.91059999999999997</v>
      </c>
      <c r="M29" s="2">
        <f>AVERAGE(表格14_16_33_49_55_103_5_DWHT[[#This Row],[0.01]:[0.1]])</f>
        <v>0.88231942965779475</v>
      </c>
      <c r="N29" s="2">
        <f>_xlfn.STDEV.S(表格14_16_33_49_55_103_5_DWHT[[#This Row],[0.01]:[0.1]])</f>
        <v>3.9015246014141872E-2</v>
      </c>
    </row>
    <row r="30" spans="1:14" x14ac:dyDescent="0.35">
      <c r="A30" s="1" t="s">
        <v>5</v>
      </c>
      <c r="B30" s="2">
        <v>44</v>
      </c>
      <c r="C30" s="2">
        <v>43</v>
      </c>
      <c r="D30" s="2">
        <v>39</v>
      </c>
      <c r="E30" s="2">
        <v>41</v>
      </c>
      <c r="F30" s="2">
        <v>80</v>
      </c>
      <c r="G30" s="2">
        <v>40</v>
      </c>
      <c r="H30" s="2">
        <v>43</v>
      </c>
      <c r="I30" s="2">
        <v>77</v>
      </c>
      <c r="J30" s="2">
        <v>200</v>
      </c>
      <c r="K30" s="2">
        <v>200</v>
      </c>
      <c r="L30" s="2">
        <v>56</v>
      </c>
      <c r="M30" s="2">
        <f>AVERAGE(表格14_16_33_49_55_103_5_DWHT[[#This Row],[0.01]:[0.1]])</f>
        <v>81.900000000000006</v>
      </c>
      <c r="N30" s="2">
        <f>_xlfn.STDEV.S(表格14_16_33_49_55_103_5_DWHT[[#This Row],[0.01]:[0.1]])</f>
        <v>64.021610934641956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0FBE-08DC-41AD-8A51-2419D2AC5FC9}">
  <dimension ref="A1:N30"/>
  <sheetViews>
    <sheetView topLeftCell="A13" workbookViewId="0">
      <selection activeCell="B28" sqref="B28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13.3497</v>
      </c>
      <c r="C3" s="2">
        <v>10.6578</v>
      </c>
      <c r="D3" s="2">
        <v>14.1044</v>
      </c>
      <c r="E3" s="2">
        <v>11.635199999999999</v>
      </c>
      <c r="F3" s="2">
        <v>11.4389</v>
      </c>
      <c r="G3" s="2">
        <v>13.3969</v>
      </c>
      <c r="H3" s="2">
        <v>14.3947</v>
      </c>
      <c r="I3" s="2">
        <v>13.966100000000001</v>
      </c>
      <c r="J3" s="2">
        <v>12.6502</v>
      </c>
      <c r="K3" s="2">
        <v>12.418900000000001</v>
      </c>
      <c r="L3" s="2">
        <v>11.6915</v>
      </c>
      <c r="M3" s="2">
        <f>AVERAGE(表格8068_myself[[#This Row],[0.01]:[0.1]])</f>
        <v>12.635459999999998</v>
      </c>
      <c r="N3" s="2">
        <f>_xlfn.STDEV.S(表格8068_myself[[#This Row],[0.01]:[0.1]])</f>
        <v>1.286022928083149</v>
      </c>
    </row>
    <row r="4" spans="1:14" x14ac:dyDescent="0.35">
      <c r="A4" s="1" t="s">
        <v>3</v>
      </c>
      <c r="B4" s="2">
        <v>0.95</v>
      </c>
      <c r="C4" s="2">
        <v>0.94</v>
      </c>
      <c r="D4" s="2">
        <v>0.94</v>
      </c>
      <c r="E4" s="2">
        <v>0.92</v>
      </c>
      <c r="F4" s="2">
        <v>0.93</v>
      </c>
      <c r="G4" s="2">
        <v>0.94</v>
      </c>
      <c r="H4" s="2">
        <v>0.93</v>
      </c>
      <c r="I4" s="2">
        <v>0.91</v>
      </c>
      <c r="J4" s="2">
        <v>0.92</v>
      </c>
      <c r="K4" s="2">
        <v>0.92</v>
      </c>
      <c r="L4" s="2">
        <v>0.92</v>
      </c>
      <c r="M4" s="2">
        <f>AVERAGE(表格8068_myself[[#This Row],[0.01]:[0.1]])</f>
        <v>0.92699999999999994</v>
      </c>
      <c r="N4" s="2">
        <f>_xlfn.STDEV.S(表格8068_myself[[#This Row],[0.01]:[0.1]])</f>
        <v>1.0593499054713766E-2</v>
      </c>
    </row>
    <row r="5" spans="1:14" x14ac:dyDescent="0.35">
      <c r="A5" s="1" t="s">
        <v>4</v>
      </c>
      <c r="B5" s="2">
        <v>0.80979999999999996</v>
      </c>
      <c r="C5" s="2">
        <v>0.80979999999999996</v>
      </c>
      <c r="D5" s="2">
        <v>0.82969999999999999</v>
      </c>
      <c r="E5" s="2">
        <v>0.81230000000000002</v>
      </c>
      <c r="F5" s="2">
        <v>0.81559999999999999</v>
      </c>
      <c r="G5" s="2">
        <v>0.82479999999999998</v>
      </c>
      <c r="H5" s="2">
        <v>0.82640000000000002</v>
      </c>
      <c r="I5" s="2">
        <v>0.79649999999999999</v>
      </c>
      <c r="J5" s="2">
        <v>0.81640000000000001</v>
      </c>
      <c r="K5" s="2">
        <v>0.79820000000000002</v>
      </c>
      <c r="L5" s="2">
        <v>0.8115</v>
      </c>
      <c r="M5" s="2">
        <f>AVERAGE(表格8068_myself[[#This Row],[0.01]:[0.1]])</f>
        <v>0.81411999999999995</v>
      </c>
      <c r="N5" s="2">
        <f>_xlfn.STDEV.S(表格8068_myself[[#This Row],[0.01]:[0.1]])</f>
        <v>1.1094222720757762E-2</v>
      </c>
    </row>
    <row r="6" spans="1:14" x14ac:dyDescent="0.35">
      <c r="A6" s="1" t="s">
        <v>5</v>
      </c>
      <c r="B6" s="2">
        <v>130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>
        <v>80</v>
      </c>
      <c r="I6" s="2">
        <v>27</v>
      </c>
      <c r="J6" s="2">
        <v>35</v>
      </c>
      <c r="K6" s="2">
        <v>33</v>
      </c>
      <c r="L6" s="2">
        <v>200</v>
      </c>
      <c r="M6" s="2">
        <f>AVERAGE(表格8068_myself[[#This Row],[0.01]:[0.1]])</f>
        <v>137.5</v>
      </c>
      <c r="N6" s="2">
        <f>_xlfn.STDEV.S(表格8068_myself[[#This Row],[0.01]:[0.1]])</f>
        <v>81.908146386329875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1">
        <v>12.9429</v>
      </c>
      <c r="C11" s="2">
        <v>12.331300000000001</v>
      </c>
      <c r="D11" s="2">
        <v>14.471399999999999</v>
      </c>
      <c r="E11" s="2">
        <v>14.99</v>
      </c>
      <c r="F11" s="2">
        <v>14.650700000000001</v>
      </c>
      <c r="G11" s="2">
        <v>14.954800000000001</v>
      </c>
      <c r="H11" s="2">
        <v>15.4261</v>
      </c>
      <c r="I11" s="2">
        <v>13.204499999999999</v>
      </c>
      <c r="J11" s="2">
        <v>12.5236</v>
      </c>
      <c r="K11" s="2">
        <v>13.169700000000001</v>
      </c>
      <c r="L11" s="2">
        <v>13.104699999999999</v>
      </c>
      <c r="M11" s="2">
        <f>AVERAGE(表格8068_moment[[#This Row],[0.01]:[0.1]])</f>
        <v>13.882680000000002</v>
      </c>
      <c r="N11" s="2">
        <f>_xlfn.STDEV.S(表格8068_moment[[#This Row],[0.01]:[0.1]])</f>
        <v>1.1314489214179215</v>
      </c>
    </row>
    <row r="12" spans="1:14" x14ac:dyDescent="0.35">
      <c r="A12" s="1" t="s">
        <v>3</v>
      </c>
      <c r="B12" s="1">
        <v>0.89</v>
      </c>
      <c r="C12" s="2">
        <v>0.88</v>
      </c>
      <c r="D12" s="2">
        <v>0.88</v>
      </c>
      <c r="E12" s="2">
        <v>0.88</v>
      </c>
      <c r="F12" s="2">
        <v>0.86</v>
      </c>
      <c r="G12" s="2">
        <v>0.86</v>
      </c>
      <c r="H12" s="2">
        <v>0.89</v>
      </c>
      <c r="I12" s="2">
        <v>0.88</v>
      </c>
      <c r="J12" s="2">
        <v>0.88</v>
      </c>
      <c r="K12" s="2">
        <v>0.87</v>
      </c>
      <c r="L12" s="2">
        <v>0.89</v>
      </c>
      <c r="M12" s="2">
        <f>AVERAGE(表格8068_moment[[#This Row],[0.01]:[0.1]])</f>
        <v>0.877</v>
      </c>
      <c r="N12" s="2">
        <f>_xlfn.STDEV.S(表格8068_moment[[#This Row],[0.01]:[0.1]])</f>
        <v>1.0593499054713811E-2</v>
      </c>
    </row>
    <row r="13" spans="1:14" x14ac:dyDescent="0.35">
      <c r="A13" s="1" t="s">
        <v>4</v>
      </c>
      <c r="B13" s="1">
        <v>0.66859999999999997</v>
      </c>
      <c r="C13" s="2">
        <v>0.66690000000000005</v>
      </c>
      <c r="D13" s="2">
        <v>0.66279999999999994</v>
      </c>
      <c r="E13" s="2">
        <v>0.65780000000000005</v>
      </c>
      <c r="F13" s="2">
        <v>0.65529999999999999</v>
      </c>
      <c r="G13" s="2">
        <v>0.64370000000000005</v>
      </c>
      <c r="H13" s="2">
        <v>0.65780000000000005</v>
      </c>
      <c r="I13" s="2">
        <v>0.6603</v>
      </c>
      <c r="J13" s="2">
        <v>0.64370000000000005</v>
      </c>
      <c r="K13" s="2">
        <v>0.6603</v>
      </c>
      <c r="L13" s="2">
        <v>0.67359999999999998</v>
      </c>
      <c r="M13" s="2">
        <f>AVERAGE(表格8068_moment[[#This Row],[0.01]:[0.1]])</f>
        <v>0.65822000000000003</v>
      </c>
      <c r="N13" s="2">
        <f>_xlfn.STDEV.S(表格8068_moment[[#This Row],[0.01]:[0.1]])</f>
        <v>9.2619652342253809E-3</v>
      </c>
    </row>
    <row r="14" spans="1:14" x14ac:dyDescent="0.35">
      <c r="A14" s="1" t="s">
        <v>5</v>
      </c>
      <c r="B14" s="1">
        <v>76</v>
      </c>
      <c r="C14" s="2">
        <v>79</v>
      </c>
      <c r="D14" s="2">
        <v>64</v>
      </c>
      <c r="E14" s="2">
        <v>78</v>
      </c>
      <c r="F14" s="2">
        <v>61</v>
      </c>
      <c r="G14" s="2">
        <v>64</v>
      </c>
      <c r="H14" s="2">
        <v>63</v>
      </c>
      <c r="I14" s="2">
        <v>65</v>
      </c>
      <c r="J14" s="2">
        <v>67</v>
      </c>
      <c r="K14" s="2">
        <v>64</v>
      </c>
      <c r="L14" s="2">
        <v>61</v>
      </c>
      <c r="M14" s="2">
        <f>AVERAGE(表格8068_moment[[#This Row],[0.01]:[0.1]])</f>
        <v>66.599999999999994</v>
      </c>
      <c r="N14" s="2">
        <f>_xlfn.STDEV.S(表格8068_moment[[#This Row],[0.01]:[0.1]])</f>
        <v>6.5183501661761705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12.813800000000001</v>
      </c>
      <c r="C19" s="2">
        <v>11.9848</v>
      </c>
      <c r="D19" s="2">
        <v>11.321999999999999</v>
      </c>
      <c r="E19" s="2">
        <v>13.636200000000001</v>
      </c>
      <c r="F19" s="2">
        <v>12.7681</v>
      </c>
      <c r="G19" s="2">
        <v>10.686299999999999</v>
      </c>
      <c r="H19" s="2">
        <v>12.8767</v>
      </c>
      <c r="I19" s="2">
        <v>12.488</v>
      </c>
      <c r="J19" s="2">
        <v>12.7356</v>
      </c>
      <c r="K19" s="2">
        <v>13.0307</v>
      </c>
      <c r="L19" s="2">
        <v>11.279</v>
      </c>
      <c r="M19" s="2">
        <f>AVERAGE(表格8068_Gabor[[#This Row],[0.01]:[0.1]])</f>
        <v>12.28074</v>
      </c>
      <c r="N19" s="2">
        <f>_xlfn.STDEV.S(表格8068_Gabor[[#This Row],[0.01]:[0.1]])</f>
        <v>0.9306353292240741</v>
      </c>
    </row>
    <row r="20" spans="1:14" x14ac:dyDescent="0.35">
      <c r="A20" s="1" t="s">
        <v>3</v>
      </c>
      <c r="B20" s="2">
        <v>0.85</v>
      </c>
      <c r="C20" s="2">
        <v>0.86</v>
      </c>
      <c r="D20" s="2">
        <v>0.81</v>
      </c>
      <c r="E20" s="2">
        <v>0.8</v>
      </c>
      <c r="F20" s="2">
        <v>0.89</v>
      </c>
      <c r="G20" s="2">
        <v>0.87</v>
      </c>
      <c r="H20" s="2">
        <v>0.79</v>
      </c>
      <c r="I20" s="2">
        <v>0.8</v>
      </c>
      <c r="J20" s="2">
        <v>0.81</v>
      </c>
      <c r="K20" s="2">
        <v>0.81</v>
      </c>
      <c r="L20" s="2">
        <v>0.82</v>
      </c>
      <c r="M20" s="2">
        <f>AVERAGE(表格8068_Gabor[[#This Row],[0.01]:[0.1]])</f>
        <v>0.82599999999999996</v>
      </c>
      <c r="N20" s="2">
        <f>_xlfn.STDEV.S(表格8068_Gabor[[#This Row],[0.01]:[0.1]])</f>
        <v>3.4383458555273659E-2</v>
      </c>
    </row>
    <row r="21" spans="1:14" x14ac:dyDescent="0.35">
      <c r="A21" s="1" t="s">
        <v>4</v>
      </c>
      <c r="B21" s="2">
        <v>0.68189999999999995</v>
      </c>
      <c r="C21" s="2">
        <v>0.67859999999999998</v>
      </c>
      <c r="D21" s="2">
        <v>0.65949999999999998</v>
      </c>
      <c r="E21" s="2">
        <v>0.65700000000000003</v>
      </c>
      <c r="F21" s="2">
        <v>0.69769999999999999</v>
      </c>
      <c r="G21" s="2">
        <v>0.67859999999999998</v>
      </c>
      <c r="H21" s="2">
        <v>0.61209999999999998</v>
      </c>
      <c r="I21" s="2">
        <v>0.64949999999999997</v>
      </c>
      <c r="J21" s="2">
        <v>0.61960000000000004</v>
      </c>
      <c r="K21" s="2">
        <v>0.65029999999999999</v>
      </c>
      <c r="L21" s="2">
        <v>0.66200000000000003</v>
      </c>
      <c r="M21" s="2">
        <f>AVERAGE(表格8068_Gabor[[#This Row],[0.01]:[0.1]])</f>
        <v>0.65649000000000002</v>
      </c>
      <c r="N21" s="2">
        <f>_xlfn.STDEV.S(表格8068_Gabor[[#This Row],[0.01]:[0.1]])</f>
        <v>2.6106978632797269E-2</v>
      </c>
    </row>
    <row r="22" spans="1:14" x14ac:dyDescent="0.35">
      <c r="A22" s="1" t="s">
        <v>5</v>
      </c>
      <c r="B22" s="2">
        <v>200</v>
      </c>
      <c r="C22" s="2">
        <v>200</v>
      </c>
      <c r="D22" s="2">
        <v>200</v>
      </c>
      <c r="E22" s="2">
        <v>200</v>
      </c>
      <c r="F22" s="2">
        <v>200</v>
      </c>
      <c r="G22" s="2">
        <v>200</v>
      </c>
      <c r="H22" s="2">
        <v>200</v>
      </c>
      <c r="I22" s="2">
        <v>200</v>
      </c>
      <c r="J22" s="2">
        <v>200</v>
      </c>
      <c r="K22" s="2">
        <v>200</v>
      </c>
      <c r="L22" s="2">
        <v>200</v>
      </c>
      <c r="M22" s="2">
        <f>AVERAGE(表格8068_Gabor[[#This Row],[0.01]:[0.1]])</f>
        <v>200</v>
      </c>
      <c r="N22" s="2">
        <f>_xlfn.STDEV.S(表格8068_Gabor[[#This Row],[0.01]:[0.1]])</f>
        <v>0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12.9053</v>
      </c>
      <c r="C27" s="2">
        <v>12.013400000000001</v>
      </c>
      <c r="D27" s="2">
        <v>13.561999999999999</v>
      </c>
      <c r="E27" s="2">
        <v>11.546200000000001</v>
      </c>
      <c r="F27" s="2">
        <v>14.2583</v>
      </c>
      <c r="G27" s="2">
        <v>13.816700000000001</v>
      </c>
      <c r="H27" s="2">
        <v>13.4977</v>
      </c>
      <c r="I27" s="2">
        <v>13.052199999999999</v>
      </c>
      <c r="J27" s="2">
        <v>15.036199999999999</v>
      </c>
      <c r="K27" s="2">
        <v>14.290699999999999</v>
      </c>
      <c r="L27" s="2">
        <v>13.6084</v>
      </c>
      <c r="M27" s="2">
        <f>AVERAGE(表格8068_DWHT[[#This Row],[0.01]:[0.1]])</f>
        <v>13.468179999999998</v>
      </c>
      <c r="N27" s="2">
        <f>_xlfn.STDEV.S(表格8068_DWHT[[#This Row],[0.01]:[0.1]])</f>
        <v>1.0484776411540682</v>
      </c>
    </row>
    <row r="28" spans="1:14" x14ac:dyDescent="0.35">
      <c r="A28" s="1" t="s">
        <v>3</v>
      </c>
      <c r="B28" s="2">
        <v>0.87</v>
      </c>
      <c r="C28" s="2">
        <v>0.87</v>
      </c>
      <c r="D28" s="2">
        <v>0.88</v>
      </c>
      <c r="E28" s="2">
        <v>0.89</v>
      </c>
      <c r="F28" s="2">
        <v>0.9</v>
      </c>
      <c r="G28" s="2">
        <v>0.85</v>
      </c>
      <c r="H28" s="2">
        <v>0.92</v>
      </c>
      <c r="I28" s="2">
        <v>0.9</v>
      </c>
      <c r="J28" s="2">
        <v>0.92</v>
      </c>
      <c r="K28" s="2">
        <v>0.91</v>
      </c>
      <c r="L28" s="2">
        <v>0.93</v>
      </c>
      <c r="M28" s="2">
        <f>AVERAGE(表格8068_DWHT[[#This Row],[0.01]:[0.1]])</f>
        <v>0.89699999999999991</v>
      </c>
      <c r="N28" s="2">
        <f>_xlfn.STDEV.S(表格8068_DWHT[[#This Row],[0.01]:[0.1]])</f>
        <v>2.4966644414765364E-2</v>
      </c>
    </row>
    <row r="29" spans="1:14" x14ac:dyDescent="0.35">
      <c r="A29" s="1" t="s">
        <v>4</v>
      </c>
      <c r="B29" s="2">
        <v>0.60219999999999996</v>
      </c>
      <c r="C29" s="2">
        <v>0.66279999999999994</v>
      </c>
      <c r="D29" s="2">
        <v>0.72340000000000004</v>
      </c>
      <c r="E29" s="2">
        <v>0.73089999999999999</v>
      </c>
      <c r="F29" s="2">
        <v>0.74</v>
      </c>
      <c r="G29" s="2">
        <v>0.67110000000000003</v>
      </c>
      <c r="H29" s="2">
        <v>0.76829999999999998</v>
      </c>
      <c r="I29" s="2">
        <v>0.74750000000000005</v>
      </c>
      <c r="J29" s="2">
        <v>0.76160000000000005</v>
      </c>
      <c r="K29" s="2">
        <v>0.77329999999999999</v>
      </c>
      <c r="L29" s="2">
        <v>0.76739999999999997</v>
      </c>
      <c r="M29" s="2">
        <f>AVERAGE(表格8068_DWHT[[#This Row],[0.01]:[0.1]])</f>
        <v>0.73463000000000001</v>
      </c>
      <c r="N29" s="2">
        <f>_xlfn.STDEV.S(表格8068_DWHT[[#This Row],[0.01]:[0.1]])</f>
        <v>3.9384713616664367E-2</v>
      </c>
    </row>
    <row r="30" spans="1:14" x14ac:dyDescent="0.35">
      <c r="A30" s="1" t="s">
        <v>5</v>
      </c>
      <c r="B30" s="2">
        <v>200</v>
      </c>
      <c r="C30" s="2">
        <v>200</v>
      </c>
      <c r="D30" s="2">
        <v>200</v>
      </c>
      <c r="E30" s="2">
        <v>200</v>
      </c>
      <c r="F30" s="2">
        <v>29</v>
      </c>
      <c r="G30" s="2">
        <v>32</v>
      </c>
      <c r="H30" s="2">
        <v>47</v>
      </c>
      <c r="I30" s="2">
        <v>200</v>
      </c>
      <c r="J30" s="2">
        <v>30</v>
      </c>
      <c r="K30" s="2">
        <v>26</v>
      </c>
      <c r="L30" s="2">
        <v>44</v>
      </c>
      <c r="M30" s="2">
        <f>AVERAGE(表格8068_DWHT[[#This Row],[0.01]:[0.1]])</f>
        <v>100.8</v>
      </c>
      <c r="N30" s="2">
        <f>_xlfn.STDEV.S(表格8068_DWHT[[#This Row],[0.01]:[0.1]])</f>
        <v>85.621648352894184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CDD9-8E3D-4646-8589-A38C17DC3784}">
  <dimension ref="A1:N30"/>
  <sheetViews>
    <sheetView workbookViewId="0">
      <selection activeCell="G14" sqref="G14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7.7178902408522303</v>
      </c>
      <c r="C3" s="2">
        <v>12.6973</v>
      </c>
      <c r="D3" s="2">
        <v>11.317500000000001</v>
      </c>
      <c r="E3" s="2">
        <v>17.172499999999999</v>
      </c>
      <c r="F3" s="2">
        <v>15.079000000000001</v>
      </c>
      <c r="G3" s="2">
        <v>16.945599999999999</v>
      </c>
      <c r="H3" s="2">
        <v>15.913</v>
      </c>
      <c r="I3" s="2">
        <v>16.1158</v>
      </c>
      <c r="J3" s="2">
        <v>17.1691</v>
      </c>
      <c r="K3" s="2">
        <v>14.525700000000001</v>
      </c>
      <c r="L3" s="2">
        <v>18.706</v>
      </c>
      <c r="M3" s="2">
        <f>AVERAGE(表格134008_myself[[#This Row],[0.01]:[0.1]])</f>
        <v>15.564149999999998</v>
      </c>
      <c r="N3" s="2">
        <f>_xlfn.STDEV.S(表格134008_myself[[#This Row],[0.01]:[0.1]])</f>
        <v>2.2344501651537527</v>
      </c>
    </row>
    <row r="4" spans="1:14" x14ac:dyDescent="0.35">
      <c r="A4" s="1" t="s">
        <v>3</v>
      </c>
      <c r="B4" s="2">
        <v>0.98</v>
      </c>
      <c r="C4" s="2">
        <v>0.92</v>
      </c>
      <c r="D4" s="2">
        <v>0.91</v>
      </c>
      <c r="E4" s="2">
        <v>0.75</v>
      </c>
      <c r="F4" s="2">
        <v>0.75</v>
      </c>
      <c r="G4" s="2">
        <v>0.7</v>
      </c>
      <c r="H4" s="2">
        <v>0.76</v>
      </c>
      <c r="I4" s="2">
        <v>0.59</v>
      </c>
      <c r="J4" s="2">
        <v>0.65</v>
      </c>
      <c r="K4" s="2">
        <v>0.7</v>
      </c>
      <c r="L4" s="2">
        <v>0.55000000000000004</v>
      </c>
      <c r="M4" s="2">
        <f>AVERAGE(表格134008_myself[[#This Row],[0.01]:[0.1]])</f>
        <v>0.72799999999999998</v>
      </c>
      <c r="N4" s="2">
        <f>_xlfn.STDEV.S(表格134008_myself[[#This Row],[0.01]:[0.1]])</f>
        <v>0.12035133752661163</v>
      </c>
    </row>
    <row r="5" spans="1:14" x14ac:dyDescent="0.35">
      <c r="A5" s="1" t="s">
        <v>4</v>
      </c>
      <c r="B5" s="2">
        <v>0.84132841328413299</v>
      </c>
      <c r="C5" s="2">
        <v>0.71399999999999997</v>
      </c>
      <c r="D5" s="2">
        <v>0.69099999999999995</v>
      </c>
      <c r="E5" s="2">
        <v>0.5544</v>
      </c>
      <c r="F5" s="2">
        <v>0.5323</v>
      </c>
      <c r="G5" s="2">
        <v>0.53969999999999996</v>
      </c>
      <c r="H5" s="2">
        <v>0.56459999999999999</v>
      </c>
      <c r="I5" s="2">
        <v>0.43730000000000002</v>
      </c>
      <c r="J5" s="2">
        <v>0.47049999999999997</v>
      </c>
      <c r="K5" s="2">
        <v>0.51200000000000001</v>
      </c>
      <c r="L5" s="2">
        <v>0.39300000000000002</v>
      </c>
      <c r="M5" s="2">
        <f>AVERAGE(表格134008_myself[[#This Row],[0.01]:[0.1]])</f>
        <v>0.54088000000000003</v>
      </c>
      <c r="N5" s="2">
        <f>_xlfn.STDEV.S(表格134008_myself[[#This Row],[0.01]:[0.1]])</f>
        <v>0.10094646325872164</v>
      </c>
    </row>
    <row r="6" spans="1:14" x14ac:dyDescent="0.35">
      <c r="A6" s="1" t="s">
        <v>5</v>
      </c>
      <c r="B6" s="2">
        <v>20</v>
      </c>
      <c r="C6" s="2">
        <v>26</v>
      </c>
      <c r="D6" s="2">
        <v>37</v>
      </c>
      <c r="E6" s="2">
        <v>39</v>
      </c>
      <c r="F6" s="2">
        <v>32</v>
      </c>
      <c r="G6" s="2">
        <v>29</v>
      </c>
      <c r="H6" s="2">
        <v>46</v>
      </c>
      <c r="I6" s="2">
        <v>40</v>
      </c>
      <c r="J6" s="2">
        <v>32</v>
      </c>
      <c r="K6" s="2">
        <v>34</v>
      </c>
      <c r="L6" s="2">
        <v>26</v>
      </c>
      <c r="M6" s="2">
        <f>AVERAGE(表格134008_myself[[#This Row],[0.01]:[0.1]])</f>
        <v>34.1</v>
      </c>
      <c r="N6" s="2">
        <f>_xlfn.STDEV.S(表格134008_myself[[#This Row],[0.01]:[0.1]])</f>
        <v>6.4541115233280184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10.102936004155801</v>
      </c>
      <c r="C11" s="2">
        <v>12.1794891702871</v>
      </c>
      <c r="D11" s="2">
        <v>19.957799999999999</v>
      </c>
      <c r="E11" s="2">
        <v>17.5733</v>
      </c>
      <c r="F11" s="2">
        <v>17.724299999999999</v>
      </c>
      <c r="G11" s="2">
        <v>18.303799999999999</v>
      </c>
      <c r="H11" s="2">
        <v>17.438300000000002</v>
      </c>
      <c r="I11" s="2">
        <v>22.317299999999999</v>
      </c>
      <c r="J11" s="2">
        <v>20.434699999999999</v>
      </c>
      <c r="K11" s="2">
        <v>19.96</v>
      </c>
      <c r="L11" s="2">
        <v>13.2194</v>
      </c>
      <c r="M11" s="2">
        <f>AVERAGE(表格134008_moment[[#This Row],[0.01]:[0.1]])</f>
        <v>17.910838917028709</v>
      </c>
      <c r="N11" s="2">
        <f>_xlfn.STDEV.S(表格134008_moment[[#This Row],[0.01]:[0.1]])</f>
        <v>3.1545433658215467</v>
      </c>
    </row>
    <row r="12" spans="1:14" x14ac:dyDescent="0.35">
      <c r="A12" s="1" t="s">
        <v>3</v>
      </c>
      <c r="B12" s="2">
        <v>0.96</v>
      </c>
      <c r="C12" s="2">
        <v>0.85</v>
      </c>
      <c r="D12" s="2">
        <v>0.86</v>
      </c>
      <c r="E12" s="2">
        <v>0.77</v>
      </c>
      <c r="F12" s="2">
        <v>0.61</v>
      </c>
      <c r="G12" s="2">
        <v>0.79</v>
      </c>
      <c r="H12" s="2">
        <v>0.67</v>
      </c>
      <c r="I12" s="2">
        <v>0.74</v>
      </c>
      <c r="J12" s="2">
        <v>0.68</v>
      </c>
      <c r="K12" s="2">
        <v>0.7</v>
      </c>
      <c r="L12" s="2">
        <v>0.71</v>
      </c>
      <c r="M12" s="2">
        <f>AVERAGE(表格134008_moment[[#This Row],[0.01]:[0.1]])</f>
        <v>0.73799999999999999</v>
      </c>
      <c r="N12" s="2">
        <f>_xlfn.STDEV.S(表格134008_moment[[#This Row],[0.01]:[0.1]])</f>
        <v>8.0111034057598965E-2</v>
      </c>
    </row>
    <row r="13" spans="1:14" x14ac:dyDescent="0.35">
      <c r="A13" s="1" t="s">
        <v>4</v>
      </c>
      <c r="B13" s="2">
        <v>0.74077490774907795</v>
      </c>
      <c r="C13" s="2">
        <v>0.59594095940959402</v>
      </c>
      <c r="D13" s="2">
        <v>0.58120000000000005</v>
      </c>
      <c r="E13" s="2">
        <v>0.54149999999999998</v>
      </c>
      <c r="F13" s="2">
        <v>0.4022</v>
      </c>
      <c r="G13" s="2">
        <v>0.5</v>
      </c>
      <c r="H13" s="2">
        <v>0.42799999999999999</v>
      </c>
      <c r="I13" s="2">
        <v>0.50919999999999999</v>
      </c>
      <c r="J13" s="2">
        <v>0.46029999999999999</v>
      </c>
      <c r="K13" s="2">
        <v>0.48060000000000003</v>
      </c>
      <c r="L13" s="2">
        <v>0.45200000000000001</v>
      </c>
      <c r="M13" s="2">
        <f>AVERAGE(表格134008_moment[[#This Row],[0.01]:[0.1]])</f>
        <v>0.49509409594095938</v>
      </c>
      <c r="N13" s="2">
        <f>_xlfn.STDEV.S(表格134008_moment[[#This Row],[0.01]:[0.1]])</f>
        <v>6.356939230834352E-2</v>
      </c>
    </row>
    <row r="14" spans="1:14" x14ac:dyDescent="0.35">
      <c r="A14" s="1" t="s">
        <v>5</v>
      </c>
      <c r="B14" s="2">
        <v>31</v>
      </c>
      <c r="C14" s="2">
        <v>36</v>
      </c>
      <c r="D14" s="2">
        <v>42</v>
      </c>
      <c r="E14" s="2">
        <v>62</v>
      </c>
      <c r="F14" s="2">
        <v>58</v>
      </c>
      <c r="G14" s="2">
        <v>70</v>
      </c>
      <c r="H14" s="2">
        <v>59</v>
      </c>
      <c r="I14" s="2">
        <v>62</v>
      </c>
      <c r="J14" s="2">
        <v>81</v>
      </c>
      <c r="K14" s="2">
        <v>74</v>
      </c>
      <c r="L14" s="2">
        <v>71</v>
      </c>
      <c r="M14" s="2">
        <f>AVERAGE(表格134008_moment[[#This Row],[0.01]:[0.1]])</f>
        <v>61.5</v>
      </c>
      <c r="N14" s="2">
        <f>_xlfn.STDEV.S(表格134008_moment[[#This Row],[0.01]:[0.1]])</f>
        <v>13.938356351370048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8.0480558086042109</v>
      </c>
      <c r="C19" s="2">
        <v>10.0334</v>
      </c>
      <c r="D19" s="2">
        <v>11.2624</v>
      </c>
      <c r="E19" s="2">
        <v>10.088200000000001</v>
      </c>
      <c r="F19" s="2">
        <v>12.3748</v>
      </c>
      <c r="G19" s="2">
        <v>11.742900000000001</v>
      </c>
      <c r="H19" s="2">
        <v>9.7201000000000004</v>
      </c>
      <c r="I19" s="2">
        <v>12.3072</v>
      </c>
      <c r="J19" s="2">
        <v>12.340999999999999</v>
      </c>
      <c r="K19" s="2">
        <v>10.764799999999999</v>
      </c>
      <c r="L19" s="2">
        <v>10.9457</v>
      </c>
      <c r="M19" s="2">
        <f>AVERAGE(表格134008_Gabor[[#This Row],[0.01]:[0.1]])</f>
        <v>11.158049999999999</v>
      </c>
      <c r="N19" s="2">
        <f>_xlfn.STDEV.S(表格134008_Gabor[[#This Row],[0.01]:[0.1]])</f>
        <v>1.0127076119108722</v>
      </c>
    </row>
    <row r="20" spans="1:14" x14ac:dyDescent="0.35">
      <c r="A20" s="1" t="s">
        <v>3</v>
      </c>
      <c r="B20" s="2">
        <v>0.97</v>
      </c>
      <c r="C20" s="2">
        <v>0.89</v>
      </c>
      <c r="D20" s="2">
        <v>0.86</v>
      </c>
      <c r="E20" s="2">
        <v>0.95</v>
      </c>
      <c r="F20" s="2">
        <v>0.86</v>
      </c>
      <c r="G20" s="2">
        <v>0.9</v>
      </c>
      <c r="H20" s="2">
        <v>0.98</v>
      </c>
      <c r="I20" s="2">
        <v>0.84</v>
      </c>
      <c r="J20" s="2">
        <v>0.8</v>
      </c>
      <c r="K20" s="2">
        <v>0.83</v>
      </c>
      <c r="L20" s="2">
        <v>0.9</v>
      </c>
      <c r="M20" s="2">
        <f>AVERAGE(表格134008_Gabor[[#This Row],[0.01]:[0.1]])</f>
        <v>0.88099999999999989</v>
      </c>
      <c r="N20" s="2">
        <f>_xlfn.STDEV.S(表格134008_Gabor[[#This Row],[0.01]:[0.1]])</f>
        <v>5.4863466897380801E-2</v>
      </c>
    </row>
    <row r="21" spans="1:14" x14ac:dyDescent="0.35">
      <c r="A21" s="1" t="s">
        <v>4</v>
      </c>
      <c r="B21" s="2">
        <v>0.73985239852398499</v>
      </c>
      <c r="C21" s="2">
        <v>0.66420000000000001</v>
      </c>
      <c r="D21" s="2">
        <v>0.65680000000000005</v>
      </c>
      <c r="E21" s="2">
        <v>0.71309999999999996</v>
      </c>
      <c r="F21" s="2">
        <v>0.65129999999999999</v>
      </c>
      <c r="G21" s="2">
        <v>0.67710000000000004</v>
      </c>
      <c r="H21" s="2">
        <v>0.73619999999999997</v>
      </c>
      <c r="I21" s="2">
        <v>0.60519999999999996</v>
      </c>
      <c r="J21" s="2">
        <v>0.58299999999999996</v>
      </c>
      <c r="K21" s="2">
        <v>0.60329999999999995</v>
      </c>
      <c r="L21" s="2">
        <v>0.67620000000000002</v>
      </c>
      <c r="M21" s="2">
        <f>AVERAGE(表格134008_Gabor[[#This Row],[0.01]:[0.1]])</f>
        <v>0.65664</v>
      </c>
      <c r="N21" s="2">
        <f>_xlfn.STDEV.S(表格134008_Gabor[[#This Row],[0.01]:[0.1]])</f>
        <v>4.8669525030214419E-2</v>
      </c>
    </row>
    <row r="22" spans="1:14" x14ac:dyDescent="0.35">
      <c r="A22" s="1" t="s">
        <v>5</v>
      </c>
      <c r="B22" s="2">
        <v>200</v>
      </c>
      <c r="C22" s="2">
        <v>16</v>
      </c>
      <c r="D22" s="2">
        <v>36</v>
      </c>
      <c r="E22" s="2">
        <v>38</v>
      </c>
      <c r="F22" s="2">
        <v>35</v>
      </c>
      <c r="G22" s="2">
        <v>37</v>
      </c>
      <c r="H22" s="2">
        <v>34</v>
      </c>
      <c r="I22" s="2">
        <v>39</v>
      </c>
      <c r="J22" s="2">
        <v>37</v>
      </c>
      <c r="K22" s="2">
        <v>37</v>
      </c>
      <c r="L22" s="2">
        <v>39</v>
      </c>
      <c r="M22" s="2">
        <f>AVERAGE(表格134008_Gabor[[#This Row],[0.01]:[0.1]])</f>
        <v>34.799999999999997</v>
      </c>
      <c r="N22" s="2">
        <f>_xlfn.STDEV.S(表格134008_Gabor[[#This Row],[0.01]:[0.1]])</f>
        <v>6.7954232964384067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10.558089414833001</v>
      </c>
      <c r="C27" s="2">
        <v>12.2401</v>
      </c>
      <c r="D27" s="2">
        <v>16.442499999999999</v>
      </c>
      <c r="E27" s="2">
        <v>14.489699999999999</v>
      </c>
      <c r="F27" s="2">
        <v>15.726100000000001</v>
      </c>
      <c r="G27" s="2">
        <v>17.369599999999998</v>
      </c>
      <c r="H27" s="2">
        <v>16.947399999999998</v>
      </c>
      <c r="I27" s="2">
        <v>17.438700000000001</v>
      </c>
      <c r="J27" s="2">
        <v>18.869499999999999</v>
      </c>
      <c r="K27" s="2">
        <v>16.931899999999999</v>
      </c>
      <c r="L27" s="2">
        <v>17.283999999999999</v>
      </c>
      <c r="M27" s="2">
        <f>AVERAGE(表格134008_DWHT[[#This Row],[0.01]:[0.1]])</f>
        <v>16.373949999999997</v>
      </c>
      <c r="N27" s="2">
        <f>_xlfn.STDEV.S(表格134008_DWHT[[#This Row],[0.01]:[0.1]])</f>
        <v>1.8524652644816928</v>
      </c>
    </row>
    <row r="28" spans="1:14" x14ac:dyDescent="0.35">
      <c r="A28" s="1" t="s">
        <v>3</v>
      </c>
      <c r="B28" s="2">
        <v>0.97</v>
      </c>
      <c r="C28" s="2">
        <v>0.89</v>
      </c>
      <c r="D28" s="2">
        <v>0.72</v>
      </c>
      <c r="E28" s="2">
        <v>0.71</v>
      </c>
      <c r="F28" s="2">
        <v>0.68</v>
      </c>
      <c r="G28" s="2">
        <v>0.68</v>
      </c>
      <c r="H28" s="2">
        <v>0.67</v>
      </c>
      <c r="I28" s="2">
        <v>0.77</v>
      </c>
      <c r="J28" s="2">
        <v>0.63</v>
      </c>
      <c r="K28" s="2">
        <v>0.75</v>
      </c>
      <c r="L28" s="2">
        <v>0.65</v>
      </c>
      <c r="M28" s="2">
        <f>AVERAGE(表格134008_DWHT[[#This Row],[0.01]:[0.1]])</f>
        <v>0.71500000000000008</v>
      </c>
      <c r="N28" s="2">
        <f>_xlfn.STDEV.S(表格134008_DWHT[[#This Row],[0.01]:[0.1]])</f>
        <v>7.5166481891864534E-2</v>
      </c>
    </row>
    <row r="29" spans="1:14" x14ac:dyDescent="0.35">
      <c r="A29" s="1" t="s">
        <v>4</v>
      </c>
      <c r="B29" s="2">
        <v>0.82195571955719604</v>
      </c>
      <c r="C29" s="2">
        <v>0.66610000000000003</v>
      </c>
      <c r="D29" s="2">
        <v>0.53510000000000002</v>
      </c>
      <c r="E29" s="2">
        <v>0.5544</v>
      </c>
      <c r="F29" s="2">
        <v>0.5544</v>
      </c>
      <c r="G29" s="2">
        <v>0.53779999999999994</v>
      </c>
      <c r="H29" s="2">
        <v>0.45660000000000001</v>
      </c>
      <c r="I29" s="2">
        <v>0.57750000000000001</v>
      </c>
      <c r="J29" s="2">
        <v>0.46489999999999998</v>
      </c>
      <c r="K29" s="2">
        <v>0.56089999999999995</v>
      </c>
      <c r="L29" s="2">
        <v>0.44650000000000001</v>
      </c>
      <c r="M29" s="2">
        <f>AVERAGE(表格134008_DWHT[[#This Row],[0.01]:[0.1]])</f>
        <v>0.53542000000000001</v>
      </c>
      <c r="N29" s="2">
        <f>_xlfn.STDEV.S(表格134008_DWHT[[#This Row],[0.01]:[0.1]])</f>
        <v>6.6094121439722694E-2</v>
      </c>
    </row>
    <row r="30" spans="1:14" x14ac:dyDescent="0.35">
      <c r="A30" s="1" t="s">
        <v>5</v>
      </c>
      <c r="B30" s="2">
        <v>35</v>
      </c>
      <c r="C30" s="2">
        <v>45</v>
      </c>
      <c r="D30" s="2">
        <v>64</v>
      </c>
      <c r="E30" s="2">
        <v>54</v>
      </c>
      <c r="F30" s="2">
        <v>61</v>
      </c>
      <c r="G30" s="2">
        <v>62</v>
      </c>
      <c r="H30" s="2">
        <v>60</v>
      </c>
      <c r="I30" s="2">
        <v>66</v>
      </c>
      <c r="J30" s="2">
        <v>58</v>
      </c>
      <c r="K30" s="2">
        <v>70</v>
      </c>
      <c r="L30" s="2">
        <v>62</v>
      </c>
      <c r="M30" s="2">
        <f>AVERAGE(表格134008_DWHT[[#This Row],[0.01]:[0.1]])</f>
        <v>60.2</v>
      </c>
      <c r="N30" s="2">
        <f>_xlfn.STDEV.S(表格134008_DWHT[[#This Row],[0.01]:[0.1]])</f>
        <v>6.8766917110547228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7468-1305-426C-A13C-466EC03C1E3D}">
  <dimension ref="A1:N30"/>
  <sheetViews>
    <sheetView topLeftCell="A16" workbookViewId="0">
      <selection activeCell="M35" sqref="M35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12.0002888899478</v>
      </c>
      <c r="C3" s="2">
        <v>12.740399999999999</v>
      </c>
      <c r="D3" s="2">
        <v>14.7736</v>
      </c>
      <c r="E3" s="2">
        <v>12.309200000000001</v>
      </c>
      <c r="F3" s="2">
        <v>15.192600000000001</v>
      </c>
      <c r="G3" s="2">
        <v>13.2837</v>
      </c>
      <c r="H3" s="2">
        <v>14.827400000000001</v>
      </c>
      <c r="I3" s="2">
        <v>15.0443</v>
      </c>
      <c r="J3" s="2">
        <v>13.8728</v>
      </c>
      <c r="K3" s="2">
        <v>15.324999999999999</v>
      </c>
      <c r="L3" s="2">
        <v>15.1038</v>
      </c>
      <c r="M3" s="2">
        <f>AVERAGE(表格160067_myself[[#This Row],[0.01]:[0.1]])</f>
        <v>14.24728</v>
      </c>
      <c r="N3" s="2">
        <f>_xlfn.STDEV.S(表格160067_myself[[#This Row],[0.01]:[0.1]])</f>
        <v>1.1122096503007974</v>
      </c>
    </row>
    <row r="4" spans="1:14" x14ac:dyDescent="0.35">
      <c r="A4" s="1" t="s">
        <v>3</v>
      </c>
      <c r="B4" s="2">
        <v>0.93</v>
      </c>
      <c r="C4" s="2">
        <v>0.86</v>
      </c>
      <c r="D4" s="2">
        <v>0.81</v>
      </c>
      <c r="E4" s="2">
        <v>0.85</v>
      </c>
      <c r="F4" s="2">
        <v>0.79</v>
      </c>
      <c r="G4" s="2">
        <v>0.8</v>
      </c>
      <c r="H4" s="2">
        <v>0.81</v>
      </c>
      <c r="I4" s="2">
        <v>0.69</v>
      </c>
      <c r="J4" s="2">
        <v>0.81</v>
      </c>
      <c r="K4" s="2">
        <v>0.7</v>
      </c>
      <c r="L4" s="2">
        <v>0.59</v>
      </c>
      <c r="M4" s="2">
        <f>AVERAGE(表格160067_myself[[#This Row],[0.01]:[0.1]])</f>
        <v>0.77100000000000002</v>
      </c>
      <c r="N4" s="2">
        <f>_xlfn.STDEV.S(表格160067_myself[[#This Row],[0.01]:[0.1]])</f>
        <v>8.4518242606749713E-2</v>
      </c>
    </row>
    <row r="5" spans="1:14" x14ac:dyDescent="0.35">
      <c r="A5" s="1" t="s">
        <v>4</v>
      </c>
      <c r="B5" s="2">
        <v>0.82616651418115294</v>
      </c>
      <c r="C5" s="2">
        <v>0.68889999999999996</v>
      </c>
      <c r="D5" s="2">
        <v>0.71089999999999998</v>
      </c>
      <c r="E5" s="2">
        <v>0.66420000000000001</v>
      </c>
      <c r="F5" s="2">
        <v>0.69079999999999997</v>
      </c>
      <c r="G5" s="2">
        <v>0.6542</v>
      </c>
      <c r="H5" s="2">
        <v>0.70909999999999995</v>
      </c>
      <c r="I5" s="2">
        <v>0.55900000000000005</v>
      </c>
      <c r="J5" s="2">
        <v>0.72829999999999995</v>
      </c>
      <c r="K5" s="2">
        <v>0.54349999999999998</v>
      </c>
      <c r="L5" s="2">
        <v>0.4602</v>
      </c>
      <c r="M5" s="2">
        <f>AVERAGE(表格160067_myself[[#This Row],[0.01]:[0.1]])</f>
        <v>0.64091000000000009</v>
      </c>
      <c r="N5" s="2">
        <f>_xlfn.STDEV.S(表格160067_myself[[#This Row],[0.01]:[0.1]])</f>
        <v>8.916317687874846E-2</v>
      </c>
    </row>
    <row r="6" spans="1:14" x14ac:dyDescent="0.35">
      <c r="A6" s="1" t="s">
        <v>5</v>
      </c>
      <c r="B6" s="2">
        <v>26</v>
      </c>
      <c r="C6" s="2">
        <v>22</v>
      </c>
      <c r="D6" s="2">
        <v>28</v>
      </c>
      <c r="E6" s="2">
        <v>21</v>
      </c>
      <c r="F6" s="2">
        <v>34</v>
      </c>
      <c r="G6" s="2">
        <v>21</v>
      </c>
      <c r="H6" s="2">
        <v>43</v>
      </c>
      <c r="I6" s="2">
        <v>47</v>
      </c>
      <c r="J6" s="2">
        <v>25</v>
      </c>
      <c r="K6" s="2">
        <v>41</v>
      </c>
      <c r="L6" s="2">
        <v>45</v>
      </c>
      <c r="M6" s="2">
        <f>AVERAGE(表格160067_myself[[#This Row],[0.01]:[0.1]])</f>
        <v>32.700000000000003</v>
      </c>
      <c r="N6" s="2">
        <f>_xlfn.STDEV.S(表格160067_myself[[#This Row],[0.01]:[0.1]])</f>
        <v>10.551987701113212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17.891100000000002</v>
      </c>
      <c r="C11" s="2">
        <v>19.581499999999998</v>
      </c>
      <c r="D11" s="2">
        <v>15.277900000000001</v>
      </c>
      <c r="E11" s="2">
        <v>16.952000000000002</v>
      </c>
      <c r="F11" s="2">
        <v>15.816888288175299</v>
      </c>
      <c r="G11" s="2">
        <v>15.142182793261799</v>
      </c>
      <c r="H11" s="2">
        <v>13.401</v>
      </c>
      <c r="I11" s="2">
        <v>15.22</v>
      </c>
      <c r="J11" s="2">
        <v>17.147099999999998</v>
      </c>
      <c r="K11" s="2">
        <v>17.297899999999998</v>
      </c>
      <c r="L11" s="2">
        <v>20.0068924625762</v>
      </c>
      <c r="M11" s="2">
        <f>AVERAGE(表格160067_moment[[#This Row],[0.01]:[0.1]])</f>
        <v>16.584336354401326</v>
      </c>
      <c r="N11" s="2">
        <f>_xlfn.STDEV.S(表格160067_moment[[#This Row],[0.01]:[0.1]])</f>
        <v>2.0555760532183802</v>
      </c>
    </row>
    <row r="12" spans="1:14" x14ac:dyDescent="0.35">
      <c r="A12" s="1" t="s">
        <v>3</v>
      </c>
      <c r="B12" s="2">
        <v>0.66</v>
      </c>
      <c r="C12" s="2">
        <v>0.56999999999999995</v>
      </c>
      <c r="D12" s="2">
        <v>0.72</v>
      </c>
      <c r="E12" s="2">
        <v>0.66</v>
      </c>
      <c r="F12" s="2">
        <v>0.68</v>
      </c>
      <c r="G12" s="2">
        <v>0.65</v>
      </c>
      <c r="H12" s="2">
        <v>0.71</v>
      </c>
      <c r="I12" s="2">
        <v>0.78</v>
      </c>
      <c r="J12" s="2">
        <v>0.59</v>
      </c>
      <c r="K12" s="2">
        <v>0.65</v>
      </c>
      <c r="L12" s="2">
        <v>0.77</v>
      </c>
      <c r="M12" s="2">
        <f>AVERAGE(表格160067_moment[[#This Row],[0.01]:[0.1]])</f>
        <v>0.67800000000000016</v>
      </c>
      <c r="N12" s="2">
        <f>_xlfn.STDEV.S(表格160067_moment[[#This Row],[0.01]:[0.1]])</f>
        <v>6.908931417616862E-2</v>
      </c>
    </row>
    <row r="13" spans="1:14" x14ac:dyDescent="0.35">
      <c r="A13" s="1" t="s">
        <v>4</v>
      </c>
      <c r="B13" s="2">
        <v>0.51139999999999997</v>
      </c>
      <c r="C13" s="2">
        <v>0.48399999999999999</v>
      </c>
      <c r="D13" s="2">
        <v>0.57730000000000004</v>
      </c>
      <c r="E13" s="2">
        <v>0.52239999999999998</v>
      </c>
      <c r="F13" s="2">
        <v>0.48581884720951501</v>
      </c>
      <c r="G13" s="2">
        <v>0.46111619396157399</v>
      </c>
      <c r="H13" s="2">
        <v>0.56630000000000003</v>
      </c>
      <c r="I13" s="2">
        <v>0.624</v>
      </c>
      <c r="J13" s="2">
        <v>0.4657</v>
      </c>
      <c r="K13" s="2">
        <v>0.52239999999999998</v>
      </c>
      <c r="L13" s="2">
        <v>0.53979871912168298</v>
      </c>
      <c r="M13" s="2">
        <f>AVERAGE(表格160067_moment[[#This Row],[0.01]:[0.1]])</f>
        <v>0.52488337602927726</v>
      </c>
      <c r="N13" s="2">
        <f>_xlfn.STDEV.S(表格160067_moment[[#This Row],[0.01]:[0.1]])</f>
        <v>5.3007504169046732E-2</v>
      </c>
    </row>
    <row r="14" spans="1:14" x14ac:dyDescent="0.35">
      <c r="A14" s="1" t="s">
        <v>5</v>
      </c>
      <c r="B14" s="2">
        <v>45</v>
      </c>
      <c r="C14" s="2">
        <v>46</v>
      </c>
      <c r="D14" s="2">
        <v>50</v>
      </c>
      <c r="E14" s="2">
        <v>51</v>
      </c>
      <c r="F14" s="2">
        <v>46</v>
      </c>
      <c r="G14" s="2">
        <v>45</v>
      </c>
      <c r="H14" s="2">
        <v>59</v>
      </c>
      <c r="I14" s="2">
        <v>56</v>
      </c>
      <c r="J14" s="2">
        <v>53</v>
      </c>
      <c r="K14" s="2">
        <v>53</v>
      </c>
      <c r="L14" s="2">
        <v>53</v>
      </c>
      <c r="M14" s="2">
        <f>AVERAGE(表格160067_moment[[#This Row],[0.01]:[0.1]])</f>
        <v>51.2</v>
      </c>
      <c r="N14" s="2">
        <f>_xlfn.STDEV.S(表格160067_moment[[#This Row],[0.01]:[0.1]])</f>
        <v>4.5655716448703814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14.3048155612586</v>
      </c>
      <c r="C19" s="2">
        <v>20.445399999999999</v>
      </c>
      <c r="D19" s="2">
        <v>22.150600000000001</v>
      </c>
      <c r="E19" s="2">
        <v>20.927199999999999</v>
      </c>
      <c r="F19" s="2">
        <v>21.4206</v>
      </c>
      <c r="G19" s="2">
        <v>23.823399999999999</v>
      </c>
      <c r="H19" s="2">
        <v>20.684100000000001</v>
      </c>
      <c r="I19" s="2">
        <v>17.512799999999999</v>
      </c>
      <c r="J19" s="2">
        <v>16.364999999999998</v>
      </c>
      <c r="K19" s="2">
        <v>18.859500000000001</v>
      </c>
      <c r="L19" s="2">
        <v>25.780899999999999</v>
      </c>
      <c r="M19" s="2">
        <f>AVERAGE(表格160067_Gabor[[#This Row],[0.01]:[0.1]])</f>
        <v>20.796950000000002</v>
      </c>
      <c r="N19" s="2">
        <f>_xlfn.STDEV.S(表格160067_Gabor[[#This Row],[0.01]:[0.1]])</f>
        <v>2.7999064858391876</v>
      </c>
    </row>
    <row r="20" spans="1:14" x14ac:dyDescent="0.35">
      <c r="A20" s="1" t="s">
        <v>3</v>
      </c>
      <c r="B20" s="2">
        <v>0.92</v>
      </c>
      <c r="C20" s="2">
        <v>0.68</v>
      </c>
      <c r="D20" s="2">
        <v>0.56000000000000005</v>
      </c>
      <c r="E20" s="2">
        <v>0.61</v>
      </c>
      <c r="F20" s="2">
        <v>0.57999999999999996</v>
      </c>
      <c r="G20" s="2">
        <v>0.76</v>
      </c>
      <c r="H20" s="2">
        <v>0.71</v>
      </c>
      <c r="I20" s="2">
        <v>0.6</v>
      </c>
      <c r="J20" s="2">
        <v>0.73</v>
      </c>
      <c r="K20" s="2">
        <v>0.71</v>
      </c>
      <c r="L20" s="2">
        <v>0.69</v>
      </c>
      <c r="M20" s="2">
        <f>AVERAGE(表格160067_Gabor[[#This Row],[0.01]:[0.1]])</f>
        <v>0.66300000000000003</v>
      </c>
      <c r="N20" s="2">
        <f>_xlfn.STDEV.S(表格160067_Gabor[[#This Row],[0.01]:[0.1]])</f>
        <v>6.9610024820822722E-2</v>
      </c>
    </row>
    <row r="21" spans="1:14" x14ac:dyDescent="0.35">
      <c r="A21" s="1" t="s">
        <v>4</v>
      </c>
      <c r="B21" s="2">
        <v>0.63220494053065002</v>
      </c>
      <c r="C21" s="2">
        <v>0.46200000000000002</v>
      </c>
      <c r="D21" s="2">
        <v>0.36959999999999998</v>
      </c>
      <c r="E21" s="2">
        <v>0.40710000000000002</v>
      </c>
      <c r="F21" s="2">
        <v>0.39069999999999999</v>
      </c>
      <c r="G21" s="2">
        <v>0.49309999999999998</v>
      </c>
      <c r="H21" s="2">
        <v>0.4995</v>
      </c>
      <c r="I21" s="2">
        <v>0.3614</v>
      </c>
      <c r="J21" s="2">
        <v>0.49409999999999998</v>
      </c>
      <c r="K21" s="2">
        <v>0.4748</v>
      </c>
      <c r="L21" s="2">
        <v>0.61570000000000003</v>
      </c>
      <c r="M21" s="2">
        <f>AVERAGE(表格160067_Gabor[[#This Row],[0.01]:[0.1]])</f>
        <v>0.45680000000000004</v>
      </c>
      <c r="N21" s="2">
        <f>_xlfn.STDEV.S(表格160067_Gabor[[#This Row],[0.01]:[0.1]])</f>
        <v>7.722752819500979E-2</v>
      </c>
    </row>
    <row r="22" spans="1:14" x14ac:dyDescent="0.35">
      <c r="A22" s="1" t="s">
        <v>5</v>
      </c>
      <c r="B22" s="2">
        <v>70</v>
      </c>
      <c r="C22" s="2">
        <v>142</v>
      </c>
      <c r="D22" s="2">
        <v>178</v>
      </c>
      <c r="E22" s="2">
        <v>118</v>
      </c>
      <c r="F22" s="2">
        <v>122</v>
      </c>
      <c r="G22" s="2">
        <v>74</v>
      </c>
      <c r="H22" s="2">
        <v>69</v>
      </c>
      <c r="I22" s="2">
        <v>73</v>
      </c>
      <c r="J22" s="2">
        <v>78</v>
      </c>
      <c r="K22" s="2">
        <v>60</v>
      </c>
      <c r="L22" s="2">
        <v>200</v>
      </c>
      <c r="M22" s="2">
        <f>AVERAGE(表格160067_Gabor[[#This Row],[0.01]:[0.1]])</f>
        <v>111.4</v>
      </c>
      <c r="N22" s="2">
        <f>_xlfn.STDEV.S(表格160067_Gabor[[#This Row],[0.01]:[0.1]])</f>
        <v>49.223300715548653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17.252407203975299</v>
      </c>
      <c r="C27" s="2">
        <v>12.81</v>
      </c>
      <c r="D27" s="2">
        <v>11.660299999999999</v>
      </c>
      <c r="E27" s="2">
        <v>12.4605</v>
      </c>
      <c r="F27" s="2">
        <v>13.6341</v>
      </c>
      <c r="G27" s="2">
        <v>14.1305</v>
      </c>
      <c r="H27" s="2">
        <v>16.0137</v>
      </c>
      <c r="I27" s="2">
        <v>14.0442</v>
      </c>
      <c r="J27" s="2">
        <v>15.944800000000001</v>
      </c>
      <c r="K27" s="2">
        <v>15.674099999999999</v>
      </c>
      <c r="L27" s="2">
        <v>17.2455</v>
      </c>
      <c r="M27" s="2">
        <f>AVERAGE(表格160067_DWHT[[#This Row],[0.01]:[0.1]])</f>
        <v>14.361770000000002</v>
      </c>
      <c r="N27" s="2">
        <f>_xlfn.STDEV.S(表格160067_DWHT[[#This Row],[0.01]:[0.1]])</f>
        <v>1.8036248532392067</v>
      </c>
    </row>
    <row r="28" spans="1:14" x14ac:dyDescent="0.35">
      <c r="A28" s="1" t="s">
        <v>3</v>
      </c>
      <c r="B28" s="2">
        <v>0.82</v>
      </c>
      <c r="C28" s="2">
        <v>0.75</v>
      </c>
      <c r="D28" s="2">
        <v>0.85</v>
      </c>
      <c r="E28" s="2">
        <v>0.86</v>
      </c>
      <c r="F28" s="2">
        <v>0.66</v>
      </c>
      <c r="G28" s="2">
        <v>0.68</v>
      </c>
      <c r="H28" s="2">
        <v>0.62</v>
      </c>
      <c r="I28" s="2">
        <v>0.65</v>
      </c>
      <c r="J28" s="2">
        <v>0.64</v>
      </c>
      <c r="K28" s="2">
        <v>0.68</v>
      </c>
      <c r="L28" s="2">
        <v>0.54</v>
      </c>
      <c r="M28" s="2">
        <f>AVERAGE(表格160067_DWHT[[#This Row],[0.01]:[0.1]])</f>
        <v>0.69299999999999995</v>
      </c>
      <c r="N28" s="2">
        <f>_xlfn.STDEV.S(表格160067_DWHT[[#This Row],[0.01]:[0.1]])</f>
        <v>0.10033831659828543</v>
      </c>
    </row>
    <row r="29" spans="1:14" x14ac:dyDescent="0.35">
      <c r="A29" s="1" t="s">
        <v>4</v>
      </c>
      <c r="B29" s="2">
        <v>0.66148215919487696</v>
      </c>
      <c r="C29" s="2">
        <v>0.56999999999999995</v>
      </c>
      <c r="D29" s="2">
        <v>0.6048</v>
      </c>
      <c r="E29" s="2">
        <v>0.64500000000000002</v>
      </c>
      <c r="F29" s="2">
        <v>0.4904</v>
      </c>
      <c r="G29" s="2">
        <v>0.49309999999999998</v>
      </c>
      <c r="H29" s="2">
        <v>0.46839999999999998</v>
      </c>
      <c r="I29" s="2">
        <v>0.50049999999999994</v>
      </c>
      <c r="J29" s="2">
        <v>0.51880000000000004</v>
      </c>
      <c r="K29" s="2">
        <v>0.54800000000000004</v>
      </c>
      <c r="L29" s="2">
        <v>0.4007</v>
      </c>
      <c r="M29" s="2">
        <f>AVERAGE(表格160067_DWHT[[#This Row],[0.01]:[0.1]])</f>
        <v>0.52396999999999994</v>
      </c>
      <c r="N29" s="2">
        <f>_xlfn.STDEV.S(表格160067_DWHT[[#This Row],[0.01]:[0.1]])</f>
        <v>7.05682813545397E-2</v>
      </c>
    </row>
    <row r="30" spans="1:14" x14ac:dyDescent="0.35">
      <c r="A30" s="1" t="s">
        <v>5</v>
      </c>
      <c r="B30" s="2">
        <v>31</v>
      </c>
      <c r="C30" s="2">
        <v>40</v>
      </c>
      <c r="D30" s="2">
        <v>50</v>
      </c>
      <c r="E30" s="2">
        <v>48</v>
      </c>
      <c r="F30" s="2">
        <v>70</v>
      </c>
      <c r="G30" s="2">
        <v>63</v>
      </c>
      <c r="H30" s="2">
        <v>67</v>
      </c>
      <c r="I30" s="2">
        <v>66</v>
      </c>
      <c r="J30" s="2">
        <v>67</v>
      </c>
      <c r="K30" s="2">
        <v>65</v>
      </c>
      <c r="L30" s="2">
        <v>64</v>
      </c>
      <c r="M30" s="2">
        <f>AVERAGE(表格160067_DWHT[[#This Row],[0.01]:[0.1]])</f>
        <v>60</v>
      </c>
      <c r="N30" s="2">
        <f>_xlfn.STDEV.S(表格160067_DWHT[[#This Row],[0.01]:[0.1]])</f>
        <v>10.154364141151877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53BE-5852-4891-8A87-1844B5FA5C23}">
  <dimension ref="A1:N30"/>
  <sheetViews>
    <sheetView workbookViewId="0">
      <selection activeCell="A2" sqref="A2:N6"/>
    </sheetView>
  </sheetViews>
  <sheetFormatPr defaultRowHeight="18" x14ac:dyDescent="0.35"/>
  <cols>
    <col min="1" max="1" width="11.375" style="1" bestFit="1" customWidth="1"/>
    <col min="2" max="13" width="12.375" style="1" bestFit="1" customWidth="1"/>
    <col min="14" max="14" width="10.75" style="1" bestFit="1" customWidth="1"/>
    <col min="15" max="16384" width="9" style="1"/>
  </cols>
  <sheetData>
    <row r="1" spans="1:14" x14ac:dyDescent="0.35">
      <c r="A1" s="1" t="s">
        <v>18</v>
      </c>
    </row>
    <row r="2" spans="1:14" x14ac:dyDescent="0.35">
      <c r="A2" s="1" t="s">
        <v>6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19</v>
      </c>
      <c r="N2" s="1" t="s">
        <v>20</v>
      </c>
    </row>
    <row r="3" spans="1:14" x14ac:dyDescent="0.35">
      <c r="A3" s="1" t="s">
        <v>2</v>
      </c>
      <c r="B3" s="2">
        <v>8.0713508923475192</v>
      </c>
      <c r="C3" s="2">
        <v>10.3255</v>
      </c>
      <c r="D3" s="2">
        <v>11.2873</v>
      </c>
      <c r="E3" s="2">
        <v>12.768800000000001</v>
      </c>
      <c r="F3" s="2">
        <v>14.1259</v>
      </c>
      <c r="G3" s="2">
        <v>11.162800000000001</v>
      </c>
      <c r="H3" s="2">
        <v>15.263199999999999</v>
      </c>
      <c r="I3" s="2">
        <v>14.785500000000001</v>
      </c>
      <c r="J3" s="2">
        <v>10.6452532553827</v>
      </c>
      <c r="K3" s="2">
        <v>11.9447578154188</v>
      </c>
      <c r="L3" s="2">
        <v>13.0723</v>
      </c>
      <c r="M3" s="2">
        <f>AVERAGE(表格100039_myself[[#This Row],[0.01]:[0.1]])</f>
        <v>12.538131107080149</v>
      </c>
      <c r="N3" s="2">
        <f>_xlfn.STDEV.S(表格100039_myself[[#This Row],[0.01]:[0.1]])</f>
        <v>1.7519243694652382</v>
      </c>
    </row>
    <row r="4" spans="1:14" x14ac:dyDescent="0.35">
      <c r="A4" s="1" t="s">
        <v>3</v>
      </c>
      <c r="B4" s="2">
        <v>0.96</v>
      </c>
      <c r="C4" s="2">
        <v>0.85</v>
      </c>
      <c r="D4" s="2">
        <v>0.83</v>
      </c>
      <c r="E4" s="2">
        <v>0.88</v>
      </c>
      <c r="F4" s="2">
        <v>0.86</v>
      </c>
      <c r="G4" s="2">
        <v>0.81</v>
      </c>
      <c r="H4" s="2">
        <v>0.8</v>
      </c>
      <c r="I4" s="2">
        <v>0.82</v>
      </c>
      <c r="J4" s="2">
        <v>0.93</v>
      </c>
      <c r="K4" s="2">
        <v>0.9</v>
      </c>
      <c r="L4" s="2">
        <v>0.89</v>
      </c>
      <c r="M4" s="2">
        <f>AVERAGE(表格100039_myself[[#This Row],[0.01]:[0.1]])</f>
        <v>0.85699999999999998</v>
      </c>
      <c r="N4" s="2">
        <f>_xlfn.STDEV.S(表格100039_myself[[#This Row],[0.01]:[0.1]])</f>
        <v>4.2700507413066351E-2</v>
      </c>
    </row>
    <row r="5" spans="1:14" x14ac:dyDescent="0.35">
      <c r="A5" s="1" t="s">
        <v>4</v>
      </c>
      <c r="B5" s="2">
        <v>0.87892376681614404</v>
      </c>
      <c r="C5" s="2">
        <v>0.72499999999999998</v>
      </c>
      <c r="D5" s="2">
        <v>0.6996</v>
      </c>
      <c r="E5" s="2">
        <v>0.73839999999999995</v>
      </c>
      <c r="F5" s="2">
        <v>0.71450000000000002</v>
      </c>
      <c r="G5" s="2">
        <v>0.65469999999999995</v>
      </c>
      <c r="H5" s="2">
        <v>0.63529999999999998</v>
      </c>
      <c r="I5" s="2">
        <v>0.67559999999999998</v>
      </c>
      <c r="J5" s="2">
        <v>0.822122571001495</v>
      </c>
      <c r="K5" s="2">
        <v>0.84005979073243597</v>
      </c>
      <c r="L5" s="2">
        <v>0.75929999999999997</v>
      </c>
      <c r="M5" s="2">
        <f>AVERAGE(表格100039_myself[[#This Row],[0.01]:[0.1]])</f>
        <v>0.72645823617339311</v>
      </c>
      <c r="N5" s="2">
        <f>_xlfn.STDEV.S(表格100039_myself[[#This Row],[0.01]:[0.1]])</f>
        <v>6.6825049124110872E-2</v>
      </c>
    </row>
    <row r="6" spans="1:14" x14ac:dyDescent="0.35">
      <c r="A6" s="1" t="s">
        <v>5</v>
      </c>
      <c r="B6" s="2">
        <v>27</v>
      </c>
      <c r="C6" s="2">
        <v>200</v>
      </c>
      <c r="D6" s="2">
        <v>200</v>
      </c>
      <c r="E6" s="2">
        <v>200</v>
      </c>
      <c r="F6" s="2">
        <v>200</v>
      </c>
      <c r="G6" s="2">
        <v>200</v>
      </c>
      <c r="H6" s="2">
        <v>200</v>
      </c>
      <c r="I6" s="2">
        <v>200</v>
      </c>
      <c r="J6" s="2">
        <v>28</v>
      </c>
      <c r="K6" s="2">
        <v>23</v>
      </c>
      <c r="L6" s="2">
        <v>33</v>
      </c>
      <c r="M6" s="2">
        <f>AVERAGE(表格100039_myself[[#This Row],[0.01]:[0.1]])</f>
        <v>148.4</v>
      </c>
      <c r="N6" s="2">
        <f>_xlfn.STDEV.S(表格100039_myself[[#This Row],[0.01]:[0.1]])</f>
        <v>83.11732002951544</v>
      </c>
    </row>
    <row r="9" spans="1:14" x14ac:dyDescent="0.35">
      <c r="A9" s="1" t="s">
        <v>0</v>
      </c>
    </row>
    <row r="10" spans="1:14" x14ac:dyDescent="0.35">
      <c r="A10" s="1" t="s">
        <v>6</v>
      </c>
      <c r="B10" s="1" t="s">
        <v>21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19</v>
      </c>
      <c r="N10" s="1" t="s">
        <v>20</v>
      </c>
    </row>
    <row r="11" spans="1:14" x14ac:dyDescent="0.35">
      <c r="A11" s="1" t="s">
        <v>2</v>
      </c>
      <c r="B11" s="2">
        <v>9.7797999999999998</v>
      </c>
      <c r="C11" s="2">
        <v>13.7643</v>
      </c>
      <c r="D11" s="2">
        <v>12.9824</v>
      </c>
      <c r="E11" s="2">
        <v>14.4693</v>
      </c>
      <c r="F11" s="2">
        <v>11.75</v>
      </c>
      <c r="G11" s="2">
        <v>9.7797999999999998</v>
      </c>
      <c r="H11" s="2">
        <v>10.869400000000001</v>
      </c>
      <c r="I11" s="2">
        <v>9.5681349763752905</v>
      </c>
      <c r="J11" s="2">
        <v>8.5357328674749997</v>
      </c>
      <c r="K11" s="2">
        <v>14.1473</v>
      </c>
      <c r="L11" s="2">
        <v>9.06131751145303</v>
      </c>
      <c r="M11" s="2">
        <f>AVERAGE(表格100039_moment[[#This Row],[0.01]:[0.1]])</f>
        <v>11.492768535530333</v>
      </c>
      <c r="N11" s="2">
        <f>_xlfn.STDEV.S(表格100039_moment[[#This Row],[0.01]:[0.1]])</f>
        <v>2.2369219891934451</v>
      </c>
    </row>
    <row r="12" spans="1:14" x14ac:dyDescent="0.35">
      <c r="A12" s="1" t="s">
        <v>3</v>
      </c>
      <c r="B12" s="2">
        <v>0.91</v>
      </c>
      <c r="C12" s="2">
        <v>0.89</v>
      </c>
      <c r="D12" s="2">
        <v>0.92</v>
      </c>
      <c r="E12" s="2">
        <v>0.85</v>
      </c>
      <c r="F12" s="2">
        <v>0.9</v>
      </c>
      <c r="G12" s="2">
        <v>0.89</v>
      </c>
      <c r="H12" s="2">
        <v>0.88</v>
      </c>
      <c r="I12" s="2">
        <v>0.89</v>
      </c>
      <c r="J12" s="2">
        <v>0.95</v>
      </c>
      <c r="K12" s="2">
        <v>0.81</v>
      </c>
      <c r="L12" s="2">
        <v>0.97</v>
      </c>
      <c r="M12" s="2">
        <f>AVERAGE(表格100039_moment[[#This Row],[0.01]:[0.1]])</f>
        <v>0.89500000000000013</v>
      </c>
      <c r="N12" s="2">
        <f>_xlfn.STDEV.S(表格100039_moment[[#This Row],[0.01]:[0.1]])</f>
        <v>4.5765100725819914E-2</v>
      </c>
    </row>
    <row r="13" spans="1:14" x14ac:dyDescent="0.35">
      <c r="A13" s="1" t="s">
        <v>4</v>
      </c>
      <c r="B13" s="2">
        <v>0.85199999999999998</v>
      </c>
      <c r="C13" s="2">
        <v>0.69510000000000005</v>
      </c>
      <c r="D13" s="2">
        <v>0.72050000000000003</v>
      </c>
      <c r="E13" s="2">
        <v>0.79669999999999996</v>
      </c>
      <c r="F13" s="2">
        <v>0.68459999999999999</v>
      </c>
      <c r="G13" s="2">
        <v>0.68459999999999999</v>
      </c>
      <c r="H13" s="2">
        <v>0.82509999999999994</v>
      </c>
      <c r="I13" s="2">
        <v>0.80568011958146502</v>
      </c>
      <c r="J13" s="2">
        <v>0.86547085201793705</v>
      </c>
      <c r="K13" s="2">
        <v>0.77129999999999999</v>
      </c>
      <c r="L13" s="2">
        <v>0.86098654708520195</v>
      </c>
      <c r="M13" s="2">
        <f>AVERAGE(表格100039_moment[[#This Row],[0.01]:[0.1]])</f>
        <v>0.77100375186846049</v>
      </c>
      <c r="N13" s="2">
        <f>_xlfn.STDEV.S(表格100039_moment[[#This Row],[0.01]:[0.1]])</f>
        <v>7.0752621538185789E-2</v>
      </c>
    </row>
    <row r="14" spans="1:14" x14ac:dyDescent="0.35">
      <c r="A14" s="1" t="s">
        <v>5</v>
      </c>
      <c r="B14" s="2">
        <v>39</v>
      </c>
      <c r="C14" s="2">
        <v>35</v>
      </c>
      <c r="D14" s="2">
        <v>35</v>
      </c>
      <c r="E14" s="2">
        <v>35</v>
      </c>
      <c r="F14" s="2">
        <v>34</v>
      </c>
      <c r="G14" s="2">
        <v>35</v>
      </c>
      <c r="H14" s="2">
        <v>29</v>
      </c>
      <c r="I14" s="2">
        <v>34</v>
      </c>
      <c r="J14" s="2">
        <v>40</v>
      </c>
      <c r="K14" s="2">
        <v>43</v>
      </c>
      <c r="L14" s="2">
        <v>41</v>
      </c>
      <c r="M14" s="2">
        <f>AVERAGE(表格100039_moment[[#This Row],[0.01]:[0.1]])</f>
        <v>36.1</v>
      </c>
      <c r="N14" s="2">
        <f>_xlfn.STDEV.S(表格100039_moment[[#This Row],[0.01]:[0.1]])</f>
        <v>4.0947120370871781</v>
      </c>
    </row>
    <row r="17" spans="1:14" x14ac:dyDescent="0.35">
      <c r="A17" s="1" t="s">
        <v>1</v>
      </c>
    </row>
    <row r="18" spans="1:14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x14ac:dyDescent="0.35">
      <c r="A19" s="1" t="s">
        <v>2</v>
      </c>
      <c r="B19" s="2">
        <v>8.9575346960320008</v>
      </c>
      <c r="C19" s="2">
        <v>11.4808</v>
      </c>
      <c r="D19" s="2">
        <v>16.0411</v>
      </c>
      <c r="E19" s="2">
        <v>15.688700000000001</v>
      </c>
      <c r="F19" s="2">
        <v>8.9488931213259697</v>
      </c>
      <c r="G19" s="2">
        <v>14.3354576394586</v>
      </c>
      <c r="H19" s="2">
        <v>14.730860923290599</v>
      </c>
      <c r="I19" s="2">
        <v>10.652989532804799</v>
      </c>
      <c r="J19" s="2">
        <v>12.2957325820273</v>
      </c>
      <c r="K19" s="2">
        <v>11.6210330397662</v>
      </c>
      <c r="L19" s="2">
        <v>12.286199999999999</v>
      </c>
      <c r="M19" s="2">
        <f>AVERAGE(表格100039_Gabor[[#This Row],[0.01]:[0.1]])</f>
        <v>12.808176683867345</v>
      </c>
      <c r="N19" s="2">
        <f>_xlfn.STDEV.S(表格100039_Gabor[[#This Row],[0.01]:[0.1]])</f>
        <v>2.3099713400203892</v>
      </c>
    </row>
    <row r="20" spans="1:14" x14ac:dyDescent="0.35">
      <c r="A20" s="1" t="s">
        <v>3</v>
      </c>
      <c r="B20" s="2">
        <v>0.95</v>
      </c>
      <c r="C20" s="2">
        <v>0.94</v>
      </c>
      <c r="D20" s="2">
        <v>0.78</v>
      </c>
      <c r="E20" s="2">
        <v>0.76</v>
      </c>
      <c r="F20" s="2">
        <v>0.96</v>
      </c>
      <c r="G20" s="2">
        <v>0.91</v>
      </c>
      <c r="H20" s="2">
        <v>0.95</v>
      </c>
      <c r="I20" s="2">
        <v>0.94</v>
      </c>
      <c r="J20" s="2">
        <v>0.92</v>
      </c>
      <c r="K20" s="2">
        <v>0.89</v>
      </c>
      <c r="L20" s="2">
        <v>0.83</v>
      </c>
      <c r="M20" s="2">
        <f>AVERAGE(表格100039_Gabor[[#This Row],[0.01]:[0.1]])</f>
        <v>0.88800000000000012</v>
      </c>
      <c r="N20" s="2">
        <f>_xlfn.STDEV.S(表格100039_Gabor[[#This Row],[0.01]:[0.1]])</f>
        <v>7.2541176046589023E-2</v>
      </c>
    </row>
    <row r="21" spans="1:14" x14ac:dyDescent="0.35">
      <c r="A21" s="1" t="s">
        <v>4</v>
      </c>
      <c r="B21" s="2">
        <v>0.86397608370702506</v>
      </c>
      <c r="C21" s="2">
        <v>0.82509999999999994</v>
      </c>
      <c r="D21" s="2">
        <v>0.6099</v>
      </c>
      <c r="E21" s="2">
        <v>0.55900000000000005</v>
      </c>
      <c r="F21" s="2">
        <v>0.83707025411061298</v>
      </c>
      <c r="G21" s="2">
        <v>0.75934230194319896</v>
      </c>
      <c r="H21" s="2">
        <v>0.77877428998505205</v>
      </c>
      <c r="I21" s="2">
        <v>0.81165919282511201</v>
      </c>
      <c r="J21" s="2">
        <v>0.78624813153961104</v>
      </c>
      <c r="K21" s="2">
        <v>0.73542600896860999</v>
      </c>
      <c r="L21" s="2">
        <v>0.70699999999999996</v>
      </c>
      <c r="M21" s="2">
        <f>AVERAGE(表格100039_Gabor[[#This Row],[0.01]:[0.1]])</f>
        <v>0.74095201793721965</v>
      </c>
      <c r="N21" s="2">
        <f>_xlfn.STDEV.S(表格100039_Gabor[[#This Row],[0.01]:[0.1]])</f>
        <v>9.2258099337965471E-2</v>
      </c>
    </row>
    <row r="22" spans="1:14" x14ac:dyDescent="0.35">
      <c r="A22" s="1" t="s">
        <v>5</v>
      </c>
      <c r="B22" s="2">
        <v>36</v>
      </c>
      <c r="C22" s="2">
        <v>50</v>
      </c>
      <c r="D22" s="2">
        <v>130</v>
      </c>
      <c r="E22" s="2">
        <v>66</v>
      </c>
      <c r="F22" s="2">
        <v>36</v>
      </c>
      <c r="G22" s="2">
        <v>36</v>
      </c>
      <c r="H22" s="2">
        <v>42</v>
      </c>
      <c r="I22" s="2">
        <v>46</v>
      </c>
      <c r="J22" s="2">
        <v>35</v>
      </c>
      <c r="K22" s="2">
        <v>37</v>
      </c>
      <c r="L22" s="2">
        <v>46</v>
      </c>
      <c r="M22" s="2">
        <f>AVERAGE(表格100039_Gabor[[#This Row],[0.01]:[0.1]])</f>
        <v>52.4</v>
      </c>
      <c r="N22" s="2">
        <f>_xlfn.STDEV.S(表格100039_Gabor[[#This Row],[0.01]:[0.1]])</f>
        <v>28.829768565764724</v>
      </c>
    </row>
    <row r="25" spans="1:14" x14ac:dyDescent="0.35">
      <c r="A25" s="1" t="s">
        <v>7</v>
      </c>
    </row>
    <row r="26" spans="1:14" x14ac:dyDescent="0.35">
      <c r="A26" s="1" t="s">
        <v>6</v>
      </c>
      <c r="B26" s="1" t="s">
        <v>21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19</v>
      </c>
      <c r="N26" s="1" t="s">
        <v>20</v>
      </c>
    </row>
    <row r="27" spans="1:14" x14ac:dyDescent="0.35">
      <c r="A27" s="1" t="s">
        <v>2</v>
      </c>
      <c r="B27" s="2">
        <v>10.654840796478201</v>
      </c>
      <c r="C27" s="2">
        <v>14.0826457452534</v>
      </c>
      <c r="D27" s="2">
        <v>13.6817568319643</v>
      </c>
      <c r="E27" s="2">
        <v>13.3161</v>
      </c>
      <c r="F27" s="2">
        <v>15.510400000000001</v>
      </c>
      <c r="G27" s="2">
        <v>18.444400000000002</v>
      </c>
      <c r="H27" s="2">
        <v>17.943100000000001</v>
      </c>
      <c r="I27" s="2">
        <v>16.175899999999999</v>
      </c>
      <c r="J27" s="2">
        <v>13.7018658516008</v>
      </c>
      <c r="K27" s="2">
        <v>14.189500000000001</v>
      </c>
      <c r="L27" s="2">
        <v>12.9069</v>
      </c>
      <c r="M27" s="2">
        <f>AVERAGE(表格100039_DWHT[[#This Row],[0.01]:[0.1]])</f>
        <v>14.995256842881853</v>
      </c>
      <c r="N27" s="2">
        <f>_xlfn.STDEV.S(表格100039_DWHT[[#This Row],[0.01]:[0.1]])</f>
        <v>1.9523975625602141</v>
      </c>
    </row>
    <row r="28" spans="1:14" x14ac:dyDescent="0.35">
      <c r="A28" s="1" t="s">
        <v>3</v>
      </c>
      <c r="B28" s="2">
        <v>0.93</v>
      </c>
      <c r="C28" s="2">
        <v>0.93</v>
      </c>
      <c r="D28" s="2">
        <v>0.94</v>
      </c>
      <c r="E28" s="2">
        <v>0.89</v>
      </c>
      <c r="F28" s="2">
        <v>0.86</v>
      </c>
      <c r="G28" s="2">
        <v>0.87</v>
      </c>
      <c r="H28" s="2">
        <v>0.85</v>
      </c>
      <c r="I28" s="2">
        <v>0.83</v>
      </c>
      <c r="J28" s="2">
        <v>0.88</v>
      </c>
      <c r="K28" s="2">
        <v>0.84</v>
      </c>
      <c r="L28" s="2">
        <v>0.88</v>
      </c>
      <c r="M28" s="2">
        <f>AVERAGE(表格100039_DWHT[[#This Row],[0.01]:[0.1]])</f>
        <v>0.877</v>
      </c>
      <c r="N28" s="2">
        <f>_xlfn.STDEV.S(表格100039_DWHT[[#This Row],[0.01]:[0.1]])</f>
        <v>3.5916569992135952E-2</v>
      </c>
    </row>
    <row r="29" spans="1:14" x14ac:dyDescent="0.35">
      <c r="A29" s="1" t="s">
        <v>4</v>
      </c>
      <c r="B29" s="2">
        <v>0.84304932735425997</v>
      </c>
      <c r="C29" s="2">
        <v>0.822122571001495</v>
      </c>
      <c r="D29" s="2">
        <v>0.82810164424514199</v>
      </c>
      <c r="E29" s="2">
        <v>0.78769999999999996</v>
      </c>
      <c r="F29" s="2">
        <v>0.74890000000000001</v>
      </c>
      <c r="G29" s="2">
        <v>0.76080000000000003</v>
      </c>
      <c r="H29" s="2">
        <v>0.7339</v>
      </c>
      <c r="I29" s="2">
        <v>0.72350000000000003</v>
      </c>
      <c r="J29" s="2">
        <v>0.78176382660687604</v>
      </c>
      <c r="K29" s="2">
        <v>0.72199999999999998</v>
      </c>
      <c r="L29" s="2">
        <v>0.72650000000000003</v>
      </c>
      <c r="M29" s="2">
        <f>AVERAGE(表格100039_DWHT[[#This Row],[0.01]:[0.1]])</f>
        <v>0.76352880418535141</v>
      </c>
      <c r="N29" s="2">
        <f>_xlfn.STDEV.S(表格100039_DWHT[[#This Row],[0.01]:[0.1]])</f>
        <v>3.9884607634631156E-2</v>
      </c>
    </row>
    <row r="30" spans="1:14" x14ac:dyDescent="0.35">
      <c r="A30" s="1" t="s">
        <v>5</v>
      </c>
      <c r="B30" s="2">
        <v>34</v>
      </c>
      <c r="C30" s="2">
        <v>29</v>
      </c>
      <c r="D30" s="2">
        <v>29</v>
      </c>
      <c r="E30" s="2">
        <v>32</v>
      </c>
      <c r="F30" s="2">
        <v>28</v>
      </c>
      <c r="G30" s="2">
        <v>32</v>
      </c>
      <c r="H30" s="2">
        <v>36</v>
      </c>
      <c r="I30" s="2">
        <v>33</v>
      </c>
      <c r="J30" s="2">
        <v>29</v>
      </c>
      <c r="K30" s="2">
        <v>42</v>
      </c>
      <c r="L30" s="2">
        <v>37</v>
      </c>
      <c r="M30" s="2">
        <f>AVERAGE(表格100039_DWHT[[#This Row],[0.01]:[0.1]])</f>
        <v>32.700000000000003</v>
      </c>
      <c r="N30" s="2">
        <f>_xlfn.STDEV.S(表格100039_DWHT[[#This Row],[0.01]:[0.1]])</f>
        <v>4.4733780424988847</v>
      </c>
    </row>
  </sheetData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60D-6B9F-436B-91BB-A8EBB74D7B14}">
  <dimension ref="A1:N29"/>
  <sheetViews>
    <sheetView tabSelected="1" topLeftCell="F1" workbookViewId="0"/>
  </sheetViews>
  <sheetFormatPr defaultRowHeight="15" x14ac:dyDescent="0.3"/>
  <cols>
    <col min="1" max="1" width="10.125" bestFit="1" customWidth="1"/>
    <col min="2" max="2" width="13.75" bestFit="1" customWidth="1"/>
    <col min="3" max="13" width="12.375" bestFit="1" customWidth="1"/>
    <col min="14" max="14" width="10.75" bestFit="1" customWidth="1"/>
  </cols>
  <sheetData>
    <row r="1" spans="1:14" x14ac:dyDescent="0.3">
      <c r="A1">
        <v>160067</v>
      </c>
    </row>
    <row r="3" spans="1:14" ht="18" x14ac:dyDescent="0.35">
      <c r="A3" s="1" t="s">
        <v>2</v>
      </c>
    </row>
    <row r="4" spans="1:14" ht="18" x14ac:dyDescent="0.35">
      <c r="A4" s="1" t="s">
        <v>6</v>
      </c>
      <c r="B4" s="1" t="s">
        <v>21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19</v>
      </c>
      <c r="N4" s="1" t="s">
        <v>20</v>
      </c>
    </row>
    <row r="5" spans="1:14" ht="18" x14ac:dyDescent="0.35">
      <c r="A5" s="1" t="s">
        <v>0</v>
      </c>
      <c r="B5" s="2" cm="1">
        <f t="array" aca="1" ref="B5" ca="1">INDIRECT("'"&amp;$A$1&amp;"'!"&amp;CHAR(65+COLUMN()-1)&amp;"11")</f>
        <v>17.891100000000002</v>
      </c>
      <c r="C5" s="2" cm="1">
        <f t="array" aca="1" ref="C5" ca="1">INDIRECT("'"&amp;$A$1&amp;"'!"&amp;CHAR(65+COLUMN()-1)&amp;"11")</f>
        <v>19.581499999999998</v>
      </c>
      <c r="D5" s="2" cm="1">
        <f t="array" aca="1" ref="D5" ca="1">INDIRECT("'"&amp;$A$1&amp;"'!"&amp;CHAR(65+COLUMN()-1)&amp;"11")</f>
        <v>15.277900000000001</v>
      </c>
      <c r="E5" s="2" cm="1">
        <f t="array" aca="1" ref="E5" ca="1">INDIRECT("'"&amp;$A$1&amp;"'!"&amp;CHAR(65+COLUMN()-1)&amp;"11")</f>
        <v>16.952000000000002</v>
      </c>
      <c r="F5" s="2" cm="1">
        <f t="array" aca="1" ref="F5" ca="1">INDIRECT("'"&amp;$A$1&amp;"'!"&amp;CHAR(65+COLUMN()-1)&amp;"11")</f>
        <v>15.816888288175299</v>
      </c>
      <c r="G5" s="2" cm="1">
        <f t="array" aca="1" ref="G5" ca="1">INDIRECT("'"&amp;$A$1&amp;"'!"&amp;CHAR(65+COLUMN()-1)&amp;"11")</f>
        <v>15.142182793261799</v>
      </c>
      <c r="H5" s="2" cm="1">
        <f t="array" aca="1" ref="H5" ca="1">INDIRECT("'"&amp;$A$1&amp;"'!"&amp;CHAR(65+COLUMN()-1)&amp;"11")</f>
        <v>13.401</v>
      </c>
      <c r="I5" s="2" cm="1">
        <f t="array" aca="1" ref="I5" ca="1">INDIRECT("'"&amp;$A$1&amp;"'!"&amp;CHAR(65+COLUMN()-1)&amp;"11")</f>
        <v>15.22</v>
      </c>
      <c r="J5" s="2" cm="1">
        <f t="array" aca="1" ref="J5" ca="1">INDIRECT("'"&amp;$A$1&amp;"'!"&amp;CHAR(65+COLUMN()-1)&amp;"11")</f>
        <v>17.147099999999998</v>
      </c>
      <c r="K5" s="2" cm="1">
        <f t="array" aca="1" ref="K5" ca="1">INDIRECT("'"&amp;$A$1&amp;"'!"&amp;CHAR(65+COLUMN()-1)&amp;"11")</f>
        <v>17.297899999999998</v>
      </c>
      <c r="L5" s="2" cm="1">
        <f t="array" aca="1" ref="L5" ca="1">INDIRECT("'"&amp;$A$1&amp;"'!"&amp;CHAR(65+COLUMN()-1)&amp;"11")</f>
        <v>20.0068924625762</v>
      </c>
      <c r="M5" s="2" cm="1">
        <f t="array" aca="1" ref="M5" ca="1">INDIRECT("'"&amp;$A$1&amp;"'!"&amp;CHAR(65+COLUMN()-1)&amp;"11")</f>
        <v>16.584336354401326</v>
      </c>
      <c r="N5" s="2" cm="1">
        <f t="array" aca="1" ref="N5" ca="1">INDIRECT("'"&amp;$A$1&amp;"'!"&amp;CHAR(65+COLUMN()-1)&amp;"11")</f>
        <v>2.0555760532183802</v>
      </c>
    </row>
    <row r="6" spans="1:14" ht="18" x14ac:dyDescent="0.35">
      <c r="A6" s="1" t="s">
        <v>7</v>
      </c>
      <c r="B6" s="2" cm="1">
        <f t="array" aca="1" ref="B6" ca="1">INDIRECT("'"&amp;$A$1&amp;"'!"&amp;CHAR(65+COLUMN()-1)&amp;"27")</f>
        <v>17.252407203975299</v>
      </c>
      <c r="C6" s="2" cm="1">
        <f t="array" aca="1" ref="C6" ca="1">INDIRECT("'"&amp;$A$1&amp;"'!"&amp;CHAR(65+COLUMN()-1)&amp;"27")</f>
        <v>12.81</v>
      </c>
      <c r="D6" s="2" cm="1">
        <f t="array" aca="1" ref="D6" ca="1">INDIRECT("'"&amp;$A$1&amp;"'!"&amp;CHAR(65+COLUMN()-1)&amp;"27")</f>
        <v>11.660299999999999</v>
      </c>
      <c r="E6" s="2" cm="1">
        <f t="array" aca="1" ref="E6" ca="1">INDIRECT("'"&amp;$A$1&amp;"'!"&amp;CHAR(65+COLUMN()-1)&amp;"27")</f>
        <v>12.4605</v>
      </c>
      <c r="F6" s="2" cm="1">
        <f t="array" aca="1" ref="F6" ca="1">INDIRECT("'"&amp;$A$1&amp;"'!"&amp;CHAR(65+COLUMN()-1)&amp;"27")</f>
        <v>13.6341</v>
      </c>
      <c r="G6" s="2" cm="1">
        <f t="array" aca="1" ref="G6" ca="1">INDIRECT("'"&amp;$A$1&amp;"'!"&amp;CHAR(65+COLUMN()-1)&amp;"27")</f>
        <v>14.1305</v>
      </c>
      <c r="H6" s="2" cm="1">
        <f t="array" aca="1" ref="H6" ca="1">INDIRECT("'"&amp;$A$1&amp;"'!"&amp;CHAR(65+COLUMN()-1)&amp;"27")</f>
        <v>16.0137</v>
      </c>
      <c r="I6" s="2" cm="1">
        <f t="array" aca="1" ref="I6" ca="1">INDIRECT("'"&amp;$A$1&amp;"'!"&amp;CHAR(65+COLUMN()-1)&amp;"27")</f>
        <v>14.0442</v>
      </c>
      <c r="J6" s="2" cm="1">
        <f t="array" aca="1" ref="J6" ca="1">INDIRECT("'"&amp;$A$1&amp;"'!"&amp;CHAR(65+COLUMN()-1)&amp;"27")</f>
        <v>15.944800000000001</v>
      </c>
      <c r="K6" s="2" cm="1">
        <f t="array" aca="1" ref="K6" ca="1">INDIRECT("'"&amp;$A$1&amp;"'!"&amp;CHAR(65+COLUMN()-1)&amp;"27")</f>
        <v>15.674099999999999</v>
      </c>
      <c r="L6" s="2" cm="1">
        <f t="array" aca="1" ref="L6" ca="1">INDIRECT("'"&amp;$A$1&amp;"'!"&amp;CHAR(65+COLUMN()-1)&amp;"27")</f>
        <v>17.2455</v>
      </c>
      <c r="M6" s="2" cm="1">
        <f t="array" aca="1" ref="M6" ca="1">INDIRECT("'"&amp;$A$1&amp;"'!"&amp;CHAR(65+COLUMN()-1)&amp;"27")</f>
        <v>14.361770000000002</v>
      </c>
      <c r="N6" s="2" cm="1">
        <f t="array" aca="1" ref="N6" ca="1">INDIRECT("'"&amp;$A$1&amp;"'!"&amp;CHAR(65+COLUMN()-1)&amp;"27")</f>
        <v>1.8036248532392067</v>
      </c>
    </row>
    <row r="7" spans="1:14" ht="18" x14ac:dyDescent="0.35">
      <c r="A7" s="1" t="s">
        <v>1</v>
      </c>
      <c r="B7" s="2" cm="1">
        <f t="array" aca="1" ref="B7" ca="1">INDIRECT("'"&amp;$A$1&amp;"'!"&amp;CHAR(65+COLUMN()-1)&amp;"19")</f>
        <v>14.3048155612586</v>
      </c>
      <c r="C7" s="2" cm="1">
        <f t="array" aca="1" ref="C7" ca="1">INDIRECT("'"&amp;$A$1&amp;"'!"&amp;CHAR(65+COLUMN()-1)&amp;"19")</f>
        <v>20.445399999999999</v>
      </c>
      <c r="D7" s="2" cm="1">
        <f t="array" aca="1" ref="D7" ca="1">INDIRECT("'"&amp;$A$1&amp;"'!"&amp;CHAR(65+COLUMN()-1)&amp;"19")</f>
        <v>22.150600000000001</v>
      </c>
      <c r="E7" s="2" cm="1">
        <f t="array" aca="1" ref="E7" ca="1">INDIRECT("'"&amp;$A$1&amp;"'!"&amp;CHAR(65+COLUMN()-1)&amp;"19")</f>
        <v>20.927199999999999</v>
      </c>
      <c r="F7" s="2" cm="1">
        <f t="array" aca="1" ref="F7" ca="1">INDIRECT("'"&amp;$A$1&amp;"'!"&amp;CHAR(65+COLUMN()-1)&amp;"19")</f>
        <v>21.4206</v>
      </c>
      <c r="G7" s="2" cm="1">
        <f t="array" aca="1" ref="G7" ca="1">INDIRECT("'"&amp;$A$1&amp;"'!"&amp;CHAR(65+COLUMN()-1)&amp;"19")</f>
        <v>23.823399999999999</v>
      </c>
      <c r="H7" s="2" cm="1">
        <f t="array" aca="1" ref="H7" ca="1">INDIRECT("'"&amp;$A$1&amp;"'!"&amp;CHAR(65+COLUMN()-1)&amp;"19")</f>
        <v>20.684100000000001</v>
      </c>
      <c r="I7" s="2" cm="1">
        <f t="array" aca="1" ref="I7" ca="1">INDIRECT("'"&amp;$A$1&amp;"'!"&amp;CHAR(65+COLUMN()-1)&amp;"19")</f>
        <v>17.512799999999999</v>
      </c>
      <c r="J7" s="2" cm="1">
        <f t="array" aca="1" ref="J7" ca="1">INDIRECT("'"&amp;$A$1&amp;"'!"&amp;CHAR(65+COLUMN()-1)&amp;"19")</f>
        <v>16.364999999999998</v>
      </c>
      <c r="K7" s="2" cm="1">
        <f t="array" aca="1" ref="K7" ca="1">INDIRECT("'"&amp;$A$1&amp;"'!"&amp;CHAR(65+COLUMN()-1)&amp;"19")</f>
        <v>18.859500000000001</v>
      </c>
      <c r="L7" s="2" cm="1">
        <f t="array" aca="1" ref="L7" ca="1">INDIRECT("'"&amp;$A$1&amp;"'!"&amp;CHAR(65+COLUMN()-1)&amp;"19")</f>
        <v>25.780899999999999</v>
      </c>
      <c r="M7" s="2" cm="1">
        <f t="array" aca="1" ref="M7" ca="1">INDIRECT("'"&amp;$A$1&amp;"'!"&amp;CHAR(65+COLUMN()-1)&amp;"19")</f>
        <v>20.796950000000002</v>
      </c>
      <c r="N7" s="2" cm="1">
        <f t="array" aca="1" ref="N7" ca="1">INDIRECT("'"&amp;$A$1&amp;"'!"&amp;CHAR(65+COLUMN()-1)&amp;"19")</f>
        <v>2.7999064858391876</v>
      </c>
    </row>
    <row r="8" spans="1:14" ht="19.8" x14ac:dyDescent="0.4">
      <c r="A8" s="1" t="s">
        <v>30</v>
      </c>
      <c r="B8" s="2" cm="1">
        <f t="array" aca="1" ref="B8" ca="1">INDIRECT("'"&amp;$A$1&amp;"'!"&amp;CHAR(65+COLUMN()-1)&amp;"3")</f>
        <v>12.0002888899478</v>
      </c>
      <c r="C8" s="2" cm="1">
        <f t="array" aca="1" ref="C8" ca="1">INDIRECT("'"&amp;$A$1&amp;"'!"&amp;CHAR(65+COLUMN()-1)&amp;"3")</f>
        <v>12.740399999999999</v>
      </c>
      <c r="D8" s="2" cm="1">
        <f t="array" aca="1" ref="D8" ca="1">INDIRECT("'"&amp;$A$1&amp;"'!"&amp;CHAR(65+COLUMN()-1)&amp;"3")</f>
        <v>14.7736</v>
      </c>
      <c r="E8" s="2" cm="1">
        <f t="array" aca="1" ref="E8" ca="1">INDIRECT("'"&amp;$A$1&amp;"'!"&amp;CHAR(65+COLUMN()-1)&amp;"3")</f>
        <v>12.309200000000001</v>
      </c>
      <c r="F8" s="2" cm="1">
        <f t="array" aca="1" ref="F8" ca="1">INDIRECT("'"&amp;$A$1&amp;"'!"&amp;CHAR(65+COLUMN()-1)&amp;"3")</f>
        <v>15.192600000000001</v>
      </c>
      <c r="G8" s="2" cm="1">
        <f t="array" aca="1" ref="G8" ca="1">INDIRECT("'"&amp;$A$1&amp;"'!"&amp;CHAR(65+COLUMN()-1)&amp;"3")</f>
        <v>13.2837</v>
      </c>
      <c r="H8" s="2" cm="1">
        <f t="array" aca="1" ref="H8" ca="1">INDIRECT("'"&amp;$A$1&amp;"'!"&amp;CHAR(65+COLUMN()-1)&amp;"3")</f>
        <v>14.827400000000001</v>
      </c>
      <c r="I8" s="2" cm="1">
        <f t="array" aca="1" ref="I8" ca="1">INDIRECT("'"&amp;$A$1&amp;"'!"&amp;CHAR(65+COLUMN()-1)&amp;"3")</f>
        <v>15.0443</v>
      </c>
      <c r="J8" s="2" cm="1">
        <f t="array" aca="1" ref="J8" ca="1">INDIRECT("'"&amp;$A$1&amp;"'!"&amp;CHAR(65+COLUMN()-1)&amp;"3")</f>
        <v>13.8728</v>
      </c>
      <c r="K8" s="2" cm="1">
        <f t="array" aca="1" ref="K8" ca="1">INDIRECT("'"&amp;$A$1&amp;"'!"&amp;CHAR(65+COLUMN()-1)&amp;"3")</f>
        <v>15.324999999999999</v>
      </c>
      <c r="L8" s="2" cm="1">
        <f t="array" aca="1" ref="L8" ca="1">INDIRECT("'"&amp;$A$1&amp;"'!"&amp;CHAR(65+COLUMN()-1)&amp;"3")</f>
        <v>15.1038</v>
      </c>
      <c r="M8" s="2" cm="1">
        <f t="array" aca="1" ref="M8" ca="1">INDIRECT("'"&amp;$A$1&amp;"'!"&amp;CHAR(65+COLUMN()-1)&amp;"3")</f>
        <v>14.24728</v>
      </c>
      <c r="N8" s="2" cm="1">
        <f t="array" aca="1" ref="N8" ca="1">INDIRECT("'"&amp;$A$1&amp;"'!"&amp;CHAR(65+COLUMN()-1)&amp;"3")</f>
        <v>1.1122096503007974</v>
      </c>
    </row>
    <row r="10" spans="1:14" ht="18" x14ac:dyDescent="0.35">
      <c r="A10" s="1" t="s">
        <v>3</v>
      </c>
    </row>
    <row r="11" spans="1:14" ht="18" x14ac:dyDescent="0.35">
      <c r="A11" s="1" t="s">
        <v>6</v>
      </c>
      <c r="B11" s="1" t="s">
        <v>21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19</v>
      </c>
      <c r="N11" s="1" t="s">
        <v>20</v>
      </c>
    </row>
    <row r="12" spans="1:14" ht="18" x14ac:dyDescent="0.35">
      <c r="A12" s="1" t="s">
        <v>0</v>
      </c>
      <c r="B12" s="2" cm="1">
        <f t="array" aca="1" ref="B12" ca="1">INDIRECT("'"&amp;$A$1&amp;"'!"&amp;CHAR(65+COLUMN()-1)&amp;"12")</f>
        <v>0.66</v>
      </c>
      <c r="C12" s="2" cm="1">
        <f t="array" aca="1" ref="C12" ca="1">INDIRECT("'"&amp;$A$1&amp;"'!"&amp;CHAR(65+COLUMN()-1)&amp;"12")</f>
        <v>0.56999999999999995</v>
      </c>
      <c r="D12" s="2" cm="1">
        <f t="array" aca="1" ref="D12" ca="1">INDIRECT("'"&amp;$A$1&amp;"'!"&amp;CHAR(65+COLUMN()-1)&amp;"12")</f>
        <v>0.72</v>
      </c>
      <c r="E12" s="2" cm="1">
        <f t="array" aca="1" ref="E12" ca="1">INDIRECT("'"&amp;$A$1&amp;"'!"&amp;CHAR(65+COLUMN()-1)&amp;"12")</f>
        <v>0.66</v>
      </c>
      <c r="F12" s="2" cm="1">
        <f t="array" aca="1" ref="F12" ca="1">INDIRECT("'"&amp;$A$1&amp;"'!"&amp;CHAR(65+COLUMN()-1)&amp;"12")</f>
        <v>0.68</v>
      </c>
      <c r="G12" s="2" cm="1">
        <f t="array" aca="1" ref="G12" ca="1">INDIRECT("'"&amp;$A$1&amp;"'!"&amp;CHAR(65+COLUMN()-1)&amp;"12")</f>
        <v>0.65</v>
      </c>
      <c r="H12" s="2" cm="1">
        <f t="array" aca="1" ref="H12" ca="1">INDIRECT("'"&amp;$A$1&amp;"'!"&amp;CHAR(65+COLUMN()-1)&amp;"12")</f>
        <v>0.71</v>
      </c>
      <c r="I12" s="2" cm="1">
        <f t="array" aca="1" ref="I12" ca="1">INDIRECT("'"&amp;$A$1&amp;"'!"&amp;CHAR(65+COLUMN()-1)&amp;"12")</f>
        <v>0.78</v>
      </c>
      <c r="J12" s="2" cm="1">
        <f t="array" aca="1" ref="J12" ca="1">INDIRECT("'"&amp;$A$1&amp;"'!"&amp;CHAR(65+COLUMN()-1)&amp;"12")</f>
        <v>0.59</v>
      </c>
      <c r="K12" s="2" cm="1">
        <f t="array" aca="1" ref="K12" ca="1">INDIRECT("'"&amp;$A$1&amp;"'!"&amp;CHAR(65+COLUMN()-1)&amp;"12")</f>
        <v>0.65</v>
      </c>
      <c r="L12" s="2" cm="1">
        <f t="array" aca="1" ref="L12" ca="1">INDIRECT("'"&amp;$A$1&amp;"'!"&amp;CHAR(65+COLUMN()-1)&amp;"12")</f>
        <v>0.77</v>
      </c>
      <c r="M12" s="2" cm="1">
        <f t="array" aca="1" ref="M12" ca="1">INDIRECT("'"&amp;$A$1&amp;"'!"&amp;CHAR(65+COLUMN()-1)&amp;"12")</f>
        <v>0.67800000000000016</v>
      </c>
      <c r="N12" s="2" cm="1">
        <f t="array" aca="1" ref="N12" ca="1">INDIRECT("'"&amp;$A$1&amp;"'!"&amp;CHAR(65+COLUMN()-1)&amp;"12")</f>
        <v>6.908931417616862E-2</v>
      </c>
    </row>
    <row r="13" spans="1:14" ht="18" x14ac:dyDescent="0.35">
      <c r="A13" s="1" t="s">
        <v>7</v>
      </c>
      <c r="B13" s="2" cm="1">
        <f t="array" aca="1" ref="B13" ca="1">INDIRECT("'"&amp;$A$1&amp;"'!"&amp;CHAR(65+COLUMN()-1)&amp;"28")</f>
        <v>0.82</v>
      </c>
      <c r="C13" s="2" cm="1">
        <f t="array" aca="1" ref="C13" ca="1">INDIRECT("'"&amp;$A$1&amp;"'!"&amp;CHAR(65+COLUMN()-1)&amp;"28")</f>
        <v>0.75</v>
      </c>
      <c r="D13" s="2" cm="1">
        <f t="array" aca="1" ref="D13" ca="1">INDIRECT("'"&amp;$A$1&amp;"'!"&amp;CHAR(65+COLUMN()-1)&amp;"28")</f>
        <v>0.85</v>
      </c>
      <c r="E13" s="2" cm="1">
        <f t="array" aca="1" ref="E13" ca="1">INDIRECT("'"&amp;$A$1&amp;"'!"&amp;CHAR(65+COLUMN()-1)&amp;"28")</f>
        <v>0.86</v>
      </c>
      <c r="F13" s="2" cm="1">
        <f t="array" aca="1" ref="F13" ca="1">INDIRECT("'"&amp;$A$1&amp;"'!"&amp;CHAR(65+COLUMN()-1)&amp;"28")</f>
        <v>0.66</v>
      </c>
      <c r="G13" s="2" cm="1">
        <f t="array" aca="1" ref="G13" ca="1">INDIRECT("'"&amp;$A$1&amp;"'!"&amp;CHAR(65+COLUMN()-1)&amp;"28")</f>
        <v>0.68</v>
      </c>
      <c r="H13" s="2" cm="1">
        <f t="array" aca="1" ref="H13" ca="1">INDIRECT("'"&amp;$A$1&amp;"'!"&amp;CHAR(65+COLUMN()-1)&amp;"28")</f>
        <v>0.62</v>
      </c>
      <c r="I13" s="2" cm="1">
        <f t="array" aca="1" ref="I13" ca="1">INDIRECT("'"&amp;$A$1&amp;"'!"&amp;CHAR(65+COLUMN()-1)&amp;"28")</f>
        <v>0.65</v>
      </c>
      <c r="J13" s="2" cm="1">
        <f t="array" aca="1" ref="J13" ca="1">INDIRECT("'"&amp;$A$1&amp;"'!"&amp;CHAR(65+COLUMN()-1)&amp;"28")</f>
        <v>0.64</v>
      </c>
      <c r="K13" s="2" cm="1">
        <f t="array" aca="1" ref="K13" ca="1">INDIRECT("'"&amp;$A$1&amp;"'!"&amp;CHAR(65+COLUMN()-1)&amp;"28")</f>
        <v>0.68</v>
      </c>
      <c r="L13" s="2" cm="1">
        <f t="array" aca="1" ref="L13" ca="1">INDIRECT("'"&amp;$A$1&amp;"'!"&amp;CHAR(65+COLUMN()-1)&amp;"28")</f>
        <v>0.54</v>
      </c>
      <c r="M13" s="2" cm="1">
        <f t="array" aca="1" ref="M13" ca="1">INDIRECT("'"&amp;$A$1&amp;"'!"&amp;CHAR(65+COLUMN()-1)&amp;"28")</f>
        <v>0.69299999999999995</v>
      </c>
      <c r="N13" s="2" cm="1">
        <f t="array" aca="1" ref="N13" ca="1">INDIRECT("'"&amp;$A$1&amp;"'!"&amp;CHAR(65+COLUMN()-1)&amp;"28")</f>
        <v>0.10033831659828543</v>
      </c>
    </row>
    <row r="14" spans="1:14" ht="18" x14ac:dyDescent="0.35">
      <c r="A14" s="1" t="s">
        <v>1</v>
      </c>
      <c r="B14" s="2" cm="1">
        <f t="array" aca="1" ref="B14" ca="1">INDIRECT("'"&amp;$A$1&amp;"'!"&amp;CHAR(65+COLUMN()-1)&amp;"20")</f>
        <v>0.92</v>
      </c>
      <c r="C14" s="2" cm="1">
        <f t="array" aca="1" ref="C14" ca="1">INDIRECT("'"&amp;$A$1&amp;"'!"&amp;CHAR(65+COLUMN()-1)&amp;"20")</f>
        <v>0.68</v>
      </c>
      <c r="D14" s="2" cm="1">
        <f t="array" aca="1" ref="D14" ca="1">INDIRECT("'"&amp;$A$1&amp;"'!"&amp;CHAR(65+COLUMN()-1)&amp;"20")</f>
        <v>0.56000000000000005</v>
      </c>
      <c r="E14" s="2" cm="1">
        <f t="array" aca="1" ref="E14" ca="1">INDIRECT("'"&amp;$A$1&amp;"'!"&amp;CHAR(65+COLUMN()-1)&amp;"20")</f>
        <v>0.61</v>
      </c>
      <c r="F14" s="2" cm="1">
        <f t="array" aca="1" ref="F14" ca="1">INDIRECT("'"&amp;$A$1&amp;"'!"&amp;CHAR(65+COLUMN()-1)&amp;"20")</f>
        <v>0.57999999999999996</v>
      </c>
      <c r="G14" s="2" cm="1">
        <f t="array" aca="1" ref="G14" ca="1">INDIRECT("'"&amp;$A$1&amp;"'!"&amp;CHAR(65+COLUMN()-1)&amp;"20")</f>
        <v>0.76</v>
      </c>
      <c r="H14" s="2" cm="1">
        <f t="array" aca="1" ref="H14" ca="1">INDIRECT("'"&amp;$A$1&amp;"'!"&amp;CHAR(65+COLUMN()-1)&amp;"20")</f>
        <v>0.71</v>
      </c>
      <c r="I14" s="2" cm="1">
        <f t="array" aca="1" ref="I14" ca="1">INDIRECT("'"&amp;$A$1&amp;"'!"&amp;CHAR(65+COLUMN()-1)&amp;"20")</f>
        <v>0.6</v>
      </c>
      <c r="J14" s="2" cm="1">
        <f t="array" aca="1" ref="J14" ca="1">INDIRECT("'"&amp;$A$1&amp;"'!"&amp;CHAR(65+COLUMN()-1)&amp;"20")</f>
        <v>0.73</v>
      </c>
      <c r="K14" s="2" cm="1">
        <f t="array" aca="1" ref="K14" ca="1">INDIRECT("'"&amp;$A$1&amp;"'!"&amp;CHAR(65+COLUMN()-1)&amp;"20")</f>
        <v>0.71</v>
      </c>
      <c r="L14" s="2" cm="1">
        <f t="array" aca="1" ref="L14" ca="1">INDIRECT("'"&amp;$A$1&amp;"'!"&amp;CHAR(65+COLUMN()-1)&amp;"20")</f>
        <v>0.69</v>
      </c>
      <c r="M14" s="2" cm="1">
        <f t="array" aca="1" ref="M14" ca="1">INDIRECT("'"&amp;$A$1&amp;"'!"&amp;CHAR(65+COLUMN()-1)&amp;"20")</f>
        <v>0.66300000000000003</v>
      </c>
      <c r="N14" s="2" cm="1">
        <f t="array" aca="1" ref="N14" ca="1">INDIRECT("'"&amp;$A$1&amp;"'!"&amp;CHAR(65+COLUMN()-1)&amp;"20")</f>
        <v>6.9610024820822722E-2</v>
      </c>
    </row>
    <row r="15" spans="1:14" ht="19.8" x14ac:dyDescent="0.4">
      <c r="A15" s="1" t="s">
        <v>30</v>
      </c>
      <c r="B15" s="2" cm="1">
        <f t="array" aca="1" ref="B15" ca="1">INDIRECT("'"&amp;$A$1&amp;"'!"&amp;CHAR(65+COLUMN()-1)&amp;"4")</f>
        <v>0.93</v>
      </c>
      <c r="C15" s="2" cm="1">
        <f t="array" aca="1" ref="C15" ca="1">INDIRECT("'"&amp;$A$1&amp;"'!"&amp;CHAR(65+COLUMN()-1)&amp;"4")</f>
        <v>0.86</v>
      </c>
      <c r="D15" s="2" cm="1">
        <f t="array" aca="1" ref="D15" ca="1">INDIRECT("'"&amp;$A$1&amp;"'!"&amp;CHAR(65+COLUMN()-1)&amp;"4")</f>
        <v>0.81</v>
      </c>
      <c r="E15" s="2" cm="1">
        <f t="array" aca="1" ref="E15" ca="1">INDIRECT("'"&amp;$A$1&amp;"'!"&amp;CHAR(65+COLUMN()-1)&amp;"4")</f>
        <v>0.85</v>
      </c>
      <c r="F15" s="2" cm="1">
        <f t="array" aca="1" ref="F15" ca="1">INDIRECT("'"&amp;$A$1&amp;"'!"&amp;CHAR(65+COLUMN()-1)&amp;"4")</f>
        <v>0.79</v>
      </c>
      <c r="G15" s="2" cm="1">
        <f t="array" aca="1" ref="G15" ca="1">INDIRECT("'"&amp;$A$1&amp;"'!"&amp;CHAR(65+COLUMN()-1)&amp;"4")</f>
        <v>0.8</v>
      </c>
      <c r="H15" s="2" cm="1">
        <f t="array" aca="1" ref="H15" ca="1">INDIRECT("'"&amp;$A$1&amp;"'!"&amp;CHAR(65+COLUMN()-1)&amp;"4")</f>
        <v>0.81</v>
      </c>
      <c r="I15" s="2" cm="1">
        <f t="array" aca="1" ref="I15" ca="1">INDIRECT("'"&amp;$A$1&amp;"'!"&amp;CHAR(65+COLUMN()-1)&amp;"4")</f>
        <v>0.69</v>
      </c>
      <c r="J15" s="2" cm="1">
        <f t="array" aca="1" ref="J15" ca="1">INDIRECT("'"&amp;$A$1&amp;"'!"&amp;CHAR(65+COLUMN()-1)&amp;"4")</f>
        <v>0.81</v>
      </c>
      <c r="K15" s="2" cm="1">
        <f t="array" aca="1" ref="K15" ca="1">INDIRECT("'"&amp;$A$1&amp;"'!"&amp;CHAR(65+COLUMN()-1)&amp;"4")</f>
        <v>0.7</v>
      </c>
      <c r="L15" s="2" cm="1">
        <f t="array" aca="1" ref="L15" ca="1">INDIRECT("'"&amp;$A$1&amp;"'!"&amp;CHAR(65+COLUMN()-1)&amp;"4")</f>
        <v>0.59</v>
      </c>
      <c r="M15" s="2" cm="1">
        <f t="array" aca="1" ref="M15" ca="1">INDIRECT("'"&amp;$A$1&amp;"'!"&amp;CHAR(65+COLUMN()-1)&amp;"4")</f>
        <v>0.77100000000000002</v>
      </c>
      <c r="N15" s="2" cm="1">
        <f t="array" aca="1" ref="N15" ca="1">INDIRECT("'"&amp;$A$1&amp;"'!"&amp;CHAR(65+COLUMN()-1)&amp;"4")</f>
        <v>8.4518242606749713E-2</v>
      </c>
    </row>
    <row r="17" spans="1:14" ht="18" x14ac:dyDescent="0.35">
      <c r="A17" s="1" t="s">
        <v>4</v>
      </c>
    </row>
    <row r="18" spans="1:14" ht="18" x14ac:dyDescent="0.35">
      <c r="A18" s="1" t="s">
        <v>6</v>
      </c>
      <c r="B18" s="1" t="s">
        <v>21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" t="s">
        <v>15</v>
      </c>
      <c r="K18" s="1" t="s">
        <v>16</v>
      </c>
      <c r="L18" s="1" t="s">
        <v>17</v>
      </c>
      <c r="M18" s="1" t="s">
        <v>19</v>
      </c>
      <c r="N18" s="1" t="s">
        <v>20</v>
      </c>
    </row>
    <row r="19" spans="1:14" ht="18" x14ac:dyDescent="0.35">
      <c r="A19" s="1" t="s">
        <v>0</v>
      </c>
      <c r="B19" s="2" cm="1">
        <f t="array" aca="1" ref="B19" ca="1">INDIRECT("'"&amp;$A$1&amp;"'!"&amp;CHAR(65+COLUMN()-1)&amp;"13")</f>
        <v>0.51139999999999997</v>
      </c>
      <c r="C19" s="2" cm="1">
        <f t="array" aca="1" ref="C19" ca="1">INDIRECT("'"&amp;$A$1&amp;"'!"&amp;CHAR(65+COLUMN()-1)&amp;"13")</f>
        <v>0.48399999999999999</v>
      </c>
      <c r="D19" s="2" cm="1">
        <f t="array" aca="1" ref="D19" ca="1">INDIRECT("'"&amp;$A$1&amp;"'!"&amp;CHAR(65+COLUMN()-1)&amp;"13")</f>
        <v>0.57730000000000004</v>
      </c>
      <c r="E19" s="2" cm="1">
        <f t="array" aca="1" ref="E19" ca="1">INDIRECT("'"&amp;$A$1&amp;"'!"&amp;CHAR(65+COLUMN()-1)&amp;"13")</f>
        <v>0.52239999999999998</v>
      </c>
      <c r="F19" s="2" cm="1">
        <f t="array" aca="1" ref="F19" ca="1">INDIRECT("'"&amp;$A$1&amp;"'!"&amp;CHAR(65+COLUMN()-1)&amp;"13")</f>
        <v>0.48581884720951501</v>
      </c>
      <c r="G19" s="2" cm="1">
        <f t="array" aca="1" ref="G19" ca="1">INDIRECT("'"&amp;$A$1&amp;"'!"&amp;CHAR(65+COLUMN()-1)&amp;"13")</f>
        <v>0.46111619396157399</v>
      </c>
      <c r="H19" s="2" cm="1">
        <f t="array" aca="1" ref="H19" ca="1">INDIRECT("'"&amp;$A$1&amp;"'!"&amp;CHAR(65+COLUMN()-1)&amp;"13")</f>
        <v>0.56630000000000003</v>
      </c>
      <c r="I19" s="2" cm="1">
        <f t="array" aca="1" ref="I19" ca="1">INDIRECT("'"&amp;$A$1&amp;"'!"&amp;CHAR(65+COLUMN()-1)&amp;"13")</f>
        <v>0.624</v>
      </c>
      <c r="J19" s="2" cm="1">
        <f t="array" aca="1" ref="J19" ca="1">INDIRECT("'"&amp;$A$1&amp;"'!"&amp;CHAR(65+COLUMN()-1)&amp;"13")</f>
        <v>0.4657</v>
      </c>
      <c r="K19" s="2" cm="1">
        <f t="array" aca="1" ref="K19" ca="1">INDIRECT("'"&amp;$A$1&amp;"'!"&amp;CHAR(65+COLUMN()-1)&amp;"13")</f>
        <v>0.52239999999999998</v>
      </c>
      <c r="L19" s="2" cm="1">
        <f t="array" aca="1" ref="L19" ca="1">INDIRECT("'"&amp;$A$1&amp;"'!"&amp;CHAR(65+COLUMN()-1)&amp;"13")</f>
        <v>0.53979871912168298</v>
      </c>
      <c r="M19" s="2" cm="1">
        <f t="array" aca="1" ref="M19" ca="1">INDIRECT("'"&amp;$A$1&amp;"'!"&amp;CHAR(65+COLUMN()-1)&amp;"13")</f>
        <v>0.52488337602927726</v>
      </c>
      <c r="N19" s="2" cm="1">
        <f t="array" aca="1" ref="N19" ca="1">INDIRECT("'"&amp;$A$1&amp;"'!"&amp;CHAR(65+COLUMN()-1)&amp;"13")</f>
        <v>5.3007504169046732E-2</v>
      </c>
    </row>
    <row r="20" spans="1:14" ht="18" x14ac:dyDescent="0.35">
      <c r="A20" s="1" t="s">
        <v>7</v>
      </c>
      <c r="B20" s="2" cm="1">
        <f t="array" aca="1" ref="B20" ca="1">INDIRECT("'"&amp;$A$1&amp;"'!"&amp;CHAR(65+COLUMN()-1)&amp;"29")</f>
        <v>0.66148215919487696</v>
      </c>
      <c r="C20" s="2" cm="1">
        <f t="array" aca="1" ref="C20" ca="1">INDIRECT("'"&amp;$A$1&amp;"'!"&amp;CHAR(65+COLUMN()-1)&amp;"29")</f>
        <v>0.56999999999999995</v>
      </c>
      <c r="D20" s="2" cm="1">
        <f t="array" aca="1" ref="D20" ca="1">INDIRECT("'"&amp;$A$1&amp;"'!"&amp;CHAR(65+COLUMN()-1)&amp;"29")</f>
        <v>0.6048</v>
      </c>
      <c r="E20" s="2" cm="1">
        <f t="array" aca="1" ref="E20" ca="1">INDIRECT("'"&amp;$A$1&amp;"'!"&amp;CHAR(65+COLUMN()-1)&amp;"29")</f>
        <v>0.64500000000000002</v>
      </c>
      <c r="F20" s="2" cm="1">
        <f t="array" aca="1" ref="F20" ca="1">INDIRECT("'"&amp;$A$1&amp;"'!"&amp;CHAR(65+COLUMN()-1)&amp;"29")</f>
        <v>0.4904</v>
      </c>
      <c r="G20" s="2" cm="1">
        <f t="array" aca="1" ref="G20" ca="1">INDIRECT("'"&amp;$A$1&amp;"'!"&amp;CHAR(65+COLUMN()-1)&amp;"29")</f>
        <v>0.49309999999999998</v>
      </c>
      <c r="H20" s="2" cm="1">
        <f t="array" aca="1" ref="H20" ca="1">INDIRECT("'"&amp;$A$1&amp;"'!"&amp;CHAR(65+COLUMN()-1)&amp;"29")</f>
        <v>0.46839999999999998</v>
      </c>
      <c r="I20" s="2" cm="1">
        <f t="array" aca="1" ref="I20" ca="1">INDIRECT("'"&amp;$A$1&amp;"'!"&amp;CHAR(65+COLUMN()-1)&amp;"29")</f>
        <v>0.50049999999999994</v>
      </c>
      <c r="J20" s="2" cm="1">
        <f t="array" aca="1" ref="J20" ca="1">INDIRECT("'"&amp;$A$1&amp;"'!"&amp;CHAR(65+COLUMN()-1)&amp;"29")</f>
        <v>0.51880000000000004</v>
      </c>
      <c r="K20" s="2" cm="1">
        <f t="array" aca="1" ref="K20" ca="1">INDIRECT("'"&amp;$A$1&amp;"'!"&amp;CHAR(65+COLUMN()-1)&amp;"29")</f>
        <v>0.54800000000000004</v>
      </c>
      <c r="L20" s="2" cm="1">
        <f t="array" aca="1" ref="L20" ca="1">INDIRECT("'"&amp;$A$1&amp;"'!"&amp;CHAR(65+COLUMN()-1)&amp;"29")</f>
        <v>0.4007</v>
      </c>
      <c r="M20" s="2" cm="1">
        <f t="array" aca="1" ref="M20" ca="1">INDIRECT("'"&amp;$A$1&amp;"'!"&amp;CHAR(65+COLUMN()-1)&amp;"29")</f>
        <v>0.52396999999999994</v>
      </c>
      <c r="N20" s="2" cm="1">
        <f t="array" aca="1" ref="N20" ca="1">INDIRECT("'"&amp;$A$1&amp;"'!"&amp;CHAR(65+COLUMN()-1)&amp;"29")</f>
        <v>7.05682813545397E-2</v>
      </c>
    </row>
    <row r="21" spans="1:14" ht="18" x14ac:dyDescent="0.35">
      <c r="A21" s="1" t="s">
        <v>1</v>
      </c>
      <c r="B21" s="2" cm="1">
        <f t="array" aca="1" ref="B21" ca="1">INDIRECT("'"&amp;$A$1&amp;"'!"&amp;CHAR(65+COLUMN()-1)&amp;"21")</f>
        <v>0.63220494053065002</v>
      </c>
      <c r="C21" s="2" cm="1">
        <f t="array" aca="1" ref="C21" ca="1">INDIRECT("'"&amp;$A$1&amp;"'!"&amp;CHAR(65+COLUMN()-1)&amp;"21")</f>
        <v>0.46200000000000002</v>
      </c>
      <c r="D21" s="2" cm="1">
        <f t="array" aca="1" ref="D21" ca="1">INDIRECT("'"&amp;$A$1&amp;"'!"&amp;CHAR(65+COLUMN()-1)&amp;"21")</f>
        <v>0.36959999999999998</v>
      </c>
      <c r="E21" s="2" cm="1">
        <f t="array" aca="1" ref="E21" ca="1">INDIRECT("'"&amp;$A$1&amp;"'!"&amp;CHAR(65+COLUMN()-1)&amp;"21")</f>
        <v>0.40710000000000002</v>
      </c>
      <c r="F21" s="2" cm="1">
        <f t="array" aca="1" ref="F21" ca="1">INDIRECT("'"&amp;$A$1&amp;"'!"&amp;CHAR(65+COLUMN()-1)&amp;"21")</f>
        <v>0.39069999999999999</v>
      </c>
      <c r="G21" s="2" cm="1">
        <f t="array" aca="1" ref="G21" ca="1">INDIRECT("'"&amp;$A$1&amp;"'!"&amp;CHAR(65+COLUMN()-1)&amp;"21")</f>
        <v>0.49309999999999998</v>
      </c>
      <c r="H21" s="2" cm="1">
        <f t="array" aca="1" ref="H21" ca="1">INDIRECT("'"&amp;$A$1&amp;"'!"&amp;CHAR(65+COLUMN()-1)&amp;"21")</f>
        <v>0.4995</v>
      </c>
      <c r="I21" s="2" cm="1">
        <f t="array" aca="1" ref="I21" ca="1">INDIRECT("'"&amp;$A$1&amp;"'!"&amp;CHAR(65+COLUMN()-1)&amp;"21")</f>
        <v>0.3614</v>
      </c>
      <c r="J21" s="2" cm="1">
        <f t="array" aca="1" ref="J21" ca="1">INDIRECT("'"&amp;$A$1&amp;"'!"&amp;CHAR(65+COLUMN()-1)&amp;"21")</f>
        <v>0.49409999999999998</v>
      </c>
      <c r="K21" s="2" cm="1">
        <f t="array" aca="1" ref="K21" ca="1">INDIRECT("'"&amp;$A$1&amp;"'!"&amp;CHAR(65+COLUMN()-1)&amp;"21")</f>
        <v>0.4748</v>
      </c>
      <c r="L21" s="2" cm="1">
        <f t="array" aca="1" ref="L21" ca="1">INDIRECT("'"&amp;$A$1&amp;"'!"&amp;CHAR(65+COLUMN()-1)&amp;"21")</f>
        <v>0.61570000000000003</v>
      </c>
      <c r="M21" s="2" cm="1">
        <f t="array" aca="1" ref="M21" ca="1">INDIRECT("'"&amp;$A$1&amp;"'!"&amp;CHAR(65+COLUMN()-1)&amp;"21")</f>
        <v>0.45680000000000004</v>
      </c>
      <c r="N21" s="2" cm="1">
        <f t="array" aca="1" ref="N21" ca="1">INDIRECT("'"&amp;$A$1&amp;"'!"&amp;CHAR(65+COLUMN()-1)&amp;"21")</f>
        <v>7.722752819500979E-2</v>
      </c>
    </row>
    <row r="22" spans="1:14" ht="19.8" x14ac:dyDescent="0.4">
      <c r="A22" s="1" t="s">
        <v>30</v>
      </c>
      <c r="B22" s="2" cm="1">
        <f t="array" aca="1" ref="B22" ca="1">INDIRECT("'"&amp;$A$1&amp;"'!"&amp;CHAR(65+COLUMN()-1)&amp;"5")</f>
        <v>0.82616651418115294</v>
      </c>
      <c r="C22" s="2" cm="1">
        <f t="array" aca="1" ref="C22" ca="1">INDIRECT("'"&amp;$A$1&amp;"'!"&amp;CHAR(65+COLUMN()-1)&amp;"5")</f>
        <v>0.68889999999999996</v>
      </c>
      <c r="D22" s="2" cm="1">
        <f t="array" aca="1" ref="D22" ca="1">INDIRECT("'"&amp;$A$1&amp;"'!"&amp;CHAR(65+COLUMN()-1)&amp;"5")</f>
        <v>0.71089999999999998</v>
      </c>
      <c r="E22" s="2" cm="1">
        <f t="array" aca="1" ref="E22" ca="1">INDIRECT("'"&amp;$A$1&amp;"'!"&amp;CHAR(65+COLUMN()-1)&amp;"5")</f>
        <v>0.66420000000000001</v>
      </c>
      <c r="F22" s="2" cm="1">
        <f t="array" aca="1" ref="F22" ca="1">INDIRECT("'"&amp;$A$1&amp;"'!"&amp;CHAR(65+COLUMN()-1)&amp;"5")</f>
        <v>0.69079999999999997</v>
      </c>
      <c r="G22" s="2" cm="1">
        <f t="array" aca="1" ref="G22" ca="1">INDIRECT("'"&amp;$A$1&amp;"'!"&amp;CHAR(65+COLUMN()-1)&amp;"5")</f>
        <v>0.6542</v>
      </c>
      <c r="H22" s="2" cm="1">
        <f t="array" aca="1" ref="H22" ca="1">INDIRECT("'"&amp;$A$1&amp;"'!"&amp;CHAR(65+COLUMN()-1)&amp;"5")</f>
        <v>0.70909999999999995</v>
      </c>
      <c r="I22" s="2" cm="1">
        <f t="array" aca="1" ref="I22" ca="1">INDIRECT("'"&amp;$A$1&amp;"'!"&amp;CHAR(65+COLUMN()-1)&amp;"5")</f>
        <v>0.55900000000000005</v>
      </c>
      <c r="J22" s="2" cm="1">
        <f t="array" aca="1" ref="J22" ca="1">INDIRECT("'"&amp;$A$1&amp;"'!"&amp;CHAR(65+COLUMN()-1)&amp;"5")</f>
        <v>0.72829999999999995</v>
      </c>
      <c r="K22" s="2" cm="1">
        <f t="array" aca="1" ref="K22" ca="1">INDIRECT("'"&amp;$A$1&amp;"'!"&amp;CHAR(65+COLUMN()-1)&amp;"5")</f>
        <v>0.54349999999999998</v>
      </c>
      <c r="L22" s="2" cm="1">
        <f t="array" aca="1" ref="L22" ca="1">INDIRECT("'"&amp;$A$1&amp;"'!"&amp;CHAR(65+COLUMN()-1)&amp;"5")</f>
        <v>0.4602</v>
      </c>
      <c r="M22" s="2" cm="1">
        <f t="array" aca="1" ref="M22" ca="1">INDIRECT("'"&amp;$A$1&amp;"'!"&amp;CHAR(65+COLUMN()-1)&amp;"5")</f>
        <v>0.64091000000000009</v>
      </c>
      <c r="N22" s="2" cm="1">
        <f t="array" aca="1" ref="N22" ca="1">INDIRECT("'"&amp;$A$1&amp;"'!"&amp;CHAR(65+COLUMN()-1)&amp;"5")</f>
        <v>8.916317687874846E-2</v>
      </c>
    </row>
    <row r="24" spans="1:14" ht="18" x14ac:dyDescent="0.35">
      <c r="A24" s="1" t="s">
        <v>5</v>
      </c>
    </row>
    <row r="25" spans="1:14" ht="18" x14ac:dyDescent="0.35">
      <c r="A25" s="1" t="s">
        <v>6</v>
      </c>
      <c r="B25" s="1" t="s">
        <v>21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13</v>
      </c>
      <c r="I25" s="1" t="s">
        <v>14</v>
      </c>
      <c r="J25" s="1" t="s">
        <v>15</v>
      </c>
      <c r="K25" s="1" t="s">
        <v>16</v>
      </c>
      <c r="L25" s="1" t="s">
        <v>17</v>
      </c>
      <c r="M25" s="1" t="s">
        <v>19</v>
      </c>
      <c r="N25" s="1" t="s">
        <v>20</v>
      </c>
    </row>
    <row r="26" spans="1:14" ht="18" x14ac:dyDescent="0.35">
      <c r="A26" s="1" t="s">
        <v>0</v>
      </c>
      <c r="B26" s="2" cm="1">
        <f t="array" aca="1" ref="B26" ca="1">INDIRECT("'"&amp;$A$1&amp;"'!"&amp;CHAR(65+COLUMN()-1)&amp;"14")</f>
        <v>45</v>
      </c>
      <c r="C26" s="2" cm="1">
        <f t="array" aca="1" ref="C26" ca="1">INDIRECT("'"&amp;$A$1&amp;"'!"&amp;CHAR(65+COLUMN()-1)&amp;"14")</f>
        <v>46</v>
      </c>
      <c r="D26" s="2" cm="1">
        <f t="array" aca="1" ref="D26" ca="1">INDIRECT("'"&amp;$A$1&amp;"'!"&amp;CHAR(65+COLUMN()-1)&amp;"14")</f>
        <v>50</v>
      </c>
      <c r="E26" s="2" cm="1">
        <f t="array" aca="1" ref="E26" ca="1">INDIRECT("'"&amp;$A$1&amp;"'!"&amp;CHAR(65+COLUMN()-1)&amp;"14")</f>
        <v>51</v>
      </c>
      <c r="F26" s="2" cm="1">
        <f t="array" aca="1" ref="F26" ca="1">INDIRECT("'"&amp;$A$1&amp;"'!"&amp;CHAR(65+COLUMN()-1)&amp;"14")</f>
        <v>46</v>
      </c>
      <c r="G26" s="2" cm="1">
        <f t="array" aca="1" ref="G26" ca="1">INDIRECT("'"&amp;$A$1&amp;"'!"&amp;CHAR(65+COLUMN()-1)&amp;"14")</f>
        <v>45</v>
      </c>
      <c r="H26" s="2" cm="1">
        <f t="array" aca="1" ref="H26" ca="1">INDIRECT("'"&amp;$A$1&amp;"'!"&amp;CHAR(65+COLUMN()-1)&amp;"14")</f>
        <v>59</v>
      </c>
      <c r="I26" s="2" cm="1">
        <f t="array" aca="1" ref="I26" ca="1">INDIRECT("'"&amp;$A$1&amp;"'!"&amp;CHAR(65+COLUMN()-1)&amp;"14")</f>
        <v>56</v>
      </c>
      <c r="J26" s="2" cm="1">
        <f t="array" aca="1" ref="J26" ca="1">INDIRECT("'"&amp;$A$1&amp;"'!"&amp;CHAR(65+COLUMN()-1)&amp;"14")</f>
        <v>53</v>
      </c>
      <c r="K26" s="2" cm="1">
        <f t="array" aca="1" ref="K26" ca="1">INDIRECT("'"&amp;$A$1&amp;"'!"&amp;CHAR(65+COLUMN()-1)&amp;"14")</f>
        <v>53</v>
      </c>
      <c r="L26" s="2" cm="1">
        <f t="array" aca="1" ref="L26" ca="1">INDIRECT("'"&amp;$A$1&amp;"'!"&amp;CHAR(65+COLUMN()-1)&amp;"14")</f>
        <v>53</v>
      </c>
      <c r="M26" s="2" cm="1">
        <f t="array" aca="1" ref="M26" ca="1">INDIRECT("'"&amp;$A$1&amp;"'!"&amp;CHAR(65+COLUMN()-1)&amp;"14")</f>
        <v>51.2</v>
      </c>
      <c r="N26" s="2" cm="1">
        <f t="array" aca="1" ref="N26" ca="1">INDIRECT("'"&amp;$A$1&amp;"'!"&amp;CHAR(65+COLUMN()-1)&amp;"14")</f>
        <v>4.5655716448703814</v>
      </c>
    </row>
    <row r="27" spans="1:14" ht="18" x14ac:dyDescent="0.35">
      <c r="A27" s="1" t="s">
        <v>7</v>
      </c>
      <c r="B27" s="2" cm="1">
        <f t="array" aca="1" ref="B27" ca="1">INDIRECT("'"&amp;$A$1&amp;"'!"&amp;CHAR(65+COLUMN()-1)&amp;"30")</f>
        <v>31</v>
      </c>
      <c r="C27" s="2" cm="1">
        <f t="array" aca="1" ref="C27" ca="1">INDIRECT("'"&amp;$A$1&amp;"'!"&amp;CHAR(65+COLUMN()-1)&amp;"30")</f>
        <v>40</v>
      </c>
      <c r="D27" s="2" cm="1">
        <f t="array" aca="1" ref="D27" ca="1">INDIRECT("'"&amp;$A$1&amp;"'!"&amp;CHAR(65+COLUMN()-1)&amp;"30")</f>
        <v>50</v>
      </c>
      <c r="E27" s="2" cm="1">
        <f t="array" aca="1" ref="E27" ca="1">INDIRECT("'"&amp;$A$1&amp;"'!"&amp;CHAR(65+COLUMN()-1)&amp;"30")</f>
        <v>48</v>
      </c>
      <c r="F27" s="2" cm="1">
        <f t="array" aca="1" ref="F27" ca="1">INDIRECT("'"&amp;$A$1&amp;"'!"&amp;CHAR(65+COLUMN()-1)&amp;"30")</f>
        <v>70</v>
      </c>
      <c r="G27" s="2" cm="1">
        <f t="array" aca="1" ref="G27" ca="1">INDIRECT("'"&amp;$A$1&amp;"'!"&amp;CHAR(65+COLUMN()-1)&amp;"30")</f>
        <v>63</v>
      </c>
      <c r="H27" s="2" cm="1">
        <f t="array" aca="1" ref="H27" ca="1">INDIRECT("'"&amp;$A$1&amp;"'!"&amp;CHAR(65+COLUMN()-1)&amp;"30")</f>
        <v>67</v>
      </c>
      <c r="I27" s="2" cm="1">
        <f t="array" aca="1" ref="I27" ca="1">INDIRECT("'"&amp;$A$1&amp;"'!"&amp;CHAR(65+COLUMN()-1)&amp;"30")</f>
        <v>66</v>
      </c>
      <c r="J27" s="2" cm="1">
        <f t="array" aca="1" ref="J27" ca="1">INDIRECT("'"&amp;$A$1&amp;"'!"&amp;CHAR(65+COLUMN()-1)&amp;"30")</f>
        <v>67</v>
      </c>
      <c r="K27" s="2" cm="1">
        <f t="array" aca="1" ref="K27" ca="1">INDIRECT("'"&amp;$A$1&amp;"'!"&amp;CHAR(65+COLUMN()-1)&amp;"30")</f>
        <v>65</v>
      </c>
      <c r="L27" s="2" cm="1">
        <f t="array" aca="1" ref="L27" ca="1">INDIRECT("'"&amp;$A$1&amp;"'!"&amp;CHAR(65+COLUMN()-1)&amp;"30")</f>
        <v>64</v>
      </c>
      <c r="M27" s="2" cm="1">
        <f t="array" aca="1" ref="M27" ca="1">INDIRECT("'"&amp;$A$1&amp;"'!"&amp;CHAR(65+COLUMN()-1)&amp;"30")</f>
        <v>60</v>
      </c>
      <c r="N27" s="2" cm="1">
        <f t="array" aca="1" ref="N27" ca="1">INDIRECT("'"&amp;$A$1&amp;"'!"&amp;CHAR(65+COLUMN()-1)&amp;"30")</f>
        <v>10.154364141151877</v>
      </c>
    </row>
    <row r="28" spans="1:14" ht="18" x14ac:dyDescent="0.35">
      <c r="A28" s="1" t="s">
        <v>1</v>
      </c>
      <c r="B28" s="2" cm="1">
        <f t="array" aca="1" ref="B28" ca="1">INDIRECT("'"&amp;$A$1&amp;"'!"&amp;CHAR(65+COLUMN()-1)&amp;"22")</f>
        <v>70</v>
      </c>
      <c r="C28" s="2" cm="1">
        <f t="array" aca="1" ref="C28" ca="1">INDIRECT("'"&amp;$A$1&amp;"'!"&amp;CHAR(65+COLUMN()-1)&amp;"22")</f>
        <v>142</v>
      </c>
      <c r="D28" s="2" cm="1">
        <f t="array" aca="1" ref="D28" ca="1">INDIRECT("'"&amp;$A$1&amp;"'!"&amp;CHAR(65+COLUMN()-1)&amp;"22")</f>
        <v>178</v>
      </c>
      <c r="E28" s="2" cm="1">
        <f t="array" aca="1" ref="E28" ca="1">INDIRECT("'"&amp;$A$1&amp;"'!"&amp;CHAR(65+COLUMN()-1)&amp;"22")</f>
        <v>118</v>
      </c>
      <c r="F28" s="2" cm="1">
        <f t="array" aca="1" ref="F28" ca="1">INDIRECT("'"&amp;$A$1&amp;"'!"&amp;CHAR(65+COLUMN()-1)&amp;"22")</f>
        <v>122</v>
      </c>
      <c r="G28" s="2" cm="1">
        <f t="array" aca="1" ref="G28" ca="1">INDIRECT("'"&amp;$A$1&amp;"'!"&amp;CHAR(65+COLUMN()-1)&amp;"22")</f>
        <v>74</v>
      </c>
      <c r="H28" s="2" cm="1">
        <f t="array" aca="1" ref="H28" ca="1">INDIRECT("'"&amp;$A$1&amp;"'!"&amp;CHAR(65+COLUMN()-1)&amp;"22")</f>
        <v>69</v>
      </c>
      <c r="I28" s="2" cm="1">
        <f t="array" aca="1" ref="I28" ca="1">INDIRECT("'"&amp;$A$1&amp;"'!"&amp;CHAR(65+COLUMN()-1)&amp;"22")</f>
        <v>73</v>
      </c>
      <c r="J28" s="2" cm="1">
        <f t="array" aca="1" ref="J28" ca="1">INDIRECT("'"&amp;$A$1&amp;"'!"&amp;CHAR(65+COLUMN()-1)&amp;"22")</f>
        <v>78</v>
      </c>
      <c r="K28" s="2" cm="1">
        <f t="array" aca="1" ref="K28" ca="1">INDIRECT("'"&amp;$A$1&amp;"'!"&amp;CHAR(65+COLUMN()-1)&amp;"22")</f>
        <v>60</v>
      </c>
      <c r="L28" s="2" cm="1">
        <f t="array" aca="1" ref="L28" ca="1">INDIRECT("'"&amp;$A$1&amp;"'!"&amp;CHAR(65+COLUMN()-1)&amp;"22")</f>
        <v>200</v>
      </c>
      <c r="M28" s="2" cm="1">
        <f t="array" aca="1" ref="M28" ca="1">INDIRECT("'"&amp;$A$1&amp;"'!"&amp;CHAR(65+COLUMN()-1)&amp;"22")</f>
        <v>111.4</v>
      </c>
      <c r="N28" s="2" cm="1">
        <f t="array" aca="1" ref="N28" ca="1">INDIRECT("'"&amp;$A$1&amp;"'!"&amp;CHAR(65+COLUMN()-1)&amp;"22")</f>
        <v>49.223300715548653</v>
      </c>
    </row>
    <row r="29" spans="1:14" ht="18" x14ac:dyDescent="0.35">
      <c r="A29" s="1" t="s">
        <v>18</v>
      </c>
      <c r="B29" s="2" cm="1">
        <f t="array" aca="1" ref="B29" ca="1">INDIRECT("'"&amp;$A$1&amp;"'!"&amp;CHAR(65+COLUMN()-1)&amp;"6")</f>
        <v>26</v>
      </c>
      <c r="C29" s="2" cm="1">
        <f t="array" aca="1" ref="C29" ca="1">INDIRECT("'"&amp;$A$1&amp;"'!"&amp;CHAR(65+COLUMN()-1)&amp;"6")</f>
        <v>22</v>
      </c>
      <c r="D29" s="2" cm="1">
        <f t="array" aca="1" ref="D29" ca="1">INDIRECT("'"&amp;$A$1&amp;"'!"&amp;CHAR(65+COLUMN()-1)&amp;"6")</f>
        <v>28</v>
      </c>
      <c r="E29" s="2" cm="1">
        <f t="array" aca="1" ref="E29" ca="1">INDIRECT("'"&amp;$A$1&amp;"'!"&amp;CHAR(65+COLUMN()-1)&amp;"6")</f>
        <v>21</v>
      </c>
      <c r="F29" s="2" cm="1">
        <f t="array" aca="1" ref="F29" ca="1">INDIRECT("'"&amp;$A$1&amp;"'!"&amp;CHAR(65+COLUMN()-1)&amp;"6")</f>
        <v>34</v>
      </c>
      <c r="G29" s="2" cm="1">
        <f t="array" aca="1" ref="G29" ca="1">INDIRECT("'"&amp;$A$1&amp;"'!"&amp;CHAR(65+COLUMN()-1)&amp;"6")</f>
        <v>21</v>
      </c>
      <c r="H29" s="2" cm="1">
        <f t="array" aca="1" ref="H29" ca="1">INDIRECT("'"&amp;$A$1&amp;"'!"&amp;CHAR(65+COLUMN()-1)&amp;"6")</f>
        <v>43</v>
      </c>
      <c r="I29" s="2" cm="1">
        <f t="array" aca="1" ref="I29" ca="1">INDIRECT("'"&amp;$A$1&amp;"'!"&amp;CHAR(65+COLUMN()-1)&amp;"6")</f>
        <v>47</v>
      </c>
      <c r="J29" s="2" cm="1">
        <f t="array" aca="1" ref="J29" ca="1">INDIRECT("'"&amp;$A$1&amp;"'!"&amp;CHAR(65+COLUMN()-1)&amp;"6")</f>
        <v>25</v>
      </c>
      <c r="K29" s="2" cm="1">
        <f t="array" aca="1" ref="K29" ca="1">INDIRECT("'"&amp;$A$1&amp;"'!"&amp;CHAR(65+COLUMN()-1)&amp;"6")</f>
        <v>41</v>
      </c>
      <c r="L29" s="2" cm="1">
        <f t="array" aca="1" ref="L29" ca="1">INDIRECT("'"&amp;$A$1&amp;"'!"&amp;CHAR(65+COLUMN()-1)&amp;"6")</f>
        <v>45</v>
      </c>
      <c r="M29" s="2" cm="1">
        <f t="array" aca="1" ref="M29" ca="1">INDIRECT("'"&amp;$A$1&amp;"'!"&amp;CHAR(65+COLUMN()-1)&amp;"6")</f>
        <v>32.700000000000003</v>
      </c>
      <c r="N29" s="2" cm="1">
        <f t="array" aca="1" ref="N29" ca="1">INDIRECT("'"&amp;$A$1&amp;"'!"&amp;CHAR(65+COLUMN()-1)&amp;"6")</f>
        <v>10.551987701113212</v>
      </c>
    </row>
  </sheetData>
  <phoneticPr fontId="1" type="noConversion"/>
  <conditionalFormatting sqref="N5:N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:N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N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M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B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B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A1" xr:uid="{908CB5B0-3BEF-451B-8CFD-9BEF4B11B272}">
      <formula1>"55_104_2,14_33_103_3,14_16_33_49_55_4,14_16_33_49_55_103_5,8068,134008,160067,100039"</formula1>
    </dataValidation>
  </dataValidation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AB22-D4E0-4395-9BED-8A19DB08DBB6}">
  <dimension ref="A1:N21"/>
  <sheetViews>
    <sheetView workbookViewId="0">
      <selection activeCell="B9" sqref="B9:E21"/>
    </sheetView>
  </sheetViews>
  <sheetFormatPr defaultRowHeight="15.6" x14ac:dyDescent="0.3"/>
  <cols>
    <col min="1" max="1" width="9" style="3"/>
    <col min="2" max="13" width="9.875" style="3" bestFit="1" customWidth="1"/>
    <col min="14" max="14" width="9.25" style="3" bestFit="1" customWidth="1"/>
    <col min="15" max="16384" width="9" style="3"/>
  </cols>
  <sheetData>
    <row r="1" spans="1:14" x14ac:dyDescent="0.3">
      <c r="A1" s="3" t="s">
        <v>22</v>
      </c>
      <c r="B1" s="3" t="s">
        <v>23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24</v>
      </c>
      <c r="N1" s="3" t="s">
        <v>25</v>
      </c>
    </row>
    <row r="2" spans="1:14" x14ac:dyDescent="0.3">
      <c r="A2" s="3" t="s">
        <v>26</v>
      </c>
      <c r="B2" s="4">
        <v>0.934410646387833</v>
      </c>
      <c r="C2" s="4">
        <v>0.95057034220532299</v>
      </c>
      <c r="D2" s="4">
        <v>0.97718631178707205</v>
      </c>
      <c r="E2" s="4">
        <v>0.94296577946768101</v>
      </c>
      <c r="F2" s="4">
        <v>0.91064638783270002</v>
      </c>
      <c r="G2" s="4">
        <v>0.96387832699619802</v>
      </c>
      <c r="H2" s="4">
        <v>0.87929999999999997</v>
      </c>
      <c r="I2" s="4">
        <v>0.88973384030418301</v>
      </c>
      <c r="J2" s="4">
        <v>0.86596958174905003</v>
      </c>
      <c r="K2" s="4">
        <v>0.94201520912547498</v>
      </c>
      <c r="L2" s="4">
        <v>0.95057034220532299</v>
      </c>
      <c r="M2" s="4">
        <v>0.9272836121673006</v>
      </c>
      <c r="N2" s="4">
        <v>3.8188954857445695E-2</v>
      </c>
    </row>
    <row r="3" spans="1:14" x14ac:dyDescent="0.3">
      <c r="A3" s="3" t="s">
        <v>27</v>
      </c>
      <c r="B3" s="4">
        <v>0.88212927756654003</v>
      </c>
      <c r="C3" s="4">
        <v>0.87357414448669202</v>
      </c>
      <c r="D3" s="4">
        <v>0.93250950570342195</v>
      </c>
      <c r="E3" s="4">
        <v>0.92585551330798499</v>
      </c>
      <c r="F3" s="4">
        <v>0.79659999999999997</v>
      </c>
      <c r="G3" s="4">
        <v>0.87072243346007605</v>
      </c>
      <c r="H3" s="4">
        <v>0.88783269961977196</v>
      </c>
      <c r="I3" s="4">
        <v>0.85360000000000003</v>
      </c>
      <c r="J3" s="4">
        <v>0.88119999999999998</v>
      </c>
      <c r="K3" s="4">
        <v>0.89070000000000005</v>
      </c>
      <c r="L3" s="4">
        <v>0.91059999999999997</v>
      </c>
      <c r="M3" s="4">
        <v>0.88231942965779475</v>
      </c>
      <c r="N3" s="4">
        <v>3.9015246014141872E-2</v>
      </c>
    </row>
    <row r="4" spans="1:14" x14ac:dyDescent="0.3">
      <c r="A4" s="3" t="s">
        <v>28</v>
      </c>
      <c r="B4" s="4">
        <v>0.84980988593155904</v>
      </c>
      <c r="C4" s="4">
        <v>0.905893536121673</v>
      </c>
      <c r="D4" s="4">
        <v>0.91825095057034201</v>
      </c>
      <c r="E4" s="4">
        <v>0.94110000000000005</v>
      </c>
      <c r="F4" s="4">
        <v>0.91539999999999999</v>
      </c>
      <c r="G4" s="4">
        <v>0.76996197718631199</v>
      </c>
      <c r="H4" s="4">
        <v>0.91539999999999999</v>
      </c>
      <c r="I4" s="4">
        <v>0.8508</v>
      </c>
      <c r="J4" s="4">
        <v>0.92490000000000006</v>
      </c>
      <c r="K4" s="4">
        <v>0.89349999999999996</v>
      </c>
      <c r="L4" s="4">
        <v>0.84509999999999996</v>
      </c>
      <c r="M4" s="4">
        <v>0.88803064638783291</v>
      </c>
      <c r="N4" s="4">
        <v>5.1753157802850551E-2</v>
      </c>
    </row>
    <row r="5" spans="1:14" x14ac:dyDescent="0.3">
      <c r="A5" s="3" t="s">
        <v>29</v>
      </c>
      <c r="B5" s="4">
        <v>0.99524714828897298</v>
      </c>
      <c r="C5" s="4">
        <v>0.99524714828897298</v>
      </c>
      <c r="D5" s="4">
        <v>0.99714828897338403</v>
      </c>
      <c r="E5" s="4">
        <v>0.97813688212927796</v>
      </c>
      <c r="F5" s="4">
        <v>0.99809885931558895</v>
      </c>
      <c r="G5" s="4">
        <v>0.99809885931558895</v>
      </c>
      <c r="H5" s="4">
        <v>0.99714828897338403</v>
      </c>
      <c r="I5" s="4">
        <v>0.99809999999999999</v>
      </c>
      <c r="J5" s="4">
        <v>0.99519999999999997</v>
      </c>
      <c r="K5" s="4">
        <v>1</v>
      </c>
      <c r="L5" s="4">
        <v>1</v>
      </c>
      <c r="M5" s="4">
        <v>0.99571783269961966</v>
      </c>
      <c r="N5" s="4">
        <v>6.3888717304572814E-3</v>
      </c>
    </row>
    <row r="8" spans="1:14" x14ac:dyDescent="0.3">
      <c r="A8" s="3" t="s">
        <v>22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14" x14ac:dyDescent="0.3">
      <c r="A9" s="3" t="s">
        <v>23</v>
      </c>
      <c r="B9" s="4">
        <v>0.934410646387833</v>
      </c>
      <c r="C9" s="4">
        <v>0.88212927756654003</v>
      </c>
      <c r="D9" s="4">
        <v>0.84980988593155904</v>
      </c>
      <c r="E9" s="4">
        <v>0.99524714828897298</v>
      </c>
      <c r="H9" s="4"/>
      <c r="I9" s="4"/>
      <c r="J9" s="4"/>
      <c r="K9" s="4"/>
    </row>
    <row r="10" spans="1:14" x14ac:dyDescent="0.3">
      <c r="A10" s="3" t="s">
        <v>8</v>
      </c>
      <c r="B10" s="4">
        <v>0.95057034220532299</v>
      </c>
      <c r="C10" s="4">
        <v>0.87357414448669202</v>
      </c>
      <c r="D10" s="4">
        <v>0.905893536121673</v>
      </c>
      <c r="E10" s="4">
        <v>0.99524714828897298</v>
      </c>
      <c r="H10" s="4"/>
      <c r="I10" s="4"/>
      <c r="J10" s="4"/>
      <c r="K10" s="4"/>
    </row>
    <row r="11" spans="1:14" x14ac:dyDescent="0.3">
      <c r="A11" s="3" t="s">
        <v>9</v>
      </c>
      <c r="B11" s="4">
        <v>0.97718631178707205</v>
      </c>
      <c r="C11" s="4">
        <v>0.93250950570342195</v>
      </c>
      <c r="D11" s="4">
        <v>0.91825095057034201</v>
      </c>
      <c r="E11" s="4">
        <v>0.99714828897338403</v>
      </c>
      <c r="H11" s="4"/>
      <c r="I11" s="4"/>
      <c r="J11" s="4"/>
      <c r="K11" s="4"/>
    </row>
    <row r="12" spans="1:14" x14ac:dyDescent="0.3">
      <c r="A12" s="3" t="s">
        <v>10</v>
      </c>
      <c r="B12" s="4">
        <v>0.94296577946768101</v>
      </c>
      <c r="C12" s="4">
        <v>0.92585551330798499</v>
      </c>
      <c r="D12" s="4">
        <v>0.94110000000000005</v>
      </c>
      <c r="E12" s="4">
        <v>0.97813688212927796</v>
      </c>
      <c r="H12" s="4"/>
      <c r="I12" s="4"/>
      <c r="J12" s="4"/>
      <c r="K12" s="4"/>
    </row>
    <row r="13" spans="1:14" x14ac:dyDescent="0.3">
      <c r="A13" s="3" t="s">
        <v>11</v>
      </c>
      <c r="B13" s="4">
        <v>0.91064638783270002</v>
      </c>
      <c r="C13" s="4">
        <v>0.79659999999999997</v>
      </c>
      <c r="D13" s="4">
        <v>0.91539999999999999</v>
      </c>
      <c r="E13" s="4">
        <v>0.99809885931558895</v>
      </c>
      <c r="H13" s="4"/>
      <c r="I13" s="4"/>
      <c r="J13" s="4"/>
      <c r="K13" s="4"/>
    </row>
    <row r="14" spans="1:14" x14ac:dyDescent="0.3">
      <c r="A14" s="3" t="s">
        <v>12</v>
      </c>
      <c r="B14" s="4">
        <v>0.96387832699619802</v>
      </c>
      <c r="C14" s="4">
        <v>0.87072243346007605</v>
      </c>
      <c r="D14" s="4">
        <v>0.76996197718631199</v>
      </c>
      <c r="E14" s="4">
        <v>0.99809885931558895</v>
      </c>
      <c r="H14" s="4"/>
      <c r="I14" s="4"/>
      <c r="J14" s="4"/>
      <c r="K14" s="4"/>
    </row>
    <row r="15" spans="1:14" x14ac:dyDescent="0.3">
      <c r="A15" s="3" t="s">
        <v>13</v>
      </c>
      <c r="B15" s="4">
        <v>0.87929999999999997</v>
      </c>
      <c r="C15" s="4">
        <v>0.88783269961977196</v>
      </c>
      <c r="D15" s="4">
        <v>0.91539999999999999</v>
      </c>
      <c r="E15" s="4">
        <v>0.99714828897338403</v>
      </c>
      <c r="H15" s="4"/>
      <c r="I15" s="4"/>
      <c r="J15" s="4"/>
      <c r="K15" s="4"/>
    </row>
    <row r="16" spans="1:14" x14ac:dyDescent="0.3">
      <c r="A16" s="3" t="s">
        <v>14</v>
      </c>
      <c r="B16" s="4">
        <v>0.88973384030418301</v>
      </c>
      <c r="C16" s="4">
        <v>0.85360000000000003</v>
      </c>
      <c r="D16" s="4">
        <v>0.8508</v>
      </c>
      <c r="E16" s="4">
        <v>0.99809999999999999</v>
      </c>
      <c r="H16" s="4"/>
      <c r="I16" s="4"/>
      <c r="J16" s="4"/>
      <c r="K16" s="4"/>
    </row>
    <row r="17" spans="1:11" x14ac:dyDescent="0.3">
      <c r="A17" s="3" t="s">
        <v>15</v>
      </c>
      <c r="B17" s="4">
        <v>0.86596958174905003</v>
      </c>
      <c r="C17" s="4">
        <v>0.88119999999999998</v>
      </c>
      <c r="D17" s="4">
        <v>0.92490000000000006</v>
      </c>
      <c r="E17" s="4">
        <v>0.99519999999999997</v>
      </c>
      <c r="H17" s="4"/>
      <c r="I17" s="4"/>
      <c r="J17" s="4"/>
      <c r="K17" s="4"/>
    </row>
    <row r="18" spans="1:11" x14ac:dyDescent="0.3">
      <c r="A18" s="3" t="s">
        <v>16</v>
      </c>
      <c r="B18" s="4">
        <v>0.94201520912547498</v>
      </c>
      <c r="C18" s="4">
        <v>0.89070000000000005</v>
      </c>
      <c r="D18" s="4">
        <v>0.89349999999999996</v>
      </c>
      <c r="E18" s="4">
        <v>1</v>
      </c>
      <c r="H18" s="4"/>
      <c r="I18" s="4"/>
      <c r="J18" s="4"/>
      <c r="K18" s="4"/>
    </row>
    <row r="19" spans="1:11" x14ac:dyDescent="0.3">
      <c r="A19" s="3" t="s">
        <v>17</v>
      </c>
      <c r="B19" s="4">
        <v>0.95057034220532299</v>
      </c>
      <c r="C19" s="4">
        <v>0.91059999999999997</v>
      </c>
      <c r="D19" s="4">
        <v>0.84509999999999996</v>
      </c>
      <c r="E19" s="4">
        <v>1</v>
      </c>
      <c r="H19" s="4"/>
      <c r="I19" s="4"/>
      <c r="J19" s="4"/>
      <c r="K19" s="4"/>
    </row>
    <row r="20" spans="1:11" x14ac:dyDescent="0.3">
      <c r="A20" s="3" t="s">
        <v>24</v>
      </c>
      <c r="B20" s="4">
        <v>0.9272836121673006</v>
      </c>
      <c r="C20" s="4">
        <v>0.88231942965779475</v>
      </c>
      <c r="D20" s="4">
        <v>0.88803064638783291</v>
      </c>
      <c r="E20" s="4">
        <v>0.99571783269961966</v>
      </c>
      <c r="H20" s="4"/>
      <c r="I20" s="4"/>
      <c r="J20" s="4"/>
      <c r="K20" s="4"/>
    </row>
    <row r="21" spans="1:11" x14ac:dyDescent="0.3">
      <c r="A21" s="3" t="s">
        <v>25</v>
      </c>
      <c r="B21" s="4">
        <v>3.8188954857445695E-2</v>
      </c>
      <c r="C21" s="4">
        <v>3.9015246014141872E-2</v>
      </c>
      <c r="D21" s="4">
        <v>5.1753157802850551E-2</v>
      </c>
      <c r="E21" s="4">
        <v>6.3888717304572814E-3</v>
      </c>
      <c r="H21" s="4"/>
      <c r="I21" s="4"/>
      <c r="J21" s="4"/>
      <c r="K21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54B242-DE90-4C27-9AB6-7FF8B46BE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55_104_2</vt:lpstr>
      <vt:lpstr>14_33_103_3</vt:lpstr>
      <vt:lpstr>14_16_33_49_55_4</vt:lpstr>
      <vt:lpstr>14_16_33_49_55_103_5</vt:lpstr>
      <vt:lpstr>8068</vt:lpstr>
      <vt:lpstr>134008</vt:lpstr>
      <vt:lpstr>160067</vt:lpstr>
      <vt:lpstr>100039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徐永承</dc:creator>
  <cp:lastModifiedBy>徐永承</cp:lastModifiedBy>
  <dcterms:created xsi:type="dcterms:W3CDTF">2015-06-05T18:19:34Z</dcterms:created>
  <dcterms:modified xsi:type="dcterms:W3CDTF">2023-04-17T14:11:18Z</dcterms:modified>
</cp:coreProperties>
</file>