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asslottery-my.sharepoint.com/personal/aalmeida_masslottery_com/Documents/Desktop/Odds calculation/"/>
    </mc:Choice>
  </mc:AlternateContent>
  <xr:revisionPtr revIDLastSave="9" documentId="13_ncr:1_{E6B4F0E7-E3C1-408A-8545-B317B02D00DC}" xr6:coauthVersionLast="47" xr6:coauthVersionMax="47" xr10:uidLastSave="{ECB3ABDC-0DC4-4CC2-9F03-41A2FAAE92BF}"/>
  <bookViews>
    <workbookView xWindow="-19310" yWindow="-110" windowWidth="19420" windowHeight="11500" tabRatio="902" firstSheet="6" activeTab="6" xr2:uid="{00000000-000D-0000-FFFF-FFFF00000000}"/>
  </bookViews>
  <sheets>
    <sheet name="Calculation Desciptions &amp; Notes" sheetId="1" r:id="rId1"/>
    <sheet name="Bonus #s" sheetId="15" r:id="rId2"/>
    <sheet name="1-Spot" sheetId="2" r:id="rId3"/>
    <sheet name="2-Spot" sheetId="4" r:id="rId4"/>
    <sheet name="3-Spot" sheetId="5" r:id="rId5"/>
    <sheet name="4-Spot" sheetId="6" r:id="rId6"/>
    <sheet name="5-Spot" sheetId="7" r:id="rId7"/>
    <sheet name="6-Spot" sheetId="8" r:id="rId8"/>
    <sheet name="7-Spot" sheetId="9" r:id="rId9"/>
    <sheet name="8-Spot" sheetId="10" r:id="rId10"/>
    <sheet name="9-Spot" sheetId="11" r:id="rId11"/>
    <sheet name="10-Spot" sheetId="12" r:id="rId12"/>
    <sheet name="11-Spot" sheetId="13" r:id="rId13"/>
    <sheet name="12-Spot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7" l="1"/>
  <c r="C20" i="7"/>
  <c r="D13" i="4"/>
  <c r="G21" i="8"/>
  <c r="C13" i="6" l="1"/>
  <c r="U8" i="15"/>
  <c r="Q17" i="15" l="1"/>
  <c r="O17" i="15"/>
  <c r="U16" i="15"/>
  <c r="S16" i="15"/>
  <c r="R16" i="15"/>
  <c r="N16" i="15"/>
  <c r="M16" i="15"/>
  <c r="U15" i="15"/>
  <c r="S15" i="15"/>
  <c r="R15" i="15"/>
  <c r="N15" i="15"/>
  <c r="M15" i="15"/>
  <c r="U14" i="15"/>
  <c r="S14" i="15"/>
  <c r="R14" i="15"/>
  <c r="N14" i="15"/>
  <c r="M14" i="15"/>
  <c r="U13" i="15"/>
  <c r="S13" i="15"/>
  <c r="R13" i="15"/>
  <c r="N13" i="15"/>
  <c r="M13" i="15"/>
  <c r="U12" i="15"/>
  <c r="S12" i="15"/>
  <c r="R12" i="15"/>
  <c r="N12" i="15"/>
  <c r="M12" i="15"/>
  <c r="U11" i="15"/>
  <c r="S11" i="15"/>
  <c r="R11" i="15"/>
  <c r="N11" i="15"/>
  <c r="M11" i="15"/>
  <c r="U10" i="15"/>
  <c r="S10" i="15"/>
  <c r="R10" i="15"/>
  <c r="N10" i="15"/>
  <c r="M10" i="15"/>
  <c r="U9" i="15"/>
  <c r="S9" i="15"/>
  <c r="R9" i="15"/>
  <c r="N9" i="15"/>
  <c r="M9" i="15"/>
  <c r="S8" i="15"/>
  <c r="R8" i="15"/>
  <c r="N8" i="15"/>
  <c r="M8" i="15"/>
  <c r="U7" i="15"/>
  <c r="U17" i="15" s="1"/>
  <c r="S7" i="15"/>
  <c r="R7" i="15"/>
  <c r="N7" i="15"/>
  <c r="M7" i="15"/>
  <c r="J8" i="15"/>
  <c r="J7" i="15"/>
  <c r="F17" i="15"/>
  <c r="G11" i="15" s="1"/>
  <c r="D17" i="15"/>
  <c r="B10" i="15" s="1"/>
  <c r="J16" i="15"/>
  <c r="J15" i="15"/>
  <c r="H15" i="15"/>
  <c r="G15" i="15"/>
  <c r="C15" i="15"/>
  <c r="B15" i="15"/>
  <c r="J14" i="15"/>
  <c r="H14" i="15"/>
  <c r="G14" i="15"/>
  <c r="C14" i="15"/>
  <c r="B14" i="15"/>
  <c r="J13" i="15"/>
  <c r="H13" i="15"/>
  <c r="G13" i="15"/>
  <c r="C13" i="15"/>
  <c r="B13" i="15"/>
  <c r="J12" i="15"/>
  <c r="H12" i="15"/>
  <c r="G12" i="15"/>
  <c r="C12" i="15"/>
  <c r="B12" i="15"/>
  <c r="J11" i="15"/>
  <c r="C11" i="15"/>
  <c r="B11" i="15"/>
  <c r="J10" i="15"/>
  <c r="C10" i="15"/>
  <c r="J9" i="15"/>
  <c r="B9" i="15"/>
  <c r="C8" i="15"/>
  <c r="B8" i="15"/>
  <c r="C7" i="15"/>
  <c r="B7" i="15"/>
  <c r="E40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U18" i="15" l="1"/>
  <c r="U21" i="15" s="1"/>
  <c r="S19" i="15" s="1"/>
  <c r="C16" i="15"/>
  <c r="J17" i="15"/>
  <c r="B16" i="15"/>
  <c r="H7" i="15"/>
  <c r="G8" i="15"/>
  <c r="G9" i="15"/>
  <c r="G10" i="15"/>
  <c r="H11" i="15"/>
  <c r="G16" i="15"/>
  <c r="G7" i="15"/>
  <c r="H16" i="15"/>
  <c r="H8" i="15"/>
  <c r="H9" i="15"/>
  <c r="H10" i="15"/>
  <c r="C9" i="15"/>
  <c r="C27" i="14"/>
  <c r="C25" i="14"/>
  <c r="C24" i="14"/>
  <c r="D24" i="14" s="1"/>
  <c r="C23" i="14"/>
  <c r="C22" i="14"/>
  <c r="C21" i="14"/>
  <c r="D21" i="14" s="1"/>
  <c r="C20" i="14"/>
  <c r="C19" i="14"/>
  <c r="E19" i="14" s="1"/>
  <c r="C18" i="14"/>
  <c r="C17" i="14"/>
  <c r="C16" i="14"/>
  <c r="G16" i="14" s="1"/>
  <c r="C15" i="14"/>
  <c r="E15" i="14" s="1"/>
  <c r="C14" i="14"/>
  <c r="C13" i="14"/>
  <c r="G13" i="14" s="1"/>
  <c r="G25" i="14"/>
  <c r="G24" i="14"/>
  <c r="E24" i="14"/>
  <c r="G23" i="14"/>
  <c r="E23" i="14"/>
  <c r="G22" i="14"/>
  <c r="E22" i="14"/>
  <c r="D22" i="14"/>
  <c r="G21" i="14"/>
  <c r="E21" i="14"/>
  <c r="G20" i="14"/>
  <c r="G18" i="14"/>
  <c r="E18" i="14"/>
  <c r="D18" i="14"/>
  <c r="G17" i="14"/>
  <c r="G14" i="14"/>
  <c r="C26" i="13"/>
  <c r="C24" i="13"/>
  <c r="C23" i="13"/>
  <c r="D23" i="13" s="1"/>
  <c r="C22" i="13"/>
  <c r="C21" i="13"/>
  <c r="C20" i="13"/>
  <c r="D20" i="13" s="1"/>
  <c r="C19" i="13"/>
  <c r="G19" i="13" s="1"/>
  <c r="C18" i="13"/>
  <c r="C17" i="13"/>
  <c r="C16" i="13"/>
  <c r="C15" i="13"/>
  <c r="G15" i="13" s="1"/>
  <c r="C14" i="13"/>
  <c r="G14" i="13" s="1"/>
  <c r="C13" i="13"/>
  <c r="G13" i="13" s="1"/>
  <c r="G24" i="13"/>
  <c r="G23" i="13"/>
  <c r="E23" i="13"/>
  <c r="G22" i="13"/>
  <c r="E22" i="13"/>
  <c r="G21" i="13"/>
  <c r="E21" i="13"/>
  <c r="D21" i="13"/>
  <c r="G20" i="13"/>
  <c r="E20" i="13"/>
  <c r="G18" i="13"/>
  <c r="G17" i="13"/>
  <c r="E17" i="13"/>
  <c r="D17" i="13"/>
  <c r="G16" i="13"/>
  <c r="C25" i="12"/>
  <c r="D20" i="12" s="1"/>
  <c r="C23" i="12"/>
  <c r="C22" i="12"/>
  <c r="C21" i="12"/>
  <c r="C20" i="12"/>
  <c r="C19" i="12"/>
  <c r="C18" i="12"/>
  <c r="G18" i="12" s="1"/>
  <c r="C17" i="12"/>
  <c r="G17" i="12" s="1"/>
  <c r="C16" i="12"/>
  <c r="G16" i="12" s="1"/>
  <c r="C15" i="12"/>
  <c r="C14" i="12"/>
  <c r="G14" i="12" s="1"/>
  <c r="C13" i="12"/>
  <c r="G13" i="12" s="1"/>
  <c r="G23" i="12"/>
  <c r="E23" i="12"/>
  <c r="G22" i="12"/>
  <c r="E22" i="12"/>
  <c r="G21" i="12"/>
  <c r="E21" i="12"/>
  <c r="G20" i="12"/>
  <c r="E20" i="12"/>
  <c r="G19" i="12"/>
  <c r="G15" i="12"/>
  <c r="C24" i="11"/>
  <c r="C22" i="11"/>
  <c r="C21" i="11"/>
  <c r="C20" i="11"/>
  <c r="C19" i="11"/>
  <c r="C18" i="11"/>
  <c r="E18" i="11" s="1"/>
  <c r="C17" i="11"/>
  <c r="G17" i="11" s="1"/>
  <c r="C16" i="11"/>
  <c r="G16" i="11" s="1"/>
  <c r="C15" i="11"/>
  <c r="C14" i="11"/>
  <c r="G14" i="11" s="1"/>
  <c r="C13" i="11"/>
  <c r="G13" i="11" s="1"/>
  <c r="G22" i="11"/>
  <c r="E22" i="11"/>
  <c r="D22" i="11"/>
  <c r="G21" i="11"/>
  <c r="E21" i="11"/>
  <c r="G20" i="11"/>
  <c r="E20" i="11"/>
  <c r="G19" i="11"/>
  <c r="E19" i="11"/>
  <c r="C23" i="10"/>
  <c r="C21" i="10"/>
  <c r="C20" i="10"/>
  <c r="C19" i="10"/>
  <c r="C18" i="10"/>
  <c r="C17" i="10"/>
  <c r="G17" i="10" s="1"/>
  <c r="C16" i="10"/>
  <c r="C15" i="10"/>
  <c r="G15" i="10" s="1"/>
  <c r="C14" i="10"/>
  <c r="G14" i="10" s="1"/>
  <c r="C13" i="10"/>
  <c r="G13" i="10" s="1"/>
  <c r="G21" i="10"/>
  <c r="E21" i="10"/>
  <c r="G20" i="10"/>
  <c r="E20" i="10"/>
  <c r="D20" i="10"/>
  <c r="G19" i="10"/>
  <c r="E19" i="10"/>
  <c r="G18" i="10"/>
  <c r="G16" i="10"/>
  <c r="C22" i="9"/>
  <c r="C20" i="9"/>
  <c r="C19" i="9"/>
  <c r="D19" i="9" s="1"/>
  <c r="C18" i="9"/>
  <c r="C17" i="9"/>
  <c r="C16" i="9"/>
  <c r="G16" i="9" s="1"/>
  <c r="C15" i="9"/>
  <c r="G15" i="9" s="1"/>
  <c r="C14" i="9"/>
  <c r="G14" i="9" s="1"/>
  <c r="C13" i="9"/>
  <c r="G13" i="9" s="1"/>
  <c r="G20" i="9"/>
  <c r="E20" i="9"/>
  <c r="G19" i="9"/>
  <c r="E19" i="9"/>
  <c r="G18" i="9"/>
  <c r="E18" i="9"/>
  <c r="G17" i="9"/>
  <c r="E16" i="9"/>
  <c r="D16" i="9"/>
  <c r="C21" i="8"/>
  <c r="D18" i="8" s="1"/>
  <c r="C19" i="8"/>
  <c r="C18" i="8"/>
  <c r="C17" i="8"/>
  <c r="C16" i="8"/>
  <c r="E16" i="8" s="1"/>
  <c r="C15" i="8"/>
  <c r="G15" i="8" s="1"/>
  <c r="C14" i="8"/>
  <c r="G14" i="8" s="1"/>
  <c r="C13" i="8"/>
  <c r="G13" i="8" s="1"/>
  <c r="G19" i="8"/>
  <c r="E19" i="8"/>
  <c r="G18" i="8"/>
  <c r="E18" i="8"/>
  <c r="G17" i="8"/>
  <c r="E17" i="8"/>
  <c r="E14" i="8"/>
  <c r="C18" i="7"/>
  <c r="C17" i="7"/>
  <c r="C16" i="7"/>
  <c r="C15" i="7"/>
  <c r="E15" i="7" s="1"/>
  <c r="C14" i="7"/>
  <c r="E14" i="7" s="1"/>
  <c r="C13" i="7"/>
  <c r="G13" i="7"/>
  <c r="G18" i="7"/>
  <c r="E18" i="7"/>
  <c r="G17" i="7"/>
  <c r="E17" i="7"/>
  <c r="G16" i="7"/>
  <c r="C19" i="6"/>
  <c r="C17" i="6"/>
  <c r="C16" i="6"/>
  <c r="C15" i="6"/>
  <c r="G15" i="6" s="1"/>
  <c r="C14" i="6"/>
  <c r="G14" i="6" s="1"/>
  <c r="G13" i="6"/>
  <c r="G17" i="6"/>
  <c r="E17" i="6"/>
  <c r="G16" i="6"/>
  <c r="E16" i="6"/>
  <c r="C18" i="5"/>
  <c r="C16" i="5"/>
  <c r="C15" i="5"/>
  <c r="C14" i="5"/>
  <c r="G14" i="5" s="1"/>
  <c r="C13" i="5"/>
  <c r="E13" i="5" s="1"/>
  <c r="G16" i="5"/>
  <c r="E16" i="5"/>
  <c r="G15" i="5"/>
  <c r="E15" i="5"/>
  <c r="C13" i="4"/>
  <c r="G13" i="4" s="1"/>
  <c r="C15" i="4"/>
  <c r="C14" i="4"/>
  <c r="G14" i="4" s="1"/>
  <c r="C17" i="4"/>
  <c r="G15" i="4"/>
  <c r="E15" i="4"/>
  <c r="E14" i="2"/>
  <c r="G14" i="2"/>
  <c r="C16" i="2"/>
  <c r="C14" i="2"/>
  <c r="C13" i="2"/>
  <c r="E13" i="2" s="1"/>
  <c r="J18" i="15" l="1"/>
  <c r="J21" i="15" s="1"/>
  <c r="H19" i="15" s="1"/>
  <c r="D14" i="13"/>
  <c r="D15" i="14"/>
  <c r="D23" i="12"/>
  <c r="D22" i="12"/>
  <c r="E14" i="13"/>
  <c r="G18" i="11"/>
  <c r="D15" i="4"/>
  <c r="D21" i="10"/>
  <c r="G17" i="4"/>
  <c r="D17" i="7"/>
  <c r="D20" i="9"/>
  <c r="G15" i="14"/>
  <c r="D13" i="2"/>
  <c r="G13" i="5"/>
  <c r="G18" i="5" s="1"/>
  <c r="G20" i="5" s="1"/>
  <c r="D16" i="5"/>
  <c r="D16" i="6"/>
  <c r="G14" i="7"/>
  <c r="D14" i="7"/>
  <c r="D17" i="10"/>
  <c r="E17" i="10"/>
  <c r="D21" i="11"/>
  <c r="D19" i="11"/>
  <c r="D15" i="11"/>
  <c r="F38" i="1"/>
  <c r="D13" i="14"/>
  <c r="E13" i="14"/>
  <c r="G19" i="14"/>
  <c r="D16" i="14"/>
  <c r="D19" i="14"/>
  <c r="D25" i="14"/>
  <c r="E16" i="14"/>
  <c r="E25" i="14"/>
  <c r="D14" i="14"/>
  <c r="D17" i="14"/>
  <c r="D20" i="14"/>
  <c r="D23" i="14"/>
  <c r="E14" i="14"/>
  <c r="E17" i="14"/>
  <c r="E20" i="14"/>
  <c r="D13" i="13"/>
  <c r="E13" i="13"/>
  <c r="G26" i="13"/>
  <c r="G28" i="13" s="1"/>
  <c r="D15" i="13"/>
  <c r="D18" i="13"/>
  <c r="D24" i="13"/>
  <c r="E15" i="13"/>
  <c r="E18" i="13"/>
  <c r="E24" i="13"/>
  <c r="D16" i="13"/>
  <c r="D19" i="13"/>
  <c r="D22" i="13"/>
  <c r="E16" i="13"/>
  <c r="E19" i="13"/>
  <c r="D13" i="12"/>
  <c r="E13" i="12"/>
  <c r="D16" i="12"/>
  <c r="E16" i="12"/>
  <c r="D19" i="12"/>
  <c r="E19" i="12"/>
  <c r="G25" i="12"/>
  <c r="G27" i="12" s="1"/>
  <c r="D14" i="12"/>
  <c r="D17" i="12"/>
  <c r="E14" i="12"/>
  <c r="E17" i="12"/>
  <c r="D15" i="12"/>
  <c r="D18" i="12"/>
  <c r="D21" i="12"/>
  <c r="E15" i="12"/>
  <c r="E18" i="12"/>
  <c r="E16" i="2"/>
  <c r="D17" i="2" s="1"/>
  <c r="G19" i="4"/>
  <c r="D15" i="5"/>
  <c r="D17" i="6"/>
  <c r="D18" i="7"/>
  <c r="D16" i="7"/>
  <c r="D19" i="8"/>
  <c r="D17" i="8"/>
  <c r="D14" i="10"/>
  <c r="E14" i="10"/>
  <c r="E15" i="11"/>
  <c r="G15" i="11"/>
  <c r="D18" i="11"/>
  <c r="D13" i="11"/>
  <c r="E13" i="11"/>
  <c r="D16" i="11"/>
  <c r="E16" i="11"/>
  <c r="D14" i="11"/>
  <c r="D17" i="11"/>
  <c r="D20" i="11"/>
  <c r="E14" i="11"/>
  <c r="E17" i="11"/>
  <c r="D13" i="10"/>
  <c r="E13" i="10"/>
  <c r="G23" i="10"/>
  <c r="G25" i="10" s="1"/>
  <c r="D15" i="10"/>
  <c r="D18" i="10"/>
  <c r="E15" i="10"/>
  <c r="E18" i="10"/>
  <c r="D16" i="10"/>
  <c r="D19" i="10"/>
  <c r="E16" i="10"/>
  <c r="D13" i="9"/>
  <c r="E13" i="9"/>
  <c r="G22" i="9"/>
  <c r="G24" i="9" s="1"/>
  <c r="D14" i="9"/>
  <c r="D17" i="9"/>
  <c r="E14" i="9"/>
  <c r="E17" i="9"/>
  <c r="D15" i="9"/>
  <c r="D18" i="9"/>
  <c r="E15" i="9"/>
  <c r="D13" i="8"/>
  <c r="E13" i="8"/>
  <c r="D16" i="8"/>
  <c r="G16" i="8"/>
  <c r="G23" i="8" s="1"/>
  <c r="D15" i="8"/>
  <c r="E15" i="8"/>
  <c r="D14" i="8"/>
  <c r="E13" i="7"/>
  <c r="G15" i="7"/>
  <c r="G20" i="7" s="1"/>
  <c r="G22" i="7" s="1"/>
  <c r="E16" i="7"/>
  <c r="D15" i="7"/>
  <c r="G19" i="6"/>
  <c r="G21" i="6" s="1"/>
  <c r="D13" i="6"/>
  <c r="E13" i="6"/>
  <c r="D14" i="6"/>
  <c r="E14" i="6"/>
  <c r="D15" i="6"/>
  <c r="E15" i="6"/>
  <c r="D13" i="5"/>
  <c r="D14" i="5"/>
  <c r="E14" i="5"/>
  <c r="E18" i="5" s="1"/>
  <c r="D19" i="5" s="1"/>
  <c r="E13" i="4"/>
  <c r="D14" i="4"/>
  <c r="E14" i="4"/>
  <c r="D14" i="2"/>
  <c r="G13" i="2"/>
  <c r="G16" i="2" s="1"/>
  <c r="G18" i="2" s="1"/>
  <c r="F26" i="1"/>
  <c r="F27" i="1"/>
  <c r="F28" i="1"/>
  <c r="F29" i="1"/>
  <c r="F30" i="1"/>
  <c r="F33" i="1"/>
  <c r="F31" i="1"/>
  <c r="F32" i="1"/>
  <c r="F34" i="1"/>
  <c r="F35" i="1"/>
  <c r="F36" i="1"/>
  <c r="F37" i="1"/>
  <c r="H50" i="1"/>
  <c r="D50" i="1"/>
  <c r="G27" i="14" l="1"/>
  <c r="G29" i="14" s="1"/>
  <c r="G24" i="11"/>
  <c r="G26" i="11" s="1"/>
  <c r="E21" i="8"/>
  <c r="D22" i="8" s="1"/>
  <c r="E27" i="14"/>
  <c r="D28" i="14" s="1"/>
  <c r="E26" i="13"/>
  <c r="D27" i="13" s="1"/>
  <c r="E25" i="12"/>
  <c r="D26" i="12" s="1"/>
  <c r="E17" i="4"/>
  <c r="D18" i="4" s="1"/>
  <c r="E20" i="7"/>
  <c r="D21" i="7" s="1"/>
  <c r="E24" i="11"/>
  <c r="D25" i="11" s="1"/>
  <c r="E23" i="10"/>
  <c r="D24" i="10" s="1"/>
  <c r="E22" i="9"/>
  <c r="D23" i="9" s="1"/>
  <c r="E19" i="6"/>
  <c r="D20" i="6" s="1"/>
</calcChain>
</file>

<file path=xl/sharedStrings.xml><?xml version="1.0" encoding="utf-8"?>
<sst xmlns="http://schemas.openxmlformats.org/spreadsheetml/2006/main" count="195" uniqueCount="61">
  <si>
    <t>Total</t>
  </si>
  <si>
    <t>Select:</t>
  </si>
  <si>
    <t>Field:</t>
  </si>
  <si>
    <t>COMBIN(field, select)</t>
  </si>
  <si>
    <t>=</t>
  </si>
  <si>
    <t>[FACT(field) / FACT(field-select)] / FACT(select)</t>
  </si>
  <si>
    <t>The formula I normally use</t>
  </si>
  <si>
    <t>Excel Combinations function</t>
  </si>
  <si>
    <t>Below is an example of each:</t>
  </si>
  <si>
    <t>The combinations (winners) per tier must then be divided into the total spot combinations to obtain the odds per tier.</t>
  </si>
  <si>
    <t>The total combinations for a spot game are determined by selecting the spot desired, out of the entire field of 80.</t>
  </si>
  <si>
    <t>1-Spot Game</t>
  </si>
  <si>
    <t>Match</t>
  </si>
  <si>
    <t>Winners</t>
  </si>
  <si>
    <t>Odds</t>
  </si>
  <si>
    <t>Prize</t>
  </si>
  <si>
    <t>Liability</t>
  </si>
  <si>
    <t>Totals</t>
  </si>
  <si>
    <t xml:space="preserve">   Spot Game</t>
  </si>
  <si>
    <r>
      <t xml:space="preserve">To determine the total number of combinations when </t>
    </r>
    <r>
      <rPr>
        <b/>
        <i/>
        <sz val="10"/>
        <color theme="1"/>
        <rFont val="Calibri"/>
        <family val="2"/>
      </rPr>
      <t>select</t>
    </r>
    <r>
      <rPr>
        <sz val="10"/>
        <color theme="1"/>
        <rFont val="Calibri"/>
        <family val="2"/>
      </rPr>
      <t xml:space="preserve">ing a specific number out of a </t>
    </r>
    <r>
      <rPr>
        <b/>
        <i/>
        <sz val="10"/>
        <color theme="1"/>
        <rFont val="Calibri"/>
        <family val="2"/>
      </rPr>
      <t>field</t>
    </r>
    <r>
      <rPr>
        <sz val="10"/>
        <color theme="1"/>
        <rFont val="Calibri"/>
        <family val="2"/>
      </rPr>
      <t xml:space="preserve"> of numbers, </t>
    </r>
  </si>
  <si>
    <t>and it's easier to follow if you're trying to understand the logic, so I'll use that function in this workbook.</t>
  </si>
  <si>
    <t>the 20 selected numbers, as well as the combinations of the non-matches in the 60 numbers not selected from the field of 80.</t>
  </si>
  <si>
    <t>Therefore, in determining combinations for a tier, the formula has to consider the combinations of the matches in</t>
  </si>
  <si>
    <t>The following sheets have calculations, prizes, overall odds and prize payout percentages for each spot game at the MSLC.</t>
  </si>
  <si>
    <t>Note:</t>
  </si>
  <si>
    <t>KENO</t>
  </si>
  <si>
    <t>Odds and Winner calculations</t>
  </si>
  <si>
    <t>Overall Odds</t>
  </si>
  <si>
    <t>Prize Payout %</t>
  </si>
  <si>
    <t>2-Spot Game</t>
  </si>
  <si>
    <t>3-Spot Game</t>
  </si>
  <si>
    <t>4-Spot Game</t>
  </si>
  <si>
    <t>5-Spot Game</t>
  </si>
  <si>
    <t>6-Spot Game</t>
  </si>
  <si>
    <t>7-Spot Game</t>
  </si>
  <si>
    <t>8-Spot Game</t>
  </si>
  <si>
    <t>9-Spot Game</t>
  </si>
  <si>
    <t>10-Spot Game</t>
  </si>
  <si>
    <t>11-Spot Game</t>
  </si>
  <si>
    <t>12-Spot Game</t>
  </si>
  <si>
    <t>To quickly try calculations for any spot game from 0 - 12, enter the desired spot number in the yellow cell below. The number</t>
  </si>
  <si>
    <t>selected by the system and the total field size can also be changed, in the yellow cells to the right.</t>
  </si>
  <si>
    <t>I usually use a formula that uses factorial calculations. However, I found an Excel function that does the same thing</t>
  </si>
  <si>
    <t xml:space="preserve">System selects: </t>
  </si>
  <si>
    <t xml:space="preserve">out of : </t>
  </si>
  <si>
    <t>the first selection (made by the system) is 20 numbers selected out of a field of 80. The second selection (made by the player)</t>
  </si>
  <si>
    <t>is the selection of 'spots' out of 20.</t>
  </si>
  <si>
    <t>Keno calculations are different from regular lotto style games in that there are actually two selections made. At the MSLC,</t>
  </si>
  <si>
    <t>Keno - Multiplier Table Creation Values</t>
  </si>
  <si>
    <t>Use the yellow cells to create valid Multiplier Table Creation Values</t>
  </si>
  <si>
    <t>Base</t>
  </si>
  <si>
    <t>Desired</t>
  </si>
  <si>
    <t>Odds (1:)</t>
  </si>
  <si>
    <t>%</t>
  </si>
  <si>
    <t>X/6320</t>
  </si>
  <si>
    <t>Multiplier</t>
  </si>
  <si>
    <t>Total MUST = 6320</t>
  </si>
  <si>
    <t>Minus</t>
  </si>
  <si>
    <t>New Liability</t>
  </si>
  <si>
    <t>Muliply 70%</t>
  </si>
  <si>
    <t>divided by 6320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</si>
</sst>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#,##0.0000"/>
    <numFmt numFmtId="166" formatCode="&quot;$&quot;#,##0"/>
  </numFmts>
  <fonts count="22" x14ac:knownFonts="1"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name val="Arial"/>
      <family val="2"/>
    </font>
    <font>
      <b/>
      <sz val="10"/>
      <color theme="0"/>
      <name val="Calibri"/>
      <family val="2"/>
    </font>
    <font>
      <sz val="10"/>
      <color theme="0"/>
      <name val="Calibri"/>
      <family val="2"/>
    </font>
    <font>
      <b/>
      <i/>
      <sz val="10"/>
      <color theme="1"/>
      <name val="Calibri"/>
      <family val="2"/>
    </font>
    <font>
      <b/>
      <sz val="10"/>
      <name val="Arial"/>
      <family val="2"/>
    </font>
    <font>
      <b/>
      <sz val="14"/>
      <color theme="1"/>
      <name val="Calibri"/>
      <family val="2"/>
    </font>
    <font>
      <b/>
      <sz val="16"/>
      <color theme="1"/>
      <name val="Calibri"/>
      <family val="2"/>
    </font>
    <font>
      <sz val="16"/>
      <color theme="1"/>
      <name val="Calibri"/>
      <family val="2"/>
    </font>
    <font>
      <b/>
      <sz val="10"/>
      <name val="Arial"/>
      <family val="2"/>
    </font>
    <font>
      <b/>
      <sz val="10"/>
      <color theme="4"/>
      <name val="Calibri"/>
      <family val="2"/>
    </font>
    <font>
      <b/>
      <sz val="10"/>
      <color rgb="FFFF0000"/>
      <name val="Calibri"/>
      <family val="2"/>
    </font>
    <font>
      <sz val="10"/>
      <color theme="0" tint="-0.14999847407452621"/>
      <name val="Calibri"/>
      <family val="2"/>
    </font>
    <font>
      <sz val="20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8"/>
      <color theme="1"/>
      <name val="Calibri"/>
      <family val="2"/>
    </font>
    <font>
      <b/>
      <sz val="18"/>
      <color theme="1"/>
      <name val="Calibri"/>
      <family val="2"/>
    </font>
    <font>
      <b/>
      <sz val="18"/>
      <color theme="0"/>
      <name val="Calibri"/>
      <family val="2"/>
    </font>
    <font>
      <sz val="10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4" fontId="0" fillId="0" borderId="0" xfId="0" applyNumberFormat="1"/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3" borderId="0" xfId="0" applyFont="1" applyFill="1" applyAlignment="1">
      <alignment horizontal="center"/>
    </xf>
    <xf numFmtId="4" fontId="6" fillId="3" borderId="0" xfId="0" applyNumberFormat="1" applyFont="1" applyFill="1" applyAlignment="1">
      <alignment horizontal="center"/>
    </xf>
    <xf numFmtId="3" fontId="0" fillId="0" borderId="0" xfId="0" applyNumberFormat="1"/>
    <xf numFmtId="3" fontId="1" fillId="2" borderId="1" xfId="0" applyNumberFormat="1" applyFont="1" applyFill="1" applyBorder="1" applyAlignment="1">
      <alignment horizontal="center"/>
    </xf>
    <xf numFmtId="3" fontId="6" fillId="3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/>
    </xf>
    <xf numFmtId="3" fontId="1" fillId="0" borderId="4" xfId="0" applyNumberFormat="1" applyFont="1" applyBorder="1"/>
    <xf numFmtId="3" fontId="0" fillId="0" borderId="0" xfId="0" applyNumberFormat="1" applyAlignment="1">
      <alignment horizontal="right"/>
    </xf>
    <xf numFmtId="0" fontId="1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/>
    <xf numFmtId="165" fontId="0" fillId="0" borderId="0" xfId="0" applyNumberFormat="1"/>
    <xf numFmtId="165" fontId="6" fillId="3" borderId="0" xfId="0" applyNumberFormat="1" applyFont="1" applyFill="1" applyAlignment="1">
      <alignment horizontal="center"/>
    </xf>
    <xf numFmtId="4" fontId="1" fillId="0" borderId="0" xfId="0" applyNumberFormat="1" applyFont="1"/>
    <xf numFmtId="4" fontId="10" fillId="3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right"/>
    </xf>
    <xf numFmtId="0" fontId="4" fillId="0" borderId="0" xfId="0" applyFont="1"/>
    <xf numFmtId="0" fontId="3" fillId="0" borderId="0" xfId="0" applyFont="1"/>
    <xf numFmtId="4" fontId="0" fillId="0" borderId="0" xfId="0" applyNumberFormat="1" applyAlignment="1">
      <alignment horizontal="right"/>
    </xf>
    <xf numFmtId="4" fontId="1" fillId="0" borderId="0" xfId="0" applyNumberFormat="1" applyFont="1" applyAlignment="1">
      <alignment horizontal="right"/>
    </xf>
    <xf numFmtId="3" fontId="11" fillId="0" borderId="0" xfId="0" applyNumberFormat="1" applyFont="1" applyAlignment="1">
      <alignment horizontal="right"/>
    </xf>
    <xf numFmtId="165" fontId="11" fillId="0" borderId="0" xfId="0" applyNumberFormat="1" applyFont="1"/>
    <xf numFmtId="3" fontId="12" fillId="0" borderId="0" xfId="0" applyNumberFormat="1" applyFont="1" applyAlignment="1">
      <alignment horizontal="right"/>
    </xf>
    <xf numFmtId="164" fontId="12" fillId="0" borderId="0" xfId="0" applyNumberFormat="1" applyFont="1"/>
    <xf numFmtId="3" fontId="13" fillId="0" borderId="0" xfId="0" applyNumberFormat="1" applyFont="1"/>
    <xf numFmtId="3" fontId="4" fillId="0" borderId="0" xfId="0" applyNumberFormat="1" applyFont="1"/>
    <xf numFmtId="3" fontId="3" fillId="0" borderId="0" xfId="0" applyNumberFormat="1" applyFont="1"/>
    <xf numFmtId="0" fontId="0" fillId="0" borderId="0" xfId="0" applyAlignment="1">
      <alignment horizontal="right"/>
    </xf>
    <xf numFmtId="0" fontId="16" fillId="0" borderId="0" xfId="0" applyFont="1"/>
    <xf numFmtId="0" fontId="17" fillId="5" borderId="5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6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4" fontId="16" fillId="7" borderId="5" xfId="0" applyNumberFormat="1" applyFont="1" applyFill="1" applyBorder="1" applyAlignment="1">
      <alignment horizontal="center"/>
    </xf>
    <xf numFmtId="10" fontId="16" fillId="7" borderId="5" xfId="0" applyNumberFormat="1" applyFont="1" applyFill="1" applyBorder="1" applyAlignment="1">
      <alignment horizontal="center"/>
    </xf>
    <xf numFmtId="0" fontId="16" fillId="7" borderId="5" xfId="0" applyFont="1" applyFill="1" applyBorder="1" applyAlignment="1">
      <alignment horizontal="center"/>
    </xf>
    <xf numFmtId="0" fontId="19" fillId="8" borderId="0" xfId="0" applyFont="1" applyFill="1" applyAlignment="1">
      <alignment horizontal="center"/>
    </xf>
    <xf numFmtId="0" fontId="19" fillId="2" borderId="5" xfId="0" applyFont="1" applyFill="1" applyBorder="1" applyAlignment="1" applyProtection="1">
      <alignment horizontal="center"/>
      <protection locked="0"/>
    </xf>
    <xf numFmtId="10" fontId="18" fillId="0" borderId="5" xfId="0" applyNumberFormat="1" applyFont="1" applyBorder="1" applyAlignment="1">
      <alignment horizontal="center"/>
    </xf>
    <xf numFmtId="4" fontId="18" fillId="0" borderId="5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18" fillId="0" borderId="0" xfId="0" applyFont="1" applyAlignment="1" applyProtection="1">
      <alignment horizontal="center"/>
      <protection locked="0"/>
    </xf>
    <xf numFmtId="0" fontId="17" fillId="0" borderId="0" xfId="0" applyFont="1" applyAlignment="1">
      <alignment horizontal="center"/>
    </xf>
    <xf numFmtId="10" fontId="8" fillId="2" borderId="1" xfId="0" applyNumberFormat="1" applyFont="1" applyFill="1" applyBorder="1" applyAlignment="1">
      <alignment horizontal="center"/>
    </xf>
    <xf numFmtId="0" fontId="21" fillId="0" borderId="0" xfId="0" applyFont="1"/>
    <xf numFmtId="166" fontId="21" fillId="0" borderId="0" xfId="0" applyNumberFormat="1" applyFont="1"/>
    <xf numFmtId="10" fontId="21" fillId="0" borderId="0" xfId="0" applyNumberFormat="1" applyFont="1"/>
    <xf numFmtId="10" fontId="0" fillId="0" borderId="0" xfId="0" applyNumberFormat="1" applyAlignment="1">
      <alignment horizontal="center"/>
    </xf>
    <xf numFmtId="0" fontId="19" fillId="9" borderId="5" xfId="0" applyFont="1" applyFill="1" applyBorder="1" applyAlignment="1" applyProtection="1">
      <alignment horizontal="center"/>
      <protection locked="0"/>
    </xf>
    <xf numFmtId="10" fontId="18" fillId="9" borderId="5" xfId="0" applyNumberFormat="1" applyFont="1" applyFill="1" applyBorder="1" applyAlignment="1">
      <alignment horizontal="center"/>
    </xf>
    <xf numFmtId="4" fontId="18" fillId="9" borderId="5" xfId="0" applyNumberFormat="1" applyFont="1" applyFill="1" applyBorder="1" applyAlignment="1">
      <alignment horizontal="center"/>
    </xf>
    <xf numFmtId="3" fontId="1" fillId="4" borderId="2" xfId="0" applyNumberFormat="1" applyFont="1" applyFill="1" applyBorder="1" applyAlignment="1">
      <alignment horizontal="center"/>
    </xf>
    <xf numFmtId="3" fontId="1" fillId="4" borderId="4" xfId="0" applyNumberFormat="1" applyFont="1" applyFill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4" fontId="0" fillId="0" borderId="3" xfId="0" applyNumberFormat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3" fontId="1" fillId="4" borderId="3" xfId="0" applyNumberFormat="1" applyFont="1" applyFill="1" applyBorder="1" applyAlignment="1">
      <alignment horizontal="center"/>
    </xf>
    <xf numFmtId="4" fontId="2" fillId="0" borderId="3" xfId="0" applyNumberFormat="1" applyFont="1" applyBorder="1" applyAlignment="1">
      <alignment horizontal="center"/>
    </xf>
    <xf numFmtId="4" fontId="0" fillId="0" borderId="0" xfId="0" applyNumberFormat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7" fillId="5" borderId="5" xfId="0" applyFont="1" applyFill="1" applyBorder="1" applyAlignment="1">
      <alignment horizontal="center"/>
    </xf>
    <xf numFmtId="0" fontId="19" fillId="6" borderId="5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/>
    </xf>
  </cellXfs>
  <cellStyles count="1">
    <cellStyle name="Normal" xfId="0" builtinId="0"/>
  </cellStyles>
  <dxfs count="8">
    <dxf>
      <font>
        <color auto="1"/>
      </font>
    </dxf>
    <dxf>
      <font>
        <color rgb="FFFF0000"/>
      </font>
    </dxf>
    <dxf>
      <fill>
        <patternFill>
          <bgColor rgb="FFFF0000"/>
        </patternFill>
      </fill>
    </dxf>
    <dxf>
      <font>
        <color auto="1"/>
      </font>
    </dxf>
    <dxf>
      <font>
        <color auto="1"/>
      </font>
    </dxf>
    <dxf>
      <font>
        <color rgb="FFFF0000"/>
      </font>
    </dxf>
    <dxf>
      <fill>
        <patternFill>
          <bgColor rgb="FFFF0000"/>
        </patternFill>
      </fill>
    </dxf>
    <dxf>
      <font>
        <color auto="1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50"/>
  <sheetViews>
    <sheetView topLeftCell="A16" workbookViewId="0">
      <selection activeCell="E40" sqref="E40"/>
    </sheetView>
  </sheetViews>
  <sheetFormatPr defaultRowHeight="12.75" x14ac:dyDescent="0.2"/>
  <cols>
    <col min="1" max="1" width="8.140625" customWidth="1"/>
    <col min="2" max="2" width="6.42578125" customWidth="1"/>
    <col min="3" max="3" width="2.28515625" customWidth="1"/>
    <col min="4" max="4" width="9.28515625" customWidth="1"/>
    <col min="5" max="5" width="18.140625" customWidth="1"/>
    <col min="6" max="6" width="18.140625" style="1" customWidth="1"/>
    <col min="7" max="7" width="3.28515625" customWidth="1"/>
    <col min="8" max="8" width="12.7109375" customWidth="1"/>
    <col min="9" max="9" width="12.7109375" style="3" customWidth="1"/>
    <col min="10" max="10" width="11.42578125" style="1" customWidth="1"/>
    <col min="11" max="12" width="10.28515625" customWidth="1"/>
  </cols>
  <sheetData>
    <row r="2" spans="1:1" ht="21" x14ac:dyDescent="0.35">
      <c r="A2" s="17" t="s">
        <v>25</v>
      </c>
    </row>
    <row r="3" spans="1:1" x14ac:dyDescent="0.2">
      <c r="A3" s="18" t="s">
        <v>26</v>
      </c>
    </row>
    <row r="6" spans="1:1" x14ac:dyDescent="0.2">
      <c r="A6" t="s">
        <v>47</v>
      </c>
    </row>
    <row r="7" spans="1:1" x14ac:dyDescent="0.2">
      <c r="A7" t="s">
        <v>45</v>
      </c>
    </row>
    <row r="8" spans="1:1" x14ac:dyDescent="0.2">
      <c r="A8" t="s">
        <v>46</v>
      </c>
    </row>
    <row r="10" spans="1:1" x14ac:dyDescent="0.2">
      <c r="A10" t="s">
        <v>22</v>
      </c>
    </row>
    <row r="11" spans="1:1" x14ac:dyDescent="0.2">
      <c r="A11" t="s">
        <v>21</v>
      </c>
    </row>
    <row r="13" spans="1:1" x14ac:dyDescent="0.2">
      <c r="A13" t="s">
        <v>9</v>
      </c>
    </row>
    <row r="14" spans="1:1" x14ac:dyDescent="0.2">
      <c r="A14" t="s">
        <v>10</v>
      </c>
    </row>
    <row r="16" spans="1:1" x14ac:dyDescent="0.2">
      <c r="A16" t="s">
        <v>23</v>
      </c>
    </row>
    <row r="19" spans="1:9" x14ac:dyDescent="0.2">
      <c r="A19" t="s">
        <v>40</v>
      </c>
    </row>
    <row r="20" spans="1:9" x14ac:dyDescent="0.2">
      <c r="A20" t="s">
        <v>41</v>
      </c>
    </row>
    <row r="21" spans="1:9" ht="13.5" thickBot="1" x14ac:dyDescent="0.25"/>
    <row r="22" spans="1:9" ht="13.5" thickBot="1" x14ac:dyDescent="0.25">
      <c r="E22" s="10">
        <v>5</v>
      </c>
      <c r="F22" s="13" t="s">
        <v>18</v>
      </c>
      <c r="H22" s="35" t="s">
        <v>43</v>
      </c>
      <c r="I22" s="5">
        <v>20</v>
      </c>
    </row>
    <row r="23" spans="1:9" ht="13.5" thickBot="1" x14ac:dyDescent="0.25">
      <c r="D23" s="9"/>
      <c r="E23" s="9"/>
      <c r="H23" s="35" t="s">
        <v>44</v>
      </c>
      <c r="I23" s="5">
        <v>80</v>
      </c>
    </row>
    <row r="24" spans="1:9" x14ac:dyDescent="0.2">
      <c r="D24" s="11" t="s">
        <v>12</v>
      </c>
      <c r="E24" s="11" t="s">
        <v>13</v>
      </c>
      <c r="F24" s="8" t="s">
        <v>14</v>
      </c>
    </row>
    <row r="25" spans="1:9" x14ac:dyDescent="0.2">
      <c r="D25" s="9"/>
      <c r="E25" s="9"/>
    </row>
    <row r="26" spans="1:9" x14ac:dyDescent="0.2">
      <c r="D26" s="6">
        <v>12</v>
      </c>
      <c r="E26" s="9" t="str">
        <f>IF(D26&gt;$E$22,"",COMBIN($I$22,D26) * COMBIN(($I$23 - $I$22),$E$22-D26))</f>
        <v/>
      </c>
      <c r="F26" s="1" t="str">
        <f t="shared" ref="F26:F38" si="0">IF(D26&gt;$E$22,"",$E$40/E26)</f>
        <v/>
      </c>
    </row>
    <row r="27" spans="1:9" x14ac:dyDescent="0.2">
      <c r="D27" s="6">
        <v>11</v>
      </c>
      <c r="E27" s="9" t="str">
        <f t="shared" ref="E27:E38" si="1">IF(D27&gt;$E$22,"",COMBIN($I$22,D27) * COMBIN(($I$23 - $I$22),$E$22-D27))</f>
        <v/>
      </c>
      <c r="F27" s="1" t="str">
        <f t="shared" si="0"/>
        <v/>
      </c>
    </row>
    <row r="28" spans="1:9" x14ac:dyDescent="0.2">
      <c r="D28" s="6">
        <v>10</v>
      </c>
      <c r="E28" s="9" t="str">
        <f t="shared" si="1"/>
        <v/>
      </c>
      <c r="F28" s="1" t="str">
        <f t="shared" si="0"/>
        <v/>
      </c>
    </row>
    <row r="29" spans="1:9" x14ac:dyDescent="0.2">
      <c r="D29" s="6">
        <v>9</v>
      </c>
      <c r="E29" s="9" t="str">
        <f t="shared" si="1"/>
        <v/>
      </c>
      <c r="F29" s="1" t="str">
        <f t="shared" si="0"/>
        <v/>
      </c>
    </row>
    <row r="30" spans="1:9" x14ac:dyDescent="0.2">
      <c r="D30" s="6">
        <v>8</v>
      </c>
      <c r="E30" s="9" t="str">
        <f t="shared" si="1"/>
        <v/>
      </c>
      <c r="F30" s="1" t="str">
        <f t="shared" si="0"/>
        <v/>
      </c>
    </row>
    <row r="31" spans="1:9" x14ac:dyDescent="0.2">
      <c r="D31" s="6">
        <v>7</v>
      </c>
      <c r="E31" s="9" t="str">
        <f t="shared" si="1"/>
        <v/>
      </c>
      <c r="F31" s="1" t="str">
        <f t="shared" si="0"/>
        <v/>
      </c>
    </row>
    <row r="32" spans="1:9" x14ac:dyDescent="0.2">
      <c r="D32" s="6">
        <v>6</v>
      </c>
      <c r="E32" s="9" t="str">
        <f t="shared" si="1"/>
        <v/>
      </c>
      <c r="F32" s="1" t="str">
        <f t="shared" si="0"/>
        <v/>
      </c>
    </row>
    <row r="33" spans="1:9" x14ac:dyDescent="0.2">
      <c r="D33" s="6">
        <v>5</v>
      </c>
      <c r="E33" s="9">
        <f t="shared" si="1"/>
        <v>15503.999999999998</v>
      </c>
      <c r="F33" s="1">
        <f t="shared" si="0"/>
        <v>1550.5686274509806</v>
      </c>
    </row>
    <row r="34" spans="1:9" x14ac:dyDescent="0.2">
      <c r="D34" s="6">
        <v>4</v>
      </c>
      <c r="E34" s="9">
        <f t="shared" si="1"/>
        <v>290700</v>
      </c>
      <c r="F34" s="1">
        <f t="shared" si="0"/>
        <v>82.696993464052284</v>
      </c>
    </row>
    <row r="35" spans="1:9" x14ac:dyDescent="0.2">
      <c r="D35" s="6">
        <v>3</v>
      </c>
      <c r="E35" s="9">
        <f t="shared" si="1"/>
        <v>2017800</v>
      </c>
      <c r="F35" s="1">
        <f t="shared" si="0"/>
        <v>11.913973634651601</v>
      </c>
    </row>
    <row r="36" spans="1:9" x14ac:dyDescent="0.2">
      <c r="D36" s="6">
        <v>2</v>
      </c>
      <c r="E36" s="9">
        <f t="shared" si="1"/>
        <v>6501800</v>
      </c>
      <c r="F36" s="1">
        <f t="shared" si="0"/>
        <v>3.697440093512566</v>
      </c>
    </row>
    <row r="37" spans="1:9" x14ac:dyDescent="0.2">
      <c r="D37" s="6">
        <v>1</v>
      </c>
      <c r="E37" s="9">
        <f t="shared" si="1"/>
        <v>9752700</v>
      </c>
      <c r="F37" s="1">
        <f t="shared" si="0"/>
        <v>2.4649600623417105</v>
      </c>
    </row>
    <row r="38" spans="1:9" x14ac:dyDescent="0.2">
      <c r="D38" s="6">
        <v>0</v>
      </c>
      <c r="E38" s="9">
        <f t="shared" si="1"/>
        <v>5461512.0000000009</v>
      </c>
      <c r="F38" s="1">
        <f t="shared" si="0"/>
        <v>4.4017143970387682</v>
      </c>
    </row>
    <row r="39" spans="1:9" x14ac:dyDescent="0.2">
      <c r="D39" s="9"/>
      <c r="E39" s="9"/>
    </row>
    <row r="40" spans="1:9" x14ac:dyDescent="0.2">
      <c r="D40" s="14" t="s">
        <v>0</v>
      </c>
      <c r="E40" s="9">
        <f>COMBIN($I$23,E22)</f>
        <v>24040016</v>
      </c>
    </row>
    <row r="41" spans="1:9" x14ac:dyDescent="0.2">
      <c r="D41" s="14"/>
      <c r="E41" s="9"/>
    </row>
    <row r="42" spans="1:9" ht="18.75" x14ac:dyDescent="0.3">
      <c r="A42" s="16" t="s">
        <v>24</v>
      </c>
    </row>
    <row r="43" spans="1:9" x14ac:dyDescent="0.2">
      <c r="A43" t="s">
        <v>19</v>
      </c>
    </row>
    <row r="44" spans="1:9" x14ac:dyDescent="0.2">
      <c r="A44" t="s">
        <v>42</v>
      </c>
    </row>
    <row r="45" spans="1:9" x14ac:dyDescent="0.2">
      <c r="A45" t="s">
        <v>20</v>
      </c>
    </row>
    <row r="46" spans="1:9" x14ac:dyDescent="0.2">
      <c r="A46" t="s">
        <v>8</v>
      </c>
    </row>
    <row r="47" spans="1:9" ht="13.5" thickBot="1" x14ac:dyDescent="0.25"/>
    <row r="48" spans="1:9" ht="13.5" thickBot="1" x14ac:dyDescent="0.25">
      <c r="D48" s="62" t="s">
        <v>6</v>
      </c>
      <c r="E48" s="63"/>
      <c r="F48" s="64"/>
      <c r="G48" s="3"/>
      <c r="H48" s="62" t="s">
        <v>7</v>
      </c>
      <c r="I48" s="64"/>
    </row>
    <row r="49" spans="1:9" ht="13.5" thickBot="1" x14ac:dyDescent="0.25">
      <c r="A49" t="s">
        <v>1</v>
      </c>
      <c r="B49" s="5">
        <v>6</v>
      </c>
      <c r="D49" s="66" t="s">
        <v>5</v>
      </c>
      <c r="E49" s="66"/>
      <c r="F49" s="66"/>
      <c r="G49" s="2" t="s">
        <v>4</v>
      </c>
      <c r="H49" s="67" t="s">
        <v>3</v>
      </c>
      <c r="I49" s="67"/>
    </row>
    <row r="50" spans="1:9" ht="13.5" thickBot="1" x14ac:dyDescent="0.25">
      <c r="A50" t="s">
        <v>2</v>
      </c>
      <c r="B50" s="5">
        <v>49</v>
      </c>
      <c r="D50" s="60">
        <f>(FACT(B50) / FACT(B50-B49)) / FACT(B49)</f>
        <v>13983816.000000006</v>
      </c>
      <c r="E50" s="65"/>
      <c r="F50" s="61"/>
      <c r="G50" s="4"/>
      <c r="H50" s="60">
        <f>COMBIN(B50,B49)</f>
        <v>13983816</v>
      </c>
      <c r="I50" s="61"/>
    </row>
  </sheetData>
  <mergeCells count="6">
    <mergeCell ref="H50:I50"/>
    <mergeCell ref="D48:F48"/>
    <mergeCell ref="D50:F50"/>
    <mergeCell ref="D49:F49"/>
    <mergeCell ref="H49:I49"/>
    <mergeCell ref="H48:I48"/>
  </mergeCells>
  <pageMargins left="0.7" right="0.45" top="0.75" bottom="0.75" header="0.3" footer="0.3"/>
  <pageSetup orientation="portrait" r:id="rId1"/>
  <headerFooter>
    <oddFooter>&amp;L&amp;Z&amp;F&amp;R&amp;A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25"/>
  <sheetViews>
    <sheetView topLeftCell="A6" workbookViewId="0">
      <selection activeCell="A4" sqref="A4"/>
    </sheetView>
  </sheetViews>
  <sheetFormatPr defaultRowHeight="12.75" x14ac:dyDescent="0.2"/>
  <cols>
    <col min="1" max="1" width="8.7109375" style="6" customWidth="1"/>
    <col min="2" max="2" width="8.7109375" style="9" customWidth="1"/>
    <col min="3" max="3" width="18.7109375" style="12" customWidth="1"/>
    <col min="4" max="4" width="16.7109375" style="19" customWidth="1"/>
    <col min="5" max="5" width="5.7109375" style="9" customWidth="1"/>
    <col min="6" max="6" width="12.7109375" style="26" customWidth="1"/>
    <col min="7" max="7" width="20.7109375" customWidth="1"/>
  </cols>
  <sheetData>
    <row r="2" spans="1:9" ht="21" x14ac:dyDescent="0.35">
      <c r="A2" s="17" t="s">
        <v>25</v>
      </c>
      <c r="B2"/>
      <c r="C2" s="6"/>
      <c r="H2" s="3"/>
      <c r="I2" s="1"/>
    </row>
    <row r="3" spans="1:9" x14ac:dyDescent="0.2">
      <c r="A3" s="18" t="s">
        <v>26</v>
      </c>
      <c r="B3"/>
      <c r="C3" s="6"/>
      <c r="H3" s="3"/>
      <c r="I3" s="1"/>
    </row>
    <row r="4" spans="1:9" x14ac:dyDescent="0.2">
      <c r="A4" s="18"/>
      <c r="B4"/>
      <c r="C4" s="6"/>
      <c r="H4" s="3"/>
      <c r="I4" s="1"/>
    </row>
    <row r="5" spans="1:9" x14ac:dyDescent="0.2">
      <c r="A5" s="18"/>
      <c r="B5"/>
      <c r="C5" s="6"/>
      <c r="H5" s="3"/>
      <c r="I5" s="1"/>
    </row>
    <row r="6" spans="1:9" ht="13.5" thickBot="1" x14ac:dyDescent="0.25">
      <c r="A6"/>
      <c r="B6"/>
      <c r="C6" s="6"/>
      <c r="H6" s="3"/>
      <c r="I6" s="1"/>
    </row>
    <row r="7" spans="1:9" ht="21.75" thickBot="1" x14ac:dyDescent="0.4">
      <c r="A7"/>
      <c r="B7"/>
      <c r="D7" s="74" t="s">
        <v>35</v>
      </c>
      <c r="E7" s="75"/>
      <c r="H7" s="3"/>
      <c r="I7" s="1"/>
    </row>
    <row r="8" spans="1:9" x14ac:dyDescent="0.2">
      <c r="A8"/>
      <c r="B8"/>
      <c r="C8" s="6"/>
      <c r="H8" s="3"/>
      <c r="I8" s="1"/>
    </row>
    <row r="11" spans="1:9" x14ac:dyDescent="0.2">
      <c r="B11" s="11" t="s">
        <v>12</v>
      </c>
      <c r="C11" s="11" t="s">
        <v>13</v>
      </c>
      <c r="D11" s="20" t="s">
        <v>14</v>
      </c>
      <c r="E11" s="11"/>
      <c r="F11" s="22" t="s">
        <v>15</v>
      </c>
      <c r="G11" s="7" t="s">
        <v>16</v>
      </c>
    </row>
    <row r="12" spans="1:9" x14ac:dyDescent="0.2">
      <c r="E12" s="33"/>
    </row>
    <row r="13" spans="1:9" x14ac:dyDescent="0.2">
      <c r="B13" s="6">
        <v>8</v>
      </c>
      <c r="C13" s="12">
        <f>COMBIN(20,8) * COMBIN(60,0)</f>
        <v>125970.00000000001</v>
      </c>
      <c r="D13" s="19">
        <f t="shared" ref="D13:D20" si="0">$C$23/C13</f>
        <v>230114.60784313723</v>
      </c>
      <c r="E13" s="33">
        <f t="shared" ref="E13:E20" si="1">IF(F13&gt;0,C13,"")</f>
        <v>125970.00000000001</v>
      </c>
      <c r="F13" s="26">
        <v>15000</v>
      </c>
      <c r="G13" s="1">
        <f t="shared" ref="G13:G20" si="2">IF(F13&gt;0,C13*F13,"")</f>
        <v>1889550000.0000002</v>
      </c>
    </row>
    <row r="14" spans="1:9" x14ac:dyDescent="0.2">
      <c r="B14" s="6">
        <v>7</v>
      </c>
      <c r="C14" s="12">
        <f>COMBIN(20,7) * COMBIN(60,1)</f>
        <v>4651200</v>
      </c>
      <c r="D14" s="19">
        <f t="shared" si="0"/>
        <v>6232.2706290849674</v>
      </c>
      <c r="E14" s="33">
        <f t="shared" si="1"/>
        <v>4651200</v>
      </c>
      <c r="F14" s="26">
        <v>1000</v>
      </c>
      <c r="G14" s="1">
        <f t="shared" si="2"/>
        <v>4651200000</v>
      </c>
    </row>
    <row r="15" spans="1:9" x14ac:dyDescent="0.2">
      <c r="B15" s="6">
        <v>6</v>
      </c>
      <c r="C15" s="12">
        <f>COMBIN(20,6) * COMBIN(60,2)</f>
        <v>68605200</v>
      </c>
      <c r="D15" s="19">
        <f t="shared" si="0"/>
        <v>422.52682231084526</v>
      </c>
      <c r="E15" s="33">
        <f t="shared" si="1"/>
        <v>68605200</v>
      </c>
      <c r="F15" s="26">
        <v>50</v>
      </c>
      <c r="G15" s="1">
        <f t="shared" si="2"/>
        <v>3430260000</v>
      </c>
    </row>
    <row r="16" spans="1:9" x14ac:dyDescent="0.2">
      <c r="B16" s="6">
        <v>5</v>
      </c>
      <c r="C16" s="12">
        <f>COMBIN(20,5) * COMBIN(60,3)</f>
        <v>530546879.99999994</v>
      </c>
      <c r="D16" s="19">
        <f t="shared" si="0"/>
        <v>54.637089091919648</v>
      </c>
      <c r="E16" s="33">
        <f t="shared" si="1"/>
        <v>530546879.99999994</v>
      </c>
      <c r="F16" s="26">
        <v>10</v>
      </c>
      <c r="G16" s="1">
        <f t="shared" si="2"/>
        <v>5305468799.999999</v>
      </c>
    </row>
    <row r="17" spans="1:7" x14ac:dyDescent="0.2">
      <c r="B17" s="6">
        <v>4</v>
      </c>
      <c r="C17" s="12">
        <f>COMBIN(20,4) * COMBIN(60,4)</f>
        <v>2362591575</v>
      </c>
      <c r="D17" s="19">
        <f t="shared" si="0"/>
        <v>12.269381410115288</v>
      </c>
      <c r="E17" s="33">
        <f t="shared" si="1"/>
        <v>2362591575</v>
      </c>
      <c r="F17" s="26">
        <v>2</v>
      </c>
      <c r="G17" s="1">
        <f t="shared" si="2"/>
        <v>4725183150</v>
      </c>
    </row>
    <row r="18" spans="1:7" x14ac:dyDescent="0.2">
      <c r="B18" s="6">
        <v>3</v>
      </c>
      <c r="C18" s="12">
        <f>COMBIN(20,3) * COMBIN(60,5)</f>
        <v>6226123680.000001</v>
      </c>
      <c r="D18" s="19">
        <f t="shared" si="0"/>
        <v>4.6557920529455332</v>
      </c>
      <c r="E18" s="33" t="str">
        <f t="shared" si="1"/>
        <v/>
      </c>
      <c r="G18" s="1" t="str">
        <f t="shared" si="2"/>
        <v/>
      </c>
    </row>
    <row r="19" spans="1:7" x14ac:dyDescent="0.2">
      <c r="B19" s="6">
        <v>2</v>
      </c>
      <c r="C19" s="12">
        <f>COMBIN(20,2) * COMBIN(60,6)</f>
        <v>9512133400.0000019</v>
      </c>
      <c r="D19" s="19">
        <f t="shared" si="0"/>
        <v>3.0474275255643488</v>
      </c>
      <c r="E19" s="33" t="str">
        <f t="shared" si="1"/>
        <v/>
      </c>
      <c r="G19" s="1" t="str">
        <f t="shared" si="2"/>
        <v/>
      </c>
    </row>
    <row r="20" spans="1:7" x14ac:dyDescent="0.2">
      <c r="B20" s="6">
        <v>1</v>
      </c>
      <c r="C20" s="12">
        <f>COMBIN(20,1) * COMBIN(60,7)</f>
        <v>7724138399.9999981</v>
      </c>
      <c r="D20" s="19">
        <f t="shared" si="0"/>
        <v>3.7528505638894312</v>
      </c>
      <c r="E20" s="33" t="str">
        <f t="shared" si="1"/>
        <v/>
      </c>
      <c r="G20" s="1" t="str">
        <f t="shared" si="2"/>
        <v/>
      </c>
    </row>
    <row r="21" spans="1:7" x14ac:dyDescent="0.2">
      <c r="B21" s="6">
        <v>0</v>
      </c>
      <c r="C21" s="12">
        <f>COMBIN(20,0) * COMBIN(60,8)</f>
        <v>2558620845.0000005</v>
      </c>
      <c r="D21" s="19">
        <f t="shared" ref="D21" si="3">$C$23/C21</f>
        <v>11.329360192873748</v>
      </c>
      <c r="E21" s="33" t="str">
        <f t="shared" ref="E21" si="4">IF(F21&gt;0,C21,"")</f>
        <v/>
      </c>
      <c r="G21" s="1" t="str">
        <f t="shared" ref="G21" si="5">IF(F21&gt;0,C21*F21,"")</f>
        <v/>
      </c>
    </row>
    <row r="22" spans="1:7" x14ac:dyDescent="0.2">
      <c r="E22" s="33"/>
    </row>
    <row r="23" spans="1:7" s="15" customFormat="1" x14ac:dyDescent="0.2">
      <c r="A23" s="3"/>
      <c r="B23" s="23" t="s">
        <v>17</v>
      </c>
      <c r="C23" s="4">
        <f>COMBIN(80,8)</f>
        <v>28987537150</v>
      </c>
      <c r="E23" s="34">
        <f>SUM(E12:E22)</f>
        <v>2966520825</v>
      </c>
      <c r="F23" s="27"/>
      <c r="G23" s="21">
        <f>SUM(G12:G22)</f>
        <v>20001661950</v>
      </c>
    </row>
    <row r="24" spans="1:7" x14ac:dyDescent="0.2">
      <c r="B24" s="28" t="s">
        <v>27</v>
      </c>
      <c r="D24" s="29">
        <f>C23/E23</f>
        <v>9.7715603092049754</v>
      </c>
      <c r="E24" s="32"/>
    </row>
    <row r="25" spans="1:7" x14ac:dyDescent="0.2">
      <c r="B25" s="30" t="s">
        <v>28</v>
      </c>
      <c r="G25" s="31">
        <f>G23/C23</f>
        <v>0.69000901478792931</v>
      </c>
    </row>
  </sheetData>
  <mergeCells count="1">
    <mergeCell ref="D7:E7"/>
  </mergeCells>
  <pageMargins left="0.7" right="0.7" top="0.75" bottom="0.75" header="0.3" footer="0.3"/>
  <pageSetup orientation="portrait" r:id="rId1"/>
  <headerFooter>
    <oddFooter>&amp;L&amp;Z&amp;F&amp;R&amp;A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26"/>
  <sheetViews>
    <sheetView topLeftCell="A6" workbookViewId="0">
      <selection activeCell="A4" sqref="A4"/>
    </sheetView>
  </sheetViews>
  <sheetFormatPr defaultRowHeight="12.75" x14ac:dyDescent="0.2"/>
  <cols>
    <col min="1" max="1" width="8.7109375" style="6" customWidth="1"/>
    <col min="2" max="2" width="8.7109375" style="9" customWidth="1"/>
    <col min="3" max="3" width="18.7109375" style="12" customWidth="1"/>
    <col min="4" max="4" width="16.7109375" style="19" customWidth="1"/>
    <col min="5" max="5" width="5.7109375" style="9" customWidth="1"/>
    <col min="6" max="6" width="12.7109375" style="26" customWidth="1"/>
    <col min="7" max="7" width="20.7109375" customWidth="1"/>
  </cols>
  <sheetData>
    <row r="2" spans="1:9" ht="21" x14ac:dyDescent="0.35">
      <c r="A2" s="17" t="s">
        <v>25</v>
      </c>
      <c r="B2"/>
      <c r="C2" s="6"/>
      <c r="H2" s="3"/>
      <c r="I2" s="1"/>
    </row>
    <row r="3" spans="1:9" x14ac:dyDescent="0.2">
      <c r="A3" s="18" t="s">
        <v>26</v>
      </c>
      <c r="B3"/>
      <c r="C3" s="6"/>
      <c r="H3" s="3"/>
      <c r="I3" s="1"/>
    </row>
    <row r="4" spans="1:9" x14ac:dyDescent="0.2">
      <c r="A4" s="18"/>
      <c r="B4"/>
      <c r="C4" s="6"/>
      <c r="H4" s="3"/>
      <c r="I4" s="1"/>
    </row>
    <row r="5" spans="1:9" x14ac:dyDescent="0.2">
      <c r="A5" s="18"/>
      <c r="B5"/>
      <c r="C5" s="6"/>
      <c r="H5" s="3"/>
      <c r="I5" s="1"/>
    </row>
    <row r="6" spans="1:9" ht="13.5" thickBot="1" x14ac:dyDescent="0.25">
      <c r="A6"/>
      <c r="B6"/>
      <c r="C6" s="6"/>
      <c r="H6" s="3"/>
      <c r="I6" s="1"/>
    </row>
    <row r="7" spans="1:9" ht="21.75" thickBot="1" x14ac:dyDescent="0.4">
      <c r="A7"/>
      <c r="B7"/>
      <c r="D7" s="74" t="s">
        <v>36</v>
      </c>
      <c r="E7" s="75"/>
      <c r="H7" s="3"/>
      <c r="I7" s="1"/>
    </row>
    <row r="8" spans="1:9" x14ac:dyDescent="0.2">
      <c r="A8"/>
      <c r="B8"/>
      <c r="C8" s="6"/>
      <c r="H8" s="3"/>
      <c r="I8" s="1"/>
    </row>
    <row r="11" spans="1:9" x14ac:dyDescent="0.2">
      <c r="B11" s="11" t="s">
        <v>12</v>
      </c>
      <c r="C11" s="11" t="s">
        <v>13</v>
      </c>
      <c r="D11" s="20" t="s">
        <v>14</v>
      </c>
      <c r="E11" s="11"/>
      <c r="F11" s="22" t="s">
        <v>15</v>
      </c>
      <c r="G11" s="7" t="s">
        <v>16</v>
      </c>
    </row>
    <row r="12" spans="1:9" x14ac:dyDescent="0.2">
      <c r="E12" s="33"/>
    </row>
    <row r="13" spans="1:9" x14ac:dyDescent="0.2">
      <c r="B13" s="6">
        <v>9</v>
      </c>
      <c r="C13" s="12">
        <f>COMBIN(20,9) * COMBIN(60,0)</f>
        <v>167960</v>
      </c>
      <c r="D13" s="19">
        <f t="shared" ref="D13:D21" si="0">$C$24/C13</f>
        <v>1380687.6470588236</v>
      </c>
      <c r="E13" s="33">
        <f t="shared" ref="E13:E21" si="1">IF(F13&gt;0,C13,"")</f>
        <v>167960</v>
      </c>
      <c r="F13" s="26">
        <v>40000</v>
      </c>
      <c r="G13" s="1">
        <f t="shared" ref="G13:G21" si="2">IF(F13&gt;0,C13*F13,"")</f>
        <v>6718400000</v>
      </c>
    </row>
    <row r="14" spans="1:9" x14ac:dyDescent="0.2">
      <c r="B14" s="6">
        <v>8</v>
      </c>
      <c r="C14" s="12">
        <f>COMBIN(20,8) * COMBIN(60,1)</f>
        <v>7558200.0000000009</v>
      </c>
      <c r="D14" s="19">
        <f t="shared" si="0"/>
        <v>30681.947712418299</v>
      </c>
      <c r="E14" s="33">
        <f t="shared" si="1"/>
        <v>7558200.0000000009</v>
      </c>
      <c r="F14" s="26">
        <v>4000</v>
      </c>
      <c r="G14" s="1">
        <f t="shared" si="2"/>
        <v>30232800000.000004</v>
      </c>
    </row>
    <row r="15" spans="1:9" x14ac:dyDescent="0.2">
      <c r="B15" s="6">
        <v>7</v>
      </c>
      <c r="C15" s="12">
        <f>COMBIN(20,7) * COMBIN(60,2)</f>
        <v>137210400</v>
      </c>
      <c r="D15" s="19">
        <f t="shared" si="0"/>
        <v>1690.1072892433813</v>
      </c>
      <c r="E15" s="33">
        <f t="shared" si="1"/>
        <v>137210400</v>
      </c>
      <c r="F15" s="26">
        <v>200</v>
      </c>
      <c r="G15" s="1">
        <f t="shared" si="2"/>
        <v>27442080000</v>
      </c>
    </row>
    <row r="16" spans="1:9" x14ac:dyDescent="0.2">
      <c r="B16" s="6">
        <v>6</v>
      </c>
      <c r="C16" s="12">
        <f>COMBIN(20,6) * COMBIN(60,3)</f>
        <v>1326367200</v>
      </c>
      <c r="D16" s="19">
        <f t="shared" si="0"/>
        <v>174.83868509414287</v>
      </c>
      <c r="E16" s="33">
        <f t="shared" si="1"/>
        <v>1326367200</v>
      </c>
      <c r="F16" s="26">
        <v>25</v>
      </c>
      <c r="G16" s="1">
        <f t="shared" si="2"/>
        <v>33159180000</v>
      </c>
    </row>
    <row r="17" spans="1:7" x14ac:dyDescent="0.2">
      <c r="B17" s="6">
        <v>5</v>
      </c>
      <c r="C17" s="12">
        <f>COMBIN(20,5) * COMBIN(60,4)</f>
        <v>7560293039.999999</v>
      </c>
      <c r="D17" s="19">
        <f t="shared" si="0"/>
        <v>30.673453525288227</v>
      </c>
      <c r="E17" s="33">
        <f t="shared" si="1"/>
        <v>7560293039.999999</v>
      </c>
      <c r="F17" s="26">
        <v>5</v>
      </c>
      <c r="G17" s="1">
        <f t="shared" si="2"/>
        <v>37801465199.999992</v>
      </c>
    </row>
    <row r="18" spans="1:7" x14ac:dyDescent="0.2">
      <c r="B18" s="6">
        <v>4</v>
      </c>
      <c r="C18" s="12">
        <f>COMBIN(20,4) * COMBIN(60,5)</f>
        <v>26461025640.000004</v>
      </c>
      <c r="D18" s="19">
        <f t="shared" si="0"/>
        <v>8.763843864368063</v>
      </c>
      <c r="E18" s="33">
        <f t="shared" si="1"/>
        <v>26461025640.000004</v>
      </c>
      <c r="F18" s="26">
        <v>1</v>
      </c>
      <c r="G18" s="1">
        <f t="shared" si="2"/>
        <v>26461025640.000004</v>
      </c>
    </row>
    <row r="19" spans="1:7" x14ac:dyDescent="0.2">
      <c r="B19" s="6">
        <v>3</v>
      </c>
      <c r="C19" s="12">
        <f>COMBIN(20,3) * COMBIN(60,6)</f>
        <v>57072800400.000015</v>
      </c>
      <c r="D19" s="19">
        <f t="shared" si="0"/>
        <v>4.0632367007524648</v>
      </c>
      <c r="E19" s="33" t="str">
        <f t="shared" si="1"/>
        <v/>
      </c>
      <c r="G19" s="1" t="str">
        <f t="shared" si="2"/>
        <v/>
      </c>
    </row>
    <row r="20" spans="1:7" x14ac:dyDescent="0.2">
      <c r="B20" s="6">
        <v>2</v>
      </c>
      <c r="C20" s="12">
        <f>COMBIN(20,2) * COMBIN(60,7)</f>
        <v>73379314799.999985</v>
      </c>
      <c r="D20" s="19">
        <f t="shared" si="0"/>
        <v>3.1602952116963632</v>
      </c>
      <c r="E20" s="33" t="str">
        <f t="shared" si="1"/>
        <v/>
      </c>
      <c r="G20" s="1" t="str">
        <f t="shared" si="2"/>
        <v/>
      </c>
    </row>
    <row r="21" spans="1:7" x14ac:dyDescent="0.2">
      <c r="B21" s="6">
        <v>1</v>
      </c>
      <c r="C21" s="12">
        <f>COMBIN(20,1) * COMBIN(60,8)</f>
        <v>51172416900.000008</v>
      </c>
      <c r="D21" s="19">
        <f t="shared" si="0"/>
        <v>4.5317440771495008</v>
      </c>
      <c r="E21" s="33" t="str">
        <f t="shared" si="1"/>
        <v/>
      </c>
      <c r="G21" s="1" t="str">
        <f t="shared" si="2"/>
        <v/>
      </c>
    </row>
    <row r="22" spans="1:7" x14ac:dyDescent="0.2">
      <c r="B22" s="6">
        <v>0</v>
      </c>
      <c r="C22" s="12">
        <f>COMBIN(20,0) * COMBIN(60,9)</f>
        <v>14783142660.000006</v>
      </c>
      <c r="D22" s="19">
        <f t="shared" ref="D22" si="3">$C$24/C22</f>
        <v>15.686806420902112</v>
      </c>
      <c r="E22" s="33" t="str">
        <f t="shared" ref="E22" si="4">IF(F22&gt;0,C22,"")</f>
        <v/>
      </c>
      <c r="G22" s="1" t="str">
        <f t="shared" ref="G22" si="5">IF(F22&gt;0,C22*F22,"")</f>
        <v/>
      </c>
    </row>
    <row r="23" spans="1:7" x14ac:dyDescent="0.2">
      <c r="E23" s="33"/>
    </row>
    <row r="24" spans="1:7" s="15" customFormat="1" x14ac:dyDescent="0.2">
      <c r="A24" s="3"/>
      <c r="B24" s="23" t="s">
        <v>17</v>
      </c>
      <c r="C24" s="4">
        <f>COMBIN(80,9)</f>
        <v>231900297200.00003</v>
      </c>
      <c r="E24" s="34">
        <f>SUM(E12:E23)</f>
        <v>35492622440</v>
      </c>
      <c r="F24" s="27"/>
      <c r="G24" s="21">
        <f>SUM(G12:G23)</f>
        <v>161814950840</v>
      </c>
    </row>
    <row r="25" spans="1:7" x14ac:dyDescent="0.2">
      <c r="B25" s="28" t="s">
        <v>27</v>
      </c>
      <c r="D25" s="29">
        <f>C24/E24</f>
        <v>6.533760574948376</v>
      </c>
      <c r="E25" s="32"/>
    </row>
    <row r="26" spans="1:7" x14ac:dyDescent="0.2">
      <c r="B26" s="30" t="s">
        <v>28</v>
      </c>
      <c r="G26" s="31">
        <f>G24/C24</f>
        <v>0.69777810892775338</v>
      </c>
    </row>
  </sheetData>
  <mergeCells count="1">
    <mergeCell ref="D7:E7"/>
  </mergeCells>
  <pageMargins left="0.7" right="0.7" top="0.75" bottom="0.75" header="0.3" footer="0.3"/>
  <pageSetup orientation="portrait" r:id="rId1"/>
  <headerFooter>
    <oddFooter>&amp;L&amp;Z&amp;F&amp;R&amp;A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27"/>
  <sheetViews>
    <sheetView topLeftCell="B6" workbookViewId="0">
      <selection activeCell="A4" sqref="A4"/>
    </sheetView>
  </sheetViews>
  <sheetFormatPr defaultRowHeight="12.75" x14ac:dyDescent="0.2"/>
  <cols>
    <col min="1" max="1" width="8.7109375" style="6" customWidth="1"/>
    <col min="2" max="2" width="8.7109375" style="9" customWidth="1"/>
    <col min="3" max="3" width="18.7109375" style="12" customWidth="1"/>
    <col min="4" max="4" width="16.7109375" style="19" customWidth="1"/>
    <col min="5" max="5" width="5.7109375" style="9" customWidth="1"/>
    <col min="6" max="6" width="12.7109375" style="26" customWidth="1"/>
    <col min="7" max="7" width="20.7109375" customWidth="1"/>
  </cols>
  <sheetData>
    <row r="2" spans="1:9" ht="21" x14ac:dyDescent="0.35">
      <c r="A2" s="17" t="s">
        <v>25</v>
      </c>
      <c r="B2"/>
      <c r="C2" s="6"/>
      <c r="H2" s="3"/>
      <c r="I2" s="1"/>
    </row>
    <row r="3" spans="1:9" x14ac:dyDescent="0.2">
      <c r="A3" s="18" t="s">
        <v>26</v>
      </c>
      <c r="B3"/>
      <c r="C3" s="6"/>
      <c r="H3" s="3"/>
      <c r="I3" s="1"/>
    </row>
    <row r="4" spans="1:9" x14ac:dyDescent="0.2">
      <c r="A4" s="18"/>
      <c r="B4"/>
      <c r="C4" s="6"/>
      <c r="H4" s="3"/>
      <c r="I4" s="1"/>
    </row>
    <row r="5" spans="1:9" x14ac:dyDescent="0.2">
      <c r="A5" s="18"/>
      <c r="B5"/>
      <c r="C5" s="6"/>
      <c r="H5" s="3"/>
      <c r="I5" s="1"/>
    </row>
    <row r="6" spans="1:9" ht="13.5" thickBot="1" x14ac:dyDescent="0.25">
      <c r="A6"/>
      <c r="B6"/>
      <c r="C6" s="6"/>
      <c r="H6" s="3"/>
      <c r="I6" s="1"/>
    </row>
    <row r="7" spans="1:9" ht="21.75" thickBot="1" x14ac:dyDescent="0.4">
      <c r="A7"/>
      <c r="B7"/>
      <c r="D7" s="74" t="s">
        <v>37</v>
      </c>
      <c r="E7" s="75"/>
      <c r="H7" s="3"/>
      <c r="I7" s="1"/>
    </row>
    <row r="8" spans="1:9" x14ac:dyDescent="0.2">
      <c r="A8"/>
      <c r="B8"/>
      <c r="C8" s="6"/>
      <c r="H8" s="3"/>
      <c r="I8" s="1"/>
    </row>
    <row r="11" spans="1:9" x14ac:dyDescent="0.2">
      <c r="B11" s="11" t="s">
        <v>12</v>
      </c>
      <c r="C11" s="11" t="s">
        <v>13</v>
      </c>
      <c r="D11" s="20" t="s">
        <v>14</v>
      </c>
      <c r="E11" s="11"/>
      <c r="F11" s="22" t="s">
        <v>15</v>
      </c>
      <c r="G11" s="7" t="s">
        <v>16</v>
      </c>
    </row>
    <row r="12" spans="1:9" x14ac:dyDescent="0.2">
      <c r="E12" s="33"/>
    </row>
    <row r="13" spans="1:9" x14ac:dyDescent="0.2">
      <c r="B13" s="6">
        <v>10</v>
      </c>
      <c r="C13" s="12">
        <f>COMBIN(20,10) * COMBIN(60,0)</f>
        <v>184756</v>
      </c>
      <c r="D13" s="19">
        <f t="shared" ref="D13:D22" si="0">$C$25/C13</f>
        <v>8911711.1764705889</v>
      </c>
      <c r="E13" s="33">
        <f t="shared" ref="E13:E22" si="1">IF(F13&gt;0,C13,"")</f>
        <v>184756</v>
      </c>
      <c r="F13" s="26">
        <v>100000</v>
      </c>
      <c r="G13" s="1">
        <f t="shared" ref="G13:G22" si="2">IF(F13&gt;0,C13*F13,"")</f>
        <v>18475600000</v>
      </c>
    </row>
    <row r="14" spans="1:9" x14ac:dyDescent="0.2">
      <c r="B14" s="6">
        <v>9</v>
      </c>
      <c r="C14" s="12">
        <f>COMBIN(20,9) * COMBIN(60,1)</f>
        <v>10077600</v>
      </c>
      <c r="D14" s="19">
        <f t="shared" si="0"/>
        <v>163381.37156862745</v>
      </c>
      <c r="E14" s="33">
        <f t="shared" si="1"/>
        <v>10077600</v>
      </c>
      <c r="F14" s="26">
        <v>10000</v>
      </c>
      <c r="G14" s="1">
        <f t="shared" si="2"/>
        <v>100776000000</v>
      </c>
    </row>
    <row r="15" spans="1:9" x14ac:dyDescent="0.2">
      <c r="B15" s="6">
        <v>8</v>
      </c>
      <c r="C15" s="12">
        <f>COMBIN(20,8) * COMBIN(60,2)</f>
        <v>222966900.00000003</v>
      </c>
      <c r="D15" s="19">
        <f t="shared" si="0"/>
        <v>7384.4687714633865</v>
      </c>
      <c r="E15" s="33">
        <f t="shared" si="1"/>
        <v>222966900.00000003</v>
      </c>
      <c r="F15" s="26">
        <v>500</v>
      </c>
      <c r="G15" s="1">
        <f t="shared" si="2"/>
        <v>111483450000.00002</v>
      </c>
    </row>
    <row r="16" spans="1:9" x14ac:dyDescent="0.2">
      <c r="B16" s="6">
        <v>7</v>
      </c>
      <c r="C16" s="12">
        <f>COMBIN(20,7) * COMBIN(60,3)</f>
        <v>2652734400</v>
      </c>
      <c r="D16" s="19">
        <f t="shared" si="0"/>
        <v>620.67733208420714</v>
      </c>
      <c r="E16" s="33">
        <f t="shared" si="1"/>
        <v>2652734400</v>
      </c>
      <c r="F16" s="26">
        <v>80</v>
      </c>
      <c r="G16" s="1">
        <f t="shared" si="2"/>
        <v>212218752000</v>
      </c>
    </row>
    <row r="17" spans="1:7" x14ac:dyDescent="0.2">
      <c r="B17" s="6">
        <v>6</v>
      </c>
      <c r="C17" s="12">
        <f>COMBIN(20,6) * COMBIN(60,4)</f>
        <v>18900732600</v>
      </c>
      <c r="D17" s="19">
        <f t="shared" si="0"/>
        <v>87.112608011818551</v>
      </c>
      <c r="E17" s="33">
        <f t="shared" si="1"/>
        <v>18900732600</v>
      </c>
      <c r="F17" s="26">
        <v>20</v>
      </c>
      <c r="G17" s="1">
        <f t="shared" si="2"/>
        <v>378014652000</v>
      </c>
    </row>
    <row r="18" spans="1:7" x14ac:dyDescent="0.2">
      <c r="B18" s="6">
        <v>5</v>
      </c>
      <c r="C18" s="12">
        <f>COMBIN(20,5) * COMBIN(60,5)</f>
        <v>84675282048</v>
      </c>
      <c r="D18" s="19">
        <f t="shared" si="0"/>
        <v>19.444778574066639</v>
      </c>
      <c r="E18" s="33">
        <f t="shared" si="1"/>
        <v>84675282048</v>
      </c>
      <c r="F18" s="26">
        <v>2</v>
      </c>
      <c r="G18" s="1">
        <f t="shared" si="2"/>
        <v>169350564096</v>
      </c>
    </row>
    <row r="19" spans="1:7" x14ac:dyDescent="0.2">
      <c r="B19" s="6">
        <v>4</v>
      </c>
      <c r="C19" s="12">
        <f>COMBIN(20,4) * COMBIN(60,6)</f>
        <v>242559401700.00006</v>
      </c>
      <c r="D19" s="19">
        <f t="shared" si="0"/>
        <v>6.7879954294923524</v>
      </c>
      <c r="E19" s="33" t="str">
        <f t="shared" si="1"/>
        <v/>
      </c>
      <c r="G19" s="1" t="str">
        <f t="shared" si="2"/>
        <v/>
      </c>
    </row>
    <row r="20" spans="1:7" x14ac:dyDescent="0.2">
      <c r="B20" s="6">
        <v>3</v>
      </c>
      <c r="C20" s="12">
        <f>COMBIN(20,3) * COMBIN(60,7)</f>
        <v>440275888799.99988</v>
      </c>
      <c r="D20" s="19">
        <f t="shared" si="0"/>
        <v>3.7396826671740295</v>
      </c>
      <c r="E20" s="33" t="str">
        <f t="shared" si="1"/>
        <v/>
      </c>
      <c r="G20" s="1" t="str">
        <f t="shared" si="2"/>
        <v/>
      </c>
    </row>
    <row r="21" spans="1:7" x14ac:dyDescent="0.2">
      <c r="B21" s="6">
        <v>2</v>
      </c>
      <c r="C21" s="12">
        <f>COMBIN(20,2) * COMBIN(60,8)</f>
        <v>486137960550.00006</v>
      </c>
      <c r="D21" s="19">
        <f t="shared" si="0"/>
        <v>3.3868824155538366</v>
      </c>
      <c r="E21" s="33" t="str">
        <f t="shared" si="1"/>
        <v/>
      </c>
      <c r="G21" s="1" t="str">
        <f t="shared" si="2"/>
        <v/>
      </c>
    </row>
    <row r="22" spans="1:7" x14ac:dyDescent="0.2">
      <c r="B22" s="6">
        <v>1</v>
      </c>
      <c r="C22" s="12">
        <f>COMBIN(20,1) * COMBIN(60,9)</f>
        <v>295662853200.00012</v>
      </c>
      <c r="D22" s="19">
        <f t="shared" si="0"/>
        <v>5.5688162794202496</v>
      </c>
      <c r="E22" s="33" t="str">
        <f t="shared" si="1"/>
        <v/>
      </c>
      <c r="G22" s="1" t="str">
        <f t="shared" si="2"/>
        <v/>
      </c>
    </row>
    <row r="23" spans="1:7" x14ac:dyDescent="0.2">
      <c r="B23" s="6">
        <v>0</v>
      </c>
      <c r="C23" s="12">
        <f>COMBIN(20,0) * COMBIN(60,10)</f>
        <v>75394027566</v>
      </c>
      <c r="D23" s="19">
        <f t="shared" ref="D23" si="3">$C$25/C23</f>
        <v>21.838495213412752</v>
      </c>
      <c r="E23" s="33">
        <f t="shared" ref="E23" si="4">IF(F23&gt;0,C23,"")</f>
        <v>75394027566</v>
      </c>
      <c r="F23" s="26">
        <v>2</v>
      </c>
      <c r="G23" s="1">
        <f t="shared" ref="G23" si="5">IF(F23&gt;0,C23*F23,"")</f>
        <v>150788055132</v>
      </c>
    </row>
    <row r="24" spans="1:7" x14ac:dyDescent="0.2">
      <c r="E24" s="33"/>
    </row>
    <row r="25" spans="1:7" s="15" customFormat="1" x14ac:dyDescent="0.2">
      <c r="A25" s="3"/>
      <c r="B25" s="23" t="s">
        <v>17</v>
      </c>
      <c r="C25" s="4">
        <f>COMBIN(80,10)</f>
        <v>1646492110120</v>
      </c>
      <c r="E25" s="34">
        <f>SUM(E12:E24)</f>
        <v>181856005870</v>
      </c>
      <c r="F25" s="27"/>
      <c r="G25" s="21">
        <f>SUM(G12:G24)</f>
        <v>1141107073228</v>
      </c>
    </row>
    <row r="26" spans="1:7" x14ac:dyDescent="0.2">
      <c r="B26" s="28" t="s">
        <v>27</v>
      </c>
      <c r="D26" s="29">
        <f>C25/E25</f>
        <v>9.0538231181487454</v>
      </c>
      <c r="E26" s="32"/>
    </row>
    <row r="27" spans="1:7" x14ac:dyDescent="0.2">
      <c r="B27" s="30" t="s">
        <v>28</v>
      </c>
      <c r="G27" s="31">
        <f>G25/C25</f>
        <v>0.69305347181094823</v>
      </c>
    </row>
  </sheetData>
  <mergeCells count="1">
    <mergeCell ref="D7:E7"/>
  </mergeCells>
  <pageMargins left="0.7" right="0.7" top="0.75" bottom="0.75" header="0.3" footer="0.3"/>
  <pageSetup orientation="portrait" r:id="rId1"/>
  <headerFooter>
    <oddFooter>&amp;L&amp;Z&amp;F&amp;R&amp;A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28"/>
  <sheetViews>
    <sheetView topLeftCell="A8" workbookViewId="0">
      <selection activeCell="A4" sqref="A4"/>
    </sheetView>
  </sheetViews>
  <sheetFormatPr defaultRowHeight="12.75" x14ac:dyDescent="0.2"/>
  <cols>
    <col min="1" max="1" width="8.7109375" style="6" customWidth="1"/>
    <col min="2" max="2" width="8.7109375" style="9" customWidth="1"/>
    <col min="3" max="3" width="18.7109375" style="12" customWidth="1"/>
    <col min="4" max="4" width="16.7109375" style="19" customWidth="1"/>
    <col min="5" max="5" width="5.7109375" style="9" customWidth="1"/>
    <col min="6" max="6" width="12.7109375" style="26" customWidth="1"/>
    <col min="7" max="7" width="20.7109375" customWidth="1"/>
  </cols>
  <sheetData>
    <row r="2" spans="1:9" ht="21" x14ac:dyDescent="0.35">
      <c r="A2" s="17" t="s">
        <v>25</v>
      </c>
      <c r="B2"/>
      <c r="C2" s="6"/>
      <c r="H2" s="3"/>
      <c r="I2" s="1"/>
    </row>
    <row r="3" spans="1:9" x14ac:dyDescent="0.2">
      <c r="A3" s="18" t="s">
        <v>26</v>
      </c>
      <c r="B3"/>
      <c r="C3" s="6"/>
      <c r="H3" s="3"/>
      <c r="I3" s="1"/>
    </row>
    <row r="4" spans="1:9" x14ac:dyDescent="0.2">
      <c r="A4" s="18"/>
      <c r="B4"/>
      <c r="C4" s="6"/>
      <c r="H4" s="3"/>
      <c r="I4" s="1"/>
    </row>
    <row r="5" spans="1:9" x14ac:dyDescent="0.2">
      <c r="A5" s="18"/>
      <c r="B5"/>
      <c r="C5" s="6"/>
      <c r="H5" s="3"/>
      <c r="I5" s="1"/>
    </row>
    <row r="6" spans="1:9" ht="13.5" thickBot="1" x14ac:dyDescent="0.25">
      <c r="A6"/>
      <c r="B6"/>
      <c r="C6" s="6"/>
      <c r="H6" s="3"/>
      <c r="I6" s="1"/>
    </row>
    <row r="7" spans="1:9" ht="21.75" thickBot="1" x14ac:dyDescent="0.4">
      <c r="A7"/>
      <c r="B7"/>
      <c r="D7" s="74" t="s">
        <v>38</v>
      </c>
      <c r="E7" s="75"/>
      <c r="H7" s="3"/>
      <c r="I7" s="1"/>
    </row>
    <row r="8" spans="1:9" x14ac:dyDescent="0.2">
      <c r="A8"/>
      <c r="B8"/>
      <c r="C8" s="6"/>
      <c r="H8" s="3"/>
      <c r="I8" s="1"/>
    </row>
    <row r="11" spans="1:9" x14ac:dyDescent="0.2">
      <c r="B11" s="11" t="s">
        <v>12</v>
      </c>
      <c r="C11" s="11" t="s">
        <v>13</v>
      </c>
      <c r="D11" s="20" t="s">
        <v>14</v>
      </c>
      <c r="E11" s="11"/>
      <c r="F11" s="22" t="s">
        <v>15</v>
      </c>
      <c r="G11" s="7" t="s">
        <v>16</v>
      </c>
    </row>
    <row r="12" spans="1:9" x14ac:dyDescent="0.2">
      <c r="E12" s="33"/>
    </row>
    <row r="13" spans="1:9" x14ac:dyDescent="0.2">
      <c r="B13" s="6">
        <v>11</v>
      </c>
      <c r="C13" s="12">
        <f>COMBIN(20,11) * COMBIN(60,0)</f>
        <v>167960</v>
      </c>
      <c r="D13" s="19">
        <f t="shared" ref="D13:D23" si="0">$C$26/C13</f>
        <v>62381978.235294096</v>
      </c>
      <c r="E13" s="33">
        <f t="shared" ref="E13:E23" si="1">IF(F13&gt;0,C13,"")</f>
        <v>167960</v>
      </c>
      <c r="F13" s="26">
        <v>500000</v>
      </c>
      <c r="G13" s="1">
        <f t="shared" ref="G13:G23" si="2">IF(F13&gt;0,C13*F13,"")</f>
        <v>83980000000</v>
      </c>
    </row>
    <row r="14" spans="1:9" x14ac:dyDescent="0.2">
      <c r="B14" s="6">
        <v>10</v>
      </c>
      <c r="C14" s="12">
        <f>COMBIN(20,10) * COMBIN(60,1)</f>
        <v>11085360</v>
      </c>
      <c r="D14" s="19">
        <f t="shared" si="0"/>
        <v>945181.48841354693</v>
      </c>
      <c r="E14" s="33">
        <f t="shared" si="1"/>
        <v>11085360</v>
      </c>
      <c r="F14" s="26">
        <v>15000</v>
      </c>
      <c r="G14" s="1">
        <f t="shared" si="2"/>
        <v>166280400000</v>
      </c>
    </row>
    <row r="15" spans="1:9" x14ac:dyDescent="0.2">
      <c r="B15" s="6">
        <v>9</v>
      </c>
      <c r="C15" s="12">
        <f>COMBIN(20,9) * COMBIN(60,2)</f>
        <v>297289200</v>
      </c>
      <c r="D15" s="19">
        <f t="shared" si="0"/>
        <v>35244.055500166156</v>
      </c>
      <c r="E15" s="33">
        <f t="shared" si="1"/>
        <v>297289200</v>
      </c>
      <c r="F15" s="26">
        <v>1500</v>
      </c>
      <c r="G15" s="1">
        <f t="shared" si="2"/>
        <v>445933800000</v>
      </c>
    </row>
    <row r="16" spans="1:9" x14ac:dyDescent="0.2">
      <c r="B16" s="6">
        <v>8</v>
      </c>
      <c r="C16" s="12">
        <f>COMBIN(20,8) * COMBIN(60,3)</f>
        <v>4310693400.000001</v>
      </c>
      <c r="D16" s="19">
        <f t="shared" si="0"/>
        <v>2430.6245172528379</v>
      </c>
      <c r="E16" s="33">
        <f t="shared" si="1"/>
        <v>4310693400.000001</v>
      </c>
      <c r="F16" s="26">
        <v>250</v>
      </c>
      <c r="G16" s="1">
        <f t="shared" si="2"/>
        <v>1077673350000.0002</v>
      </c>
    </row>
    <row r="17" spans="1:7" x14ac:dyDescent="0.2">
      <c r="B17" s="6">
        <v>7</v>
      </c>
      <c r="C17" s="12">
        <f>COMBIN(20,7) * COMBIN(60,4)</f>
        <v>37801465200</v>
      </c>
      <c r="D17" s="19">
        <f t="shared" si="0"/>
        <v>277.17648003760439</v>
      </c>
      <c r="E17" s="33">
        <f t="shared" si="1"/>
        <v>37801465200</v>
      </c>
      <c r="F17" s="26">
        <v>50</v>
      </c>
      <c r="G17" s="1">
        <f t="shared" si="2"/>
        <v>1890073260000</v>
      </c>
    </row>
    <row r="18" spans="1:7" x14ac:dyDescent="0.2">
      <c r="B18" s="6">
        <v>6</v>
      </c>
      <c r="C18" s="12">
        <f>COMBIN(20,6) * COMBIN(60,5)</f>
        <v>211688205120.00003</v>
      </c>
      <c r="D18" s="19">
        <f t="shared" si="0"/>
        <v>49.495800006715058</v>
      </c>
      <c r="E18" s="33">
        <f t="shared" si="1"/>
        <v>211688205120.00003</v>
      </c>
      <c r="F18" s="26">
        <v>10</v>
      </c>
      <c r="G18" s="1">
        <f t="shared" si="2"/>
        <v>2116882051200.0002</v>
      </c>
    </row>
    <row r="19" spans="1:7" x14ac:dyDescent="0.2">
      <c r="B19" s="6">
        <v>5</v>
      </c>
      <c r="C19" s="12">
        <f>COMBIN(20,5) * COMBIN(60,6)</f>
        <v>776190085440.00012</v>
      </c>
      <c r="D19" s="19">
        <f t="shared" si="0"/>
        <v>13.498854547285925</v>
      </c>
      <c r="E19" s="33">
        <f t="shared" si="1"/>
        <v>776190085440.00012</v>
      </c>
      <c r="F19" s="26">
        <v>1</v>
      </c>
      <c r="G19" s="1">
        <f t="shared" si="2"/>
        <v>776190085440.00012</v>
      </c>
    </row>
    <row r="20" spans="1:7" x14ac:dyDescent="0.2">
      <c r="B20" s="6">
        <v>4</v>
      </c>
      <c r="C20" s="12">
        <f>COMBIN(20,4) * COMBIN(60,7)</f>
        <v>1871172527399.9995</v>
      </c>
      <c r="D20" s="19">
        <f t="shared" si="0"/>
        <v>5.599524849244534</v>
      </c>
      <c r="E20" s="33" t="str">
        <f t="shared" si="1"/>
        <v/>
      </c>
      <c r="G20" s="1" t="str">
        <f t="shared" si="2"/>
        <v/>
      </c>
    </row>
    <row r="21" spans="1:7" x14ac:dyDescent="0.2">
      <c r="B21" s="6">
        <v>3</v>
      </c>
      <c r="C21" s="12">
        <f>COMBIN(20,3) * COMBIN(60,8)</f>
        <v>2916827763300.0005</v>
      </c>
      <c r="D21" s="19">
        <f t="shared" si="0"/>
        <v>3.5921480164964921</v>
      </c>
      <c r="E21" s="33" t="str">
        <f t="shared" si="1"/>
        <v/>
      </c>
      <c r="G21" s="1" t="str">
        <f t="shared" si="2"/>
        <v/>
      </c>
    </row>
    <row r="22" spans="1:7" x14ac:dyDescent="0.2">
      <c r="B22" s="6">
        <v>2</v>
      </c>
      <c r="C22" s="12">
        <f>COMBIN(20,2) * COMBIN(60,9)</f>
        <v>2808797105400.001</v>
      </c>
      <c r="D22" s="19">
        <f t="shared" si="0"/>
        <v>3.7303075555925105</v>
      </c>
      <c r="E22" s="33" t="str">
        <f t="shared" si="1"/>
        <v/>
      </c>
      <c r="G22" s="1" t="str">
        <f t="shared" si="2"/>
        <v/>
      </c>
    </row>
    <row r="23" spans="1:7" x14ac:dyDescent="0.2">
      <c r="B23" s="6">
        <v>1</v>
      </c>
      <c r="C23" s="12">
        <f>COMBIN(20,1) * COMBIN(60,10)</f>
        <v>1507880551320</v>
      </c>
      <c r="D23" s="19">
        <f t="shared" si="0"/>
        <v>6.9486121133585996</v>
      </c>
      <c r="E23" s="33" t="str">
        <f t="shared" si="1"/>
        <v/>
      </c>
      <c r="G23" s="1" t="str">
        <f t="shared" si="2"/>
        <v/>
      </c>
    </row>
    <row r="24" spans="1:7" x14ac:dyDescent="0.2">
      <c r="B24" s="6">
        <v>0</v>
      </c>
      <c r="C24" s="12">
        <f>COMBIN(20,0) * COMBIN(60,11)</f>
        <v>342700125300</v>
      </c>
      <c r="D24" s="19">
        <f t="shared" ref="D24" si="3">$C$26/C24</f>
        <v>30.57389329877784</v>
      </c>
      <c r="E24" s="33">
        <f t="shared" ref="E24" si="4">IF(F24&gt;0,C24,"")</f>
        <v>342700125300</v>
      </c>
      <c r="F24" s="26">
        <v>2</v>
      </c>
      <c r="G24" s="1">
        <f t="shared" ref="G24" si="5">IF(F24&gt;0,C24*F24,"")</f>
        <v>685400250600</v>
      </c>
    </row>
    <row r="25" spans="1:7" x14ac:dyDescent="0.2">
      <c r="E25" s="33"/>
    </row>
    <row r="26" spans="1:7" s="15" customFormat="1" x14ac:dyDescent="0.2">
      <c r="A26" s="3"/>
      <c r="B26" s="23" t="s">
        <v>17</v>
      </c>
      <c r="C26" s="4">
        <f>COMBIN(80,11)</f>
        <v>10477677064399.996</v>
      </c>
      <c r="E26" s="34">
        <f>SUM(E12:E25)</f>
        <v>1372999116980</v>
      </c>
      <c r="F26" s="27"/>
      <c r="G26" s="21">
        <f>SUM(G12:G25)</f>
        <v>7242413197240</v>
      </c>
    </row>
    <row r="27" spans="1:7" x14ac:dyDescent="0.2">
      <c r="B27" s="28" t="s">
        <v>27</v>
      </c>
      <c r="D27" s="29">
        <f>C26/E26</f>
        <v>7.6312336510793406</v>
      </c>
      <c r="E27" s="32"/>
    </row>
    <row r="28" spans="1:7" x14ac:dyDescent="0.2">
      <c r="B28" s="30" t="s">
        <v>28</v>
      </c>
      <c r="G28" s="31">
        <f>G26/C26</f>
        <v>0.69122317406093259</v>
      </c>
    </row>
  </sheetData>
  <mergeCells count="1">
    <mergeCell ref="D7:E7"/>
  </mergeCells>
  <pageMargins left="0.7" right="0.7" top="0.75" bottom="0.75" header="0.3" footer="0.3"/>
  <pageSetup orientation="portrait" r:id="rId1"/>
  <headerFooter>
    <oddFooter>&amp;L&amp;Z&amp;F&amp;R&amp;A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9"/>
  <sheetViews>
    <sheetView topLeftCell="B8" workbookViewId="0">
      <selection activeCell="D29" sqref="D29"/>
    </sheetView>
  </sheetViews>
  <sheetFormatPr defaultRowHeight="12.75" x14ac:dyDescent="0.2"/>
  <cols>
    <col min="1" max="1" width="8.7109375" style="6" customWidth="1"/>
    <col min="2" max="2" width="8.7109375" style="9" customWidth="1"/>
    <col min="3" max="3" width="18.7109375" style="12" customWidth="1"/>
    <col min="4" max="4" width="16.7109375" style="19" customWidth="1"/>
    <col min="5" max="5" width="5.7109375" style="9" customWidth="1"/>
    <col min="6" max="6" width="12.7109375" style="26" customWidth="1"/>
    <col min="7" max="7" width="20.7109375" customWidth="1"/>
  </cols>
  <sheetData>
    <row r="2" spans="1:9" ht="21" x14ac:dyDescent="0.35">
      <c r="A2" s="17" t="s">
        <v>25</v>
      </c>
      <c r="B2"/>
      <c r="C2" s="6"/>
      <c r="H2" s="3"/>
      <c r="I2" s="1"/>
    </row>
    <row r="3" spans="1:9" x14ac:dyDescent="0.2">
      <c r="A3" s="18" t="s">
        <v>26</v>
      </c>
      <c r="B3"/>
      <c r="C3" s="6"/>
      <c r="H3" s="3"/>
      <c r="I3" s="1"/>
    </row>
    <row r="4" spans="1:9" x14ac:dyDescent="0.2">
      <c r="A4" s="18"/>
      <c r="B4"/>
      <c r="C4" s="6"/>
      <c r="H4" s="3"/>
      <c r="I4" s="1"/>
    </row>
    <row r="5" spans="1:9" x14ac:dyDescent="0.2">
      <c r="A5" s="18"/>
      <c r="B5"/>
      <c r="C5" s="6"/>
      <c r="H5" s="3"/>
      <c r="I5" s="1"/>
    </row>
    <row r="6" spans="1:9" ht="13.5" thickBot="1" x14ac:dyDescent="0.25">
      <c r="A6"/>
      <c r="B6"/>
      <c r="C6" s="6"/>
      <c r="H6" s="3"/>
      <c r="I6" s="1"/>
    </row>
    <row r="7" spans="1:9" ht="21.75" thickBot="1" x14ac:dyDescent="0.4">
      <c r="A7"/>
      <c r="B7"/>
      <c r="D7" s="74" t="s">
        <v>39</v>
      </c>
      <c r="E7" s="75"/>
      <c r="H7" s="3"/>
      <c r="I7" s="1"/>
    </row>
    <row r="8" spans="1:9" x14ac:dyDescent="0.2">
      <c r="A8"/>
      <c r="B8"/>
      <c r="C8" s="6"/>
      <c r="H8" s="3"/>
      <c r="I8" s="1"/>
    </row>
    <row r="11" spans="1:9" x14ac:dyDescent="0.2">
      <c r="B11" s="11" t="s">
        <v>12</v>
      </c>
      <c r="C11" s="11" t="s">
        <v>13</v>
      </c>
      <c r="D11" s="20" t="s">
        <v>14</v>
      </c>
      <c r="E11" s="11"/>
      <c r="F11" s="22" t="s">
        <v>15</v>
      </c>
      <c r="G11" s="7" t="s">
        <v>16</v>
      </c>
    </row>
    <row r="12" spans="1:9" x14ac:dyDescent="0.2">
      <c r="E12" s="33"/>
    </row>
    <row r="13" spans="1:9" x14ac:dyDescent="0.2">
      <c r="B13" s="6">
        <v>12</v>
      </c>
      <c r="C13" s="12">
        <f>COMBIN(20,12) * COMBIN(60,0)</f>
        <v>125970.00000000001</v>
      </c>
      <c r="D13" s="19">
        <f t="shared" ref="D13:D24" si="0">$C$27/C13</f>
        <v>478261833.13725483</v>
      </c>
      <c r="E13" s="33">
        <f t="shared" ref="E13:E24" si="1">IF(F13&gt;0,C13,"")</f>
        <v>125970.00000000001</v>
      </c>
      <c r="F13" s="26">
        <v>1000000</v>
      </c>
      <c r="G13" s="1">
        <f t="shared" ref="G13:G24" si="2">IF(F13&gt;0,C13*F13,"")</f>
        <v>125970000000.00002</v>
      </c>
    </row>
    <row r="14" spans="1:9" x14ac:dyDescent="0.2">
      <c r="B14" s="6">
        <v>11</v>
      </c>
      <c r="C14" s="12">
        <f>COMBIN(20,11) * COMBIN(60,1)</f>
        <v>10077600</v>
      </c>
      <c r="D14" s="19">
        <f t="shared" si="0"/>
        <v>5978272.9142156867</v>
      </c>
      <c r="E14" s="33">
        <f t="shared" si="1"/>
        <v>10077600</v>
      </c>
      <c r="F14" s="26">
        <v>25000</v>
      </c>
      <c r="G14" s="1">
        <f t="shared" si="2"/>
        <v>251940000000</v>
      </c>
    </row>
    <row r="15" spans="1:9" x14ac:dyDescent="0.2">
      <c r="B15" s="6">
        <v>10</v>
      </c>
      <c r="C15" s="12">
        <f>COMBIN(20,10) * COMBIN(60,2)</f>
        <v>327018120</v>
      </c>
      <c r="D15" s="19">
        <f t="shared" si="0"/>
        <v>184230.29011450498</v>
      </c>
      <c r="E15" s="33">
        <f t="shared" si="1"/>
        <v>327018120</v>
      </c>
      <c r="F15" s="26">
        <v>2500</v>
      </c>
      <c r="G15" s="1">
        <f t="shared" si="2"/>
        <v>817545300000</v>
      </c>
    </row>
    <row r="16" spans="1:9" x14ac:dyDescent="0.2">
      <c r="B16" s="6">
        <v>9</v>
      </c>
      <c r="C16" s="12">
        <f>COMBIN(20,9) * COMBIN(60,3)</f>
        <v>5747591200</v>
      </c>
      <c r="D16" s="19">
        <f t="shared" si="0"/>
        <v>10482.068230652869</v>
      </c>
      <c r="E16" s="33">
        <f t="shared" si="1"/>
        <v>5747591200</v>
      </c>
      <c r="F16" s="26">
        <v>1000</v>
      </c>
      <c r="G16" s="1">
        <f t="shared" si="2"/>
        <v>5747591200000</v>
      </c>
    </row>
    <row r="17" spans="1:7" x14ac:dyDescent="0.2">
      <c r="B17" s="6">
        <v>8</v>
      </c>
      <c r="C17" s="12">
        <f>COMBIN(20,8) * COMBIN(60,4)</f>
        <v>61427380950.000008</v>
      </c>
      <c r="D17" s="19">
        <f t="shared" si="0"/>
        <v>980.77831397921568</v>
      </c>
      <c r="E17" s="33">
        <f t="shared" si="1"/>
        <v>61427380950.000008</v>
      </c>
      <c r="F17" s="26">
        <v>150</v>
      </c>
      <c r="G17" s="1">
        <f t="shared" si="2"/>
        <v>9214107142500.002</v>
      </c>
    </row>
    <row r="18" spans="1:7" x14ac:dyDescent="0.2">
      <c r="B18" s="6">
        <v>7</v>
      </c>
      <c r="C18" s="12">
        <f>COMBIN(20,7) * COMBIN(60,5)</f>
        <v>423376410240.00006</v>
      </c>
      <c r="D18" s="19">
        <f t="shared" si="0"/>
        <v>142.30042501930583</v>
      </c>
      <c r="E18" s="33">
        <f t="shared" si="1"/>
        <v>423376410240.00006</v>
      </c>
      <c r="F18" s="26">
        <v>25</v>
      </c>
      <c r="G18" s="1">
        <f t="shared" si="2"/>
        <v>10584410256000.002</v>
      </c>
    </row>
    <row r="19" spans="1:7" x14ac:dyDescent="0.2">
      <c r="B19" s="6">
        <v>6</v>
      </c>
      <c r="C19" s="12">
        <f>COMBIN(20,6) * COMBIN(60,6)</f>
        <v>1940475213600.0005</v>
      </c>
      <c r="D19" s="19">
        <f t="shared" si="0"/>
        <v>31.047365458757636</v>
      </c>
      <c r="E19" s="33">
        <f t="shared" si="1"/>
        <v>1940475213600.0005</v>
      </c>
      <c r="F19" s="26">
        <v>5</v>
      </c>
      <c r="G19" s="1">
        <f t="shared" si="2"/>
        <v>9702376068000.002</v>
      </c>
    </row>
    <row r="20" spans="1:7" x14ac:dyDescent="0.2">
      <c r="B20" s="6">
        <v>5</v>
      </c>
      <c r="C20" s="12">
        <f>COMBIN(20,5) * COMBIN(60,7)</f>
        <v>5987752087679.9971</v>
      </c>
      <c r="D20" s="19">
        <f t="shared" si="0"/>
        <v>10.061646213486279</v>
      </c>
      <c r="E20" s="33" t="str">
        <f t="shared" si="1"/>
        <v/>
      </c>
      <c r="G20" s="1" t="str">
        <f t="shared" si="2"/>
        <v/>
      </c>
    </row>
    <row r="21" spans="1:7" x14ac:dyDescent="0.2">
      <c r="B21" s="6">
        <v>4</v>
      </c>
      <c r="C21" s="12">
        <f>COMBIN(20,4) * COMBIN(60,8)</f>
        <v>12396517994025.002</v>
      </c>
      <c r="D21" s="19">
        <f t="shared" si="0"/>
        <v>4.8599649634952558</v>
      </c>
      <c r="E21" s="33" t="str">
        <f t="shared" si="1"/>
        <v/>
      </c>
      <c r="G21" s="1" t="str">
        <f t="shared" si="2"/>
        <v/>
      </c>
    </row>
    <row r="22" spans="1:7" x14ac:dyDescent="0.2">
      <c r="B22" s="6">
        <v>3</v>
      </c>
      <c r="C22" s="12">
        <f>COMBIN(20,3) * COMBIN(60,9)</f>
        <v>16852782632400.006</v>
      </c>
      <c r="D22" s="19">
        <f t="shared" si="0"/>
        <v>3.5748780741094905</v>
      </c>
      <c r="E22" s="33" t="str">
        <f t="shared" si="1"/>
        <v/>
      </c>
      <c r="G22" s="1" t="str">
        <f t="shared" si="2"/>
        <v/>
      </c>
    </row>
    <row r="23" spans="1:7" x14ac:dyDescent="0.2">
      <c r="B23" s="6">
        <v>2</v>
      </c>
      <c r="C23" s="12">
        <f>COMBIN(20,2) * COMBIN(60,10)</f>
        <v>14324865237540</v>
      </c>
      <c r="D23" s="19">
        <f t="shared" si="0"/>
        <v>4.2057389107170486</v>
      </c>
      <c r="E23" s="33" t="str">
        <f t="shared" si="1"/>
        <v/>
      </c>
      <c r="G23" s="1" t="str">
        <f t="shared" si="2"/>
        <v/>
      </c>
    </row>
    <row r="24" spans="1:7" x14ac:dyDescent="0.2">
      <c r="B24" s="6">
        <v>1</v>
      </c>
      <c r="C24" s="12">
        <f>COMBIN(20,1) * COMBIN(60,11)</f>
        <v>6854002506000</v>
      </c>
      <c r="D24" s="19">
        <f t="shared" si="0"/>
        <v>8.7899943233986324</v>
      </c>
      <c r="E24" s="33" t="str">
        <f t="shared" si="1"/>
        <v/>
      </c>
      <c r="G24" s="1" t="str">
        <f t="shared" si="2"/>
        <v/>
      </c>
    </row>
    <row r="25" spans="1:7" x14ac:dyDescent="0.2">
      <c r="B25" s="6">
        <v>0</v>
      </c>
      <c r="C25" s="12">
        <f>COMBIN(20,0) * COMBIN(60,12)</f>
        <v>1399358844975.0007</v>
      </c>
      <c r="D25" s="19">
        <f t="shared" ref="D25" si="3">$C$27/C25</f>
        <v>43.053033420727971</v>
      </c>
      <c r="E25" s="33">
        <f t="shared" ref="E25" si="4">IF(F25&gt;0,C25,"")</f>
        <v>1399358844975.0007</v>
      </c>
      <c r="F25" s="26">
        <v>4</v>
      </c>
      <c r="G25" s="1">
        <f t="shared" ref="G25" si="5">IF(F25&gt;0,C25*F25,"")</f>
        <v>5597435379900.0029</v>
      </c>
    </row>
    <row r="26" spans="1:7" x14ac:dyDescent="0.2">
      <c r="E26" s="33"/>
    </row>
    <row r="27" spans="1:7" s="15" customFormat="1" x14ac:dyDescent="0.2">
      <c r="A27" s="3"/>
      <c r="B27" s="23" t="s">
        <v>17</v>
      </c>
      <c r="C27" s="4">
        <f>COMBIN(80,12)</f>
        <v>60246643120300</v>
      </c>
      <c r="E27" s="34">
        <f>SUM(E12:E26)</f>
        <v>3830722662655.001</v>
      </c>
      <c r="F27" s="27"/>
      <c r="G27" s="21">
        <f>SUM(G12:G26)</f>
        <v>42041375346400.008</v>
      </c>
    </row>
    <row r="28" spans="1:7" x14ac:dyDescent="0.2">
      <c r="B28" s="28" t="s">
        <v>27</v>
      </c>
      <c r="D28" s="29">
        <f>C27/E27</f>
        <v>15.727226538123801</v>
      </c>
      <c r="E28" s="32"/>
    </row>
    <row r="29" spans="1:7" x14ac:dyDescent="0.2">
      <c r="B29" s="30" t="s">
        <v>28</v>
      </c>
      <c r="G29" s="31">
        <f>G27/C27</f>
        <v>0.69782104311525106</v>
      </c>
    </row>
  </sheetData>
  <mergeCells count="1">
    <mergeCell ref="D7:E7"/>
  </mergeCells>
  <pageMargins left="0.7" right="0.7" top="0.75" bottom="0.75" header="0.3" footer="0.3"/>
  <pageSetup orientation="portrait" r:id="rId1"/>
  <headerFooter>
    <oddFooter>&amp;L&amp;Z&amp;F&amp;R&amp;A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2CD6E-1D5A-49BC-B74F-8BC4BC75F7F1}">
  <dimension ref="A1:V24"/>
  <sheetViews>
    <sheetView workbookViewId="0">
      <selection activeCell="E22" sqref="E22"/>
    </sheetView>
  </sheetViews>
  <sheetFormatPr defaultRowHeight="12.75" x14ac:dyDescent="0.2"/>
  <cols>
    <col min="1" max="1" width="3.28515625" customWidth="1"/>
    <col min="2" max="2" width="9.85546875" style="6" customWidth="1"/>
    <col min="3" max="3" width="9" style="6" customWidth="1"/>
    <col min="4" max="4" width="15.7109375" style="6" customWidth="1"/>
    <col min="5" max="5" width="10.7109375" style="6" customWidth="1"/>
    <col min="6" max="8" width="15.7109375" style="6" customWidth="1"/>
    <col min="9" max="9" width="13.28515625" customWidth="1"/>
    <col min="10" max="10" width="9.85546875" style="53" customWidth="1"/>
    <col min="11" max="11" width="8.85546875" style="53"/>
    <col min="12" max="12" width="9.140625" style="53"/>
    <col min="13" max="13" width="9.85546875" style="6" customWidth="1"/>
    <col min="14" max="14" width="9" style="6" customWidth="1"/>
    <col min="15" max="15" width="15.7109375" style="6" customWidth="1"/>
    <col min="16" max="16" width="10.7109375" style="6" customWidth="1"/>
    <col min="17" max="19" width="15.7109375" style="6" customWidth="1"/>
    <col min="20" max="20" width="13.28515625" customWidth="1"/>
    <col min="21" max="21" width="9.85546875" style="53" customWidth="1"/>
    <col min="22" max="22" width="9.140625" style="53"/>
  </cols>
  <sheetData>
    <row r="1" spans="1:21" ht="13.5" thickBot="1" x14ac:dyDescent="0.25"/>
    <row r="2" spans="1:21" ht="27" thickBot="1" x14ac:dyDescent="0.45">
      <c r="B2" s="68" t="s">
        <v>48</v>
      </c>
      <c r="C2" s="69"/>
      <c r="D2" s="69"/>
      <c r="E2" s="69"/>
      <c r="F2" s="69"/>
      <c r="G2" s="69"/>
      <c r="H2" s="70"/>
      <c r="M2" s="68" t="s">
        <v>48</v>
      </c>
      <c r="N2" s="69"/>
      <c r="O2" s="69"/>
      <c r="P2" s="69"/>
      <c r="Q2" s="69"/>
      <c r="R2" s="69"/>
      <c r="S2" s="70"/>
    </row>
    <row r="4" spans="1:21" ht="18.75" x14ac:dyDescent="0.3">
      <c r="B4" s="71" t="s">
        <v>49</v>
      </c>
      <c r="C4" s="71"/>
      <c r="D4" s="71"/>
      <c r="E4" s="71"/>
      <c r="F4" s="71"/>
      <c r="G4" s="71"/>
      <c r="H4" s="71"/>
      <c r="M4" s="71" t="s">
        <v>49</v>
      </c>
      <c r="N4" s="71"/>
      <c r="O4" s="71"/>
      <c r="P4" s="71"/>
      <c r="Q4" s="71"/>
      <c r="R4" s="71"/>
      <c r="S4" s="71"/>
    </row>
    <row r="5" spans="1:21" ht="23.25" x14ac:dyDescent="0.35">
      <c r="A5" s="36"/>
      <c r="B5" s="72" t="s">
        <v>50</v>
      </c>
      <c r="C5" s="72"/>
      <c r="D5" s="72"/>
      <c r="E5" s="38"/>
      <c r="F5" s="73" t="s">
        <v>51</v>
      </c>
      <c r="G5" s="73"/>
      <c r="H5" s="73"/>
      <c r="M5" s="72" t="s">
        <v>50</v>
      </c>
      <c r="N5" s="72"/>
      <c r="O5" s="72"/>
      <c r="P5" s="38"/>
      <c r="Q5" s="73" t="s">
        <v>51</v>
      </c>
      <c r="R5" s="73"/>
      <c r="S5" s="73"/>
    </row>
    <row r="6" spans="1:21" ht="23.25" x14ac:dyDescent="0.35">
      <c r="A6" s="36"/>
      <c r="B6" s="37" t="s">
        <v>52</v>
      </c>
      <c r="C6" s="37" t="s">
        <v>53</v>
      </c>
      <c r="D6" s="40" t="s">
        <v>54</v>
      </c>
      <c r="E6" s="3" t="s">
        <v>55</v>
      </c>
      <c r="F6" s="39" t="s">
        <v>54</v>
      </c>
      <c r="G6" s="39" t="s">
        <v>53</v>
      </c>
      <c r="H6" s="39" t="s">
        <v>52</v>
      </c>
      <c r="M6" s="37" t="s">
        <v>52</v>
      </c>
      <c r="N6" s="37" t="s">
        <v>53</v>
      </c>
      <c r="O6" s="40" t="s">
        <v>54</v>
      </c>
      <c r="P6" s="3" t="s">
        <v>55</v>
      </c>
      <c r="Q6" s="39" t="s">
        <v>54</v>
      </c>
      <c r="R6" s="39" t="s">
        <v>53</v>
      </c>
      <c r="S6" s="39" t="s">
        <v>52</v>
      </c>
    </row>
    <row r="7" spans="1:21" ht="23.25" x14ac:dyDescent="0.35">
      <c r="A7" s="36"/>
      <c r="B7" s="41">
        <f>IF(D7&gt;0,$D$17/D7,"-")</f>
        <v>1.7516629711751663</v>
      </c>
      <c r="C7" s="42">
        <f>IF(D7&gt;0,D7/$D$17,"-")</f>
        <v>0.57088607594936713</v>
      </c>
      <c r="D7" s="43">
        <v>3608</v>
      </c>
      <c r="E7" s="44">
        <v>1</v>
      </c>
      <c r="F7" s="45">
        <v>3608</v>
      </c>
      <c r="G7" s="46">
        <f>IF(F7&gt;0,F7/$F$17,"-")</f>
        <v>0.57088607594936713</v>
      </c>
      <c r="H7" s="47">
        <f>IF(F7&gt;0,$F$17/F7,"-")</f>
        <v>1.7516629711751663</v>
      </c>
      <c r="I7" s="24"/>
      <c r="J7" s="54">
        <f t="shared" ref="J7:J16" si="0">F7*E7</f>
        <v>3608</v>
      </c>
      <c r="M7" s="41">
        <f>IF(O7&gt;0,$D$17/O7,"-")</f>
        <v>1.7516629711751663</v>
      </c>
      <c r="N7" s="42">
        <f>IF(O7&gt;0,O7/$D$17,"-")</f>
        <v>0.57088607594936713</v>
      </c>
      <c r="O7" s="43">
        <v>3608</v>
      </c>
      <c r="P7" s="44">
        <v>1</v>
      </c>
      <c r="Q7" s="45">
        <v>1804</v>
      </c>
      <c r="R7" s="46">
        <f>IF(Q7&gt;0,Q7/$F$17,"-")</f>
        <v>0.28544303797468357</v>
      </c>
      <c r="S7" s="47">
        <f>IF(Q7&gt;0,$F$17/Q7,"-")</f>
        <v>3.5033259423503327</v>
      </c>
      <c r="T7" s="24"/>
      <c r="U7" s="54">
        <f t="shared" ref="U7" si="1">Q7*P7</f>
        <v>1804</v>
      </c>
    </row>
    <row r="8" spans="1:21" ht="23.25" x14ac:dyDescent="0.35">
      <c r="A8" s="36"/>
      <c r="B8" s="41" t="str">
        <f t="shared" ref="B8:B16" si="2">IF(D8&gt;0,$D$17/D8,"-")</f>
        <v>-</v>
      </c>
      <c r="C8" s="42" t="str">
        <f t="shared" ref="C8:C16" si="3">IF(D8&gt;0,D8/$D$17,"-")</f>
        <v>-</v>
      </c>
      <c r="D8" s="43">
        <v>0</v>
      </c>
      <c r="E8" s="44">
        <v>2</v>
      </c>
      <c r="F8" s="57">
        <v>0</v>
      </c>
      <c r="G8" s="58" t="str">
        <f t="shared" ref="G8:G16" si="4">IF(F8&gt;0,F8/$F$17,"-")</f>
        <v>-</v>
      </c>
      <c r="H8" s="59" t="str">
        <f t="shared" ref="H8:H16" si="5">IF(F8&gt;0,$F$17/F8,"-")</f>
        <v>-</v>
      </c>
      <c r="I8" s="24"/>
      <c r="J8" s="54">
        <f>F8*E8/E8</f>
        <v>0</v>
      </c>
      <c r="M8" s="41" t="str">
        <f t="shared" ref="M8:M16" si="6">IF(O8&gt;0,$D$17/O8,"-")</f>
        <v>-</v>
      </c>
      <c r="N8" s="42" t="str">
        <f t="shared" ref="N8:N16" si="7">IF(O8&gt;0,O8/$D$17,"-")</f>
        <v>-</v>
      </c>
      <c r="O8" s="43">
        <v>0</v>
      </c>
      <c r="P8" s="44">
        <v>2</v>
      </c>
      <c r="Q8" s="57">
        <v>1804</v>
      </c>
      <c r="R8" s="58">
        <f t="shared" ref="R8:R16" si="8">IF(Q8&gt;0,Q8/$F$17,"-")</f>
        <v>0.28544303797468357</v>
      </c>
      <c r="S8" s="59">
        <f t="shared" ref="S8:S16" si="9">IF(Q8&gt;0,$F$17/Q8,"-")</f>
        <v>3.5033259423503327</v>
      </c>
      <c r="T8" s="24"/>
      <c r="U8" s="54">
        <f>Q8*P8</f>
        <v>3608</v>
      </c>
    </row>
    <row r="9" spans="1:21" ht="23.25" x14ac:dyDescent="0.35">
      <c r="A9" s="36"/>
      <c r="B9" s="41">
        <f t="shared" si="2"/>
        <v>3.0009496676163341</v>
      </c>
      <c r="C9" s="42">
        <f t="shared" si="3"/>
        <v>0.33322784810126582</v>
      </c>
      <c r="D9" s="43">
        <v>2106</v>
      </c>
      <c r="E9" s="44">
        <v>3</v>
      </c>
      <c r="F9" s="45">
        <v>2106</v>
      </c>
      <c r="G9" s="46">
        <f t="shared" si="4"/>
        <v>0.33322784810126582</v>
      </c>
      <c r="H9" s="47">
        <f t="shared" si="5"/>
        <v>3.0009496676163341</v>
      </c>
      <c r="I9" s="24"/>
      <c r="J9" s="54">
        <f t="shared" si="0"/>
        <v>6318</v>
      </c>
      <c r="M9" s="41">
        <f t="shared" si="6"/>
        <v>3.0009496676163341</v>
      </c>
      <c r="N9" s="42">
        <f t="shared" si="7"/>
        <v>0.33322784810126582</v>
      </c>
      <c r="O9" s="43">
        <v>2106</v>
      </c>
      <c r="P9" s="44">
        <v>3</v>
      </c>
      <c r="Q9" s="45">
        <v>2106</v>
      </c>
      <c r="R9" s="46">
        <f t="shared" si="8"/>
        <v>0.33322784810126582</v>
      </c>
      <c r="S9" s="47">
        <f t="shared" si="9"/>
        <v>3.0009496676163341</v>
      </c>
      <c r="T9" s="24"/>
      <c r="U9" s="54">
        <f t="shared" ref="U9:U16" si="10">Q9*P9</f>
        <v>6318</v>
      </c>
    </row>
    <row r="10" spans="1:21" ht="23.25" x14ac:dyDescent="0.35">
      <c r="A10" s="36"/>
      <c r="B10" s="41">
        <f t="shared" si="2"/>
        <v>15.01187648456057</v>
      </c>
      <c r="C10" s="42">
        <f t="shared" si="3"/>
        <v>6.6613924050632906E-2</v>
      </c>
      <c r="D10" s="43">
        <v>421</v>
      </c>
      <c r="E10" s="44">
        <v>4</v>
      </c>
      <c r="F10" s="45">
        <v>421</v>
      </c>
      <c r="G10" s="46">
        <f t="shared" si="4"/>
        <v>6.6613924050632906E-2</v>
      </c>
      <c r="H10" s="47">
        <f t="shared" si="5"/>
        <v>15.01187648456057</v>
      </c>
      <c r="I10" s="24"/>
      <c r="J10" s="54">
        <f t="shared" si="0"/>
        <v>1684</v>
      </c>
      <c r="M10" s="41">
        <f t="shared" si="6"/>
        <v>15.01187648456057</v>
      </c>
      <c r="N10" s="42">
        <f t="shared" si="7"/>
        <v>6.6613924050632906E-2</v>
      </c>
      <c r="O10" s="43">
        <v>421</v>
      </c>
      <c r="P10" s="44">
        <v>4</v>
      </c>
      <c r="Q10" s="45">
        <v>421</v>
      </c>
      <c r="R10" s="46">
        <f t="shared" si="8"/>
        <v>6.6613924050632906E-2</v>
      </c>
      <c r="S10" s="47">
        <f t="shared" si="9"/>
        <v>15.01187648456057</v>
      </c>
      <c r="T10" s="24"/>
      <c r="U10" s="54">
        <f t="shared" si="10"/>
        <v>1684</v>
      </c>
    </row>
    <row r="11" spans="1:21" ht="23.25" x14ac:dyDescent="0.35">
      <c r="A11" s="36"/>
      <c r="B11" s="41">
        <f t="shared" si="2"/>
        <v>40</v>
      </c>
      <c r="C11" s="42">
        <f t="shared" si="3"/>
        <v>2.5000000000000001E-2</v>
      </c>
      <c r="D11" s="43">
        <v>158</v>
      </c>
      <c r="E11" s="44">
        <v>5</v>
      </c>
      <c r="F11" s="45">
        <v>158</v>
      </c>
      <c r="G11" s="46">
        <f t="shared" si="4"/>
        <v>2.5000000000000001E-2</v>
      </c>
      <c r="H11" s="47">
        <f t="shared" si="5"/>
        <v>40</v>
      </c>
      <c r="I11" s="24"/>
      <c r="J11" s="54">
        <f t="shared" si="0"/>
        <v>790</v>
      </c>
      <c r="M11" s="41">
        <f t="shared" si="6"/>
        <v>40</v>
      </c>
      <c r="N11" s="42">
        <f t="shared" si="7"/>
        <v>2.5000000000000001E-2</v>
      </c>
      <c r="O11" s="43">
        <v>158</v>
      </c>
      <c r="P11" s="44">
        <v>5</v>
      </c>
      <c r="Q11" s="45">
        <v>158</v>
      </c>
      <c r="R11" s="46">
        <f t="shared" si="8"/>
        <v>2.5000000000000001E-2</v>
      </c>
      <c r="S11" s="47">
        <f t="shared" si="9"/>
        <v>40</v>
      </c>
      <c r="T11" s="24"/>
      <c r="U11" s="54">
        <f t="shared" si="10"/>
        <v>790</v>
      </c>
    </row>
    <row r="12" spans="1:21" ht="23.25" x14ac:dyDescent="0.35">
      <c r="A12" s="36"/>
      <c r="B12" s="41" t="str">
        <f t="shared" si="2"/>
        <v>-</v>
      </c>
      <c r="C12" s="42" t="str">
        <f t="shared" si="3"/>
        <v>-</v>
      </c>
      <c r="D12" s="43">
        <v>0</v>
      </c>
      <c r="E12" s="44">
        <v>6</v>
      </c>
      <c r="F12" s="45"/>
      <c r="G12" s="46" t="str">
        <f t="shared" si="4"/>
        <v>-</v>
      </c>
      <c r="H12" s="47" t="str">
        <f t="shared" si="5"/>
        <v>-</v>
      </c>
      <c r="I12" s="24"/>
      <c r="J12" s="54">
        <f t="shared" si="0"/>
        <v>0</v>
      </c>
      <c r="M12" s="41" t="str">
        <f t="shared" si="6"/>
        <v>-</v>
      </c>
      <c r="N12" s="42" t="str">
        <f t="shared" si="7"/>
        <v>-</v>
      </c>
      <c r="O12" s="43">
        <v>0</v>
      </c>
      <c r="P12" s="44">
        <v>6</v>
      </c>
      <c r="Q12" s="45"/>
      <c r="R12" s="46" t="str">
        <f t="shared" si="8"/>
        <v>-</v>
      </c>
      <c r="S12" s="47" t="str">
        <f t="shared" si="9"/>
        <v>-</v>
      </c>
      <c r="T12" s="24"/>
      <c r="U12" s="54">
        <f t="shared" si="10"/>
        <v>0</v>
      </c>
    </row>
    <row r="13" spans="1:21" ht="23.25" x14ac:dyDescent="0.35">
      <c r="A13" s="36"/>
      <c r="B13" s="41" t="str">
        <f t="shared" si="2"/>
        <v>-</v>
      </c>
      <c r="C13" s="42" t="str">
        <f t="shared" si="3"/>
        <v>-</v>
      </c>
      <c r="D13" s="43">
        <v>0</v>
      </c>
      <c r="E13" s="44">
        <v>7</v>
      </c>
      <c r="F13" s="45"/>
      <c r="G13" s="46" t="str">
        <f t="shared" si="4"/>
        <v>-</v>
      </c>
      <c r="H13" s="47" t="str">
        <f t="shared" si="5"/>
        <v>-</v>
      </c>
      <c r="I13" s="24"/>
      <c r="J13" s="54">
        <f t="shared" si="0"/>
        <v>0</v>
      </c>
      <c r="M13" s="41" t="str">
        <f t="shared" si="6"/>
        <v>-</v>
      </c>
      <c r="N13" s="42" t="str">
        <f t="shared" si="7"/>
        <v>-</v>
      </c>
      <c r="O13" s="43">
        <v>0</v>
      </c>
      <c r="P13" s="44">
        <v>7</v>
      </c>
      <c r="Q13" s="45"/>
      <c r="R13" s="46" t="str">
        <f t="shared" si="8"/>
        <v>-</v>
      </c>
      <c r="S13" s="47" t="str">
        <f t="shared" si="9"/>
        <v>-</v>
      </c>
      <c r="T13" s="24"/>
      <c r="U13" s="54">
        <f t="shared" si="10"/>
        <v>0</v>
      </c>
    </row>
    <row r="14" spans="1:21" ht="23.25" x14ac:dyDescent="0.35">
      <c r="A14" s="36"/>
      <c r="B14" s="41" t="str">
        <f t="shared" si="2"/>
        <v>-</v>
      </c>
      <c r="C14" s="42" t="str">
        <f t="shared" si="3"/>
        <v>-</v>
      </c>
      <c r="D14" s="43">
        <v>0</v>
      </c>
      <c r="E14" s="44">
        <v>8</v>
      </c>
      <c r="F14" s="45"/>
      <c r="G14" s="46" t="str">
        <f t="shared" si="4"/>
        <v>-</v>
      </c>
      <c r="H14" s="47" t="str">
        <f t="shared" si="5"/>
        <v>-</v>
      </c>
      <c r="I14" s="24"/>
      <c r="J14" s="54">
        <f t="shared" si="0"/>
        <v>0</v>
      </c>
      <c r="M14" s="41" t="str">
        <f t="shared" si="6"/>
        <v>-</v>
      </c>
      <c r="N14" s="42" t="str">
        <f t="shared" si="7"/>
        <v>-</v>
      </c>
      <c r="O14" s="43">
        <v>0</v>
      </c>
      <c r="P14" s="44">
        <v>8</v>
      </c>
      <c r="Q14" s="45"/>
      <c r="R14" s="46" t="str">
        <f t="shared" si="8"/>
        <v>-</v>
      </c>
      <c r="S14" s="47" t="str">
        <f t="shared" si="9"/>
        <v>-</v>
      </c>
      <c r="T14" s="24"/>
      <c r="U14" s="54">
        <f t="shared" si="10"/>
        <v>0</v>
      </c>
    </row>
    <row r="15" spans="1:21" ht="23.25" x14ac:dyDescent="0.35">
      <c r="A15" s="36"/>
      <c r="B15" s="41" t="str">
        <f t="shared" si="2"/>
        <v>-</v>
      </c>
      <c r="C15" s="42" t="str">
        <f t="shared" si="3"/>
        <v>-</v>
      </c>
      <c r="D15" s="43">
        <v>0</v>
      </c>
      <c r="E15" s="44">
        <v>9</v>
      </c>
      <c r="F15" s="45"/>
      <c r="G15" s="46" t="str">
        <f t="shared" si="4"/>
        <v>-</v>
      </c>
      <c r="H15" s="47" t="str">
        <f t="shared" si="5"/>
        <v>-</v>
      </c>
      <c r="I15" s="24"/>
      <c r="J15" s="54">
        <f t="shared" si="0"/>
        <v>0</v>
      </c>
      <c r="M15" s="41" t="str">
        <f t="shared" si="6"/>
        <v>-</v>
      </c>
      <c r="N15" s="42" t="str">
        <f t="shared" si="7"/>
        <v>-</v>
      </c>
      <c r="O15" s="43">
        <v>0</v>
      </c>
      <c r="P15" s="44">
        <v>9</v>
      </c>
      <c r="Q15" s="45"/>
      <c r="R15" s="46" t="str">
        <f t="shared" si="8"/>
        <v>-</v>
      </c>
      <c r="S15" s="47" t="str">
        <f t="shared" si="9"/>
        <v>-</v>
      </c>
      <c r="T15" s="24"/>
      <c r="U15" s="54">
        <f t="shared" si="10"/>
        <v>0</v>
      </c>
    </row>
    <row r="16" spans="1:21" ht="23.25" x14ac:dyDescent="0.35">
      <c r="A16" s="36"/>
      <c r="B16" s="41">
        <f t="shared" si="2"/>
        <v>234.07407407407408</v>
      </c>
      <c r="C16" s="42">
        <f t="shared" si="3"/>
        <v>4.2721518987341774E-3</v>
      </c>
      <c r="D16" s="43">
        <v>27</v>
      </c>
      <c r="E16" s="44">
        <v>10</v>
      </c>
      <c r="F16" s="45">
        <v>27</v>
      </c>
      <c r="G16" s="46">
        <f t="shared" si="4"/>
        <v>4.2721518987341774E-3</v>
      </c>
      <c r="H16" s="47">
        <f t="shared" si="5"/>
        <v>234.07407407407408</v>
      </c>
      <c r="I16" s="24"/>
      <c r="J16" s="54">
        <f t="shared" si="0"/>
        <v>270</v>
      </c>
      <c r="M16" s="41">
        <f t="shared" si="6"/>
        <v>234.07407407407408</v>
      </c>
      <c r="N16" s="42">
        <f t="shared" si="7"/>
        <v>4.2721518987341774E-3</v>
      </c>
      <c r="O16" s="43">
        <v>27</v>
      </c>
      <c r="P16" s="44">
        <v>10</v>
      </c>
      <c r="Q16" s="45">
        <v>27</v>
      </c>
      <c r="R16" s="46">
        <f t="shared" si="8"/>
        <v>4.2721518987341774E-3</v>
      </c>
      <c r="S16" s="47">
        <f t="shared" si="9"/>
        <v>234.07407407407408</v>
      </c>
      <c r="T16" s="24"/>
      <c r="U16" s="54">
        <f t="shared" si="10"/>
        <v>270</v>
      </c>
    </row>
    <row r="17" spans="1:21" ht="23.25" x14ac:dyDescent="0.35">
      <c r="A17" s="36"/>
      <c r="B17" s="48"/>
      <c r="C17" s="48"/>
      <c r="D17" s="48">
        <f>SUM(D7:D16)</f>
        <v>6320</v>
      </c>
      <c r="E17" s="38"/>
      <c r="F17" s="38">
        <f>SUM(F7:F16)</f>
        <v>6320</v>
      </c>
      <c r="G17" s="49" t="s">
        <v>56</v>
      </c>
      <c r="H17" s="38"/>
      <c r="I17" s="24"/>
      <c r="J17" s="54">
        <f>SUM(J7:J16)</f>
        <v>12670</v>
      </c>
      <c r="M17" s="48"/>
      <c r="N17" s="48"/>
      <c r="O17" s="48">
        <f>SUM(O7:O16)</f>
        <v>6320</v>
      </c>
      <c r="P17" s="38"/>
      <c r="Q17" s="38">
        <f>SUM(Q7:Q16)</f>
        <v>6320</v>
      </c>
      <c r="R17" s="49" t="s">
        <v>56</v>
      </c>
      <c r="S17" s="38"/>
      <c r="T17" s="24"/>
      <c r="U17" s="54">
        <f>SUM(U7:U16)</f>
        <v>14474</v>
      </c>
    </row>
    <row r="18" spans="1:21" ht="16.5" thickBot="1" x14ac:dyDescent="0.3">
      <c r="A18" s="36"/>
      <c r="B18" s="48"/>
      <c r="C18" s="48"/>
      <c r="D18" s="48"/>
      <c r="I18" s="24" t="s">
        <v>57</v>
      </c>
      <c r="J18" s="54">
        <f>J17-J7-J8</f>
        <v>9062</v>
      </c>
      <c r="M18" s="48"/>
      <c r="N18" s="48"/>
      <c r="O18" s="48"/>
      <c r="T18" s="24" t="s">
        <v>57</v>
      </c>
      <c r="U18" s="54">
        <f>U17-U7</f>
        <v>12670</v>
      </c>
    </row>
    <row r="19" spans="1:21" ht="24" thickBot="1" x14ac:dyDescent="0.4">
      <c r="B19" s="48"/>
      <c r="C19" s="48"/>
      <c r="D19" s="48"/>
      <c r="E19" s="38"/>
      <c r="F19" s="50"/>
      <c r="G19" s="51" t="s">
        <v>58</v>
      </c>
      <c r="H19" s="52">
        <f>J21</f>
        <v>0.71523283346487765</v>
      </c>
      <c r="I19" s="24"/>
      <c r="J19" s="54"/>
      <c r="M19" s="48"/>
      <c r="N19" s="48"/>
      <c r="O19" s="48"/>
      <c r="P19" s="38"/>
      <c r="Q19" s="50"/>
      <c r="R19" s="51" t="s">
        <v>58</v>
      </c>
      <c r="S19" s="52">
        <f>U21</f>
        <v>0.87536271935885035</v>
      </c>
      <c r="T19" s="24"/>
      <c r="U19" s="54"/>
    </row>
    <row r="20" spans="1:21" ht="15.75" x14ac:dyDescent="0.25">
      <c r="A20" s="36"/>
      <c r="B20" s="48"/>
      <c r="C20" s="48"/>
      <c r="D20" s="48"/>
      <c r="I20" s="24" t="s">
        <v>59</v>
      </c>
      <c r="J20" s="54"/>
      <c r="M20" s="48"/>
      <c r="N20" s="48"/>
      <c r="O20" s="48"/>
      <c r="T20" s="24" t="s">
        <v>59</v>
      </c>
      <c r="U20" s="54"/>
    </row>
    <row r="21" spans="1:21" ht="15.75" x14ac:dyDescent="0.25">
      <c r="A21" s="36"/>
      <c r="B21" s="48"/>
      <c r="C21" s="48"/>
      <c r="D21" s="48"/>
      <c r="I21" s="24" t="s">
        <v>60</v>
      </c>
      <c r="J21" s="55">
        <f>J18/J17</f>
        <v>0.71523283346487765</v>
      </c>
      <c r="M21" s="48"/>
      <c r="N21" s="48"/>
      <c r="O21" s="48"/>
      <c r="T21" s="24" t="s">
        <v>60</v>
      </c>
      <c r="U21" s="55">
        <f>U18/U17</f>
        <v>0.87536271935885035</v>
      </c>
    </row>
    <row r="22" spans="1:21" ht="15.75" x14ac:dyDescent="0.25">
      <c r="A22" s="36"/>
      <c r="B22" s="48"/>
      <c r="C22" s="48"/>
      <c r="D22" s="48"/>
      <c r="M22" s="48"/>
      <c r="N22" s="48"/>
      <c r="O22" s="48"/>
    </row>
    <row r="23" spans="1:21" ht="15.75" x14ac:dyDescent="0.25">
      <c r="A23" s="36"/>
      <c r="B23" s="48"/>
      <c r="C23" s="48"/>
      <c r="D23" s="48"/>
      <c r="M23" s="48"/>
      <c r="N23" s="48"/>
      <c r="O23" s="48"/>
      <c r="S23" s="56"/>
    </row>
    <row r="24" spans="1:21" ht="15.75" x14ac:dyDescent="0.25">
      <c r="A24" s="36"/>
      <c r="B24" s="48"/>
      <c r="C24" s="48"/>
      <c r="D24" s="48"/>
      <c r="M24" s="48"/>
      <c r="N24" s="48"/>
      <c r="O24" s="48"/>
    </row>
  </sheetData>
  <mergeCells count="8">
    <mergeCell ref="B2:H2"/>
    <mergeCell ref="B4:H4"/>
    <mergeCell ref="B5:D5"/>
    <mergeCell ref="F5:H5"/>
    <mergeCell ref="M2:S2"/>
    <mergeCell ref="M4:S4"/>
    <mergeCell ref="M5:O5"/>
    <mergeCell ref="Q5:S5"/>
  </mergeCells>
  <conditionalFormatting sqref="F17">
    <cfRule type="cellIs" dxfId="7" priority="6" operator="notEqual">
      <formula>6320</formula>
    </cfRule>
    <cfRule type="cellIs" dxfId="6" priority="7" operator="notEqual">
      <formula>6320</formula>
    </cfRule>
    <cfRule type="cellIs" dxfId="5" priority="8" operator="notEqual">
      <formula>6320</formula>
    </cfRule>
  </conditionalFormatting>
  <conditionalFormatting sqref="G17">
    <cfRule type="expression" dxfId="4" priority="5">
      <formula>$F$17 &lt;&gt; 552</formula>
    </cfRule>
  </conditionalFormatting>
  <conditionalFormatting sqref="Q17">
    <cfRule type="cellIs" dxfId="3" priority="2" operator="notEqual">
      <formula>6320</formula>
    </cfRule>
    <cfRule type="cellIs" dxfId="2" priority="3" operator="notEqual">
      <formula>6320</formula>
    </cfRule>
    <cfRule type="cellIs" dxfId="1" priority="4" operator="notEqual">
      <formula>6320</formula>
    </cfRule>
  </conditionalFormatting>
  <conditionalFormatting sqref="R17">
    <cfRule type="expression" dxfId="0" priority="1">
      <formula>$F$17 &lt;&gt; 552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8"/>
  <sheetViews>
    <sheetView workbookViewId="0">
      <selection activeCell="D13" sqref="D13"/>
    </sheetView>
  </sheetViews>
  <sheetFormatPr defaultRowHeight="12.75" x14ac:dyDescent="0.2"/>
  <cols>
    <col min="1" max="1" width="8.7109375" style="6" customWidth="1"/>
    <col min="2" max="2" width="8.7109375" style="9" customWidth="1"/>
    <col min="3" max="3" width="18.7109375" style="12" customWidth="1"/>
    <col min="4" max="4" width="16.7109375" style="19" customWidth="1"/>
    <col min="5" max="5" width="5.7109375" customWidth="1"/>
    <col min="6" max="6" width="12.7109375" style="26" customWidth="1"/>
    <col min="7" max="7" width="20.7109375" customWidth="1"/>
  </cols>
  <sheetData>
    <row r="2" spans="1:9" ht="21" x14ac:dyDescent="0.35">
      <c r="A2" s="17" t="s">
        <v>25</v>
      </c>
      <c r="B2"/>
      <c r="C2" s="6"/>
      <c r="H2" s="3"/>
      <c r="I2" s="1"/>
    </row>
    <row r="3" spans="1:9" x14ac:dyDescent="0.2">
      <c r="A3" s="18" t="s">
        <v>26</v>
      </c>
      <c r="B3"/>
      <c r="C3" s="6"/>
      <c r="H3" s="3"/>
      <c r="I3" s="1"/>
    </row>
    <row r="4" spans="1:9" x14ac:dyDescent="0.2">
      <c r="A4" s="18"/>
      <c r="B4"/>
      <c r="C4" s="6"/>
      <c r="H4" s="3"/>
      <c r="I4" s="1"/>
    </row>
    <row r="5" spans="1:9" x14ac:dyDescent="0.2">
      <c r="A5" s="18"/>
      <c r="B5"/>
      <c r="C5" s="6"/>
      <c r="H5" s="3"/>
      <c r="I5" s="1"/>
    </row>
    <row r="6" spans="1:9" ht="13.5" thickBot="1" x14ac:dyDescent="0.25">
      <c r="A6"/>
      <c r="B6"/>
      <c r="C6" s="6"/>
      <c r="H6" s="3"/>
      <c r="I6" s="1"/>
    </row>
    <row r="7" spans="1:9" ht="21.75" thickBot="1" x14ac:dyDescent="0.4">
      <c r="A7"/>
      <c r="B7"/>
      <c r="D7" s="74" t="s">
        <v>11</v>
      </c>
      <c r="E7" s="75"/>
      <c r="H7" s="3"/>
      <c r="I7" s="1"/>
    </row>
    <row r="8" spans="1:9" x14ac:dyDescent="0.2">
      <c r="A8"/>
      <c r="B8"/>
      <c r="C8" s="6"/>
      <c r="H8" s="3"/>
      <c r="I8" s="1"/>
    </row>
    <row r="9" spans="1:9" x14ac:dyDescent="0.2">
      <c r="A9"/>
      <c r="B9"/>
      <c r="C9" s="6"/>
      <c r="H9" s="3"/>
      <c r="I9" s="1"/>
    </row>
    <row r="11" spans="1:9" x14ac:dyDescent="0.2">
      <c r="B11" s="11" t="s">
        <v>12</v>
      </c>
      <c r="C11" s="11" t="s">
        <v>13</v>
      </c>
      <c r="D11" s="20" t="s">
        <v>14</v>
      </c>
      <c r="E11" s="7"/>
      <c r="F11" s="22" t="s">
        <v>15</v>
      </c>
      <c r="G11" s="7" t="s">
        <v>16</v>
      </c>
    </row>
    <row r="12" spans="1:9" x14ac:dyDescent="0.2">
      <c r="E12" s="24"/>
    </row>
    <row r="13" spans="1:9" x14ac:dyDescent="0.2">
      <c r="B13" s="6">
        <v>1</v>
      </c>
      <c r="C13" s="12">
        <f>COMBIN(20,1) * COMBIN(60,0)</f>
        <v>20</v>
      </c>
      <c r="D13" s="19">
        <f>$C$16/C13</f>
        <v>4</v>
      </c>
      <c r="E13" s="24">
        <f>IF(F13&gt;0,C13,"")</f>
        <v>20</v>
      </c>
      <c r="F13" s="26">
        <v>2.5</v>
      </c>
      <c r="G13" s="1">
        <f>IF(F13&gt;0,C13*F13,"")</f>
        <v>50</v>
      </c>
    </row>
    <row r="14" spans="1:9" x14ac:dyDescent="0.2">
      <c r="B14" s="6">
        <v>0</v>
      </c>
      <c r="C14" s="12">
        <f>COMBIN(20,0) * COMBIN(60,1)</f>
        <v>60</v>
      </c>
      <c r="D14" s="19">
        <f t="shared" ref="D14" si="0">$C$16/C14</f>
        <v>1.3333333333333333</v>
      </c>
      <c r="E14" s="24" t="str">
        <f t="shared" ref="E14" si="1">IF(F14&gt;0,C14,"")</f>
        <v/>
      </c>
      <c r="G14" s="1" t="str">
        <f t="shared" ref="G14" si="2">IF(F14&gt;0,C14*F14,"")</f>
        <v/>
      </c>
    </row>
    <row r="15" spans="1:9" x14ac:dyDescent="0.2">
      <c r="E15" s="24"/>
    </row>
    <row r="16" spans="1:9" s="15" customFormat="1" x14ac:dyDescent="0.2">
      <c r="A16" s="3"/>
      <c r="B16" s="23" t="s">
        <v>17</v>
      </c>
      <c r="C16" s="4">
        <f>COMBIN(80,1)</f>
        <v>80</v>
      </c>
      <c r="E16" s="25">
        <f>SUM(E13:E14)</f>
        <v>20</v>
      </c>
      <c r="F16" s="27"/>
      <c r="G16" s="21">
        <f>SUM(G13:G14)</f>
        <v>50</v>
      </c>
    </row>
    <row r="17" spans="2:7" x14ac:dyDescent="0.2">
      <c r="B17" s="28" t="s">
        <v>27</v>
      </c>
      <c r="D17" s="29">
        <f>C16/E16</f>
        <v>4</v>
      </c>
      <c r="E17" s="24"/>
    </row>
    <row r="18" spans="2:7" x14ac:dyDescent="0.2">
      <c r="B18" s="30" t="s">
        <v>28</v>
      </c>
      <c r="E18" s="24"/>
      <c r="G18" s="31">
        <f>G16/C16</f>
        <v>0.625</v>
      </c>
    </row>
  </sheetData>
  <mergeCells count="1">
    <mergeCell ref="D7:E7"/>
  </mergeCells>
  <pageMargins left="0.7" right="0.7" top="0.75" bottom="0.75" header="0.3" footer="0.3"/>
  <pageSetup orientation="portrait" r:id="rId1"/>
  <headerFooter>
    <oddFooter>&amp;L&amp;Z&amp;F&amp;R&amp;A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9"/>
  <sheetViews>
    <sheetView workbookViewId="0">
      <selection activeCell="C8" sqref="C8"/>
    </sheetView>
  </sheetViews>
  <sheetFormatPr defaultRowHeight="12.75" x14ac:dyDescent="0.2"/>
  <cols>
    <col min="1" max="1" width="8.7109375" style="6" customWidth="1"/>
    <col min="2" max="2" width="8.7109375" style="9" customWidth="1"/>
    <col min="3" max="3" width="18.7109375" style="12" customWidth="1"/>
    <col min="4" max="4" width="16.7109375" style="19" customWidth="1"/>
    <col min="5" max="5" width="5.7109375" customWidth="1"/>
    <col min="6" max="6" width="12.7109375" style="26" customWidth="1"/>
    <col min="7" max="7" width="20.7109375" customWidth="1"/>
  </cols>
  <sheetData>
    <row r="2" spans="1:9" ht="21" x14ac:dyDescent="0.35">
      <c r="A2" s="17" t="s">
        <v>25</v>
      </c>
      <c r="B2"/>
      <c r="C2" s="6"/>
      <c r="H2" s="3"/>
      <c r="I2" s="1"/>
    </row>
    <row r="3" spans="1:9" x14ac:dyDescent="0.2">
      <c r="A3" s="18" t="s">
        <v>26</v>
      </c>
      <c r="B3"/>
      <c r="C3" s="6"/>
      <c r="H3" s="3"/>
      <c r="I3" s="1"/>
    </row>
    <row r="4" spans="1:9" x14ac:dyDescent="0.2">
      <c r="A4" s="18"/>
      <c r="B4"/>
      <c r="C4" s="6"/>
      <c r="H4" s="3"/>
      <c r="I4" s="1"/>
    </row>
    <row r="5" spans="1:9" x14ac:dyDescent="0.2">
      <c r="A5" s="18"/>
      <c r="B5"/>
      <c r="C5" s="6"/>
      <c r="H5" s="3"/>
      <c r="I5" s="1"/>
    </row>
    <row r="6" spans="1:9" ht="13.5" thickBot="1" x14ac:dyDescent="0.25">
      <c r="A6"/>
      <c r="B6"/>
      <c r="C6" s="6"/>
      <c r="H6" s="3"/>
      <c r="I6" s="1"/>
    </row>
    <row r="7" spans="1:9" ht="21.75" thickBot="1" x14ac:dyDescent="0.4">
      <c r="A7"/>
      <c r="B7"/>
      <c r="D7" s="74" t="s">
        <v>29</v>
      </c>
      <c r="E7" s="75"/>
      <c r="H7" s="3"/>
      <c r="I7" s="1"/>
    </row>
    <row r="8" spans="1:9" x14ac:dyDescent="0.2">
      <c r="A8"/>
      <c r="B8"/>
      <c r="C8" s="6"/>
      <c r="H8" s="3"/>
      <c r="I8" s="1"/>
    </row>
    <row r="11" spans="1:9" x14ac:dyDescent="0.2">
      <c r="B11" s="11" t="s">
        <v>12</v>
      </c>
      <c r="C11" s="11" t="s">
        <v>13</v>
      </c>
      <c r="D11" s="20" t="s">
        <v>14</v>
      </c>
      <c r="E11" s="7"/>
      <c r="F11" s="22" t="s">
        <v>15</v>
      </c>
      <c r="G11" s="7" t="s">
        <v>16</v>
      </c>
    </row>
    <row r="12" spans="1:9" x14ac:dyDescent="0.2">
      <c r="E12" s="24"/>
    </row>
    <row r="13" spans="1:9" x14ac:dyDescent="0.2">
      <c r="B13" s="6">
        <v>2</v>
      </c>
      <c r="C13" s="12">
        <f>COMBIN(20,2) * COMBIN(60,0)</f>
        <v>190</v>
      </c>
      <c r="D13" s="19">
        <f>$C$17/C13</f>
        <v>16.631578947368421</v>
      </c>
      <c r="E13" s="24">
        <f>IF(F13&gt;0,C13,"")</f>
        <v>190</v>
      </c>
      <c r="F13" s="26">
        <v>5</v>
      </c>
      <c r="G13" s="1">
        <f>IF(F13&gt;0,C13*F13,"")</f>
        <v>950</v>
      </c>
    </row>
    <row r="14" spans="1:9" x14ac:dyDescent="0.2">
      <c r="B14" s="6">
        <v>1</v>
      </c>
      <c r="C14" s="12">
        <f>COMBIN(20,1) * COMBIN(60,1)</f>
        <v>1200</v>
      </c>
      <c r="D14" s="19">
        <f>$C$17/C14</f>
        <v>2.6333333333333333</v>
      </c>
      <c r="E14" s="24">
        <f>IF(F14&gt;0,C14,"")</f>
        <v>1200</v>
      </c>
      <c r="F14" s="26">
        <v>1</v>
      </c>
      <c r="G14" s="1">
        <f>IF(F14&gt;0,C14*F14,"")</f>
        <v>1200</v>
      </c>
    </row>
    <row r="15" spans="1:9" x14ac:dyDescent="0.2">
      <c r="B15" s="6">
        <v>0</v>
      </c>
      <c r="C15" s="12">
        <f>COMBIN(20,0) * COMBIN(60,2)</f>
        <v>1770</v>
      </c>
      <c r="D15" s="19">
        <f t="shared" ref="D15" si="0">$C$17/C15</f>
        <v>1.7853107344632768</v>
      </c>
      <c r="E15" s="24" t="str">
        <f t="shared" ref="E15" si="1">IF(F15&gt;0,C15,"")</f>
        <v/>
      </c>
      <c r="G15" s="1" t="str">
        <f t="shared" ref="G15" si="2">IF(F15&gt;0,C15*F15,"")</f>
        <v/>
      </c>
    </row>
    <row r="16" spans="1:9" x14ac:dyDescent="0.2">
      <c r="E16" s="24"/>
    </row>
    <row r="17" spans="1:7" s="15" customFormat="1" x14ac:dyDescent="0.2">
      <c r="A17" s="3"/>
      <c r="B17" s="23" t="s">
        <v>17</v>
      </c>
      <c r="C17" s="4">
        <f>COMBIN(80,2)</f>
        <v>3160</v>
      </c>
      <c r="E17" s="25">
        <f>SUM(E12:E16)</f>
        <v>1390</v>
      </c>
      <c r="F17" s="27"/>
      <c r="G17" s="21">
        <f>SUM(G12:G16)</f>
        <v>2150</v>
      </c>
    </row>
    <row r="18" spans="1:7" x14ac:dyDescent="0.2">
      <c r="B18" s="28" t="s">
        <v>27</v>
      </c>
      <c r="D18" s="29">
        <f>C17/E17</f>
        <v>2.2733812949640289</v>
      </c>
      <c r="E18" s="24"/>
    </row>
    <row r="19" spans="1:7" x14ac:dyDescent="0.2">
      <c r="B19" s="30" t="s">
        <v>28</v>
      </c>
      <c r="G19" s="31">
        <f>G17/C17</f>
        <v>0.680379746835443</v>
      </c>
    </row>
  </sheetData>
  <mergeCells count="1">
    <mergeCell ref="D7:E7"/>
  </mergeCells>
  <pageMargins left="0.7" right="0.7" top="0.75" bottom="0.75" header="0.3" footer="0.3"/>
  <pageSetup orientation="portrait" r:id="rId1"/>
  <headerFooter>
    <oddFooter>&amp;L&amp;Z&amp;F&amp;R&amp;A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0"/>
  <sheetViews>
    <sheetView workbookViewId="0">
      <selection activeCell="A4" sqref="A4"/>
    </sheetView>
  </sheetViews>
  <sheetFormatPr defaultRowHeight="12.75" x14ac:dyDescent="0.2"/>
  <cols>
    <col min="1" max="1" width="8.7109375" style="6" customWidth="1"/>
    <col min="2" max="2" width="8.7109375" style="9" customWidth="1"/>
    <col min="3" max="3" width="18.7109375" style="12" customWidth="1"/>
    <col min="4" max="4" width="16.7109375" style="19" customWidth="1"/>
    <col min="5" max="5" width="5.7109375" customWidth="1"/>
    <col min="6" max="6" width="12.7109375" style="26" customWidth="1"/>
    <col min="7" max="7" width="20.7109375" customWidth="1"/>
  </cols>
  <sheetData>
    <row r="2" spans="1:9" ht="21" x14ac:dyDescent="0.35">
      <c r="A2" s="17" t="s">
        <v>25</v>
      </c>
      <c r="B2"/>
      <c r="C2" s="6"/>
      <c r="H2" s="3"/>
      <c r="I2" s="1"/>
    </row>
    <row r="3" spans="1:9" x14ac:dyDescent="0.2">
      <c r="A3" s="18" t="s">
        <v>26</v>
      </c>
      <c r="B3"/>
      <c r="C3" s="6"/>
      <c r="H3" s="3"/>
      <c r="I3" s="1"/>
    </row>
    <row r="4" spans="1:9" x14ac:dyDescent="0.2">
      <c r="A4" s="18"/>
      <c r="B4"/>
      <c r="C4" s="6"/>
      <c r="H4" s="3"/>
      <c r="I4" s="1"/>
    </row>
    <row r="5" spans="1:9" x14ac:dyDescent="0.2">
      <c r="A5" s="18"/>
      <c r="B5"/>
      <c r="C5" s="6"/>
      <c r="H5" s="3"/>
      <c r="I5" s="1"/>
    </row>
    <row r="6" spans="1:9" ht="13.5" thickBot="1" x14ac:dyDescent="0.25">
      <c r="A6"/>
      <c r="B6"/>
      <c r="C6" s="6"/>
      <c r="H6" s="3"/>
      <c r="I6" s="1"/>
    </row>
    <row r="7" spans="1:9" ht="21.75" thickBot="1" x14ac:dyDescent="0.4">
      <c r="A7"/>
      <c r="B7"/>
      <c r="D7" s="74" t="s">
        <v>30</v>
      </c>
      <c r="E7" s="75"/>
      <c r="H7" s="3"/>
      <c r="I7" s="1"/>
    </row>
    <row r="8" spans="1:9" x14ac:dyDescent="0.2">
      <c r="A8"/>
      <c r="B8"/>
      <c r="C8" s="6"/>
      <c r="H8" s="3"/>
      <c r="I8" s="1"/>
    </row>
    <row r="11" spans="1:9" x14ac:dyDescent="0.2">
      <c r="B11" s="11" t="s">
        <v>12</v>
      </c>
      <c r="C11" s="11" t="s">
        <v>13</v>
      </c>
      <c r="D11" s="20" t="s">
        <v>14</v>
      </c>
      <c r="E11" s="7"/>
      <c r="F11" s="22" t="s">
        <v>15</v>
      </c>
      <c r="G11" s="7" t="s">
        <v>16</v>
      </c>
    </row>
    <row r="12" spans="1:9" x14ac:dyDescent="0.2">
      <c r="E12" s="24"/>
    </row>
    <row r="13" spans="1:9" x14ac:dyDescent="0.2">
      <c r="B13" s="6">
        <v>3</v>
      </c>
      <c r="C13" s="12">
        <f>COMBIN(20,3) * COMBIN(60,0)</f>
        <v>1140</v>
      </c>
      <c r="D13" s="19">
        <f>$C$18/C13</f>
        <v>72.070175438596493</v>
      </c>
      <c r="E13" s="24">
        <f>IF(F13&gt;0,C13,"")</f>
        <v>1140</v>
      </c>
      <c r="F13" s="26">
        <v>25</v>
      </c>
      <c r="G13" s="1">
        <f>IF(F13&gt;0,C13*F13,"")</f>
        <v>28500</v>
      </c>
    </row>
    <row r="14" spans="1:9" x14ac:dyDescent="0.2">
      <c r="B14" s="6">
        <v>2</v>
      </c>
      <c r="C14" s="12">
        <f>COMBIN(20,2) * COMBIN(60,1)</f>
        <v>11400</v>
      </c>
      <c r="D14" s="19">
        <f>$C$18/C14</f>
        <v>7.2070175438596493</v>
      </c>
      <c r="E14" s="24">
        <f>IF(F14&gt;0,C14,"")</f>
        <v>11400</v>
      </c>
      <c r="F14" s="26">
        <v>2.5</v>
      </c>
      <c r="G14" s="1">
        <f>IF(F14&gt;0,C14*F14,"")</f>
        <v>28500</v>
      </c>
    </row>
    <row r="15" spans="1:9" x14ac:dyDescent="0.2">
      <c r="B15" s="6">
        <v>1</v>
      </c>
      <c r="C15" s="12">
        <f>COMBIN(20,1) * COMBIN(60,2)</f>
        <v>35400</v>
      </c>
      <c r="D15" s="19">
        <f>$C$18/C15</f>
        <v>2.3209039548022599</v>
      </c>
      <c r="E15" s="24" t="str">
        <f>IF(F15&gt;0,C15,"")</f>
        <v/>
      </c>
      <c r="G15" s="1" t="str">
        <f>IF(F15&gt;0,C15*F15,"")</f>
        <v/>
      </c>
    </row>
    <row r="16" spans="1:9" x14ac:dyDescent="0.2">
      <c r="B16" s="6">
        <v>0</v>
      </c>
      <c r="C16" s="12">
        <f>COMBIN(20,0) * COMBIN(60,3)</f>
        <v>34220</v>
      </c>
      <c r="D16" s="19">
        <f t="shared" ref="D16" si="0">$C$18/C16</f>
        <v>2.4009351256575102</v>
      </c>
      <c r="E16" s="24" t="str">
        <f t="shared" ref="E16" si="1">IF(F16&gt;0,C16,"")</f>
        <v/>
      </c>
      <c r="G16" s="1" t="str">
        <f t="shared" ref="G16" si="2">IF(F16&gt;0,C16*F16,"")</f>
        <v/>
      </c>
    </row>
    <row r="17" spans="1:7" x14ac:dyDescent="0.2">
      <c r="E17" s="24"/>
    </row>
    <row r="18" spans="1:7" s="15" customFormat="1" x14ac:dyDescent="0.2">
      <c r="A18" s="3"/>
      <c r="B18" s="23" t="s">
        <v>17</v>
      </c>
      <c r="C18" s="4">
        <f>COMBIN(80,3)</f>
        <v>82160</v>
      </c>
      <c r="E18" s="25">
        <f>SUM(E12:E17)</f>
        <v>12540</v>
      </c>
      <c r="F18" s="27"/>
      <c r="G18" s="21">
        <f>SUM(G12:G17)</f>
        <v>57000</v>
      </c>
    </row>
    <row r="19" spans="1:7" x14ac:dyDescent="0.2">
      <c r="B19" s="28" t="s">
        <v>27</v>
      </c>
      <c r="D19" s="29">
        <f>C18/E18</f>
        <v>6.5518341307814989</v>
      </c>
      <c r="E19" s="24"/>
    </row>
    <row r="20" spans="1:7" x14ac:dyDescent="0.2">
      <c r="B20" s="30" t="s">
        <v>28</v>
      </c>
      <c r="G20" s="31">
        <f>G18/C18</f>
        <v>0.69376825705939626</v>
      </c>
    </row>
  </sheetData>
  <mergeCells count="1">
    <mergeCell ref="D7:E7"/>
  </mergeCells>
  <pageMargins left="0.7" right="0.7" top="0.75" bottom="0.75" header="0.3" footer="0.3"/>
  <pageSetup orientation="portrait" r:id="rId1"/>
  <headerFooter>
    <oddFooter>&amp;L&amp;Z&amp;F&amp;R&amp;A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21"/>
  <sheetViews>
    <sheetView workbookViewId="0">
      <selection activeCell="E19" sqref="E19"/>
    </sheetView>
  </sheetViews>
  <sheetFormatPr defaultRowHeight="12.75" x14ac:dyDescent="0.2"/>
  <cols>
    <col min="1" max="1" width="8.7109375" style="6" customWidth="1"/>
    <col min="2" max="2" width="8.7109375" style="9" customWidth="1"/>
    <col min="3" max="3" width="18.7109375" style="12" customWidth="1"/>
    <col min="4" max="4" width="16.7109375" style="19" customWidth="1"/>
    <col min="5" max="5" width="5.7109375" customWidth="1"/>
    <col min="6" max="6" width="12.7109375" style="26" customWidth="1"/>
    <col min="7" max="7" width="20.7109375" customWidth="1"/>
  </cols>
  <sheetData>
    <row r="2" spans="1:9" ht="21" x14ac:dyDescent="0.35">
      <c r="A2" s="17" t="s">
        <v>25</v>
      </c>
      <c r="B2"/>
      <c r="C2" s="6"/>
      <c r="H2" s="3"/>
      <c r="I2" s="1"/>
    </row>
    <row r="3" spans="1:9" x14ac:dyDescent="0.2">
      <c r="A3" s="18" t="s">
        <v>26</v>
      </c>
      <c r="B3"/>
      <c r="C3" s="6"/>
      <c r="H3" s="3"/>
      <c r="I3" s="1"/>
    </row>
    <row r="4" spans="1:9" x14ac:dyDescent="0.2">
      <c r="A4" s="18"/>
      <c r="B4"/>
      <c r="C4" s="6"/>
      <c r="H4" s="3"/>
      <c r="I4" s="1"/>
    </row>
    <row r="5" spans="1:9" x14ac:dyDescent="0.2">
      <c r="A5" s="18"/>
      <c r="B5"/>
      <c r="C5" s="6"/>
      <c r="H5" s="3"/>
      <c r="I5" s="1"/>
    </row>
    <row r="6" spans="1:9" ht="13.5" thickBot="1" x14ac:dyDescent="0.25">
      <c r="A6"/>
      <c r="B6"/>
      <c r="C6" s="6"/>
      <c r="H6" s="3"/>
      <c r="I6" s="1"/>
    </row>
    <row r="7" spans="1:9" ht="21.75" thickBot="1" x14ac:dyDescent="0.4">
      <c r="A7"/>
      <c r="B7"/>
      <c r="D7" s="74" t="s">
        <v>31</v>
      </c>
      <c r="E7" s="75"/>
      <c r="H7" s="3"/>
      <c r="I7" s="1"/>
    </row>
    <row r="8" spans="1:9" x14ac:dyDescent="0.2">
      <c r="A8"/>
      <c r="B8"/>
      <c r="C8" s="6"/>
      <c r="H8" s="3"/>
      <c r="I8" s="1"/>
    </row>
    <row r="11" spans="1:9" x14ac:dyDescent="0.2">
      <c r="B11" s="11" t="s">
        <v>12</v>
      </c>
      <c r="C11" s="11" t="s">
        <v>13</v>
      </c>
      <c r="D11" s="20" t="s">
        <v>14</v>
      </c>
      <c r="E11" s="7"/>
      <c r="F11" s="22" t="s">
        <v>15</v>
      </c>
      <c r="G11" s="7" t="s">
        <v>16</v>
      </c>
    </row>
    <row r="12" spans="1:9" x14ac:dyDescent="0.2">
      <c r="E12" s="24"/>
    </row>
    <row r="13" spans="1:9" x14ac:dyDescent="0.2">
      <c r="B13" s="6">
        <v>4</v>
      </c>
      <c r="C13" s="12">
        <f>COMBIN(20,4) * COMBIN(60,0)</f>
        <v>4845</v>
      </c>
      <c r="D13" s="19">
        <f>$C$19/C13</f>
        <v>326.4355005159959</v>
      </c>
      <c r="E13" s="24">
        <f>IF(F13&gt;0,C13,"")</f>
        <v>4845</v>
      </c>
      <c r="F13" s="26">
        <v>100</v>
      </c>
      <c r="G13" s="1">
        <f>IF(F13&gt;0,C13*F13,"")</f>
        <v>484500</v>
      </c>
    </row>
    <row r="14" spans="1:9" x14ac:dyDescent="0.2">
      <c r="B14" s="6">
        <v>3</v>
      </c>
      <c r="C14" s="12">
        <f>COMBIN(20,3) * COMBIN(60,1)</f>
        <v>68400</v>
      </c>
      <c r="D14" s="19">
        <f>$C$19/C14</f>
        <v>23.122514619883042</v>
      </c>
      <c r="E14" s="24">
        <f>IF(F14&gt;0,C14,"")</f>
        <v>68400</v>
      </c>
      <c r="F14" s="26">
        <v>4</v>
      </c>
      <c r="G14" s="1">
        <f>IF(F14&gt;0,C14*F14,"")</f>
        <v>273600</v>
      </c>
    </row>
    <row r="15" spans="1:9" x14ac:dyDescent="0.2">
      <c r="B15" s="6">
        <v>2</v>
      </c>
      <c r="C15" s="12">
        <f>COMBIN(20,2) * COMBIN(60,2)</f>
        <v>336300</v>
      </c>
      <c r="D15" s="19">
        <f>$C$19/C15</f>
        <v>4.7028843294677367</v>
      </c>
      <c r="E15" s="24">
        <f>IF(F15&gt;0,C15,"")</f>
        <v>336300</v>
      </c>
      <c r="F15" s="26">
        <v>1</v>
      </c>
      <c r="G15" s="1">
        <f>IF(F15&gt;0,C15*F15,"")</f>
        <v>336300</v>
      </c>
    </row>
    <row r="16" spans="1:9" x14ac:dyDescent="0.2">
      <c r="B16" s="6">
        <v>1</v>
      </c>
      <c r="C16" s="12">
        <f>COMBIN(20,1) * COMBIN(60,3)</f>
        <v>684400</v>
      </c>
      <c r="D16" s="19">
        <f>$C$19/C16</f>
        <v>2.3109000584453536</v>
      </c>
      <c r="E16" s="24" t="str">
        <f>IF(F16&gt;0,C16,"")</f>
        <v/>
      </c>
      <c r="G16" s="1" t="str">
        <f>IF(F16&gt;0,C16*F16,"")</f>
        <v/>
      </c>
    </row>
    <row r="17" spans="1:7" x14ac:dyDescent="0.2">
      <c r="B17" s="6">
        <v>0</v>
      </c>
      <c r="C17" s="12">
        <f>COMBIN(20,0) * COMBIN(60,4)</f>
        <v>487635</v>
      </c>
      <c r="D17" s="19">
        <f t="shared" ref="D17" si="0">$C$19/C17</f>
        <v>3.2433685030811978</v>
      </c>
      <c r="E17" s="24" t="str">
        <f t="shared" ref="E17" si="1">IF(F17&gt;0,C17,"")</f>
        <v/>
      </c>
      <c r="G17" s="1" t="str">
        <f t="shared" ref="G17" si="2">IF(F17&gt;0,C17*F17,"")</f>
        <v/>
      </c>
    </row>
    <row r="18" spans="1:7" x14ac:dyDescent="0.2">
      <c r="E18" s="24"/>
    </row>
    <row r="19" spans="1:7" s="15" customFormat="1" x14ac:dyDescent="0.2">
      <c r="A19" s="3"/>
      <c r="B19" s="23" t="s">
        <v>17</v>
      </c>
      <c r="C19" s="4">
        <f>COMBIN(80,4)</f>
        <v>1581580</v>
      </c>
      <c r="E19" s="25">
        <f>SUM(E12:E18)</f>
        <v>409545</v>
      </c>
      <c r="F19" s="27"/>
      <c r="G19" s="21">
        <f>SUM(G12:G18)</f>
        <v>1094400</v>
      </c>
    </row>
    <row r="20" spans="1:7" x14ac:dyDescent="0.2">
      <c r="B20" s="28" t="s">
        <v>27</v>
      </c>
      <c r="D20" s="29">
        <f>C19/E19</f>
        <v>3.8617978488322406</v>
      </c>
      <c r="E20" s="24"/>
    </row>
    <row r="21" spans="1:7" x14ac:dyDescent="0.2">
      <c r="B21" s="30" t="s">
        <v>28</v>
      </c>
      <c r="G21" s="31">
        <f>G19/C19</f>
        <v>0.69196626158651475</v>
      </c>
    </row>
  </sheetData>
  <mergeCells count="1">
    <mergeCell ref="D7:E7"/>
  </mergeCells>
  <pageMargins left="0.7" right="0.7" top="0.75" bottom="0.75" header="0.3" footer="0.3"/>
  <pageSetup orientation="portrait" r:id="rId1"/>
  <headerFooter>
    <oddFooter>&amp;L&amp;Z&amp;F&amp;R&amp;A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22"/>
  <sheetViews>
    <sheetView tabSelected="1" topLeftCell="A6" workbookViewId="0">
      <selection activeCell="D13" sqref="D13"/>
    </sheetView>
  </sheetViews>
  <sheetFormatPr defaultRowHeight="12.75" x14ac:dyDescent="0.2"/>
  <cols>
    <col min="1" max="1" width="8.7109375" style="6" customWidth="1"/>
    <col min="2" max="2" width="8.7109375" style="9" customWidth="1"/>
    <col min="3" max="3" width="18.7109375" style="12" customWidth="1"/>
    <col min="4" max="4" width="16.7109375" style="19" customWidth="1"/>
    <col min="5" max="5" width="5.7109375" style="9" customWidth="1"/>
    <col min="6" max="6" width="12.7109375" style="26" customWidth="1"/>
    <col min="7" max="7" width="20.7109375" customWidth="1"/>
  </cols>
  <sheetData>
    <row r="2" spans="1:9" ht="21" x14ac:dyDescent="0.35">
      <c r="A2" s="17" t="s">
        <v>25</v>
      </c>
      <c r="B2"/>
      <c r="C2" s="6"/>
      <c r="H2" s="3"/>
      <c r="I2" s="1"/>
    </row>
    <row r="3" spans="1:9" x14ac:dyDescent="0.2">
      <c r="A3" s="18" t="s">
        <v>26</v>
      </c>
      <c r="B3"/>
      <c r="C3" s="6"/>
      <c r="H3" s="3"/>
      <c r="I3" s="1"/>
    </row>
    <row r="4" spans="1:9" x14ac:dyDescent="0.2">
      <c r="A4" s="18"/>
      <c r="B4"/>
      <c r="C4" s="6"/>
      <c r="H4" s="3"/>
      <c r="I4" s="1"/>
    </row>
    <row r="5" spans="1:9" x14ac:dyDescent="0.2">
      <c r="A5" s="18"/>
      <c r="B5"/>
      <c r="C5" s="6"/>
      <c r="H5" s="3"/>
      <c r="I5" s="1"/>
    </row>
    <row r="6" spans="1:9" ht="13.5" thickBot="1" x14ac:dyDescent="0.25">
      <c r="A6"/>
      <c r="B6"/>
      <c r="C6" s="6"/>
      <c r="H6" s="3"/>
      <c r="I6" s="1"/>
    </row>
    <row r="7" spans="1:9" ht="21.75" thickBot="1" x14ac:dyDescent="0.4">
      <c r="A7"/>
      <c r="B7"/>
      <c r="D7" s="74" t="s">
        <v>32</v>
      </c>
      <c r="E7" s="75"/>
      <c r="H7" s="3"/>
      <c r="I7" s="1"/>
    </row>
    <row r="8" spans="1:9" x14ac:dyDescent="0.2">
      <c r="A8"/>
      <c r="B8"/>
      <c r="C8" s="6"/>
      <c r="H8" s="3"/>
      <c r="I8" s="1"/>
    </row>
    <row r="11" spans="1:9" x14ac:dyDescent="0.2">
      <c r="B11" s="11" t="s">
        <v>12</v>
      </c>
      <c r="C11" s="11" t="s">
        <v>13</v>
      </c>
      <c r="D11" s="20" t="s">
        <v>14</v>
      </c>
      <c r="E11" s="11"/>
      <c r="F11" s="22" t="s">
        <v>15</v>
      </c>
      <c r="G11" s="7" t="s">
        <v>16</v>
      </c>
    </row>
    <row r="12" spans="1:9" x14ac:dyDescent="0.2">
      <c r="E12" s="33"/>
    </row>
    <row r="13" spans="1:9" x14ac:dyDescent="0.2">
      <c r="B13" s="6">
        <v>5</v>
      </c>
      <c r="C13" s="12">
        <f>COMBIN(20,5) * COMBIN(60,0)</f>
        <v>15503.999999999998</v>
      </c>
      <c r="D13" s="19">
        <f>$C$20/C13</f>
        <v>1550.5686274509806</v>
      </c>
      <c r="E13" s="33">
        <f>IF(F13&gt;0,C13,"")</f>
        <v>15503.999999999998</v>
      </c>
      <c r="F13" s="26">
        <v>450</v>
      </c>
      <c r="G13" s="1">
        <f>IF(F13&gt;0,C13*F13,"")</f>
        <v>6976799.9999999991</v>
      </c>
    </row>
    <row r="14" spans="1:9" x14ac:dyDescent="0.2">
      <c r="B14" s="6">
        <v>4</v>
      </c>
      <c r="C14" s="12">
        <f>COMBIN(20,4) * COMBIN(60,1)</f>
        <v>290700</v>
      </c>
      <c r="D14" s="19">
        <f>$C$20/C14</f>
        <v>82.696993464052284</v>
      </c>
      <c r="E14" s="33">
        <f>IF(F14&gt;0,C14,"")</f>
        <v>290700</v>
      </c>
      <c r="F14" s="26">
        <v>20</v>
      </c>
      <c r="G14" s="1">
        <f>IF(F14&gt;0,C14*F14,"")</f>
        <v>5814000</v>
      </c>
    </row>
    <row r="15" spans="1:9" x14ac:dyDescent="0.2">
      <c r="B15" s="6">
        <v>3</v>
      </c>
      <c r="C15" s="12">
        <f>COMBIN(20,3) * COMBIN(60,2)</f>
        <v>2017800</v>
      </c>
      <c r="D15" s="19">
        <f>$C$20/C15</f>
        <v>11.913973634651601</v>
      </c>
      <c r="E15" s="33">
        <f>IF(F15&gt;0,C15,"")</f>
        <v>2017800</v>
      </c>
      <c r="F15" s="26">
        <v>2</v>
      </c>
      <c r="G15" s="1">
        <f>IF(F15&gt;0,C15*F15,"")</f>
        <v>4035600</v>
      </c>
    </row>
    <row r="16" spans="1:9" x14ac:dyDescent="0.2">
      <c r="B16" s="6">
        <v>2</v>
      </c>
      <c r="C16" s="12">
        <f>COMBIN(20,2) * COMBIN(60,3)</f>
        <v>6501800</v>
      </c>
      <c r="D16" s="19">
        <f>$C$20/C16</f>
        <v>3.697440093512566</v>
      </c>
      <c r="E16" s="33" t="str">
        <f>IF(F16&gt;0,C16,"")</f>
        <v/>
      </c>
      <c r="G16" s="1" t="str">
        <f>IF(F16&gt;0,C16*F16,"")</f>
        <v/>
      </c>
    </row>
    <row r="17" spans="1:7" x14ac:dyDescent="0.2">
      <c r="B17" s="6">
        <v>1</v>
      </c>
      <c r="C17" s="12">
        <f>COMBIN(20,1) * COMBIN(60,4)</f>
        <v>9752700</v>
      </c>
      <c r="D17" s="19">
        <f>$C$20/C17</f>
        <v>2.4649600623417105</v>
      </c>
      <c r="E17" s="33" t="str">
        <f>IF(F17&gt;0,C17,"")</f>
        <v/>
      </c>
      <c r="G17" s="1" t="str">
        <f>IF(F17&gt;0,C17*F17,"")</f>
        <v/>
      </c>
    </row>
    <row r="18" spans="1:7" x14ac:dyDescent="0.2">
      <c r="B18" s="6">
        <v>0</v>
      </c>
      <c r="C18" s="12">
        <f>COMBIN(20,0) * COMBIN(60,5)</f>
        <v>5461512.0000000009</v>
      </c>
      <c r="D18" s="19">
        <f t="shared" ref="D18" si="0">$C$20/C18</f>
        <v>4.4017143970387682</v>
      </c>
      <c r="E18" s="33" t="str">
        <f t="shared" ref="E18" si="1">IF(F18&gt;0,C18,"")</f>
        <v/>
      </c>
      <c r="G18" s="1" t="str">
        <f t="shared" ref="G18" si="2">IF(F18&gt;0,C18*F18,"")</f>
        <v/>
      </c>
    </row>
    <row r="19" spans="1:7" x14ac:dyDescent="0.2">
      <c r="E19" s="33"/>
    </row>
    <row r="20" spans="1:7" s="15" customFormat="1" x14ac:dyDescent="0.2">
      <c r="A20" s="3"/>
      <c r="B20" s="23" t="s">
        <v>17</v>
      </c>
      <c r="C20" s="4">
        <f>COMBIN(80,5)</f>
        <v>24040016</v>
      </c>
      <c r="E20" s="34">
        <f>SUM(E12:E19)</f>
        <v>2324004</v>
      </c>
      <c r="F20" s="27"/>
      <c r="G20" s="21">
        <f>SUM(G12:G19)</f>
        <v>16826400</v>
      </c>
    </row>
    <row r="21" spans="1:7" x14ac:dyDescent="0.2">
      <c r="B21" s="28" t="s">
        <v>27</v>
      </c>
      <c r="D21" s="29">
        <f>C20/E20</f>
        <v>10.34422315968475</v>
      </c>
      <c r="E21" s="32"/>
    </row>
    <row r="22" spans="1:7" x14ac:dyDescent="0.2">
      <c r="B22" s="30" t="s">
        <v>28</v>
      </c>
      <c r="G22" s="31">
        <f>G20/C20</f>
        <v>0.69993297841399105</v>
      </c>
    </row>
  </sheetData>
  <mergeCells count="1">
    <mergeCell ref="D7:E7"/>
  </mergeCells>
  <pageMargins left="0.7" right="0.7" top="0.75" bottom="0.75" header="0.3" footer="0.3"/>
  <pageSetup orientation="portrait" r:id="rId1"/>
  <headerFooter>
    <oddFooter>&amp;L&amp;Z&amp;F&amp;R&amp;A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23"/>
  <sheetViews>
    <sheetView topLeftCell="A6" workbookViewId="0">
      <selection activeCell="D19" sqref="D19"/>
    </sheetView>
  </sheetViews>
  <sheetFormatPr defaultRowHeight="12.75" x14ac:dyDescent="0.2"/>
  <cols>
    <col min="1" max="1" width="8.7109375" style="6" customWidth="1"/>
    <col min="2" max="2" width="8.7109375" style="9" customWidth="1"/>
    <col min="3" max="3" width="18.7109375" style="12" customWidth="1"/>
    <col min="4" max="4" width="16.7109375" style="19" customWidth="1"/>
    <col min="5" max="5" width="5.7109375" style="9" customWidth="1"/>
    <col min="6" max="6" width="12.7109375" style="26" customWidth="1"/>
    <col min="7" max="7" width="20.7109375" customWidth="1"/>
  </cols>
  <sheetData>
    <row r="2" spans="1:9" ht="21" x14ac:dyDescent="0.35">
      <c r="A2" s="17" t="s">
        <v>25</v>
      </c>
      <c r="B2"/>
      <c r="C2" s="6"/>
      <c r="H2" s="3"/>
      <c r="I2" s="1"/>
    </row>
    <row r="3" spans="1:9" x14ac:dyDescent="0.2">
      <c r="A3" s="18" t="s">
        <v>26</v>
      </c>
      <c r="B3"/>
      <c r="C3" s="6"/>
      <c r="H3" s="3"/>
      <c r="I3" s="1"/>
    </row>
    <row r="4" spans="1:9" x14ac:dyDescent="0.2">
      <c r="A4" s="18"/>
      <c r="B4"/>
      <c r="C4" s="6"/>
      <c r="H4" s="3"/>
      <c r="I4" s="1"/>
    </row>
    <row r="5" spans="1:9" x14ac:dyDescent="0.2">
      <c r="A5" s="18"/>
      <c r="B5"/>
      <c r="C5" s="6"/>
      <c r="H5" s="3"/>
      <c r="I5" s="1"/>
    </row>
    <row r="6" spans="1:9" ht="13.5" thickBot="1" x14ac:dyDescent="0.25">
      <c r="A6"/>
      <c r="B6"/>
      <c r="C6" s="6"/>
      <c r="H6" s="3"/>
      <c r="I6" s="1"/>
    </row>
    <row r="7" spans="1:9" ht="21.75" thickBot="1" x14ac:dyDescent="0.4">
      <c r="A7"/>
      <c r="B7"/>
      <c r="D7" s="74" t="s">
        <v>33</v>
      </c>
      <c r="E7" s="75"/>
      <c r="H7" s="3"/>
      <c r="I7" s="1"/>
    </row>
    <row r="8" spans="1:9" x14ac:dyDescent="0.2">
      <c r="A8"/>
      <c r="B8"/>
      <c r="C8" s="6"/>
      <c r="H8" s="3"/>
      <c r="I8" s="1"/>
    </row>
    <row r="11" spans="1:9" x14ac:dyDescent="0.2">
      <c r="B11" s="11" t="s">
        <v>12</v>
      </c>
      <c r="C11" s="11" t="s">
        <v>13</v>
      </c>
      <c r="D11" s="20" t="s">
        <v>14</v>
      </c>
      <c r="E11" s="11"/>
      <c r="F11" s="22" t="s">
        <v>15</v>
      </c>
      <c r="G11" s="7" t="s">
        <v>16</v>
      </c>
    </row>
    <row r="12" spans="1:9" x14ac:dyDescent="0.2">
      <c r="E12" s="33"/>
    </row>
    <row r="13" spans="1:9" x14ac:dyDescent="0.2">
      <c r="B13" s="6">
        <v>6</v>
      </c>
      <c r="C13" s="12">
        <f>COMBIN(20,6) * COMBIN(60,0)</f>
        <v>38760</v>
      </c>
      <c r="D13" s="19">
        <f t="shared" ref="D13:D18" si="0">$C$21/C13</f>
        <v>7752.8431372549021</v>
      </c>
      <c r="E13" s="33">
        <f t="shared" ref="E13:E18" si="1">IF(F13&gt;0,C13,"")</f>
        <v>38760</v>
      </c>
      <c r="F13" s="26">
        <v>1600</v>
      </c>
      <c r="G13" s="1">
        <f t="shared" ref="G13:G18" si="2">IF(F13&gt;0,C13*F13,"")</f>
        <v>62016000</v>
      </c>
    </row>
    <row r="14" spans="1:9" x14ac:dyDescent="0.2">
      <c r="B14" s="6">
        <v>5</v>
      </c>
      <c r="C14" s="12">
        <f>COMBIN(20,5) * COMBIN(60,1)</f>
        <v>930239.99999999988</v>
      </c>
      <c r="D14" s="19">
        <f t="shared" si="0"/>
        <v>323.03513071895429</v>
      </c>
      <c r="E14" s="33">
        <f t="shared" si="1"/>
        <v>930239.99999999988</v>
      </c>
      <c r="F14" s="26">
        <v>50</v>
      </c>
      <c r="G14" s="1">
        <f t="shared" si="2"/>
        <v>46511999.999999993</v>
      </c>
    </row>
    <row r="15" spans="1:9" x14ac:dyDescent="0.2">
      <c r="B15" s="6">
        <v>4</v>
      </c>
      <c r="C15" s="12">
        <f>COMBIN(20,4) * COMBIN(60,2)</f>
        <v>8575650</v>
      </c>
      <c r="D15" s="19">
        <f t="shared" si="0"/>
        <v>35.041098925445887</v>
      </c>
      <c r="E15" s="33">
        <f t="shared" si="1"/>
        <v>8575650</v>
      </c>
      <c r="F15" s="26">
        <v>7</v>
      </c>
      <c r="G15" s="1">
        <f t="shared" si="2"/>
        <v>60029550</v>
      </c>
    </row>
    <row r="16" spans="1:9" x14ac:dyDescent="0.2">
      <c r="B16" s="6">
        <v>3</v>
      </c>
      <c r="C16" s="12">
        <f>COMBIN(20,3) * COMBIN(60,3)</f>
        <v>39010800</v>
      </c>
      <c r="D16" s="19">
        <f t="shared" si="0"/>
        <v>7.7030001948178457</v>
      </c>
      <c r="E16" s="33">
        <f t="shared" si="1"/>
        <v>39010800</v>
      </c>
      <c r="F16" s="26">
        <v>1</v>
      </c>
      <c r="G16" s="1">
        <f t="shared" si="2"/>
        <v>39010800</v>
      </c>
    </row>
    <row r="17" spans="1:7" x14ac:dyDescent="0.2">
      <c r="B17" s="6">
        <v>2</v>
      </c>
      <c r="C17" s="12">
        <f>COMBIN(20,2) * COMBIN(60,4)</f>
        <v>92650650</v>
      </c>
      <c r="D17" s="19">
        <f t="shared" si="0"/>
        <v>3.2433685030811978</v>
      </c>
      <c r="E17" s="33" t="str">
        <f t="shared" si="1"/>
        <v/>
      </c>
      <c r="G17" s="1" t="str">
        <f t="shared" si="2"/>
        <v/>
      </c>
    </row>
    <row r="18" spans="1:7" x14ac:dyDescent="0.2">
      <c r="B18" s="6">
        <v>1</v>
      </c>
      <c r="C18" s="12">
        <f>COMBIN(20,1) * COMBIN(60,5)</f>
        <v>109230240.00000001</v>
      </c>
      <c r="D18" s="19">
        <f t="shared" si="0"/>
        <v>2.7510714981492299</v>
      </c>
      <c r="E18" s="33" t="str">
        <f t="shared" si="1"/>
        <v/>
      </c>
      <c r="G18" s="1" t="str">
        <f t="shared" si="2"/>
        <v/>
      </c>
    </row>
    <row r="19" spans="1:7" x14ac:dyDescent="0.2">
      <c r="B19" s="6">
        <v>0</v>
      </c>
      <c r="C19" s="12">
        <f>COMBIN(20,0) * COMBIN(60,6)</f>
        <v>50063860.000000015</v>
      </c>
      <c r="D19" s="19">
        <f t="shared" ref="D19" si="3">$C$21/C19</f>
        <v>6.0023378141437735</v>
      </c>
      <c r="E19" s="33" t="str">
        <f t="shared" ref="E19" si="4">IF(F19&gt;0,C19,"")</f>
        <v/>
      </c>
      <c r="G19" s="1" t="str">
        <f t="shared" ref="G19" si="5">IF(F19&gt;0,C19*F19,"")</f>
        <v/>
      </c>
    </row>
    <row r="20" spans="1:7" x14ac:dyDescent="0.2">
      <c r="E20" s="33"/>
    </row>
    <row r="21" spans="1:7" s="15" customFormat="1" x14ac:dyDescent="0.2">
      <c r="A21" s="3"/>
      <c r="B21" s="23" t="s">
        <v>17</v>
      </c>
      <c r="C21" s="4">
        <f>COMBIN(80,6)</f>
        <v>300500200</v>
      </c>
      <c r="E21" s="34">
        <f>SUM(E12:E20)</f>
        <v>48555450</v>
      </c>
      <c r="F21" s="27"/>
      <c r="G21" s="21">
        <f>SUM(G12:G20)</f>
        <v>207568350</v>
      </c>
    </row>
    <row r="22" spans="1:7" x14ac:dyDescent="0.2">
      <c r="B22" s="28" t="s">
        <v>27</v>
      </c>
      <c r="D22" s="29">
        <f>C21/E21</f>
        <v>6.188804758271214</v>
      </c>
      <c r="E22" s="32"/>
    </row>
    <row r="23" spans="1:7" x14ac:dyDescent="0.2">
      <c r="B23" s="30" t="s">
        <v>28</v>
      </c>
      <c r="G23" s="31">
        <f>G21/C21</f>
        <v>0.69074280150229517</v>
      </c>
    </row>
  </sheetData>
  <mergeCells count="1">
    <mergeCell ref="D7:E7"/>
  </mergeCells>
  <pageMargins left="0.7" right="0.7" top="0.75" bottom="0.75" header="0.3" footer="0.3"/>
  <pageSetup orientation="portrait" r:id="rId1"/>
  <headerFooter>
    <oddFooter>&amp;L&amp;Z&amp;F&amp;R&amp;A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24"/>
  <sheetViews>
    <sheetView topLeftCell="A6" workbookViewId="0">
      <selection activeCell="A4" sqref="A4"/>
    </sheetView>
  </sheetViews>
  <sheetFormatPr defaultRowHeight="12.75" x14ac:dyDescent="0.2"/>
  <cols>
    <col min="1" max="1" width="8.7109375" style="6" customWidth="1"/>
    <col min="2" max="2" width="8.7109375" style="9" customWidth="1"/>
    <col min="3" max="3" width="18.7109375" style="12" customWidth="1"/>
    <col min="4" max="4" width="16.7109375" style="19" customWidth="1"/>
    <col min="5" max="5" width="5.7109375" style="9" customWidth="1"/>
    <col min="6" max="6" width="12.7109375" style="26" customWidth="1"/>
    <col min="7" max="7" width="20.7109375" customWidth="1"/>
  </cols>
  <sheetData>
    <row r="2" spans="1:9" ht="21" x14ac:dyDescent="0.35">
      <c r="A2" s="17" t="s">
        <v>25</v>
      </c>
      <c r="B2"/>
      <c r="C2" s="6"/>
      <c r="H2" s="3"/>
      <c r="I2" s="1"/>
    </row>
    <row r="3" spans="1:9" x14ac:dyDescent="0.2">
      <c r="A3" s="18" t="s">
        <v>26</v>
      </c>
      <c r="B3"/>
      <c r="C3" s="6"/>
      <c r="H3" s="3"/>
      <c r="I3" s="1"/>
    </row>
    <row r="4" spans="1:9" x14ac:dyDescent="0.2">
      <c r="A4" s="18"/>
      <c r="B4"/>
      <c r="C4" s="6"/>
      <c r="H4" s="3"/>
      <c r="I4" s="1"/>
    </row>
    <row r="5" spans="1:9" x14ac:dyDescent="0.2">
      <c r="A5" s="18"/>
      <c r="B5"/>
      <c r="C5" s="6"/>
      <c r="H5" s="3"/>
      <c r="I5" s="1"/>
    </row>
    <row r="6" spans="1:9" ht="13.5" thickBot="1" x14ac:dyDescent="0.25">
      <c r="A6"/>
      <c r="B6"/>
      <c r="C6" s="6"/>
      <c r="H6" s="3"/>
      <c r="I6" s="1"/>
    </row>
    <row r="7" spans="1:9" ht="21.75" thickBot="1" x14ac:dyDescent="0.4">
      <c r="A7"/>
      <c r="B7"/>
      <c r="D7" s="74" t="s">
        <v>34</v>
      </c>
      <c r="E7" s="75"/>
      <c r="H7" s="3"/>
      <c r="I7" s="1"/>
    </row>
    <row r="8" spans="1:9" x14ac:dyDescent="0.2">
      <c r="A8"/>
      <c r="B8"/>
      <c r="C8" s="6"/>
      <c r="H8" s="3"/>
      <c r="I8" s="1"/>
    </row>
    <row r="11" spans="1:9" x14ac:dyDescent="0.2">
      <c r="B11" s="11" t="s">
        <v>12</v>
      </c>
      <c r="C11" s="11" t="s">
        <v>13</v>
      </c>
      <c r="D11" s="20" t="s">
        <v>14</v>
      </c>
      <c r="E11" s="11"/>
      <c r="F11" s="22" t="s">
        <v>15</v>
      </c>
      <c r="G11" s="7" t="s">
        <v>16</v>
      </c>
    </row>
    <row r="12" spans="1:9" x14ac:dyDescent="0.2">
      <c r="E12" s="33"/>
    </row>
    <row r="13" spans="1:9" x14ac:dyDescent="0.2">
      <c r="B13" s="6">
        <v>7</v>
      </c>
      <c r="C13" s="12">
        <f>COMBIN(20,7) * COMBIN(60,0)</f>
        <v>77520</v>
      </c>
      <c r="D13" s="19">
        <f t="shared" ref="D13:D19" si="0">$C$22/C13</f>
        <v>40979.313725490196</v>
      </c>
      <c r="E13" s="33">
        <f t="shared" ref="E13:E19" si="1">IF(F13&gt;0,C13,"")</f>
        <v>77520</v>
      </c>
      <c r="F13" s="26">
        <v>5000</v>
      </c>
      <c r="G13" s="1">
        <f t="shared" ref="G13:G19" si="2">IF(F13&gt;0,C13*F13,"")</f>
        <v>387600000</v>
      </c>
    </row>
    <row r="14" spans="1:9" x14ac:dyDescent="0.2">
      <c r="B14" s="6">
        <v>6</v>
      </c>
      <c r="C14" s="12">
        <f>COMBIN(20,6) * COMBIN(60,1)</f>
        <v>2325600</v>
      </c>
      <c r="D14" s="19">
        <f t="shared" si="0"/>
        <v>1365.9771241830065</v>
      </c>
      <c r="E14" s="33">
        <f t="shared" si="1"/>
        <v>2325600</v>
      </c>
      <c r="F14" s="26">
        <v>100</v>
      </c>
      <c r="G14" s="1">
        <f t="shared" si="2"/>
        <v>232560000</v>
      </c>
    </row>
    <row r="15" spans="1:9" x14ac:dyDescent="0.2">
      <c r="B15" s="6">
        <v>5</v>
      </c>
      <c r="C15" s="12">
        <f>COMBIN(20,5) * COMBIN(60,2)</f>
        <v>27442079.999999996</v>
      </c>
      <c r="D15" s="19">
        <f t="shared" si="0"/>
        <v>115.76077323584802</v>
      </c>
      <c r="E15" s="33">
        <f t="shared" si="1"/>
        <v>27442079.999999996</v>
      </c>
      <c r="F15" s="26">
        <v>20</v>
      </c>
      <c r="G15" s="1">
        <f t="shared" si="2"/>
        <v>548841599.99999988</v>
      </c>
    </row>
    <row r="16" spans="1:9" x14ac:dyDescent="0.2">
      <c r="B16" s="6">
        <v>4</v>
      </c>
      <c r="C16" s="12">
        <f>COMBIN(20,4) * COMBIN(60,3)</f>
        <v>165795900</v>
      </c>
      <c r="D16" s="19">
        <f t="shared" si="0"/>
        <v>19.160403845933462</v>
      </c>
      <c r="E16" s="33">
        <f t="shared" si="1"/>
        <v>165795900</v>
      </c>
      <c r="F16" s="26">
        <v>3</v>
      </c>
      <c r="G16" s="1">
        <f t="shared" si="2"/>
        <v>497387700</v>
      </c>
    </row>
    <row r="17" spans="1:7" x14ac:dyDescent="0.2">
      <c r="B17" s="6">
        <v>3</v>
      </c>
      <c r="C17" s="12">
        <f>COMBIN(20,3) * COMBIN(60,4)</f>
        <v>555903900</v>
      </c>
      <c r="D17" s="19">
        <f t="shared" si="0"/>
        <v>5.7145064101906824</v>
      </c>
      <c r="E17" s="33">
        <f t="shared" si="1"/>
        <v>555903900</v>
      </c>
      <c r="F17" s="26">
        <v>1</v>
      </c>
      <c r="G17" s="1">
        <f t="shared" si="2"/>
        <v>555903900</v>
      </c>
    </row>
    <row r="18" spans="1:7" x14ac:dyDescent="0.2">
      <c r="B18" s="6">
        <v>2</v>
      </c>
      <c r="C18" s="12">
        <f>COMBIN(20,2) * COMBIN(60,5)</f>
        <v>1037687280.0000001</v>
      </c>
      <c r="D18" s="19">
        <f t="shared" si="0"/>
        <v>3.0613427197450078</v>
      </c>
      <c r="E18" s="33" t="str">
        <f t="shared" si="1"/>
        <v/>
      </c>
      <c r="G18" s="1" t="str">
        <f t="shared" si="2"/>
        <v/>
      </c>
    </row>
    <row r="19" spans="1:7" x14ac:dyDescent="0.2">
      <c r="B19" s="6">
        <v>1</v>
      </c>
      <c r="C19" s="12">
        <f>COMBIN(20,1) * COMBIN(60,6)</f>
        <v>1001277200.0000002</v>
      </c>
      <c r="D19" s="19">
        <f t="shared" si="0"/>
        <v>3.1726642731902808</v>
      </c>
      <c r="E19" s="33" t="str">
        <f t="shared" si="1"/>
        <v/>
      </c>
      <c r="G19" s="1" t="str">
        <f t="shared" si="2"/>
        <v/>
      </c>
    </row>
    <row r="20" spans="1:7" x14ac:dyDescent="0.2">
      <c r="B20" s="6">
        <v>0</v>
      </c>
      <c r="C20" s="12">
        <f>COMBIN(20,0) * COMBIN(60,7)</f>
        <v>386206919.99999988</v>
      </c>
      <c r="D20" s="19">
        <f t="shared" ref="D20" si="3">$C$22/C20</f>
        <v>8.2254258934562881</v>
      </c>
      <c r="E20" s="33" t="str">
        <f t="shared" ref="E20" si="4">IF(F20&gt;0,C20,"")</f>
        <v/>
      </c>
      <c r="G20" s="1" t="str">
        <f t="shared" ref="G20" si="5">IF(F20&gt;0,C20*F20,"")</f>
        <v/>
      </c>
    </row>
    <row r="21" spans="1:7" x14ac:dyDescent="0.2">
      <c r="E21" s="33"/>
    </row>
    <row r="22" spans="1:7" s="15" customFormat="1" x14ac:dyDescent="0.2">
      <c r="A22" s="3"/>
      <c r="B22" s="23" t="s">
        <v>17</v>
      </c>
      <c r="C22" s="4">
        <f>COMBIN(80,7)</f>
        <v>3176716400</v>
      </c>
      <c r="E22" s="34">
        <f>SUM(E12:E21)</f>
        <v>751545000</v>
      </c>
      <c r="F22" s="27"/>
      <c r="G22" s="21">
        <f>SUM(G12:G21)</f>
        <v>2222293200</v>
      </c>
    </row>
    <row r="23" spans="1:7" x14ac:dyDescent="0.2">
      <c r="B23" s="28" t="s">
        <v>27</v>
      </c>
      <c r="D23" s="29">
        <f>C22/E22</f>
        <v>4.226914422955379</v>
      </c>
      <c r="E23" s="33"/>
    </row>
    <row r="24" spans="1:7" x14ac:dyDescent="0.2">
      <c r="B24" s="30" t="s">
        <v>28</v>
      </c>
      <c r="G24" s="31">
        <f>G22/C22</f>
        <v>0.69955668689845907</v>
      </c>
    </row>
  </sheetData>
  <mergeCells count="1">
    <mergeCell ref="D7:E7"/>
  </mergeCells>
  <pageMargins left="0.7" right="0.7" top="0.75" bottom="0.75" header="0.3" footer="0.3"/>
  <pageSetup orientation="portrait" r:id="rId1"/>
  <headerFooter>
    <oddFooter>&amp;L&amp;Z&amp;F&amp;R&amp;A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Calculation Desciptions &amp; Notes</vt:lpstr>
      <vt:lpstr>Bonus #s</vt:lpstr>
      <vt:lpstr>1-Spot</vt:lpstr>
      <vt:lpstr>2-Spot</vt:lpstr>
      <vt:lpstr>3-Spot</vt:lpstr>
      <vt:lpstr>4-Spot</vt:lpstr>
      <vt:lpstr>5-Spot</vt:lpstr>
      <vt:lpstr>6-Spot</vt:lpstr>
      <vt:lpstr>7-Spot</vt:lpstr>
      <vt:lpstr>8-Spot</vt:lpstr>
      <vt:lpstr>9-Spot</vt:lpstr>
      <vt:lpstr>10-Spot</vt:lpstr>
      <vt:lpstr>11-Spot</vt:lpstr>
      <vt:lpstr>12-Spot</vt:lpstr>
    </vt:vector>
  </TitlesOfParts>
  <Company>Massachusetts State Lottery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Mandeville;gcalabrese@masslottery.com</dc:creator>
  <cp:lastModifiedBy>Almeida, Aliya</cp:lastModifiedBy>
  <cp:lastPrinted>2016-07-26T20:34:08Z</cp:lastPrinted>
  <dcterms:created xsi:type="dcterms:W3CDTF">2014-12-29T22:02:21Z</dcterms:created>
  <dcterms:modified xsi:type="dcterms:W3CDTF">2025-01-14T17:27:17Z</dcterms:modified>
</cp:coreProperties>
</file>