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40DB9F2-EBAC-4438-92BA-95E9C5014F91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10" i="6" l="1"/>
  <c r="BI110" i="6"/>
  <c r="BH110" i="6"/>
  <c r="BG110" i="6"/>
  <c r="BF110" i="6"/>
  <c r="BK271" i="6"/>
  <c r="BB271" i="6" s="1"/>
  <c r="BL271" i="6"/>
  <c r="BM271" i="6"/>
  <c r="BN271" i="6"/>
  <c r="BE271" i="6" s="1"/>
  <c r="BD271" i="6"/>
  <c r="BC271" i="6"/>
  <c r="BA271" i="6"/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X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V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41" i="6"/>
  <c r="AN241" i="6"/>
  <c r="AA240" i="12" s="1"/>
  <c r="AL241" i="6"/>
  <c r="Z240" i="12" s="1"/>
  <c r="AK241" i="6"/>
  <c r="AJ241" i="6"/>
  <c r="Y240" i="12" s="1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41" i="6"/>
  <c r="AR271" i="6"/>
  <c r="AN271" i="6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Y98" i="12" s="1"/>
  <c r="AK99" i="6"/>
  <c r="AL99" i="6"/>
  <c r="Z98" i="12" s="1"/>
  <c r="AN99" i="6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U35" i="12" s="1"/>
  <c r="AR148" i="6"/>
  <c r="BJ182" i="6"/>
  <c r="BG181" i="12" s="1"/>
  <c r="BI182" i="6"/>
  <c r="BF181" i="12" s="1"/>
  <c r="BH182" i="6"/>
  <c r="BE181" i="12" s="1"/>
  <c r="BG182" i="6"/>
  <c r="BF182" i="6"/>
  <c r="BC181" i="12" s="1"/>
  <c r="BA225" i="6"/>
  <c r="BN225" i="6"/>
  <c r="BE225" i="6" s="1"/>
  <c r="BM225" i="6"/>
  <c r="BD225" i="6" s="1"/>
  <c r="BL225" i="6"/>
  <c r="BC225" i="6" s="1"/>
  <c r="BK225" i="6"/>
  <c r="BB225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A23" i="6"/>
  <c r="BN23" i="6"/>
  <c r="BE23" i="6" s="1"/>
  <c r="BM23" i="6"/>
  <c r="BD23" i="6" s="1"/>
  <c r="BL23" i="6"/>
  <c r="BC23" i="6" s="1"/>
  <c r="BK23" i="6"/>
  <c r="BB23" i="6" s="1"/>
  <c r="BN239" i="6"/>
  <c r="BE239" i="6" s="1"/>
  <c r="BM239" i="6"/>
  <c r="BD239" i="6" s="1"/>
  <c r="BL239" i="6"/>
  <c r="BC239" i="6" s="1"/>
  <c r="BK239" i="6"/>
  <c r="BB239" i="6" s="1"/>
  <c r="BA239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G150" i="12" s="1"/>
  <c r="BI151" i="6"/>
  <c r="BF150" i="12" s="1"/>
  <c r="BH151" i="6"/>
  <c r="BE150" i="12" s="1"/>
  <c r="BG151" i="6"/>
  <c r="BD150" i="12" s="1"/>
  <c r="BF151" i="6"/>
  <c r="BC150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5" i="6"/>
  <c r="AR291" i="6"/>
  <c r="AN291" i="6"/>
  <c r="AL291" i="6"/>
  <c r="Z290" i="12" s="1"/>
  <c r="AK291" i="6"/>
  <c r="AJ291" i="6"/>
  <c r="Y290" i="12" s="1"/>
  <c r="AH291" i="6"/>
  <c r="U290" i="12" s="1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39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25" i="6"/>
  <c r="AN225" i="6"/>
  <c r="AA224" i="12" s="1"/>
  <c r="AL225" i="6"/>
  <c r="Z224" i="12" s="1"/>
  <c r="AK225" i="6"/>
  <c r="AJ225" i="6"/>
  <c r="Y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N225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84" i="6"/>
  <c r="BN284" i="6" s="1"/>
  <c r="BI284" i="6"/>
  <c r="BF283" i="12" s="1"/>
  <c r="BH284" i="6"/>
  <c r="BL284" i="6" s="1"/>
  <c r="BG284" i="6"/>
  <c r="BF284" i="6"/>
  <c r="BC283" i="12" s="1"/>
  <c r="BA44" i="6"/>
  <c r="BN44" i="6"/>
  <c r="BE44" i="6" s="1"/>
  <c r="BM44" i="6"/>
  <c r="BD44" i="6" s="1"/>
  <c r="BL44" i="6"/>
  <c r="BC44" i="6" s="1"/>
  <c r="BK44" i="6"/>
  <c r="BB44" i="6" s="1"/>
  <c r="BN215" i="6"/>
  <c r="BE215" i="6" s="1"/>
  <c r="BM215" i="6"/>
  <c r="BD215" i="6" s="1"/>
  <c r="BL215" i="6"/>
  <c r="BC215" i="6" s="1"/>
  <c r="BK215" i="6"/>
  <c r="BB215" i="6" s="1"/>
  <c r="BA215" i="6"/>
  <c r="AR284" i="6"/>
  <c r="AN284" i="6"/>
  <c r="AM284" i="6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A73" i="12" s="1"/>
  <c r="AL74" i="6"/>
  <c r="Z73" i="12" s="1"/>
  <c r="AK74" i="6"/>
  <c r="AJ74" i="6"/>
  <c r="Y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U43" i="12" s="1"/>
  <c r="N44" i="6"/>
  <c r="BJ251" i="6"/>
  <c r="BG250" i="12" s="1"/>
  <c r="BI251" i="6"/>
  <c r="BF250" i="12" s="1"/>
  <c r="BH251" i="6"/>
  <c r="BE250" i="12" s="1"/>
  <c r="BG251" i="6"/>
  <c r="BD250" i="12" s="1"/>
  <c r="BF251" i="6"/>
  <c r="BC250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288" i="6"/>
  <c r="BG287" i="12" s="1"/>
  <c r="BI288" i="6"/>
  <c r="BF287" i="12" s="1"/>
  <c r="BH288" i="6"/>
  <c r="BG288" i="6"/>
  <c r="BD287" i="12" s="1"/>
  <c r="BF288" i="6"/>
  <c r="BC287" i="12" s="1"/>
  <c r="BJ287" i="6"/>
  <c r="BI287" i="6"/>
  <c r="BF286" i="12" s="1"/>
  <c r="BH287" i="6"/>
  <c r="BL287" i="6" s="1"/>
  <c r="BG287" i="6"/>
  <c r="BD286" i="12" s="1"/>
  <c r="BF287" i="6"/>
  <c r="BC286" i="12" s="1"/>
  <c r="BJ260" i="6"/>
  <c r="BG259" i="12" s="1"/>
  <c r="BI260" i="6"/>
  <c r="BF259" i="12" s="1"/>
  <c r="BH260" i="6"/>
  <c r="BE259" i="12" s="1"/>
  <c r="BG260" i="6"/>
  <c r="BD259" i="12" s="1"/>
  <c r="BF260" i="6"/>
  <c r="BC25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26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77" i="6"/>
  <c r="BN277" i="6" s="1"/>
  <c r="BI277" i="6"/>
  <c r="BF276" i="12" s="1"/>
  <c r="BH277" i="6"/>
  <c r="BE276" i="12" s="1"/>
  <c r="BG277" i="6"/>
  <c r="BF277" i="6"/>
  <c r="BC276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92" i="6"/>
  <c r="BG291" i="12" s="1"/>
  <c r="BI292" i="6"/>
  <c r="BF291" i="12" s="1"/>
  <c r="BH292" i="6"/>
  <c r="BE291" i="12" s="1"/>
  <c r="BG292" i="6"/>
  <c r="BD291" i="12" s="1"/>
  <c r="BF292" i="6"/>
  <c r="BC291" i="12" s="1"/>
  <c r="BJ280" i="6"/>
  <c r="BN280" i="6" s="1"/>
  <c r="BI280" i="6"/>
  <c r="BF279" i="12" s="1"/>
  <c r="BH280" i="6"/>
  <c r="BG280" i="6"/>
  <c r="BK280" i="6" s="1"/>
  <c r="BF280" i="6"/>
  <c r="BC279" i="12" s="1"/>
  <c r="BJ222" i="6"/>
  <c r="BG221" i="12" s="1"/>
  <c r="BI222" i="6"/>
  <c r="BF221" i="12" s="1"/>
  <c r="BH222" i="6"/>
  <c r="BE221" i="12" s="1"/>
  <c r="BG222" i="6"/>
  <c r="BD221" i="12" s="1"/>
  <c r="BF222" i="6"/>
  <c r="BC221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N196" i="6"/>
  <c r="N277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G294" i="12" s="1"/>
  <c r="BI295" i="6"/>
  <c r="BF294" i="12" s="1"/>
  <c r="BH295" i="6"/>
  <c r="BE294" i="12" s="1"/>
  <c r="BG295" i="6"/>
  <c r="BD294" i="12" s="1"/>
  <c r="BF295" i="6"/>
  <c r="BC29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N109" i="6"/>
  <c r="N113" i="6"/>
  <c r="BJ278" i="6"/>
  <c r="BG277" i="12" s="1"/>
  <c r="BI278" i="6"/>
  <c r="BF277" i="12" s="1"/>
  <c r="BH278" i="6"/>
  <c r="BE277" i="12" s="1"/>
  <c r="BG278" i="6"/>
  <c r="BD277" i="12" s="1"/>
  <c r="BF278" i="6"/>
  <c r="BC277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168" i="6"/>
  <c r="BA188" i="6"/>
  <c r="AR290" i="6"/>
  <c r="AN290" i="6"/>
  <c r="AM290" i="6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1" i="6"/>
  <c r="BJ300" i="6"/>
  <c r="BG299" i="12" s="1"/>
  <c r="BI300" i="6"/>
  <c r="BF299" i="12" s="1"/>
  <c r="BH300" i="6"/>
  <c r="BE299" i="12" s="1"/>
  <c r="BG300" i="6"/>
  <c r="BD299" i="12" s="1"/>
  <c r="BF300" i="6"/>
  <c r="BC299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F258" i="6"/>
  <c r="BC257" i="12" s="1"/>
  <c r="BG258" i="6"/>
  <c r="BD257" i="12" s="1"/>
  <c r="BH258" i="6"/>
  <c r="BE257" i="12" s="1"/>
  <c r="BI258" i="6"/>
  <c r="BF257" i="12" s="1"/>
  <c r="BJ258" i="6"/>
  <c r="BG257" i="12" s="1"/>
  <c r="BF192" i="6"/>
  <c r="BC191" i="12" s="1"/>
  <c r="BG192" i="6"/>
  <c r="BD191" i="12" s="1"/>
  <c r="BH192" i="6"/>
  <c r="BE191" i="12" s="1"/>
  <c r="BI192" i="6"/>
  <c r="BF191" i="12" s="1"/>
  <c r="BJ192" i="6"/>
  <c r="BG191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F172" i="6"/>
  <c r="BC171" i="12" s="1"/>
  <c r="BG172" i="6"/>
  <c r="BD171" i="12" s="1"/>
  <c r="BH172" i="6"/>
  <c r="BE171" i="12" s="1"/>
  <c r="BI172" i="6"/>
  <c r="BF171" i="12" s="1"/>
  <c r="BJ172" i="6"/>
  <c r="BG171" i="12" s="1"/>
  <c r="BF142" i="6"/>
  <c r="BC141" i="12" s="1"/>
  <c r="BG142" i="6"/>
  <c r="BD141" i="12" s="1"/>
  <c r="BH142" i="6"/>
  <c r="BE141" i="12" s="1"/>
  <c r="BI142" i="6"/>
  <c r="BF141" i="12" s="1"/>
  <c r="BJ142" i="6"/>
  <c r="BG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75" i="6"/>
  <c r="BG274" i="12" s="1"/>
  <c r="BI275" i="6"/>
  <c r="BF274" i="12" s="1"/>
  <c r="BH275" i="6"/>
  <c r="BE274" i="12" s="1"/>
  <c r="BG275" i="6"/>
  <c r="BD274" i="12" s="1"/>
  <c r="BF275" i="6"/>
  <c r="BC274" i="12" s="1"/>
  <c r="BF231" i="6"/>
  <c r="BC230" i="12" s="1"/>
  <c r="BG231" i="6"/>
  <c r="BD230" i="12" s="1"/>
  <c r="BH231" i="6"/>
  <c r="BE230" i="12" s="1"/>
  <c r="BI231" i="6"/>
  <c r="BF230" i="12" s="1"/>
  <c r="BJ231" i="6"/>
  <c r="BG230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J238" i="6"/>
  <c r="BG237" i="12" s="1"/>
  <c r="BI238" i="6"/>
  <c r="BF237" i="12" s="1"/>
  <c r="BH238" i="6"/>
  <c r="BE237" i="12" s="1"/>
  <c r="BG238" i="6"/>
  <c r="BD237" i="12" s="1"/>
  <c r="BF238" i="6"/>
  <c r="BC237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3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A298" i="12" s="1"/>
  <c r="AL299" i="6"/>
  <c r="Z298" i="12" s="1"/>
  <c r="AK299" i="6"/>
  <c r="AJ299" i="6"/>
  <c r="Y298" i="12" s="1"/>
  <c r="AH299" i="6"/>
  <c r="U298" i="12" s="1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1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G192" i="12" s="1"/>
  <c r="BI193" i="6"/>
  <c r="BF192" i="12" s="1"/>
  <c r="BH193" i="6"/>
  <c r="BE192" i="12" s="1"/>
  <c r="BG193" i="6"/>
  <c r="BD192" i="12" s="1"/>
  <c r="BF193" i="6"/>
  <c r="BC19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179" i="6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G188" i="12" s="1"/>
  <c r="BI189" i="6"/>
  <c r="BF188" i="12" s="1"/>
  <c r="BH189" i="6"/>
  <c r="BE188" i="12" s="1"/>
  <c r="BG189" i="6"/>
  <c r="BD188" i="12" s="1"/>
  <c r="BF189" i="6"/>
  <c r="BC188" i="12" s="1"/>
  <c r="BA294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55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219" i="6"/>
  <c r="BG218" i="12" s="1"/>
  <c r="BI219" i="6"/>
  <c r="BF218" i="12" s="1"/>
  <c r="BH219" i="6"/>
  <c r="BE218" i="12" s="1"/>
  <c r="BG219" i="6"/>
  <c r="BD218" i="12" s="1"/>
  <c r="BF219" i="6"/>
  <c r="BC218" i="12" s="1"/>
  <c r="BJ217" i="6"/>
  <c r="BG216" i="12" s="1"/>
  <c r="BI217" i="6"/>
  <c r="BF216" i="12" s="1"/>
  <c r="BH217" i="6"/>
  <c r="BE216" i="12" s="1"/>
  <c r="BG217" i="6"/>
  <c r="BD216" i="12" s="1"/>
  <c r="BF217" i="6"/>
  <c r="BC216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A194" i="6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A81" i="6"/>
  <c r="BJ77" i="6"/>
  <c r="BG76" i="12" s="1"/>
  <c r="BI77" i="6"/>
  <c r="BF76" i="12" s="1"/>
  <c r="BH77" i="6"/>
  <c r="BE76" i="12" s="1"/>
  <c r="BG77" i="6"/>
  <c r="BD76" i="12" s="1"/>
  <c r="BF77" i="6"/>
  <c r="BC76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68" i="6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A48" i="6"/>
  <c r="BA254" i="6"/>
  <c r="BJ171" i="6"/>
  <c r="BG170" i="12" s="1"/>
  <c r="BI171" i="6"/>
  <c r="BF170" i="12" s="1"/>
  <c r="BH171" i="6"/>
  <c r="BE170" i="12" s="1"/>
  <c r="BG171" i="6"/>
  <c r="BD170" i="12" s="1"/>
  <c r="BF171" i="6"/>
  <c r="BC170" i="12" s="1"/>
  <c r="BA216" i="6"/>
  <c r="BN216" i="6"/>
  <c r="BE216" i="6" s="1"/>
  <c r="BM216" i="6"/>
  <c r="BD216" i="6" s="1"/>
  <c r="BL216" i="6"/>
  <c r="BC216" i="6" s="1"/>
  <c r="BK216" i="6"/>
  <c r="BB216" i="6" s="1"/>
  <c r="BJ205" i="6"/>
  <c r="BG204" i="12" s="1"/>
  <c r="BI205" i="6"/>
  <c r="BF204" i="12" s="1"/>
  <c r="BH205" i="6"/>
  <c r="BE204" i="12" s="1"/>
  <c r="BG205" i="6"/>
  <c r="BD204" i="12" s="1"/>
  <c r="BF205" i="6"/>
  <c r="BC204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A19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49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A146" i="6"/>
  <c r="BK146" i="6"/>
  <c r="BB146" i="6" s="1"/>
  <c r="BL146" i="6"/>
  <c r="BC146" i="6" s="1"/>
  <c r="BM146" i="6"/>
  <c r="BD146" i="6" s="1"/>
  <c r="BN146" i="6"/>
  <c r="BE146" i="6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94" i="6"/>
  <c r="N216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R294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8" i="6"/>
  <c r="BG77" i="12" s="1"/>
  <c r="BI78" i="6"/>
  <c r="BF77" i="12" s="1"/>
  <c r="BH78" i="6"/>
  <c r="BE77" i="12" s="1"/>
  <c r="BG78" i="6"/>
  <c r="BD77" i="12" s="1"/>
  <c r="BF78" i="6"/>
  <c r="BC7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A71" i="6"/>
  <c r="BA98" i="6"/>
  <c r="BA207" i="6"/>
  <c r="BA211" i="6"/>
  <c r="BA213" i="6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A240" i="6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J249" i="6"/>
  <c r="BG248" i="12" s="1"/>
  <c r="BI249" i="6"/>
  <c r="BF248" i="12" s="1"/>
  <c r="BH249" i="6"/>
  <c r="BE248" i="12" s="1"/>
  <c r="BG249" i="6"/>
  <c r="BD248" i="12" s="1"/>
  <c r="BF249" i="6"/>
  <c r="BC24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A221" i="6"/>
  <c r="BD2" i="12"/>
  <c r="BE2" i="12"/>
  <c r="BF2" i="12"/>
  <c r="BG2" i="12"/>
  <c r="BC2" i="12"/>
  <c r="BJ270" i="6"/>
  <c r="BG269" i="12" s="1"/>
  <c r="BI270" i="6"/>
  <c r="BF269" i="12" s="1"/>
  <c r="BH270" i="6"/>
  <c r="BE269" i="12" s="1"/>
  <c r="BG270" i="6"/>
  <c r="BD269" i="12" s="1"/>
  <c r="BF270" i="6"/>
  <c r="BC269" i="12" s="1"/>
  <c r="BA86" i="6"/>
  <c r="BA167" i="6"/>
  <c r="BA35" i="6"/>
  <c r="BA261" i="6"/>
  <c r="BA79" i="6"/>
  <c r="BA115" i="6"/>
  <c r="BA157" i="6"/>
  <c r="BA161" i="6"/>
  <c r="BA218" i="6"/>
  <c r="BA279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A236" i="6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58" i="6"/>
  <c r="BG157" i="12" s="1"/>
  <c r="BI158" i="6"/>
  <c r="BF157" i="12" s="1"/>
  <c r="BH158" i="6"/>
  <c r="BE157" i="12" s="1"/>
  <c r="BG158" i="6"/>
  <c r="BD157" i="12" s="1"/>
  <c r="BF158" i="6"/>
  <c r="BC157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0" i="6"/>
  <c r="BD159" i="12" s="1"/>
  <c r="BH160" i="6"/>
  <c r="BE159" i="12" s="1"/>
  <c r="BI160" i="6"/>
  <c r="BF159" i="12" s="1"/>
  <c r="BJ160" i="6"/>
  <c r="BG159" i="12" s="1"/>
  <c r="BF160" i="6"/>
  <c r="BC159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1" i="6"/>
  <c r="BB211" i="6" s="1"/>
  <c r="BL211" i="6"/>
  <c r="BC211" i="6" s="1"/>
  <c r="BM211" i="6"/>
  <c r="BD211" i="6" s="1"/>
  <c r="BN211" i="6"/>
  <c r="BE211" i="6" s="1"/>
  <c r="BK212" i="6"/>
  <c r="BL212" i="6"/>
  <c r="BM212" i="6"/>
  <c r="BN212" i="6"/>
  <c r="BK213" i="6"/>
  <c r="BB213" i="6" s="1"/>
  <c r="BL213" i="6"/>
  <c r="BC213" i="6" s="1"/>
  <c r="BM213" i="6"/>
  <c r="BD213" i="6" s="1"/>
  <c r="BN213" i="6"/>
  <c r="BE213" i="6" s="1"/>
  <c r="BK218" i="6"/>
  <c r="BB218" i="6" s="1"/>
  <c r="BL218" i="6"/>
  <c r="BC218" i="6" s="1"/>
  <c r="BM218" i="6"/>
  <c r="BD218" i="6" s="1"/>
  <c r="BN218" i="6"/>
  <c r="BE218" i="6" s="1"/>
  <c r="BK221" i="6"/>
  <c r="BB221" i="6" s="1"/>
  <c r="BL221" i="6"/>
  <c r="BC221" i="6" s="1"/>
  <c r="BM221" i="6"/>
  <c r="BD221" i="6" s="1"/>
  <c r="BN221" i="6"/>
  <c r="BE221" i="6" s="1"/>
  <c r="BK223" i="6"/>
  <c r="BB223" i="6" s="1"/>
  <c r="BL223" i="6"/>
  <c r="BC223" i="6" s="1"/>
  <c r="BM223" i="6"/>
  <c r="BD223" i="6" s="1"/>
  <c r="BN223" i="6"/>
  <c r="BE223" i="6" s="1"/>
  <c r="BK236" i="6"/>
  <c r="BB236" i="6" s="1"/>
  <c r="BL236" i="6"/>
  <c r="BC236" i="6" s="1"/>
  <c r="BM236" i="6"/>
  <c r="BD236" i="6" s="1"/>
  <c r="BN236" i="6"/>
  <c r="BE236" i="6" s="1"/>
  <c r="BK240" i="6"/>
  <c r="BB240" i="6" s="1"/>
  <c r="BL240" i="6"/>
  <c r="BC240" i="6" s="1"/>
  <c r="BM240" i="6"/>
  <c r="BD240" i="6" s="1"/>
  <c r="BN240" i="6"/>
  <c r="BE240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6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6" i="6"/>
  <c r="AN236" i="6"/>
  <c r="AA235" i="12" s="1"/>
  <c r="AL236" i="6"/>
  <c r="Z235" i="12" s="1"/>
  <c r="AK236" i="6"/>
  <c r="AJ236" i="6"/>
  <c r="Y235" i="12" s="1"/>
  <c r="AH236" i="6"/>
  <c r="U235" i="12" s="1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R35" i="6"/>
  <c r="AM35" i="6"/>
  <c r="AK35" i="6"/>
  <c r="AH35" i="6"/>
  <c r="U34" i="12" s="1"/>
  <c r="N35" i="6"/>
  <c r="AR213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N213" i="6"/>
  <c r="AR9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N222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A128" i="12" s="1"/>
  <c r="AL129" i="6"/>
  <c r="Z128" i="12" s="1"/>
  <c r="AK129" i="6"/>
  <c r="AJ129" i="6"/>
  <c r="Y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A291" i="12" s="1"/>
  <c r="AL292" i="6"/>
  <c r="Z291" i="12" s="1"/>
  <c r="AK292" i="6"/>
  <c r="AJ292" i="6"/>
  <c r="Y291" i="12" s="1"/>
  <c r="AH292" i="6"/>
  <c r="U291" i="12" s="1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18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6" i="6"/>
  <c r="AR203" i="6"/>
  <c r="AR202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A158" i="12" s="1"/>
  <c r="AL159" i="6"/>
  <c r="Z158" i="12" s="1"/>
  <c r="AK159" i="6"/>
  <c r="AJ159" i="6"/>
  <c r="Y158" i="12" s="1"/>
  <c r="AH159" i="6"/>
  <c r="U158" i="12" s="1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7" i="6"/>
  <c r="AR227" i="6"/>
  <c r="AR111" i="6"/>
  <c r="AR93" i="6"/>
  <c r="AR161" i="6"/>
  <c r="AR75" i="6"/>
  <c r="AR7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3" i="6"/>
  <c r="N223" i="6"/>
  <c r="AR120" i="6"/>
  <c r="N120" i="6"/>
  <c r="AR79" i="6"/>
  <c r="N79" i="6"/>
  <c r="N8" i="6"/>
  <c r="AR8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A175" i="12" s="1"/>
  <c r="AL176" i="6"/>
  <c r="Z175" i="12" s="1"/>
  <c r="AK176" i="6"/>
  <c r="AJ176" i="6"/>
  <c r="Y175" i="12" s="1"/>
  <c r="AH176" i="6"/>
  <c r="U175" i="12" s="1"/>
  <c r="AG176" i="6"/>
  <c r="AF176" i="6"/>
  <c r="AN167" i="6"/>
  <c r="AA166" i="12" s="1"/>
  <c r="AL167" i="6"/>
  <c r="Z166" i="12" s="1"/>
  <c r="AK167" i="6"/>
  <c r="AJ167" i="6"/>
  <c r="Y166" i="12" s="1"/>
  <c r="AH167" i="6"/>
  <c r="U166" i="12" s="1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A96" i="12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298" i="6"/>
  <c r="AL295" i="6"/>
  <c r="Z294" i="12" s="1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F259" i="6"/>
  <c r="N259" i="6"/>
  <c r="AR240" i="6"/>
  <c r="AN240" i="6"/>
  <c r="AA239" i="12" s="1"/>
  <c r="AL240" i="6"/>
  <c r="Z239" i="12" s="1"/>
  <c r="AK240" i="6"/>
  <c r="AJ240" i="6"/>
  <c r="Y239" i="12" s="1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50" i="6"/>
  <c r="N240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Y206" i="12" s="1"/>
  <c r="AK207" i="6"/>
  <c r="AL207" i="6"/>
  <c r="Z206" i="12" s="1"/>
  <c r="AN207" i="6"/>
  <c r="AA206" i="12" s="1"/>
  <c r="N207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Y88" i="12" s="1"/>
  <c r="AK89" i="6"/>
  <c r="AL89" i="6"/>
  <c r="Z88" i="12" s="1"/>
  <c r="AN89" i="6"/>
  <c r="AA88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N89" i="6"/>
  <c r="F89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86" i="6"/>
  <c r="AJ286" i="6"/>
  <c r="Y285" i="12" s="1"/>
  <c r="AK286" i="6"/>
  <c r="AL286" i="6"/>
  <c r="Z285" i="12" s="1"/>
  <c r="AN286" i="6"/>
  <c r="AA285" i="12" s="1"/>
  <c r="AO286" i="6"/>
  <c r="W285" i="12" s="1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Y91" i="12" s="1"/>
  <c r="AK92" i="6"/>
  <c r="AL92" i="6"/>
  <c r="Z91" i="12" s="1"/>
  <c r="AN92" i="6"/>
  <c r="AA91" i="12" s="1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J57" i="6"/>
  <c r="Y56" i="12" s="1"/>
  <c r="AK57" i="6"/>
  <c r="AL57" i="6"/>
  <c r="Z56" i="12" s="1"/>
  <c r="AN57" i="6"/>
  <c r="AA56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6" i="6"/>
  <c r="Y85" i="12" s="1"/>
  <c r="AK86" i="6"/>
  <c r="AL86" i="6"/>
  <c r="Z85" i="12" s="1"/>
  <c r="AN86" i="6"/>
  <c r="AA85" i="12" s="1"/>
  <c r="AJ88" i="6"/>
  <c r="Y87" i="12" s="1"/>
  <c r="AK88" i="6"/>
  <c r="AL88" i="6"/>
  <c r="Z87" i="12" s="1"/>
  <c r="AN88" i="6"/>
  <c r="AA87" i="12" s="1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K138" i="6"/>
  <c r="AL138" i="6"/>
  <c r="Z137" i="12" s="1"/>
  <c r="AN138" i="6"/>
  <c r="AA137" i="12" s="1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U223" i="12" s="1"/>
  <c r="AJ224" i="6"/>
  <c r="Y223" i="12" s="1"/>
  <c r="AK224" i="6"/>
  <c r="AL224" i="6"/>
  <c r="Z223" i="12" s="1"/>
  <c r="AN224" i="6"/>
  <c r="AA223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N82" i="6"/>
  <c r="N224" i="6"/>
  <c r="N157" i="6"/>
  <c r="N138" i="6"/>
  <c r="N90" i="6"/>
  <c r="N21" i="6"/>
  <c r="AR224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Y117" i="12" s="1"/>
  <c r="AK118" i="6"/>
  <c r="AL118" i="6"/>
  <c r="Z117" i="12" s="1"/>
  <c r="AN118" i="6"/>
  <c r="AA117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K150" i="6"/>
  <c r="AL150" i="6"/>
  <c r="Z149" i="12" s="1"/>
  <c r="AN150" i="6"/>
  <c r="AA149" i="12" s="1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Y261" i="12" s="1"/>
  <c r="AK262" i="6"/>
  <c r="AL262" i="6"/>
  <c r="Z261" i="12" s="1"/>
  <c r="AN262" i="6"/>
  <c r="AA261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U236" i="12" s="1"/>
  <c r="AJ237" i="6"/>
  <c r="Y236" i="12" s="1"/>
  <c r="AK237" i="6"/>
  <c r="AL237" i="6"/>
  <c r="Z236" i="12" s="1"/>
  <c r="AN237" i="6"/>
  <c r="AA236" i="12" s="1"/>
  <c r="AJ189" i="6"/>
  <c r="Y188" i="12" s="1"/>
  <c r="AK189" i="6"/>
  <c r="AL189" i="6"/>
  <c r="Z188" i="12" s="1"/>
  <c r="AN189" i="6"/>
  <c r="AA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293" i="6"/>
  <c r="Y292" i="12" s="1"/>
  <c r="AK293" i="6"/>
  <c r="AL293" i="6"/>
  <c r="Z292" i="12" s="1"/>
  <c r="AN293" i="6"/>
  <c r="AA292" i="12" s="1"/>
  <c r="AJ273" i="6"/>
  <c r="Y272" i="12" s="1"/>
  <c r="AK273" i="6"/>
  <c r="AL273" i="6"/>
  <c r="Z272" i="12" s="1"/>
  <c r="AN273" i="6"/>
  <c r="AA272" i="12" s="1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U292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AJ257" i="6"/>
  <c r="Y256" i="12" s="1"/>
  <c r="AK257" i="6"/>
  <c r="AL257" i="6"/>
  <c r="Z256" i="12" s="1"/>
  <c r="AN257" i="6"/>
  <c r="AA256" i="12" s="1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U256" i="12" s="1"/>
  <c r="AJ248" i="6"/>
  <c r="Y247" i="12" s="1"/>
  <c r="AK248" i="6"/>
  <c r="AL248" i="6"/>
  <c r="Z247" i="12" s="1"/>
  <c r="AN248" i="6"/>
  <c r="AA247" i="12" s="1"/>
  <c r="AH248" i="6"/>
  <c r="U247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19" i="6"/>
  <c r="Y218" i="12" s="1"/>
  <c r="AK219" i="6"/>
  <c r="AL219" i="6"/>
  <c r="Z218" i="12" s="1"/>
  <c r="AN219" i="6"/>
  <c r="AA218" i="12" s="1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U218" i="12" s="1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40" i="6"/>
  <c r="Y139" i="12" s="1"/>
  <c r="AK140" i="6"/>
  <c r="AL140" i="6"/>
  <c r="Z139" i="12" s="1"/>
  <c r="AN140" i="6"/>
  <c r="AA139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Y95" i="12" s="1"/>
  <c r="AL96" i="6"/>
  <c r="Z95" i="12" s="1"/>
  <c r="AN96" i="6"/>
  <c r="AA95" i="12" s="1"/>
  <c r="N257" i="6"/>
  <c r="N262" i="6"/>
  <c r="N237" i="6"/>
  <c r="N189" i="6"/>
  <c r="N140" i="6"/>
  <c r="N96" i="6"/>
  <c r="N25" i="6"/>
  <c r="N183" i="6"/>
  <c r="AR262" i="6"/>
  <c r="AR237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201" i="6"/>
  <c r="Y200" i="12" s="1"/>
  <c r="AL201" i="6"/>
  <c r="Z200" i="12" s="1"/>
  <c r="AN201" i="6"/>
  <c r="AA200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Y154" i="12" s="1"/>
  <c r="AK155" i="6"/>
  <c r="AL155" i="6"/>
  <c r="Z154" i="12" s="1"/>
  <c r="AN155" i="6"/>
  <c r="AA154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J62" i="6"/>
  <c r="Y61" i="12" s="1"/>
  <c r="AL62" i="6"/>
  <c r="Z61" i="12" s="1"/>
  <c r="AN62" i="6"/>
  <c r="AA61" i="12" s="1"/>
  <c r="AJ110" i="6"/>
  <c r="Y109" i="12" s="1"/>
  <c r="AK110" i="6"/>
  <c r="AL110" i="6"/>
  <c r="Z109" i="12" s="1"/>
  <c r="AN110" i="6"/>
  <c r="AA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U233" i="12" s="1"/>
  <c r="AJ234" i="6"/>
  <c r="Y233" i="12" s="1"/>
  <c r="AK234" i="6"/>
  <c r="AL234" i="6"/>
  <c r="Z233" i="12" s="1"/>
  <c r="AN234" i="6"/>
  <c r="AA233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34" i="6"/>
  <c r="AR273" i="6"/>
  <c r="N273" i="6"/>
  <c r="F273" i="6"/>
  <c r="AR234" i="6"/>
  <c r="AR219" i="6"/>
  <c r="N219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U294" i="12" s="1"/>
  <c r="AJ295" i="6"/>
  <c r="Y294" i="12" s="1"/>
  <c r="AK295" i="6"/>
  <c r="AN295" i="6"/>
  <c r="AA294" i="12" s="1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A123" i="12" s="1"/>
  <c r="AL124" i="6"/>
  <c r="Z123" i="12" s="1"/>
  <c r="AK124" i="6"/>
  <c r="AJ124" i="6"/>
  <c r="Y123" i="12" s="1"/>
  <c r="AJ128" i="6"/>
  <c r="Y127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2" i="6"/>
  <c r="N190" i="6"/>
  <c r="N295" i="6"/>
  <c r="N54" i="6"/>
  <c r="AR54" i="6"/>
  <c r="AR190" i="6"/>
  <c r="AR248" i="6"/>
  <c r="N248" i="6"/>
  <c r="AR179" i="6"/>
  <c r="N179" i="6"/>
  <c r="AR212" i="6"/>
  <c r="F212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0" i="6"/>
  <c r="CW210" i="6"/>
  <c r="CX210" i="6"/>
  <c r="CY210" i="6"/>
  <c r="CV211" i="6"/>
  <c r="CW211" i="6"/>
  <c r="CX211" i="6"/>
  <c r="CY211" i="6"/>
  <c r="CV214" i="6"/>
  <c r="CW214" i="6"/>
  <c r="CX214" i="6"/>
  <c r="CY214" i="6"/>
  <c r="CV217" i="6"/>
  <c r="CW217" i="6"/>
  <c r="CX217" i="6"/>
  <c r="CY217" i="6"/>
  <c r="CV220" i="6"/>
  <c r="CW220" i="6"/>
  <c r="CX220" i="6"/>
  <c r="CY220" i="6"/>
  <c r="CV221" i="6"/>
  <c r="CW221" i="6"/>
  <c r="CX221" i="6"/>
  <c r="CY221" i="6"/>
  <c r="CV229" i="6"/>
  <c r="CW229" i="6"/>
  <c r="CX229" i="6"/>
  <c r="CY229" i="6"/>
  <c r="CV230" i="6"/>
  <c r="CW230" i="6"/>
  <c r="CX230" i="6"/>
  <c r="CY230" i="6"/>
  <c r="CV232" i="6"/>
  <c r="CW232" i="6"/>
  <c r="CX232" i="6"/>
  <c r="CY232" i="6"/>
  <c r="CV233" i="6"/>
  <c r="CW233" i="6"/>
  <c r="CX233" i="6"/>
  <c r="CY233" i="6"/>
  <c r="CV235" i="6"/>
  <c r="CW235" i="6"/>
  <c r="CX235" i="6"/>
  <c r="CY235" i="6"/>
  <c r="CV238" i="6"/>
  <c r="CW238" i="6"/>
  <c r="CX238" i="6"/>
  <c r="CY238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0" i="6"/>
  <c r="DA211" i="6"/>
  <c r="DA214" i="6"/>
  <c r="DA217" i="6"/>
  <c r="DA220" i="6"/>
  <c r="DA221" i="6"/>
  <c r="DA229" i="6"/>
  <c r="DA230" i="6"/>
  <c r="DA232" i="6"/>
  <c r="DA233" i="6"/>
  <c r="DA235" i="6"/>
  <c r="DA238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156" i="6"/>
  <c r="Y155" i="12" s="1"/>
  <c r="AL156" i="6"/>
  <c r="Z155" i="12" s="1"/>
  <c r="AN156" i="6"/>
  <c r="AA155" i="12" s="1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U271" i="12" s="1"/>
  <c r="AJ272" i="6"/>
  <c r="Y271" i="12" s="1"/>
  <c r="AK272" i="6"/>
  <c r="AL272" i="6"/>
  <c r="Z271" i="12" s="1"/>
  <c r="AN272" i="6"/>
  <c r="AA271" i="12" s="1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U252" i="12" s="1"/>
  <c r="AJ253" i="6"/>
  <c r="Y252" i="12" s="1"/>
  <c r="AK253" i="6"/>
  <c r="AL253" i="6"/>
  <c r="Z252" i="12" s="1"/>
  <c r="AN253" i="6"/>
  <c r="AA252" i="12" s="1"/>
  <c r="AJ166" i="6"/>
  <c r="Y165" i="12" s="1"/>
  <c r="AK166" i="6"/>
  <c r="AL166" i="6"/>
  <c r="Z165" i="12" s="1"/>
  <c r="AN166" i="6"/>
  <c r="AA165" i="12" s="1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75" i="6"/>
  <c r="Y74" i="12" s="1"/>
  <c r="AK75" i="6"/>
  <c r="AL75" i="6"/>
  <c r="Z74" i="12" s="1"/>
  <c r="AN75" i="6"/>
  <c r="AA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AK145" i="6"/>
  <c r="AH145" i="6"/>
  <c r="U144" i="12" s="1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1" i="6"/>
  <c r="Y220" i="12" s="1"/>
  <c r="AK221" i="6"/>
  <c r="AL221" i="6"/>
  <c r="Z220" i="12" s="1"/>
  <c r="AN221" i="6"/>
  <c r="AA220" i="12" s="1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U220" i="12" s="1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AK130" i="6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U172" i="12" s="1"/>
  <c r="AF173" i="6"/>
  <c r="AG173" i="6"/>
  <c r="AR133" i="6"/>
  <c r="AN145" i="6"/>
  <c r="AA144" i="12" s="1"/>
  <c r="AL145" i="6"/>
  <c r="Z144" i="12" s="1"/>
  <c r="AJ145" i="6"/>
  <c r="Y144" i="12" s="1"/>
  <c r="AN130" i="6"/>
  <c r="AA129" i="12" s="1"/>
  <c r="AL130" i="6"/>
  <c r="Z129" i="12" s="1"/>
  <c r="AJ130" i="6"/>
  <c r="Y129" i="12" s="1"/>
  <c r="AN70" i="6"/>
  <c r="AA69" i="12" s="1"/>
  <c r="AL70" i="6"/>
  <c r="Z69" i="12" s="1"/>
  <c r="AJ70" i="6"/>
  <c r="Y69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6" i="6"/>
  <c r="U55" i="12" s="1"/>
  <c r="AN56" i="6"/>
  <c r="AA55" i="12" s="1"/>
  <c r="AJ56" i="6"/>
  <c r="Y55" i="12" s="1"/>
  <c r="AK56" i="6"/>
  <c r="AL56" i="6"/>
  <c r="Z55" i="12" s="1"/>
  <c r="AM10" i="9"/>
  <c r="AH58" i="6"/>
  <c r="U57" i="12" s="1"/>
  <c r="AN58" i="6"/>
  <c r="AA57" i="12" s="1"/>
  <c r="AJ58" i="6"/>
  <c r="Y57" i="12" s="1"/>
  <c r="AK58" i="6"/>
  <c r="AL58" i="6"/>
  <c r="Z57" i="12" s="1"/>
  <c r="AH59" i="6"/>
  <c r="U58" i="12" s="1"/>
  <c r="AN59" i="6"/>
  <c r="AA58" i="12" s="1"/>
  <c r="AJ59" i="6"/>
  <c r="Y58" i="12" s="1"/>
  <c r="AK59" i="6"/>
  <c r="AL59" i="6"/>
  <c r="Z58" i="12" s="1"/>
  <c r="AH61" i="6"/>
  <c r="U60" i="12" s="1"/>
  <c r="AN61" i="6"/>
  <c r="AA60" i="12" s="1"/>
  <c r="AJ61" i="6"/>
  <c r="Y60" i="12" s="1"/>
  <c r="AK61" i="6"/>
  <c r="AL61" i="6"/>
  <c r="Z60" i="12" s="1"/>
  <c r="AH63" i="6"/>
  <c r="U62" i="12" s="1"/>
  <c r="AN63" i="6"/>
  <c r="AA62" i="12" s="1"/>
  <c r="AJ63" i="6"/>
  <c r="Y62" i="12" s="1"/>
  <c r="AK63" i="6"/>
  <c r="AL63" i="6"/>
  <c r="Z62" i="12" s="1"/>
  <c r="AH64" i="6"/>
  <c r="U63" i="12" s="1"/>
  <c r="AN64" i="6"/>
  <c r="AA63" i="12" s="1"/>
  <c r="AJ64" i="6"/>
  <c r="Y63" i="12" s="1"/>
  <c r="AK64" i="6"/>
  <c r="AL64" i="6"/>
  <c r="Z63" i="12" s="1"/>
  <c r="AM11" i="9"/>
  <c r="AH78" i="6"/>
  <c r="U77" i="12" s="1"/>
  <c r="AN78" i="6"/>
  <c r="AA77" i="12" s="1"/>
  <c r="AJ78" i="6"/>
  <c r="Y77" i="12" s="1"/>
  <c r="AK78" i="6"/>
  <c r="AL78" i="6"/>
  <c r="Z77" i="12" s="1"/>
  <c r="AH73" i="6"/>
  <c r="U72" i="12" s="1"/>
  <c r="AN73" i="6"/>
  <c r="AA72" i="12" s="1"/>
  <c r="AJ73" i="6"/>
  <c r="Y72" i="12" s="1"/>
  <c r="AK73" i="6"/>
  <c r="AL73" i="6"/>
  <c r="Z72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N80" i="6"/>
  <c r="AA79" i="12" s="1"/>
  <c r="AJ80" i="6"/>
  <c r="Y79" i="12" s="1"/>
  <c r="AK80" i="6"/>
  <c r="AL80" i="6"/>
  <c r="Z79" i="12" s="1"/>
  <c r="AH83" i="6"/>
  <c r="U82" i="12" s="1"/>
  <c r="AH85" i="6"/>
  <c r="U84" i="12" s="1"/>
  <c r="AH88" i="6"/>
  <c r="U87" i="12" s="1"/>
  <c r="AH91" i="6"/>
  <c r="U90" i="12" s="1"/>
  <c r="AN91" i="6"/>
  <c r="AA90" i="12" s="1"/>
  <c r="AJ91" i="6"/>
  <c r="Y90" i="12" s="1"/>
  <c r="AK91" i="6"/>
  <c r="AL91" i="6"/>
  <c r="Z90" i="12" s="1"/>
  <c r="AH94" i="6"/>
  <c r="U93" i="12" s="1"/>
  <c r="AN94" i="6"/>
  <c r="AA93" i="12" s="1"/>
  <c r="AJ94" i="6"/>
  <c r="Y93" i="12" s="1"/>
  <c r="AK94" i="6"/>
  <c r="AL94" i="6"/>
  <c r="Z93" i="12" s="1"/>
  <c r="AM12" i="9"/>
  <c r="AH100" i="6"/>
  <c r="U99" i="12" s="1"/>
  <c r="AN100" i="6"/>
  <c r="AA99" i="12" s="1"/>
  <c r="AJ100" i="6"/>
  <c r="Y99" i="12" s="1"/>
  <c r="AK100" i="6"/>
  <c r="AL100" i="6"/>
  <c r="Z99" i="12" s="1"/>
  <c r="AH101" i="6"/>
  <c r="U100" i="12" s="1"/>
  <c r="AN101" i="6"/>
  <c r="AA100" i="12" s="1"/>
  <c r="AJ101" i="6"/>
  <c r="Y100" i="12" s="1"/>
  <c r="AK101" i="6"/>
  <c r="AL101" i="6"/>
  <c r="Z100" i="12" s="1"/>
  <c r="AM13" i="9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M14" i="9"/>
  <c r="AH105" i="6"/>
  <c r="U104" i="12" s="1"/>
  <c r="AN105" i="6"/>
  <c r="AA104" i="12" s="1"/>
  <c r="AJ105" i="6"/>
  <c r="Y104" i="12" s="1"/>
  <c r="AK105" i="6"/>
  <c r="AL105" i="6"/>
  <c r="Z104" i="12" s="1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12" i="6"/>
  <c r="U111" i="12" s="1"/>
  <c r="AN112" i="6"/>
  <c r="AA111" i="12" s="1"/>
  <c r="AJ112" i="6"/>
  <c r="Y111" i="12" s="1"/>
  <c r="AK112" i="6"/>
  <c r="AL112" i="6"/>
  <c r="Z111" i="12" s="1"/>
  <c r="AH114" i="6"/>
  <c r="U113" i="12" s="1"/>
  <c r="AN114" i="6"/>
  <c r="AA113" i="12" s="1"/>
  <c r="AJ114" i="6"/>
  <c r="Y113" i="12" s="1"/>
  <c r="AK114" i="6"/>
  <c r="AL114" i="6"/>
  <c r="Z113" i="12" s="1"/>
  <c r="AH116" i="6"/>
  <c r="U115" i="12" s="1"/>
  <c r="AN116" i="6"/>
  <c r="AA115" i="12" s="1"/>
  <c r="AJ116" i="6"/>
  <c r="Y115" i="12" s="1"/>
  <c r="AK116" i="6"/>
  <c r="AL116" i="6"/>
  <c r="Z115" i="12" s="1"/>
  <c r="AH119" i="6"/>
  <c r="U118" i="12" s="1"/>
  <c r="AN119" i="6"/>
  <c r="AA118" i="12" s="1"/>
  <c r="AJ119" i="6"/>
  <c r="Y118" i="12" s="1"/>
  <c r="AK119" i="6"/>
  <c r="AL119" i="6"/>
  <c r="Z118" i="12" s="1"/>
  <c r="AH123" i="6"/>
  <c r="U122" i="12" s="1"/>
  <c r="AN123" i="6"/>
  <c r="AA122" i="12" s="1"/>
  <c r="AJ123" i="6"/>
  <c r="Y122" i="12" s="1"/>
  <c r="AK123" i="6"/>
  <c r="AL123" i="6"/>
  <c r="Z122" i="12" s="1"/>
  <c r="AM15" i="9"/>
  <c r="AH128" i="6"/>
  <c r="U127" i="12" s="1"/>
  <c r="AN128" i="6"/>
  <c r="AA127" i="12" s="1"/>
  <c r="AK128" i="6"/>
  <c r="AL128" i="6"/>
  <c r="Z127" i="12" s="1"/>
  <c r="AH133" i="6"/>
  <c r="U132" i="12" s="1"/>
  <c r="AN133" i="6"/>
  <c r="AA132" i="12" s="1"/>
  <c r="AJ133" i="6"/>
  <c r="Y132" i="12" s="1"/>
  <c r="AK133" i="6"/>
  <c r="AL133" i="6"/>
  <c r="Z132" i="12" s="1"/>
  <c r="AM16" i="9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M17" i="9"/>
  <c r="AH158" i="6"/>
  <c r="U157" i="12" s="1"/>
  <c r="AN158" i="6"/>
  <c r="AA157" i="12" s="1"/>
  <c r="AJ158" i="6"/>
  <c r="Y157" i="12" s="1"/>
  <c r="AK158" i="6"/>
  <c r="AL158" i="6"/>
  <c r="Z157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4" i="6"/>
  <c r="U163" i="12" s="1"/>
  <c r="AN164" i="6"/>
  <c r="AA163" i="12" s="1"/>
  <c r="AJ164" i="6"/>
  <c r="Y163" i="12" s="1"/>
  <c r="AK164" i="6"/>
  <c r="AL164" i="6"/>
  <c r="Z163" i="12" s="1"/>
  <c r="AM18" i="9"/>
  <c r="AH171" i="6"/>
  <c r="U170" i="12" s="1"/>
  <c r="AN171" i="6"/>
  <c r="AA170" i="12" s="1"/>
  <c r="AJ171" i="6"/>
  <c r="Y170" i="12" s="1"/>
  <c r="AK171" i="6"/>
  <c r="AL171" i="6"/>
  <c r="Z170" i="12" s="1"/>
  <c r="AH172" i="6"/>
  <c r="U171" i="12" s="1"/>
  <c r="AN172" i="6"/>
  <c r="AA171" i="12" s="1"/>
  <c r="AJ172" i="6"/>
  <c r="Y171" i="12" s="1"/>
  <c r="AK172" i="6"/>
  <c r="AL172" i="6"/>
  <c r="Z171" i="12" s="1"/>
  <c r="AJ173" i="6"/>
  <c r="Y172" i="12" s="1"/>
  <c r="AL173" i="6"/>
  <c r="Z172" i="12" s="1"/>
  <c r="AN173" i="6"/>
  <c r="AA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M19" i="9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0" i="6"/>
  <c r="U179" i="12" s="1"/>
  <c r="AN180" i="6"/>
  <c r="AA179" i="12" s="1"/>
  <c r="AJ180" i="6"/>
  <c r="Y179" i="12" s="1"/>
  <c r="AK180" i="6"/>
  <c r="AL180" i="6"/>
  <c r="Z179" i="12" s="1"/>
  <c r="AM20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M21" i="9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2" i="6"/>
  <c r="U201" i="12" s="1"/>
  <c r="AN202" i="6"/>
  <c r="AA201" i="12" s="1"/>
  <c r="AJ202" i="6"/>
  <c r="Y201" i="12" s="1"/>
  <c r="AK202" i="6"/>
  <c r="AL202" i="6"/>
  <c r="Z201" i="12" s="1"/>
  <c r="AH205" i="6"/>
  <c r="U204" i="12" s="1"/>
  <c r="AN205" i="6"/>
  <c r="AA204" i="12" s="1"/>
  <c r="AJ205" i="6"/>
  <c r="Y204" i="12" s="1"/>
  <c r="AK205" i="6"/>
  <c r="AL205" i="6"/>
  <c r="Z204" i="12" s="1"/>
  <c r="AM22" i="9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10" i="6"/>
  <c r="U209" i="12" s="1"/>
  <c r="AN210" i="6"/>
  <c r="AA209" i="12" s="1"/>
  <c r="AJ210" i="6"/>
  <c r="Y209" i="12" s="1"/>
  <c r="AK210" i="6"/>
  <c r="AL210" i="6"/>
  <c r="Z209" i="12" s="1"/>
  <c r="AH211" i="6"/>
  <c r="U210" i="12" s="1"/>
  <c r="AN211" i="6"/>
  <c r="AA210" i="12" s="1"/>
  <c r="AJ211" i="6"/>
  <c r="Y210" i="12" s="1"/>
  <c r="AK211" i="6"/>
  <c r="AL211" i="6"/>
  <c r="Z210" i="12" s="1"/>
  <c r="AH214" i="6"/>
  <c r="U213" i="12" s="1"/>
  <c r="AN214" i="6"/>
  <c r="AA213" i="12" s="1"/>
  <c r="AJ214" i="6"/>
  <c r="Y213" i="12" s="1"/>
  <c r="AK214" i="6"/>
  <c r="AL214" i="6"/>
  <c r="Z213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M23" i="9"/>
  <c r="AH229" i="6"/>
  <c r="U228" i="12" s="1"/>
  <c r="AN229" i="6"/>
  <c r="AA228" i="12" s="1"/>
  <c r="AJ229" i="6"/>
  <c r="Y228" i="12" s="1"/>
  <c r="AK229" i="6"/>
  <c r="AL229" i="6"/>
  <c r="Z228" i="12" s="1"/>
  <c r="AH230" i="6"/>
  <c r="U229" i="12" s="1"/>
  <c r="AN230" i="6"/>
  <c r="AA229" i="12" s="1"/>
  <c r="AJ230" i="6"/>
  <c r="Y229" i="12" s="1"/>
  <c r="AK230" i="6"/>
  <c r="AL230" i="6"/>
  <c r="Z229" i="12" s="1"/>
  <c r="AH232" i="6"/>
  <c r="U231" i="12" s="1"/>
  <c r="AN232" i="6"/>
  <c r="AA231" i="12" s="1"/>
  <c r="AJ232" i="6"/>
  <c r="Y231" i="12" s="1"/>
  <c r="AK232" i="6"/>
  <c r="AL232" i="6"/>
  <c r="Z231" i="12" s="1"/>
  <c r="AH233" i="6"/>
  <c r="U232" i="12" s="1"/>
  <c r="AN233" i="6"/>
  <c r="AA232" i="12" s="1"/>
  <c r="AJ233" i="6"/>
  <c r="Y232" i="12" s="1"/>
  <c r="AK233" i="6"/>
  <c r="AL233" i="6"/>
  <c r="Z232" i="12" s="1"/>
  <c r="AM26" i="9"/>
  <c r="AH235" i="6"/>
  <c r="U234" i="12" s="1"/>
  <c r="AN235" i="6"/>
  <c r="AA234" i="12" s="1"/>
  <c r="AJ235" i="6"/>
  <c r="Y234" i="12" s="1"/>
  <c r="AK235" i="6"/>
  <c r="AL235" i="6"/>
  <c r="Z234" i="12" s="1"/>
  <c r="AM24" i="9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4" i="6"/>
  <c r="U253" i="12" s="1"/>
  <c r="AN254" i="6"/>
  <c r="AA253" i="12" s="1"/>
  <c r="AJ254" i="6"/>
  <c r="Y253" i="12" s="1"/>
  <c r="AK254" i="6"/>
  <c r="AL254" i="6"/>
  <c r="Z253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3" i="6"/>
  <c r="U262" i="12" s="1"/>
  <c r="AN263" i="6"/>
  <c r="AA262" i="12" s="1"/>
  <c r="AJ263" i="6"/>
  <c r="Y262" i="12" s="1"/>
  <c r="AK263" i="6"/>
  <c r="AL263" i="6"/>
  <c r="Z262" i="12" s="1"/>
  <c r="AH267" i="6"/>
  <c r="U266" i="12" s="1"/>
  <c r="AN267" i="6"/>
  <c r="AA266" i="12" s="1"/>
  <c r="AJ267" i="6"/>
  <c r="Y266" i="12" s="1"/>
  <c r="AK267" i="6"/>
  <c r="AL267" i="6"/>
  <c r="Z266" i="12" s="1"/>
  <c r="AH268" i="6"/>
  <c r="U267" i="12" s="1"/>
  <c r="AN268" i="6"/>
  <c r="AA267" i="12" s="1"/>
  <c r="AJ268" i="6"/>
  <c r="Y267" i="12" s="1"/>
  <c r="AK268" i="6"/>
  <c r="AL268" i="6"/>
  <c r="Z267" i="12" s="1"/>
  <c r="AH265" i="6"/>
  <c r="U264" i="12" s="1"/>
  <c r="AN265" i="6"/>
  <c r="AA264" i="12" s="1"/>
  <c r="AJ265" i="6"/>
  <c r="Y264" i="12" s="1"/>
  <c r="AK265" i="6"/>
  <c r="AL265" i="6"/>
  <c r="Z264" i="12" s="1"/>
  <c r="AH269" i="6"/>
  <c r="U268" i="12" s="1"/>
  <c r="AN269" i="6"/>
  <c r="AA268" i="12" s="1"/>
  <c r="AJ269" i="6"/>
  <c r="Y268" i="12" s="1"/>
  <c r="AK269" i="6"/>
  <c r="AL269" i="6"/>
  <c r="Z268" i="12" s="1"/>
  <c r="AH276" i="6"/>
  <c r="U275" i="12" s="1"/>
  <c r="AN276" i="6"/>
  <c r="AA275" i="12" s="1"/>
  <c r="AJ276" i="6"/>
  <c r="Y275" i="12" s="1"/>
  <c r="AK276" i="6"/>
  <c r="AL276" i="6"/>
  <c r="Z275" i="12" s="1"/>
  <c r="AH281" i="6"/>
  <c r="U280" i="12" s="1"/>
  <c r="AN281" i="6"/>
  <c r="AA280" i="12" s="1"/>
  <c r="AJ281" i="6"/>
  <c r="Y280" i="12" s="1"/>
  <c r="AK281" i="6"/>
  <c r="AL281" i="6"/>
  <c r="Z280" i="12" s="1"/>
  <c r="AH282" i="6"/>
  <c r="U281" i="12" s="1"/>
  <c r="AN282" i="6"/>
  <c r="AA281" i="12" s="1"/>
  <c r="AJ282" i="6"/>
  <c r="Y281" i="12" s="1"/>
  <c r="AK282" i="6"/>
  <c r="AL282" i="6"/>
  <c r="Z281" i="12" s="1"/>
  <c r="AH285" i="6"/>
  <c r="U284" i="12" s="1"/>
  <c r="AN285" i="6"/>
  <c r="AA284" i="12" s="1"/>
  <c r="AJ285" i="6"/>
  <c r="Y284" i="12" s="1"/>
  <c r="AK285" i="6"/>
  <c r="AL285" i="6"/>
  <c r="Z284" i="12" s="1"/>
  <c r="AH289" i="6"/>
  <c r="U288" i="12" s="1"/>
  <c r="AN289" i="6"/>
  <c r="AA288" i="12" s="1"/>
  <c r="AJ289" i="6"/>
  <c r="Y288" i="12" s="1"/>
  <c r="AK289" i="6"/>
  <c r="AL289" i="6"/>
  <c r="Z288" i="12" s="1"/>
  <c r="AR145" i="6"/>
  <c r="F272" i="6"/>
  <c r="N272" i="6"/>
  <c r="AR221" i="6"/>
  <c r="F221" i="6"/>
  <c r="N221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1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1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1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1" i="6"/>
  <c r="X211" i="6"/>
  <c r="Y211" i="6"/>
  <c r="Z211" i="6"/>
  <c r="AA211" i="6"/>
  <c r="AB211" i="6"/>
  <c r="AC211" i="6"/>
  <c r="AD211" i="6"/>
  <c r="AE211" i="6"/>
  <c r="AF211" i="6"/>
  <c r="AG211" i="6"/>
  <c r="N211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N33" i="6"/>
  <c r="N80" i="6"/>
  <c r="N83" i="6"/>
  <c r="N85" i="6"/>
  <c r="N37" i="6"/>
  <c r="N114" i="6"/>
  <c r="N258" i="6"/>
  <c r="N268" i="6"/>
  <c r="B2" i="12"/>
  <c r="F258" i="6"/>
  <c r="AR258" i="6"/>
  <c r="N220" i="6"/>
  <c r="F220" i="6"/>
  <c r="AR220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0" i="6"/>
  <c r="AR214" i="6"/>
  <c r="AR217" i="6"/>
  <c r="AR229" i="6"/>
  <c r="AR230" i="6"/>
  <c r="AR232" i="6"/>
  <c r="AR233" i="6"/>
  <c r="AR235" i="6"/>
  <c r="AR238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5" i="6"/>
  <c r="N263" i="6"/>
  <c r="N267" i="6"/>
  <c r="N238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0" i="6"/>
  <c r="F214" i="6"/>
  <c r="F217" i="6"/>
  <c r="F229" i="6"/>
  <c r="F230" i="6"/>
  <c r="F232" i="6"/>
  <c r="F233" i="6"/>
  <c r="F238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0" i="6"/>
  <c r="N214" i="6"/>
  <c r="N217" i="6"/>
  <c r="N229" i="6"/>
  <c r="N230" i="6"/>
  <c r="N232" i="6"/>
  <c r="N233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182" i="6" l="1"/>
  <c r="BE286" i="12"/>
  <c r="BN287" i="6"/>
  <c r="BG286" i="12"/>
  <c r="BK284" i="6"/>
  <c r="BD283" i="12"/>
  <c r="AM291" i="6"/>
  <c r="AO291" i="6" s="1"/>
  <c r="W290" i="12" s="1"/>
  <c r="AA290" i="12"/>
  <c r="BK296" i="6"/>
  <c r="AM99" i="6"/>
  <c r="AO99" i="6" s="1"/>
  <c r="AA98" i="12"/>
  <c r="BG279" i="12"/>
  <c r="BL288" i="6"/>
  <c r="BE287" i="12"/>
  <c r="BG283" i="12"/>
  <c r="AM134" i="6"/>
  <c r="AO134" i="6" s="1"/>
  <c r="AA133" i="12"/>
  <c r="AM183" i="6"/>
  <c r="AO183" i="6" s="1"/>
  <c r="W182" i="12" s="1"/>
  <c r="AA182" i="12"/>
  <c r="BD279" i="12"/>
  <c r="AA289" i="12"/>
  <c r="BE283" i="12"/>
  <c r="BK182" i="6"/>
  <c r="BD181" i="12"/>
  <c r="BL280" i="6"/>
  <c r="BE279" i="12"/>
  <c r="BG276" i="12"/>
  <c r="BK277" i="6"/>
  <c r="BD276" i="12"/>
  <c r="AM271" i="6"/>
  <c r="AO271" i="6" s="1"/>
  <c r="AA270" i="12"/>
  <c r="AA283" i="12"/>
  <c r="BL182" i="6"/>
  <c r="BM182" i="6"/>
  <c r="AM186" i="6"/>
  <c r="AO186" i="6" s="1"/>
  <c r="AM241" i="6"/>
  <c r="AO241" i="6" s="1"/>
  <c r="AM132" i="6"/>
  <c r="AO132" i="6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6" i="6"/>
  <c r="BL14" i="6"/>
  <c r="BL67" i="6"/>
  <c r="BN151" i="6"/>
  <c r="BN14" i="6"/>
  <c r="BM263" i="6"/>
  <c r="BK74" i="6"/>
  <c r="BM127" i="6"/>
  <c r="AM165" i="6"/>
  <c r="AO165" i="6" s="1"/>
  <c r="W164" i="12" s="1"/>
  <c r="BL74" i="6"/>
  <c r="BN127" i="6"/>
  <c r="BK251" i="6"/>
  <c r="BK54" i="6"/>
  <c r="BM74" i="6"/>
  <c r="BL54" i="6"/>
  <c r="BN74" i="6"/>
  <c r="BM251" i="6"/>
  <c r="BM54" i="6"/>
  <c r="BK226" i="6"/>
  <c r="BM154" i="6"/>
  <c r="BN154" i="6"/>
  <c r="BK57" i="6"/>
  <c r="BM226" i="6"/>
  <c r="AM148" i="6"/>
  <c r="AO148" i="6" s="1"/>
  <c r="W147" i="12" s="1"/>
  <c r="BL57" i="6"/>
  <c r="BN226" i="6"/>
  <c r="BK222" i="6"/>
  <c r="BK127" i="6"/>
  <c r="BL127" i="6"/>
  <c r="BK263" i="6"/>
  <c r="AM239" i="6"/>
  <c r="AO239" i="6" s="1"/>
  <c r="W238" i="12" s="1"/>
  <c r="AM225" i="6"/>
  <c r="AO225" i="6" s="1"/>
  <c r="W224" i="12" s="1"/>
  <c r="BL263" i="6"/>
  <c r="BN222" i="6"/>
  <c r="AM23" i="6"/>
  <c r="AO23" i="6" s="1"/>
  <c r="W22" i="12" s="1"/>
  <c r="AM20" i="6"/>
  <c r="AO20" i="6" s="1"/>
  <c r="W19" i="12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W153" i="12" s="1"/>
  <c r="BL47" i="6"/>
  <c r="BN68" i="6"/>
  <c r="BL251" i="6"/>
  <c r="BN260" i="6"/>
  <c r="BK70" i="6"/>
  <c r="AM65" i="6"/>
  <c r="AO65" i="6" s="1"/>
  <c r="W64" i="12" s="1"/>
  <c r="BN251" i="6"/>
  <c r="BN120" i="6"/>
  <c r="AM127" i="6"/>
  <c r="AO127" i="6" s="1"/>
  <c r="W126" i="12" s="1"/>
  <c r="BK61" i="6"/>
  <c r="BK42" i="6"/>
  <c r="BL42" i="6"/>
  <c r="BM122" i="6"/>
  <c r="BM42" i="6"/>
  <c r="BL106" i="6"/>
  <c r="BN122" i="6"/>
  <c r="BN42" i="6"/>
  <c r="BN61" i="6"/>
  <c r="BL227" i="6"/>
  <c r="BK106" i="6"/>
  <c r="BK288" i="6"/>
  <c r="AO284" i="6"/>
  <c r="W283" i="12" s="1"/>
  <c r="BN69" i="6"/>
  <c r="BL120" i="6"/>
  <c r="BK227" i="6"/>
  <c r="BM47" i="6"/>
  <c r="AO44" i="6"/>
  <c r="W43" i="12" s="1"/>
  <c r="BN106" i="6"/>
  <c r="AM74" i="6"/>
  <c r="AO74" i="6" s="1"/>
  <c r="W73" i="12" s="1"/>
  <c r="BL70" i="6"/>
  <c r="BK68" i="6"/>
  <c r="BM106" i="6"/>
  <c r="BM287" i="6"/>
  <c r="BN227" i="6"/>
  <c r="BM227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W199" i="12" s="1"/>
  <c r="BN292" i="6"/>
  <c r="BL222" i="6"/>
  <c r="AM226" i="6"/>
  <c r="AO226" i="6" s="1"/>
  <c r="W225" i="12" s="1"/>
  <c r="BM222" i="6"/>
  <c r="BK129" i="6"/>
  <c r="BK143" i="6"/>
  <c r="AM215" i="6"/>
  <c r="AO215" i="6" s="1"/>
  <c r="W214" i="12" s="1"/>
  <c r="BM143" i="6"/>
  <c r="BN143" i="6"/>
  <c r="BN129" i="6"/>
  <c r="BM266" i="6"/>
  <c r="BL266" i="6"/>
  <c r="AO42" i="6"/>
  <c r="W41" i="12" s="1"/>
  <c r="BL143" i="6"/>
  <c r="BM292" i="6"/>
  <c r="AM251" i="6"/>
  <c r="AO251" i="6" s="1"/>
  <c r="W250" i="12" s="1"/>
  <c r="BK94" i="6"/>
  <c r="BK266" i="6"/>
  <c r="BM129" i="6"/>
  <c r="BL248" i="6"/>
  <c r="BL129" i="6"/>
  <c r="AM122" i="6"/>
  <c r="AO122" i="6" s="1"/>
  <c r="W121" i="12" s="1"/>
  <c r="AM53" i="6"/>
  <c r="AO53" i="6" s="1"/>
  <c r="W52" i="12" s="1"/>
  <c r="BM280" i="6"/>
  <c r="BM281" i="6"/>
  <c r="BL267" i="6"/>
  <c r="BN187" i="6"/>
  <c r="BK282" i="6"/>
  <c r="BN234" i="6"/>
  <c r="BN283" i="6"/>
  <c r="BK242" i="6"/>
  <c r="BL270" i="6"/>
  <c r="BL246" i="6"/>
  <c r="BM233" i="6"/>
  <c r="BK231" i="6"/>
  <c r="BM269" i="6"/>
  <c r="BN269" i="6"/>
  <c r="BM295" i="6"/>
  <c r="BL46" i="6"/>
  <c r="BN112" i="6"/>
  <c r="BN235" i="6"/>
  <c r="BK295" i="6"/>
  <c r="BN220" i="6"/>
  <c r="BL112" i="6"/>
  <c r="BK228" i="6"/>
  <c r="BL93" i="6"/>
  <c r="BK112" i="6"/>
  <c r="BN293" i="6"/>
  <c r="BN93" i="6"/>
  <c r="BN295" i="6"/>
  <c r="BM242" i="6"/>
  <c r="BM46" i="6"/>
  <c r="BM276" i="6"/>
  <c r="AM255" i="6"/>
  <c r="AO255" i="6" s="1"/>
  <c r="W254" i="12" s="1"/>
  <c r="BM262" i="6"/>
  <c r="BL220" i="6"/>
  <c r="BL275" i="6"/>
  <c r="BK259" i="6"/>
  <c r="BK267" i="6"/>
  <c r="BM249" i="6"/>
  <c r="BM275" i="6"/>
  <c r="BL234" i="6"/>
  <c r="BL295" i="6"/>
  <c r="BL242" i="6"/>
  <c r="BM93" i="6"/>
  <c r="BM220" i="6"/>
  <c r="BL228" i="6"/>
  <c r="BK220" i="6"/>
  <c r="BM187" i="6"/>
  <c r="BK93" i="6"/>
  <c r="BM112" i="6"/>
  <c r="BM228" i="6"/>
  <c r="BK187" i="6"/>
  <c r="BN46" i="6"/>
  <c r="BK46" i="6"/>
  <c r="BN228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W276" i="12" s="1"/>
  <c r="AM196" i="6"/>
  <c r="AO196" i="6" s="1"/>
  <c r="W195" i="12" s="1"/>
  <c r="BL169" i="6"/>
  <c r="BM290" i="6"/>
  <c r="BN229" i="6"/>
  <c r="BM12" i="6"/>
  <c r="BN49" i="6"/>
  <c r="BL12" i="6"/>
  <c r="BL283" i="6"/>
  <c r="BL259" i="6"/>
  <c r="BK169" i="6"/>
  <c r="BK283" i="6"/>
  <c r="BL257" i="6"/>
  <c r="BK224" i="6"/>
  <c r="BK238" i="6"/>
  <c r="BM258" i="6"/>
  <c r="BN94" i="6"/>
  <c r="BK12" i="6"/>
  <c r="BL176" i="6"/>
  <c r="BN198" i="6"/>
  <c r="BM229" i="6"/>
  <c r="BK208" i="6"/>
  <c r="BL209" i="6"/>
  <c r="BK191" i="6"/>
  <c r="BM209" i="6"/>
  <c r="BL191" i="6"/>
  <c r="BM136" i="6"/>
  <c r="AM169" i="6"/>
  <c r="AO169" i="6" s="1"/>
  <c r="W168" i="12" s="1"/>
  <c r="BK60" i="6"/>
  <c r="BN136" i="6"/>
  <c r="BM60" i="6"/>
  <c r="BN60" i="6"/>
  <c r="BM169" i="6"/>
  <c r="BK235" i="6"/>
  <c r="BN248" i="6"/>
  <c r="BM278" i="6"/>
  <c r="BK229" i="6"/>
  <c r="BM94" i="6"/>
  <c r="BM49" i="6"/>
  <c r="BL229" i="6"/>
  <c r="BL172" i="6"/>
  <c r="BM19" i="6"/>
  <c r="BK290" i="6"/>
  <c r="BK248" i="6"/>
  <c r="BN19" i="6"/>
  <c r="BM235" i="6"/>
  <c r="BL235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8" i="6"/>
  <c r="AO228" i="6" s="1"/>
  <c r="W227" i="12" s="1"/>
  <c r="BN103" i="6"/>
  <c r="AM67" i="6"/>
  <c r="AO67" i="6" s="1"/>
  <c r="W66" i="12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W59" i="12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W107" i="12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0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O290" i="6"/>
  <c r="W289" i="12" s="1"/>
  <c r="AM280" i="6"/>
  <c r="AO280" i="6" s="1"/>
  <c r="W279" i="12" s="1"/>
  <c r="BM172" i="6"/>
  <c r="BN172" i="6"/>
  <c r="BK300" i="6"/>
  <c r="AM113" i="6"/>
  <c r="AO113" i="6" s="1"/>
  <c r="W112" i="12" s="1"/>
  <c r="BM192" i="6"/>
  <c r="BN5" i="6"/>
  <c r="BK56" i="6"/>
  <c r="BL11" i="6"/>
  <c r="BL136" i="6"/>
  <c r="BK11" i="6"/>
  <c r="BM66" i="6"/>
  <c r="BM11" i="6"/>
  <c r="BL142" i="6"/>
  <c r="BL231" i="6"/>
  <c r="BM231" i="6"/>
  <c r="BN231" i="6"/>
  <c r="BL192" i="6"/>
  <c r="BN247" i="6"/>
  <c r="BK192" i="6"/>
  <c r="BK275" i="6"/>
  <c r="BN275" i="6"/>
  <c r="BN175" i="6"/>
  <c r="BK293" i="6"/>
  <c r="BK174" i="6"/>
  <c r="BM293" i="6"/>
  <c r="BM175" i="6"/>
  <c r="BL224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8" i="6"/>
  <c r="BL153" i="6"/>
  <c r="BN123" i="6"/>
  <c r="BM25" i="6"/>
  <c r="BK247" i="6"/>
  <c r="BK5" i="6"/>
  <c r="BN191" i="6"/>
  <c r="BM191" i="6"/>
  <c r="BM56" i="6"/>
  <c r="BL102" i="6"/>
  <c r="BM224" i="6"/>
  <c r="BK102" i="6"/>
  <c r="BM128" i="6"/>
  <c r="BL128" i="6"/>
  <c r="BL123" i="6"/>
  <c r="BN224" i="6"/>
  <c r="BM123" i="6"/>
  <c r="BM185" i="6"/>
  <c r="BN238" i="6"/>
  <c r="BM153" i="6"/>
  <c r="BM10" i="6"/>
  <c r="BM238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0" i="6"/>
  <c r="AM287" i="6"/>
  <c r="AO287" i="6" s="1"/>
  <c r="W286" i="12" s="1"/>
  <c r="AM236" i="6"/>
  <c r="AO236" i="6" s="1"/>
  <c r="W235" i="12" s="1"/>
  <c r="BL282" i="6"/>
  <c r="BN206" i="6"/>
  <c r="BN257" i="6"/>
  <c r="AM188" i="6"/>
  <c r="AO188" i="6" s="1"/>
  <c r="W187" i="12" s="1"/>
  <c r="BL190" i="6"/>
  <c r="BL264" i="6"/>
  <c r="BN276" i="6"/>
  <c r="BM270" i="6"/>
  <c r="BM282" i="6"/>
  <c r="BM118" i="6"/>
  <c r="BK214" i="6"/>
  <c r="BK262" i="6"/>
  <c r="BL83" i="6"/>
  <c r="BM197" i="6"/>
  <c r="AM275" i="6"/>
  <c r="AO275" i="6" s="1"/>
  <c r="W274" i="12" s="1"/>
  <c r="BK230" i="6"/>
  <c r="BK270" i="6"/>
  <c r="BK281" i="6"/>
  <c r="BM203" i="6"/>
  <c r="AM209" i="6"/>
  <c r="AO209" i="6" s="1"/>
  <c r="W208" i="12" s="1"/>
  <c r="BL202" i="6"/>
  <c r="BN264" i="6"/>
  <c r="BL281" i="6"/>
  <c r="BK217" i="6"/>
  <c r="BN256" i="6"/>
  <c r="BM103" i="6"/>
  <c r="BK193" i="6"/>
  <c r="BN282" i="6"/>
  <c r="BM219" i="6"/>
  <c r="BK269" i="6"/>
  <c r="BM150" i="6"/>
  <c r="BN100" i="6"/>
  <c r="BK197" i="6"/>
  <c r="BL193" i="6"/>
  <c r="BM217" i="6"/>
  <c r="BK180" i="6"/>
  <c r="BM204" i="6"/>
  <c r="BL164" i="6"/>
  <c r="BL262" i="6"/>
  <c r="AM299" i="6"/>
  <c r="AO299" i="6" s="1"/>
  <c r="W298" i="12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W169" i="12" s="1"/>
  <c r="BK90" i="6"/>
  <c r="BN190" i="6"/>
  <c r="BM230" i="6"/>
  <c r="BK252" i="6"/>
  <c r="BM246" i="6"/>
  <c r="BN233" i="6"/>
  <c r="BM51" i="6"/>
  <c r="BM88" i="6"/>
  <c r="BK134" i="6"/>
  <c r="BL171" i="6"/>
  <c r="BN135" i="6"/>
  <c r="BN26" i="6"/>
  <c r="BK83" i="6"/>
  <c r="BL208" i="6"/>
  <c r="BN230" i="6"/>
  <c r="BL252" i="6"/>
  <c r="BM22" i="6"/>
  <c r="BN88" i="6"/>
  <c r="BK114" i="6"/>
  <c r="BM171" i="6"/>
  <c r="BM15" i="6"/>
  <c r="BK162" i="6"/>
  <c r="BL203" i="6"/>
  <c r="BN214" i="6"/>
  <c r="BK232" i="6"/>
  <c r="BK195" i="6"/>
  <c r="BM208" i="6"/>
  <c r="AM16" i="6"/>
  <c r="AO16" i="6" s="1"/>
  <c r="W15" i="12" s="1"/>
  <c r="BM80" i="6"/>
  <c r="BL114" i="6"/>
  <c r="BK131" i="6"/>
  <c r="BK155" i="6"/>
  <c r="BN171" i="6"/>
  <c r="BK105" i="6"/>
  <c r="BN15" i="6"/>
  <c r="BL162" i="6"/>
  <c r="AM87" i="6"/>
  <c r="AO87" i="6" s="1"/>
  <c r="W86" i="12" s="1"/>
  <c r="BK147" i="6"/>
  <c r="BL105" i="6"/>
  <c r="AM213" i="6"/>
  <c r="AO213" i="6" s="1"/>
  <c r="W212" i="12" s="1"/>
  <c r="BM73" i="6"/>
  <c r="BM195" i="6"/>
  <c r="BM155" i="6"/>
  <c r="BM105" i="6"/>
  <c r="BK24" i="6"/>
  <c r="BN162" i="6"/>
  <c r="BL217" i="6"/>
  <c r="BN232" i="6"/>
  <c r="AM181" i="6"/>
  <c r="AO181" i="6" s="1"/>
  <c r="W180" i="12" s="1"/>
  <c r="BN80" i="6"/>
  <c r="BM232" i="6"/>
  <c r="BM130" i="6"/>
  <c r="BN195" i="6"/>
  <c r="BN249" i="6"/>
  <c r="AM216" i="6"/>
  <c r="AO216" i="6" s="1"/>
  <c r="W215" i="12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4" i="6"/>
  <c r="BM29" i="6"/>
  <c r="BL85" i="6"/>
  <c r="BN97" i="6"/>
  <c r="BM124" i="6"/>
  <c r="BL92" i="6"/>
  <c r="BK184" i="6"/>
  <c r="BM189" i="6"/>
  <c r="BK82" i="6"/>
  <c r="BM91" i="6"/>
  <c r="BK198" i="6"/>
  <c r="BM210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0" i="6"/>
  <c r="BM16" i="6"/>
  <c r="BL75" i="6"/>
  <c r="BK107" i="6"/>
  <c r="BL133" i="6"/>
  <c r="BN121" i="6"/>
  <c r="BK202" i="6"/>
  <c r="BK95" i="6"/>
  <c r="BK219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W243" i="12" s="1"/>
  <c r="BK21" i="6"/>
  <c r="BM72" i="6"/>
  <c r="BM190" i="6"/>
  <c r="BL230" i="6"/>
  <c r="BM264" i="6"/>
  <c r="BM52" i="6"/>
  <c r="BK171" i="6"/>
  <c r="BK178" i="6"/>
  <c r="BM135" i="6"/>
  <c r="BK15" i="6"/>
  <c r="BL214" i="6"/>
  <c r="AM125" i="6"/>
  <c r="AO125" i="6" s="1"/>
  <c r="W124" i="12" s="1"/>
  <c r="BN96" i="6"/>
  <c r="BL189" i="6"/>
  <c r="BL206" i="6"/>
  <c r="BL237" i="6"/>
  <c r="BK237" i="6"/>
  <c r="BN205" i="6"/>
  <c r="BK40" i="6"/>
  <c r="BN217" i="6"/>
  <c r="BN55" i="6"/>
  <c r="BK189" i="6"/>
  <c r="BK77" i="6"/>
  <c r="AO38" i="6"/>
  <c r="W37" i="12" s="1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4" i="6"/>
  <c r="BL76" i="6"/>
  <c r="BL256" i="6"/>
  <c r="BM26" i="6"/>
  <c r="BM96" i="6"/>
  <c r="BN237" i="6"/>
  <c r="BM237" i="6"/>
  <c r="BN178" i="6"/>
  <c r="BM178" i="6"/>
  <c r="BL55" i="6"/>
  <c r="BN177" i="6"/>
  <c r="BL178" i="6"/>
  <c r="BM177" i="6"/>
  <c r="BL13" i="6"/>
  <c r="BN124" i="6"/>
  <c r="BM83" i="6"/>
  <c r="BL219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19" i="6"/>
  <c r="BL232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W293" i="12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W145" i="12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W114" i="12" s="1"/>
  <c r="BL17" i="6"/>
  <c r="BC17" i="6" s="1"/>
  <c r="BL72" i="6"/>
  <c r="BN82" i="6"/>
  <c r="BM139" i="6"/>
  <c r="AM81" i="6"/>
  <c r="AO81" i="6" s="1"/>
  <c r="W80" i="12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4" i="6"/>
  <c r="BK51" i="6"/>
  <c r="BK246" i="6"/>
  <c r="BL233" i="6"/>
  <c r="BK233" i="6"/>
  <c r="BL160" i="6"/>
  <c r="BL250" i="6"/>
  <c r="BN152" i="6"/>
  <c r="BN250" i="6"/>
  <c r="AM151" i="6"/>
  <c r="AO151" i="6" s="1"/>
  <c r="W150" i="12" s="1"/>
  <c r="AM279" i="6"/>
  <c r="AO279" i="6" s="1"/>
  <c r="W278" i="12" s="1"/>
  <c r="AM98" i="6"/>
  <c r="AO98" i="6" s="1"/>
  <c r="W97" i="12" s="1"/>
  <c r="AM71" i="6"/>
  <c r="AO71" i="6" s="1"/>
  <c r="W70" i="12" s="1"/>
  <c r="AM68" i="6"/>
  <c r="AO68" i="6" s="1"/>
  <c r="W67" i="12" s="1"/>
  <c r="AO35" i="6"/>
  <c r="W34" i="12" s="1"/>
  <c r="AM95" i="6"/>
  <c r="AO95" i="6" s="1"/>
  <c r="W94" i="12" s="1"/>
  <c r="AM194" i="6"/>
  <c r="AO194" i="6" s="1"/>
  <c r="W193" i="12" s="1"/>
  <c r="AM222" i="6"/>
  <c r="AO222" i="6" s="1"/>
  <c r="W221" i="12" s="1"/>
  <c r="AM292" i="6"/>
  <c r="AO292" i="6" s="1"/>
  <c r="W291" i="12" s="1"/>
  <c r="AM300" i="6"/>
  <c r="AO300" i="6" s="1"/>
  <c r="W299" i="12" s="1"/>
  <c r="AO40" i="6"/>
  <c r="W39" i="12" s="1"/>
  <c r="AO41" i="6"/>
  <c r="W40" i="12" s="1"/>
  <c r="AM296" i="6"/>
  <c r="AO296" i="6" s="1"/>
  <c r="W295" i="12" s="1"/>
  <c r="AM129" i="6"/>
  <c r="AO129" i="6" s="1"/>
  <c r="W128" i="12" s="1"/>
  <c r="AM117" i="6"/>
  <c r="AO117" i="6" s="1"/>
  <c r="W116" i="12" s="1"/>
  <c r="AM29" i="6"/>
  <c r="AO29" i="6" s="1"/>
  <c r="W28" i="12" s="1"/>
  <c r="AO43" i="6"/>
  <c r="W42" i="12" s="1"/>
  <c r="AM218" i="6"/>
  <c r="AO218" i="6" s="1"/>
  <c r="W217" i="12" s="1"/>
  <c r="AM223" i="6"/>
  <c r="AO223" i="6" s="1"/>
  <c r="W222" i="12" s="1"/>
  <c r="AM149" i="6"/>
  <c r="AO149" i="6" s="1"/>
  <c r="W148" i="12" s="1"/>
  <c r="AM261" i="6"/>
  <c r="AO261" i="6" s="1"/>
  <c r="W260" i="12" s="1"/>
  <c r="AM66" i="6"/>
  <c r="AO66" i="6" s="1"/>
  <c r="W65" i="12" s="1"/>
  <c r="AM243" i="6"/>
  <c r="AO243" i="6" s="1"/>
  <c r="W242" i="12" s="1"/>
  <c r="AM161" i="6"/>
  <c r="AO161" i="6" s="1"/>
  <c r="W160" i="12" s="1"/>
  <c r="AM93" i="6"/>
  <c r="AO93" i="6" s="1"/>
  <c r="W92" i="12" s="1"/>
  <c r="AM79" i="6"/>
  <c r="AO79" i="6" s="1"/>
  <c r="W78" i="12" s="1"/>
  <c r="AM203" i="6"/>
  <c r="AO203" i="6" s="1"/>
  <c r="W202" i="12" s="1"/>
  <c r="AM227" i="6"/>
  <c r="AO227" i="6" s="1"/>
  <c r="W226" i="12" s="1"/>
  <c r="AM97" i="6"/>
  <c r="AO97" i="6" s="1"/>
  <c r="W96" i="12" s="1"/>
  <c r="AM273" i="6"/>
  <c r="AO273" i="6" s="1"/>
  <c r="W272" i="12" s="1"/>
  <c r="AM89" i="6"/>
  <c r="AO89" i="6" s="1"/>
  <c r="W88" i="12" s="1"/>
  <c r="AM159" i="6"/>
  <c r="AO159" i="6" s="1"/>
  <c r="W158" i="12" s="1"/>
  <c r="AM111" i="6"/>
  <c r="AO111" i="6" s="1"/>
  <c r="W110" i="12" s="1"/>
  <c r="AM76" i="6"/>
  <c r="AO76" i="6" s="1"/>
  <c r="W75" i="12" s="1"/>
  <c r="AO8" i="6"/>
  <c r="W7" i="12" s="1"/>
  <c r="AM120" i="6"/>
  <c r="AO120" i="6" s="1"/>
  <c r="W119" i="12" s="1"/>
  <c r="AM8" i="6"/>
  <c r="AM246" i="6"/>
  <c r="AO246" i="6" s="1"/>
  <c r="W245" i="12" s="1"/>
  <c r="AM288" i="6"/>
  <c r="AO288" i="6" s="1"/>
  <c r="W287" i="12" s="1"/>
  <c r="AM12" i="6"/>
  <c r="AO12" i="6" s="1"/>
  <c r="W11" i="12" s="1"/>
  <c r="AM69" i="6"/>
  <c r="AO69" i="6" s="1"/>
  <c r="W68" i="12" s="1"/>
  <c r="AM207" i="6"/>
  <c r="AO207" i="6" s="1"/>
  <c r="W206" i="12" s="1"/>
  <c r="AM168" i="6"/>
  <c r="AO168" i="6" s="1"/>
  <c r="W167" i="12" s="1"/>
  <c r="AM167" i="6"/>
  <c r="AO167" i="6" s="1"/>
  <c r="W166" i="12" s="1"/>
  <c r="AM55" i="6"/>
  <c r="AO55" i="6" s="1"/>
  <c r="W54" i="12" s="1"/>
  <c r="AM298" i="6"/>
  <c r="AO298" i="6" s="1"/>
  <c r="W297" i="12" s="1"/>
  <c r="AM147" i="6"/>
  <c r="AO147" i="6" s="1"/>
  <c r="W146" i="12" s="1"/>
  <c r="AM176" i="6"/>
  <c r="AO176" i="6" s="1"/>
  <c r="W175" i="12" s="1"/>
  <c r="AM131" i="6"/>
  <c r="AO131" i="6" s="1"/>
  <c r="W130" i="12" s="1"/>
  <c r="AM258" i="6"/>
  <c r="AO258" i="6" s="1"/>
  <c r="W257" i="12" s="1"/>
  <c r="AM272" i="6"/>
  <c r="AO272" i="6" s="1"/>
  <c r="W271" i="12" s="1"/>
  <c r="AM269" i="6"/>
  <c r="AO269" i="6" s="1"/>
  <c r="W268" i="12" s="1"/>
  <c r="AM103" i="6"/>
  <c r="AO103" i="6" s="1"/>
  <c r="W102" i="12" s="1"/>
  <c r="AM278" i="6"/>
  <c r="AO278" i="6" s="1"/>
  <c r="W277" i="12" s="1"/>
  <c r="AM270" i="6"/>
  <c r="AO270" i="6" s="1"/>
  <c r="W269" i="12" s="1"/>
  <c r="AM266" i="6"/>
  <c r="AO266" i="6" s="1"/>
  <c r="W265" i="12" s="1"/>
  <c r="AM26" i="6"/>
  <c r="AO26" i="6" s="1"/>
  <c r="W25" i="12" s="1"/>
  <c r="AM259" i="6"/>
  <c r="AO259" i="6" s="1"/>
  <c r="W258" i="12" s="1"/>
  <c r="AM47" i="6"/>
  <c r="AO47" i="6" s="1"/>
  <c r="W46" i="12" s="1"/>
  <c r="AM240" i="6"/>
  <c r="AO240" i="6" s="1"/>
  <c r="W239" i="12" s="1"/>
  <c r="AM250" i="6"/>
  <c r="AO250" i="6" s="1"/>
  <c r="W249" i="12" s="1"/>
  <c r="AM193" i="6"/>
  <c r="AO193" i="6" s="1"/>
  <c r="W192" i="12" s="1"/>
  <c r="AM286" i="6"/>
  <c r="AM72" i="6"/>
  <c r="AO72" i="6" s="1"/>
  <c r="W71" i="12" s="1"/>
  <c r="AM15" i="6"/>
  <c r="AO15" i="6" s="1"/>
  <c r="W14" i="12" s="1"/>
  <c r="AM264" i="6"/>
  <c r="AO264" i="6" s="1"/>
  <c r="W263" i="12" s="1"/>
  <c r="AM283" i="6"/>
  <c r="AO283" i="6" s="1"/>
  <c r="W282" i="12" s="1"/>
  <c r="AM274" i="6"/>
  <c r="AO274" i="6" s="1"/>
  <c r="W273" i="12" s="1"/>
  <c r="AM126" i="6"/>
  <c r="AO126" i="6" s="1"/>
  <c r="W125" i="12" s="1"/>
  <c r="AM201" i="6"/>
  <c r="AO201" i="6" s="1"/>
  <c r="W200" i="12" s="1"/>
  <c r="AM257" i="6"/>
  <c r="AO257" i="6" s="1"/>
  <c r="W256" i="12" s="1"/>
  <c r="AM262" i="6"/>
  <c r="AO262" i="6" s="1"/>
  <c r="W261" i="12" s="1"/>
  <c r="AM224" i="6"/>
  <c r="AO224" i="6" s="1"/>
  <c r="W223" i="12" s="1"/>
  <c r="AM248" i="6"/>
  <c r="AO248" i="6" s="1"/>
  <c r="W247" i="12" s="1"/>
  <c r="AM237" i="6"/>
  <c r="AO237" i="6" s="1"/>
  <c r="W236" i="12" s="1"/>
  <c r="AM85" i="6"/>
  <c r="AO85" i="6" s="1"/>
  <c r="W84" i="12" s="1"/>
  <c r="AM57" i="6"/>
  <c r="AO57" i="6" s="1"/>
  <c r="W56" i="12" s="1"/>
  <c r="AM138" i="6"/>
  <c r="AO138" i="6" s="1"/>
  <c r="W137" i="12" s="1"/>
  <c r="AM83" i="6"/>
  <c r="AO83" i="6" s="1"/>
  <c r="W82" i="12" s="1"/>
  <c r="AM21" i="6"/>
  <c r="AO21" i="6" s="1"/>
  <c r="W20" i="12" s="1"/>
  <c r="AM157" i="6"/>
  <c r="AO157" i="6" s="1"/>
  <c r="W156" i="12" s="1"/>
  <c r="AM219" i="6"/>
  <c r="AO219" i="6" s="1"/>
  <c r="W218" i="12" s="1"/>
  <c r="AM253" i="6"/>
  <c r="AO253" i="6" s="1"/>
  <c r="W252" i="12" s="1"/>
  <c r="AM86" i="6"/>
  <c r="AO86" i="6" s="1"/>
  <c r="W85" i="12" s="1"/>
  <c r="AM82" i="6"/>
  <c r="AO82" i="6" s="1"/>
  <c r="W81" i="12" s="1"/>
  <c r="AM92" i="6"/>
  <c r="AO92" i="6" s="1"/>
  <c r="W91" i="12" s="1"/>
  <c r="AM88" i="6"/>
  <c r="AO88" i="6" s="1"/>
  <c r="W87" i="12" s="1"/>
  <c r="AM90" i="6"/>
  <c r="AO90" i="6" s="1"/>
  <c r="W89" i="12" s="1"/>
  <c r="AM140" i="6"/>
  <c r="AO140" i="6" s="1"/>
  <c r="W139" i="12" s="1"/>
  <c r="AM118" i="6"/>
  <c r="AO118" i="6" s="1"/>
  <c r="W117" i="12" s="1"/>
  <c r="AM245" i="6"/>
  <c r="AO245" i="6" s="1"/>
  <c r="W244" i="12" s="1"/>
  <c r="AM234" i="6"/>
  <c r="AO234" i="6" s="1"/>
  <c r="W233" i="12" s="1"/>
  <c r="AM150" i="6"/>
  <c r="AO150" i="6" s="1"/>
  <c r="W149" i="12" s="1"/>
  <c r="AM199" i="6"/>
  <c r="AO199" i="6" s="1"/>
  <c r="W198" i="12" s="1"/>
  <c r="AM254" i="6"/>
  <c r="AO254" i="6" s="1"/>
  <c r="W253" i="12" s="1"/>
  <c r="AM110" i="6"/>
  <c r="AO110" i="6" s="1"/>
  <c r="W109" i="12" s="1"/>
  <c r="AM190" i="6"/>
  <c r="AO190" i="6" s="1"/>
  <c r="W189" i="12" s="1"/>
  <c r="AM96" i="6"/>
  <c r="AO96" i="6" s="1"/>
  <c r="W95" i="12" s="1"/>
  <c r="AM121" i="6"/>
  <c r="AO121" i="6" s="1"/>
  <c r="W120" i="12" s="1"/>
  <c r="AM25" i="6"/>
  <c r="AO25" i="6" s="1"/>
  <c r="W24" i="12" s="1"/>
  <c r="AM293" i="6"/>
  <c r="AO293" i="6" s="1"/>
  <c r="W292" i="12" s="1"/>
  <c r="AM62" i="6"/>
  <c r="AO62" i="6" s="1"/>
  <c r="W61" i="12" s="1"/>
  <c r="AM189" i="6"/>
  <c r="AO189" i="6" s="1"/>
  <c r="W188" i="12" s="1"/>
  <c r="AM155" i="6"/>
  <c r="AO155" i="6" s="1"/>
  <c r="W154" i="12" s="1"/>
  <c r="AM28" i="6"/>
  <c r="AO28" i="6" s="1"/>
  <c r="W27" i="12" s="1"/>
  <c r="AM276" i="6"/>
  <c r="AO276" i="6" s="1"/>
  <c r="W275" i="12" s="1"/>
  <c r="O41" i="8"/>
  <c r="AM295" i="6"/>
  <c r="AO295" i="6" s="1"/>
  <c r="W294" i="12" s="1"/>
  <c r="AM179" i="6"/>
  <c r="AO179" i="6" s="1"/>
  <c r="W178" i="12" s="1"/>
  <c r="AM289" i="6"/>
  <c r="AO289" i="6" s="1"/>
  <c r="W288" i="12" s="1"/>
  <c r="N53" i="8"/>
  <c r="AM124" i="6"/>
  <c r="AO124" i="6" s="1"/>
  <c r="W123" i="12" s="1"/>
  <c r="AM191" i="6"/>
  <c r="AO191" i="6" s="1"/>
  <c r="W190" i="12" s="1"/>
  <c r="AM282" i="6"/>
  <c r="AO282" i="6" s="1"/>
  <c r="W281" i="12" s="1"/>
  <c r="AM212" i="6"/>
  <c r="AO212" i="6" s="1"/>
  <c r="W211" i="12" s="1"/>
  <c r="M11" i="8"/>
  <c r="AM54" i="6"/>
  <c r="AO54" i="6" s="1"/>
  <c r="W53" i="12" s="1"/>
  <c r="AM156" i="6"/>
  <c r="AO156" i="6" s="1"/>
  <c r="W155" i="12" s="1"/>
  <c r="AM184" i="6"/>
  <c r="AO184" i="6" s="1"/>
  <c r="W183" i="12" s="1"/>
  <c r="AM139" i="6"/>
  <c r="AO139" i="6" s="1"/>
  <c r="W138" i="12" s="1"/>
  <c r="AM105" i="6"/>
  <c r="AO105" i="6" s="1"/>
  <c r="W104" i="12" s="1"/>
  <c r="AM210" i="6"/>
  <c r="AO210" i="6" s="1"/>
  <c r="W209" i="12" s="1"/>
  <c r="AM158" i="6"/>
  <c r="AO158" i="6" s="1"/>
  <c r="W157" i="12" s="1"/>
  <c r="AM204" i="6"/>
  <c r="AO204" i="6" s="1"/>
  <c r="W203" i="12" s="1"/>
  <c r="AM77" i="6"/>
  <c r="AO77" i="6" s="1"/>
  <c r="W76" i="12" s="1"/>
  <c r="AM64" i="6"/>
  <c r="AO64" i="6" s="1"/>
  <c r="W63" i="12" s="1"/>
  <c r="O4" i="8"/>
  <c r="AM198" i="6"/>
  <c r="AO198" i="6" s="1"/>
  <c r="W197" i="12" s="1"/>
  <c r="N40" i="8"/>
  <c r="M30" i="8"/>
  <c r="AM238" i="6"/>
  <c r="AO238" i="6" s="1"/>
  <c r="W237" i="12" s="1"/>
  <c r="AM50" i="6"/>
  <c r="AO50" i="6" s="1"/>
  <c r="W49" i="12" s="1"/>
  <c r="AM75" i="6"/>
  <c r="AO75" i="6" s="1"/>
  <c r="W74" i="12" s="1"/>
  <c r="AM195" i="6"/>
  <c r="AO195" i="6" s="1"/>
  <c r="W194" i="12" s="1"/>
  <c r="AM187" i="6"/>
  <c r="AO187" i="6" s="1"/>
  <c r="W186" i="12" s="1"/>
  <c r="AM18" i="6"/>
  <c r="AO18" i="6" s="1"/>
  <c r="W17" i="12" s="1"/>
  <c r="AM166" i="6"/>
  <c r="AO166" i="6" s="1"/>
  <c r="W165" i="12" s="1"/>
  <c r="U2" i="12"/>
  <c r="N16" i="8"/>
  <c r="AM4" i="6"/>
  <c r="CZ242" i="6"/>
  <c r="CZ235" i="6"/>
  <c r="CZ232" i="6"/>
  <c r="CZ210" i="6"/>
  <c r="CZ144" i="6"/>
  <c r="CZ130" i="6"/>
  <c r="CZ249" i="6"/>
  <c r="CZ233" i="6"/>
  <c r="CZ230" i="6"/>
  <c r="CZ133" i="6"/>
  <c r="CZ123" i="6"/>
  <c r="CZ276" i="6"/>
  <c r="CZ214" i="6"/>
  <c r="CZ204" i="6"/>
  <c r="CZ195" i="6"/>
  <c r="CZ182" i="6"/>
  <c r="CZ135" i="6"/>
  <c r="CZ128" i="6"/>
  <c r="CZ24" i="6"/>
  <c r="CZ269" i="6"/>
  <c r="CZ252" i="6"/>
  <c r="CZ229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7" i="6"/>
  <c r="CZ202" i="6"/>
  <c r="CZ187" i="6"/>
  <c r="CZ162" i="6"/>
  <c r="CZ158" i="6"/>
  <c r="CZ143" i="6"/>
  <c r="CZ272" i="6"/>
  <c r="CZ268" i="6"/>
  <c r="CZ260" i="6"/>
  <c r="CZ256" i="6"/>
  <c r="CZ211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0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8" i="6"/>
  <c r="CZ221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W136" i="12" s="1"/>
  <c r="O58" i="8"/>
  <c r="O56" i="8"/>
  <c r="AM116" i="6"/>
  <c r="AO116" i="6" s="1"/>
  <c r="W115" i="12" s="1"/>
  <c r="AM31" i="6"/>
  <c r="AO31" i="6" s="1"/>
  <c r="W30" i="12" s="1"/>
  <c r="AM14" i="6"/>
  <c r="AO14" i="6" s="1"/>
  <c r="W13" i="12" s="1"/>
  <c r="AM109" i="6"/>
  <c r="AO109" i="6" s="1"/>
  <c r="W108" i="12" s="1"/>
  <c r="O76" i="8"/>
  <c r="AM104" i="6"/>
  <c r="AO104" i="6" s="1"/>
  <c r="W103" i="12" s="1"/>
  <c r="AM130" i="6"/>
  <c r="AO130" i="6" s="1"/>
  <c r="W129" i="12" s="1"/>
  <c r="O88" i="8"/>
  <c r="O73" i="8"/>
  <c r="M57" i="8"/>
  <c r="AM45" i="6"/>
  <c r="AO45" i="6" s="1"/>
  <c r="W44" i="12" s="1"/>
  <c r="AM9" i="6"/>
  <c r="O8" i="8"/>
  <c r="M48" i="8"/>
  <c r="AM91" i="6"/>
  <c r="AO91" i="6" s="1"/>
  <c r="W90" i="12" s="1"/>
  <c r="AM49" i="6"/>
  <c r="AO49" i="6" s="1"/>
  <c r="W48" i="12" s="1"/>
  <c r="AM27" i="6"/>
  <c r="AO27" i="6" s="1"/>
  <c r="W26" i="12" s="1"/>
  <c r="O9" i="8"/>
  <c r="AM100" i="6"/>
  <c r="AO100" i="6" s="1"/>
  <c r="W99" i="12" s="1"/>
  <c r="O14" i="8"/>
  <c r="N29" i="8"/>
  <c r="AM230" i="6"/>
  <c r="AO230" i="6" s="1"/>
  <c r="W229" i="12" s="1"/>
  <c r="AM136" i="6"/>
  <c r="AO136" i="6" s="1"/>
  <c r="W135" i="12" s="1"/>
  <c r="O49" i="8"/>
  <c r="O46" i="8"/>
  <c r="M7" i="8"/>
  <c r="AM58" i="6"/>
  <c r="AO58" i="6" s="1"/>
  <c r="W57" i="12" s="1"/>
  <c r="AM206" i="6"/>
  <c r="AO206" i="6" s="1"/>
  <c r="W205" i="12" s="1"/>
  <c r="O7" i="8"/>
  <c r="AM107" i="6"/>
  <c r="AO107" i="6" s="1"/>
  <c r="W106" i="12" s="1"/>
  <c r="AM94" i="6"/>
  <c r="AO94" i="6" s="1"/>
  <c r="W93" i="12" s="1"/>
  <c r="AM78" i="6"/>
  <c r="AO78" i="6" s="1"/>
  <c r="W7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W17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6" i="6"/>
  <c r="AO106" i="6" s="1"/>
  <c r="W105" i="12" s="1"/>
  <c r="C2" i="16"/>
  <c r="AO33" i="6"/>
  <c r="W32" i="12" s="1"/>
  <c r="AM63" i="6"/>
  <c r="AO63" i="6" s="1"/>
  <c r="W62" i="12" s="1"/>
  <c r="AM220" i="6"/>
  <c r="AO220" i="6" s="1"/>
  <c r="W219" i="12" s="1"/>
  <c r="AM180" i="6"/>
  <c r="AO180" i="6" s="1"/>
  <c r="W179" i="12" s="1"/>
  <c r="AM101" i="6"/>
  <c r="AO101" i="6" s="1"/>
  <c r="W100" i="12" s="1"/>
  <c r="AM233" i="6"/>
  <c r="AO233" i="6" s="1"/>
  <c r="W232" i="12" s="1"/>
  <c r="AM128" i="6"/>
  <c r="AO128" i="6" s="1"/>
  <c r="W127" i="12" s="1"/>
  <c r="AM61" i="6"/>
  <c r="AO61" i="6" s="1"/>
  <c r="W60" i="12" s="1"/>
  <c r="AM34" i="6"/>
  <c r="AO34" i="6" s="1"/>
  <c r="W33" i="12" s="1"/>
  <c r="AM142" i="6"/>
  <c r="AO142" i="6" s="1"/>
  <c r="W141" i="12" s="1"/>
  <c r="AM114" i="6"/>
  <c r="AO114" i="6" s="1"/>
  <c r="W113" i="12" s="1"/>
  <c r="N93" i="8"/>
  <c r="AM260" i="6"/>
  <c r="AO260" i="6" s="1"/>
  <c r="W259" i="12" s="1"/>
  <c r="O79" i="8"/>
  <c r="AM153" i="6"/>
  <c r="AO153" i="6" s="1"/>
  <c r="W152" i="12" s="1"/>
  <c r="AM119" i="6"/>
  <c r="AO119" i="6" s="1"/>
  <c r="W118" i="12" s="1"/>
  <c r="M41" i="8"/>
  <c r="AM46" i="6"/>
  <c r="AO46" i="6" s="1"/>
  <c r="W45" i="12" s="1"/>
  <c r="AO5" i="6"/>
  <c r="W4" i="12" s="1"/>
  <c r="AM70" i="6"/>
  <c r="AO70" i="6" s="1"/>
  <c r="W69" i="12" s="1"/>
  <c r="AM221" i="6"/>
  <c r="AO221" i="6" s="1"/>
  <c r="W220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08" i="6"/>
  <c r="AO208" i="6" s="1"/>
  <c r="W207" i="12" s="1"/>
  <c r="N17" i="8"/>
  <c r="N80" i="8"/>
  <c r="O82" i="8"/>
  <c r="AM197" i="6"/>
  <c r="AO197" i="6" s="1"/>
  <c r="W196" i="12" s="1"/>
  <c r="N52" i="8"/>
  <c r="N22" i="8"/>
  <c r="AM7" i="6"/>
  <c r="AO10" i="6"/>
  <c r="W9" i="12" s="1"/>
  <c r="M3" i="8"/>
  <c r="AO3" i="6"/>
  <c r="Y2" i="12"/>
  <c r="AM263" i="6"/>
  <c r="AO263" i="6" s="1"/>
  <c r="W262" i="12" s="1"/>
  <c r="O93" i="8"/>
  <c r="AM10" i="6"/>
  <c r="AM178" i="6"/>
  <c r="AO178" i="6" s="1"/>
  <c r="W177" i="12" s="1"/>
  <c r="O65" i="8"/>
  <c r="AM123" i="6"/>
  <c r="AO123" i="6" s="1"/>
  <c r="W122" i="12" s="1"/>
  <c r="M31" i="8"/>
  <c r="AM56" i="6"/>
  <c r="AO56" i="6" s="1"/>
  <c r="W55" i="12" s="1"/>
  <c r="AO7" i="6"/>
  <c r="W6" i="12" s="1"/>
  <c r="AM52" i="6"/>
  <c r="AO52" i="6" s="1"/>
  <c r="W51" i="12" s="1"/>
  <c r="AM19" i="6"/>
  <c r="AO19" i="6" s="1"/>
  <c r="W18" i="12" s="1"/>
  <c r="C10" i="16"/>
  <c r="AM162" i="6"/>
  <c r="AO162" i="6" s="1"/>
  <c r="W161" i="12" s="1"/>
  <c r="AM112" i="6"/>
  <c r="AO112" i="6" s="1"/>
  <c r="W111" i="12" s="1"/>
  <c r="AO39" i="6"/>
  <c r="W38" i="12" s="1"/>
  <c r="C8" i="16"/>
  <c r="AM281" i="6"/>
  <c r="AO281" i="6" s="1"/>
  <c r="W280" i="12" s="1"/>
  <c r="AM242" i="6"/>
  <c r="AO242" i="6" s="1"/>
  <c r="W241" i="12" s="1"/>
  <c r="AM185" i="6"/>
  <c r="AO185" i="6" s="1"/>
  <c r="W184" i="12" s="1"/>
  <c r="AM164" i="6"/>
  <c r="AO164" i="6" s="1"/>
  <c r="W163" i="12" s="1"/>
  <c r="AO37" i="6"/>
  <c r="W36" i="12" s="1"/>
  <c r="AM24" i="6"/>
  <c r="AO24" i="6" s="1"/>
  <c r="W23" i="12" s="1"/>
  <c r="C1" i="16"/>
  <c r="L35" i="8"/>
  <c r="L36" i="8"/>
  <c r="AM268" i="6"/>
  <c r="AO268" i="6" s="1"/>
  <c r="W267" i="12" s="1"/>
  <c r="AM214" i="6"/>
  <c r="AO214" i="6" s="1"/>
  <c r="W213" i="12" s="1"/>
  <c r="AM205" i="6"/>
  <c r="AO205" i="6" s="1"/>
  <c r="W204" i="12" s="1"/>
  <c r="AM174" i="6"/>
  <c r="AO174" i="6" s="1"/>
  <c r="W173" i="12" s="1"/>
  <c r="AM249" i="6"/>
  <c r="AO249" i="6" s="1"/>
  <c r="W248" i="12" s="1"/>
  <c r="AM285" i="6"/>
  <c r="AO285" i="6" s="1"/>
  <c r="W284" i="12" s="1"/>
  <c r="AM235" i="6"/>
  <c r="AO235" i="6" s="1"/>
  <c r="W234" i="12" s="1"/>
  <c r="AM267" i="6"/>
  <c r="AO267" i="6" s="1"/>
  <c r="W266" i="12" s="1"/>
  <c r="AM247" i="6"/>
  <c r="AO247" i="6" s="1"/>
  <c r="W246" i="12" s="1"/>
  <c r="AM211" i="6"/>
  <c r="AO211" i="6" s="1"/>
  <c r="W210" i="12" s="1"/>
  <c r="AM202" i="6"/>
  <c r="AO202" i="6" s="1"/>
  <c r="W201" i="12" s="1"/>
  <c r="AM265" i="6"/>
  <c r="AO265" i="6" s="1"/>
  <c r="W264" i="12" s="1"/>
  <c r="AM252" i="6"/>
  <c r="AO252" i="6" s="1"/>
  <c r="W251" i="12" s="1"/>
  <c r="AM229" i="6"/>
  <c r="AO229" i="6" s="1"/>
  <c r="W228" i="12" s="1"/>
  <c r="AM217" i="6"/>
  <c r="AO217" i="6" s="1"/>
  <c r="W216" i="12" s="1"/>
  <c r="AM175" i="6"/>
  <c r="AO175" i="6" s="1"/>
  <c r="W174" i="12" s="1"/>
  <c r="AM256" i="6"/>
  <c r="AO256" i="6" s="1"/>
  <c r="W255" i="12" s="1"/>
  <c r="AM232" i="6"/>
  <c r="AO232" i="6" s="1"/>
  <c r="W231" i="12" s="1"/>
  <c r="AM192" i="6"/>
  <c r="AO192" i="6" s="1"/>
  <c r="W191" i="12" s="1"/>
  <c r="AM182" i="6"/>
  <c r="AO182" i="6" s="1"/>
  <c r="W181" i="12" s="1"/>
  <c r="AM152" i="6"/>
  <c r="AO152" i="6" s="1"/>
  <c r="W151" i="12" s="1"/>
  <c r="AM144" i="6"/>
  <c r="AO144" i="6" s="1"/>
  <c r="W143" i="12" s="1"/>
  <c r="AM133" i="6"/>
  <c r="AO133" i="6" s="1"/>
  <c r="W132" i="12" s="1"/>
  <c r="AM177" i="6"/>
  <c r="AO177" i="6" s="1"/>
  <c r="W176" i="12" s="1"/>
  <c r="AM172" i="6"/>
  <c r="AO172" i="6" s="1"/>
  <c r="W171" i="12" s="1"/>
  <c r="AM171" i="6"/>
  <c r="AO171" i="6" s="1"/>
  <c r="W170" i="12" s="1"/>
  <c r="AM143" i="6"/>
  <c r="AO143" i="6" s="1"/>
  <c r="W142" i="12" s="1"/>
  <c r="AM160" i="6"/>
  <c r="AO160" i="6" s="1"/>
  <c r="W159" i="12" s="1"/>
  <c r="AM135" i="6"/>
  <c r="AO135" i="6" s="1"/>
  <c r="W134" i="12" s="1"/>
  <c r="AM80" i="6"/>
  <c r="AO80" i="6" s="1"/>
  <c r="W79" i="12" s="1"/>
  <c r="AM59" i="6"/>
  <c r="AO59" i="6" s="1"/>
  <c r="W58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W14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2" i="6"/>
  <c r="AO102" i="6" s="1"/>
  <c r="W101" i="12" s="1"/>
  <c r="AM73" i="6"/>
  <c r="AO73" i="6" s="1"/>
  <c r="W72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X270" i="12" s="1"/>
  <c r="W270" i="12"/>
  <c r="AP99" i="6"/>
  <c r="X98" i="12" s="1"/>
  <c r="W98" i="12"/>
  <c r="AP241" i="6"/>
  <c r="X240" i="12" s="1"/>
  <c r="W240" i="12"/>
  <c r="AP186" i="6"/>
  <c r="X185" i="12" s="1"/>
  <c r="W185" i="12"/>
  <c r="AP132" i="6"/>
  <c r="X131" i="12" s="1"/>
  <c r="W131" i="12"/>
  <c r="AP134" i="6"/>
  <c r="X133" i="12" s="1"/>
  <c r="W133" i="12"/>
  <c r="AP183" i="6"/>
  <c r="X182" i="12" s="1"/>
  <c r="AP148" i="6"/>
  <c r="X147" i="12" s="1"/>
  <c r="AP165" i="6"/>
  <c r="X164" i="12" s="1"/>
  <c r="AP291" i="6"/>
  <c r="X290" i="12" s="1"/>
  <c r="AP20" i="6"/>
  <c r="X19" i="12" s="1"/>
  <c r="AP23" i="6"/>
  <c r="X22" i="12" s="1"/>
  <c r="AP225" i="6"/>
  <c r="X224" i="12" s="1"/>
  <c r="AP239" i="6"/>
  <c r="X238" i="12" s="1"/>
  <c r="AP246" i="6"/>
  <c r="X245" i="12" s="1"/>
  <c r="AP154" i="6"/>
  <c r="X153" i="12" s="1"/>
  <c r="AP284" i="6"/>
  <c r="X283" i="12" s="1"/>
  <c r="AP65" i="6"/>
  <c r="X64" i="12" s="1"/>
  <c r="AP74" i="6"/>
  <c r="X73" i="12" s="1"/>
  <c r="AP44" i="6"/>
  <c r="X43" i="12" s="1"/>
  <c r="AP127" i="6"/>
  <c r="X126" i="12" s="1"/>
  <c r="AP226" i="6"/>
  <c r="X225" i="12" s="1"/>
  <c r="AP215" i="6"/>
  <c r="X214" i="12" s="1"/>
  <c r="AP251" i="6"/>
  <c r="X250" i="12" s="1"/>
  <c r="AP53" i="6"/>
  <c r="X52" i="12" s="1"/>
  <c r="AP42" i="6"/>
  <c r="X41" i="12" s="1"/>
  <c r="AP122" i="6"/>
  <c r="X121" i="12" s="1"/>
  <c r="AP301" i="6"/>
  <c r="X300" i="12" s="1"/>
  <c r="AP200" i="6"/>
  <c r="X199" i="12" s="1"/>
  <c r="AP38" i="6"/>
  <c r="X37" i="12" s="1"/>
  <c r="AP196" i="6"/>
  <c r="X195" i="12" s="1"/>
  <c r="AP277" i="6"/>
  <c r="X276" i="12" s="1"/>
  <c r="AP60" i="6"/>
  <c r="X59" i="12" s="1"/>
  <c r="AP113" i="6"/>
  <c r="X112" i="12" s="1"/>
  <c r="AP169" i="6"/>
  <c r="X168" i="12" s="1"/>
  <c r="AP228" i="6"/>
  <c r="X227" i="12" s="1"/>
  <c r="AP290" i="6"/>
  <c r="X289" i="12" s="1"/>
  <c r="AP280" i="6"/>
  <c r="X279" i="12" s="1"/>
  <c r="AP188" i="6"/>
  <c r="X187" i="12" s="1"/>
  <c r="AP275" i="6"/>
  <c r="X274" i="12" s="1"/>
  <c r="AP299" i="6"/>
  <c r="X298" i="12" s="1"/>
  <c r="AP108" i="6"/>
  <c r="X107" i="12" s="1"/>
  <c r="AP67" i="6"/>
  <c r="X66" i="12" s="1"/>
  <c r="AP209" i="6"/>
  <c r="X208" i="12" s="1"/>
  <c r="AP244" i="6"/>
  <c r="X243" i="12" s="1"/>
  <c r="AP87" i="6"/>
  <c r="X86" i="12" s="1"/>
  <c r="AP125" i="6"/>
  <c r="X124" i="12" s="1"/>
  <c r="AP170" i="6"/>
  <c r="X169" i="12" s="1"/>
  <c r="AP181" i="6"/>
  <c r="X180" i="12" s="1"/>
  <c r="AP294" i="6"/>
  <c r="X293" i="12" s="1"/>
  <c r="AP216" i="6"/>
  <c r="X215" i="12" s="1"/>
  <c r="AP146" i="6"/>
  <c r="X145" i="12" s="1"/>
  <c r="AP16" i="6"/>
  <c r="X15" i="12" s="1"/>
  <c r="AP81" i="6"/>
  <c r="X80" i="12" s="1"/>
  <c r="AP71" i="6"/>
  <c r="X70" i="12" s="1"/>
  <c r="AP279" i="6"/>
  <c r="X278" i="12" s="1"/>
  <c r="AP236" i="6"/>
  <c r="X235" i="12" s="1"/>
  <c r="AP115" i="6"/>
  <c r="X114" i="12" s="1"/>
  <c r="AP98" i="6"/>
  <c r="X97" i="12" s="1"/>
  <c r="AP213" i="6"/>
  <c r="X212" i="12" s="1"/>
  <c r="AP35" i="6"/>
  <c r="X34" i="12" s="1"/>
  <c r="AP40" i="6"/>
  <c r="X39" i="12" s="1"/>
  <c r="AP300" i="6"/>
  <c r="X299" i="12" s="1"/>
  <c r="AP68" i="6"/>
  <c r="X67" i="12" s="1"/>
  <c r="AP151" i="6"/>
  <c r="X150" i="12" s="1"/>
  <c r="AP95" i="6"/>
  <c r="X94" i="12" s="1"/>
  <c r="AP194" i="6"/>
  <c r="X193" i="12" s="1"/>
  <c r="AP222" i="6"/>
  <c r="X221" i="12" s="1"/>
  <c r="AP41" i="6"/>
  <c r="X40" i="12" s="1"/>
  <c r="AP43" i="6"/>
  <c r="X42" i="12" s="1"/>
  <c r="AP117" i="6"/>
  <c r="X116" i="12" s="1"/>
  <c r="AP292" i="6"/>
  <c r="X291" i="12" s="1"/>
  <c r="AP287" i="6"/>
  <c r="X286" i="12" s="1"/>
  <c r="AP255" i="6"/>
  <c r="X254" i="12" s="1"/>
  <c r="AP129" i="6"/>
  <c r="X128" i="12" s="1"/>
  <c r="AP37" i="6"/>
  <c r="X36" i="12" s="1"/>
  <c r="AP39" i="6"/>
  <c r="X38" i="12" s="1"/>
  <c r="AP261" i="6"/>
  <c r="X260" i="12" s="1"/>
  <c r="AP218" i="6"/>
  <c r="X217" i="12" s="1"/>
  <c r="AP29" i="6"/>
  <c r="X28" i="12" s="1"/>
  <c r="AP66" i="6"/>
  <c r="X65" i="12" s="1"/>
  <c r="AP149" i="6"/>
  <c r="X148" i="12" s="1"/>
  <c r="AP296" i="6"/>
  <c r="X295" i="12" s="1"/>
  <c r="AP227" i="6"/>
  <c r="X226" i="12" s="1"/>
  <c r="AP111" i="6"/>
  <c r="X110" i="12" s="1"/>
  <c r="AP203" i="6"/>
  <c r="X202" i="12" s="1"/>
  <c r="AP93" i="6"/>
  <c r="X92" i="12" s="1"/>
  <c r="AP161" i="6"/>
  <c r="X160" i="12" s="1"/>
  <c r="AP76" i="6"/>
  <c r="X75" i="12" s="1"/>
  <c r="AP223" i="6"/>
  <c r="X222" i="12" s="1"/>
  <c r="AP159" i="6"/>
  <c r="X158" i="12" s="1"/>
  <c r="AP92" i="6"/>
  <c r="X91" i="12" s="1"/>
  <c r="AP8" i="6"/>
  <c r="X7" i="12" s="1"/>
  <c r="AP120" i="6"/>
  <c r="X119" i="12" s="1"/>
  <c r="AP79" i="6"/>
  <c r="X78" i="12" s="1"/>
  <c r="AP288" i="6"/>
  <c r="X287" i="12" s="1"/>
  <c r="AP168" i="6"/>
  <c r="X167" i="12" s="1"/>
  <c r="AP12" i="6"/>
  <c r="X11" i="12" s="1"/>
  <c r="AP131" i="6"/>
  <c r="X130" i="12" s="1"/>
  <c r="AP298" i="6"/>
  <c r="X297" i="12" s="1"/>
  <c r="AP176" i="6"/>
  <c r="X175" i="12" s="1"/>
  <c r="AP97" i="6"/>
  <c r="X96" i="12" s="1"/>
  <c r="AP243" i="6"/>
  <c r="X242" i="12" s="1"/>
  <c r="AP55" i="6"/>
  <c r="X54" i="12" s="1"/>
  <c r="AP147" i="6"/>
  <c r="X146" i="12" s="1"/>
  <c r="AP103" i="6"/>
  <c r="X102" i="12" s="1"/>
  <c r="AP167" i="6"/>
  <c r="X166" i="12" s="1"/>
  <c r="AP69" i="6"/>
  <c r="X68" i="12" s="1"/>
  <c r="AP278" i="6"/>
  <c r="X277" i="12" s="1"/>
  <c r="AP270" i="6"/>
  <c r="X269" i="12" s="1"/>
  <c r="AP266" i="6"/>
  <c r="X265" i="12" s="1"/>
  <c r="AP47" i="6"/>
  <c r="X46" i="12" s="1"/>
  <c r="AP207" i="6"/>
  <c r="X206" i="12" s="1"/>
  <c r="AP240" i="6"/>
  <c r="X239" i="12" s="1"/>
  <c r="AP259" i="6"/>
  <c r="X258" i="12" s="1"/>
  <c r="AP193" i="6"/>
  <c r="X192" i="12" s="1"/>
  <c r="AP26" i="6"/>
  <c r="X25" i="12" s="1"/>
  <c r="AP89" i="6"/>
  <c r="X88" i="12" s="1"/>
  <c r="AP250" i="6"/>
  <c r="X249" i="12" s="1"/>
  <c r="AP15" i="6"/>
  <c r="X14" i="12" s="1"/>
  <c r="AP283" i="6"/>
  <c r="X282" i="12" s="1"/>
  <c r="AP72" i="6"/>
  <c r="X71" i="12" s="1"/>
  <c r="AP264" i="6"/>
  <c r="X263" i="12" s="1"/>
  <c r="AP274" i="6"/>
  <c r="X273" i="12" s="1"/>
  <c r="AP126" i="6"/>
  <c r="X125" i="12" s="1"/>
  <c r="AP157" i="6"/>
  <c r="X156" i="12" s="1"/>
  <c r="AP83" i="6"/>
  <c r="X82" i="12" s="1"/>
  <c r="AP85" i="6"/>
  <c r="X84" i="12" s="1"/>
  <c r="AP82" i="6"/>
  <c r="X81" i="12" s="1"/>
  <c r="AP88" i="6"/>
  <c r="X87" i="12" s="1"/>
  <c r="AP21" i="6"/>
  <c r="X20" i="12" s="1"/>
  <c r="AP57" i="6"/>
  <c r="X56" i="12" s="1"/>
  <c r="AP90" i="6"/>
  <c r="X89" i="12" s="1"/>
  <c r="AP86" i="6"/>
  <c r="X85" i="12" s="1"/>
  <c r="AP138" i="6"/>
  <c r="X137" i="12" s="1"/>
  <c r="AP224" i="6"/>
  <c r="X223" i="12" s="1"/>
  <c r="AP118" i="6"/>
  <c r="X117" i="12" s="1"/>
  <c r="AP150" i="6"/>
  <c r="X149" i="12" s="1"/>
  <c r="AP257" i="6"/>
  <c r="X256" i="12" s="1"/>
  <c r="AP140" i="6"/>
  <c r="X139" i="12" s="1"/>
  <c r="AP199" i="6"/>
  <c r="X198" i="12" s="1"/>
  <c r="AP237" i="6"/>
  <c r="X236" i="12" s="1"/>
  <c r="AP262" i="6"/>
  <c r="X261" i="12" s="1"/>
  <c r="AP219" i="6"/>
  <c r="X218" i="12" s="1"/>
  <c r="AP121" i="6"/>
  <c r="X120" i="12" s="1"/>
  <c r="AP189" i="6"/>
  <c r="X188" i="12" s="1"/>
  <c r="AP293" i="6"/>
  <c r="X292" i="12" s="1"/>
  <c r="AP273" i="6"/>
  <c r="X272" i="12" s="1"/>
  <c r="AP248" i="6"/>
  <c r="X247" i="12" s="1"/>
  <c r="AP25" i="6"/>
  <c r="X24" i="12" s="1"/>
  <c r="AP96" i="6"/>
  <c r="X95" i="12" s="1"/>
  <c r="AP201" i="6"/>
  <c r="X200" i="12" s="1"/>
  <c r="AP155" i="6"/>
  <c r="X154" i="12" s="1"/>
  <c r="AP62" i="6"/>
  <c r="X61" i="12" s="1"/>
  <c r="AP110" i="6"/>
  <c r="X109" i="12" s="1"/>
  <c r="AP28" i="6"/>
  <c r="X27" i="12" s="1"/>
  <c r="AP234" i="6"/>
  <c r="X233" i="12" s="1"/>
  <c r="AP191" i="6"/>
  <c r="X190" i="12" s="1"/>
  <c r="AP295" i="6"/>
  <c r="X294" i="12" s="1"/>
  <c r="AP190" i="6"/>
  <c r="X189" i="12" s="1"/>
  <c r="AP179" i="6"/>
  <c r="X178" i="12" s="1"/>
  <c r="AP124" i="6"/>
  <c r="X123" i="12" s="1"/>
  <c r="AP212" i="6"/>
  <c r="X211" i="12" s="1"/>
  <c r="AP54" i="6"/>
  <c r="X53" i="12" s="1"/>
  <c r="AP156" i="6"/>
  <c r="X155" i="12" s="1"/>
  <c r="AP272" i="6"/>
  <c r="X271" i="12" s="1"/>
  <c r="AP253" i="6"/>
  <c r="X252" i="12" s="1"/>
  <c r="AP166" i="6"/>
  <c r="X165" i="12" s="1"/>
  <c r="AP75" i="6"/>
  <c r="X74" i="12" s="1"/>
  <c r="AP204" i="6"/>
  <c r="X203" i="12" s="1"/>
  <c r="AP45" i="6"/>
  <c r="X44" i="12" s="1"/>
  <c r="AP130" i="6"/>
  <c r="X129" i="12" s="1"/>
  <c r="AP184" i="6"/>
  <c r="X183" i="12" s="1"/>
  <c r="AP100" i="6"/>
  <c r="X99" i="12" s="1"/>
  <c r="AP276" i="6"/>
  <c r="X275" i="12" s="1"/>
  <c r="AP5" i="6"/>
  <c r="X4" i="12" s="1"/>
  <c r="AP34" i="6"/>
  <c r="X33" i="12" s="1"/>
  <c r="AP238" i="6"/>
  <c r="X237" i="12" s="1"/>
  <c r="AP10" i="6"/>
  <c r="X9" i="12" s="1"/>
  <c r="AP13" i="6"/>
  <c r="X12" i="12" s="1"/>
  <c r="AP137" i="6"/>
  <c r="X136" i="12" s="1"/>
  <c r="AP58" i="6"/>
  <c r="X57" i="12" s="1"/>
  <c r="AP91" i="6"/>
  <c r="X90" i="12" s="1"/>
  <c r="AP19" i="6"/>
  <c r="X18" i="12" s="1"/>
  <c r="AP46" i="6"/>
  <c r="X45" i="12" s="1"/>
  <c r="AP33" i="6"/>
  <c r="X32" i="12" s="1"/>
  <c r="AP64" i="6"/>
  <c r="X63" i="12" s="1"/>
  <c r="AP61" i="6"/>
  <c r="X60" i="12" s="1"/>
  <c r="AP258" i="6"/>
  <c r="X257" i="12" s="1"/>
  <c r="AP116" i="6"/>
  <c r="X115" i="12" s="1"/>
  <c r="AP265" i="6"/>
  <c r="X264" i="12" s="1"/>
  <c r="AP198" i="6"/>
  <c r="X197" i="12" s="1"/>
  <c r="AP139" i="6"/>
  <c r="X138" i="12" s="1"/>
  <c r="AP195" i="6"/>
  <c r="X194" i="12" s="1"/>
  <c r="AP114" i="6"/>
  <c r="X113" i="12" s="1"/>
  <c r="AP269" i="6"/>
  <c r="X268" i="12" s="1"/>
  <c r="AP59" i="6"/>
  <c r="X58" i="12" s="1"/>
  <c r="AP101" i="6"/>
  <c r="X100" i="12" s="1"/>
  <c r="AP153" i="6"/>
  <c r="X152" i="12" s="1"/>
  <c r="AP106" i="6"/>
  <c r="X105" i="12" s="1"/>
  <c r="AP158" i="6"/>
  <c r="X157" i="12" s="1"/>
  <c r="AP254" i="6"/>
  <c r="X253" i="12" s="1"/>
  <c r="AP187" i="6"/>
  <c r="X186" i="12" s="1"/>
  <c r="AP208" i="6"/>
  <c r="X207" i="12" s="1"/>
  <c r="AP104" i="6"/>
  <c r="X103" i="12" s="1"/>
  <c r="AP7" i="6"/>
  <c r="X6" i="12" s="1"/>
  <c r="AP252" i="6"/>
  <c r="X251" i="12" s="1"/>
  <c r="AP63" i="6"/>
  <c r="X62" i="12" s="1"/>
  <c r="AP77" i="6"/>
  <c r="X76" i="12" s="1"/>
  <c r="AP48" i="6"/>
  <c r="X47" i="12" s="1"/>
  <c r="AP112" i="6"/>
  <c r="X111" i="12" s="1"/>
  <c r="AP152" i="6"/>
  <c r="X151" i="12" s="1"/>
  <c r="AP263" i="6"/>
  <c r="X262" i="12" s="1"/>
  <c r="AP119" i="6"/>
  <c r="X118" i="12" s="1"/>
  <c r="AP22" i="6"/>
  <c r="X21" i="12" s="1"/>
  <c r="AP164" i="6"/>
  <c r="X163" i="12" s="1"/>
  <c r="AP24" i="6"/>
  <c r="X23" i="12" s="1"/>
  <c r="AP162" i="6"/>
  <c r="X161" i="12" s="1"/>
  <c r="AP17" i="6"/>
  <c r="X16" i="12" s="1"/>
  <c r="AP31" i="6"/>
  <c r="X30" i="12" s="1"/>
  <c r="AP32" i="6"/>
  <c r="X31" i="12" s="1"/>
  <c r="AP180" i="6"/>
  <c r="X179" i="12" s="1"/>
  <c r="AP3" i="6"/>
  <c r="W2" i="12"/>
  <c r="AP56" i="6"/>
  <c r="X55" i="12" s="1"/>
  <c r="AP260" i="6"/>
  <c r="X259" i="12" s="1"/>
  <c r="AP245" i="6"/>
  <c r="X244" i="12" s="1"/>
  <c r="F97" i="8"/>
  <c r="AP144" i="6"/>
  <c r="X143" i="12" s="1"/>
  <c r="AP105" i="6"/>
  <c r="X104" i="12" s="1"/>
  <c r="AP229" i="6"/>
  <c r="X228" i="12" s="1"/>
  <c r="AP136" i="6"/>
  <c r="X135" i="12" s="1"/>
  <c r="AP220" i="6"/>
  <c r="X219" i="12" s="1"/>
  <c r="AP49" i="6"/>
  <c r="X48" i="12" s="1"/>
  <c r="AP178" i="6"/>
  <c r="X177" i="12" s="1"/>
  <c r="AP128" i="6"/>
  <c r="X127" i="12" s="1"/>
  <c r="AP51" i="6"/>
  <c r="X50" i="12" s="1"/>
  <c r="AP145" i="6"/>
  <c r="X144" i="12" s="1"/>
  <c r="AP80" i="6"/>
  <c r="X79" i="12" s="1"/>
  <c r="AP160" i="6"/>
  <c r="X159" i="12" s="1"/>
  <c r="AP177" i="6"/>
  <c r="X176" i="12" s="1"/>
  <c r="AP135" i="6"/>
  <c r="X134" i="12" s="1"/>
  <c r="AP30" i="6"/>
  <c r="X29" i="12" s="1"/>
  <c r="AP235" i="6"/>
  <c r="X234" i="12" s="1"/>
  <c r="AP143" i="6"/>
  <c r="X142" i="12" s="1"/>
  <c r="AP211" i="6"/>
  <c r="X210" i="12" s="1"/>
  <c r="AP171" i="6"/>
  <c r="X170" i="12" s="1"/>
  <c r="AP192" i="6"/>
  <c r="X191" i="12" s="1"/>
  <c r="AP133" i="6"/>
  <c r="X132" i="12" s="1"/>
  <c r="AP232" i="6"/>
  <c r="X231" i="12" s="1"/>
  <c r="AP267" i="6"/>
  <c r="X266" i="12" s="1"/>
  <c r="AP285" i="6"/>
  <c r="X284" i="12" s="1"/>
  <c r="AP4" i="6"/>
  <c r="X3" i="12" s="1"/>
  <c r="AP27" i="6"/>
  <c r="X26" i="12" s="1"/>
  <c r="AP175" i="6"/>
  <c r="X174" i="12" s="1"/>
  <c r="AP182" i="6"/>
  <c r="X181" i="12" s="1"/>
  <c r="AP52" i="6"/>
  <c r="X51" i="12" s="1"/>
  <c r="AP217" i="6"/>
  <c r="X216" i="12" s="1"/>
  <c r="AP247" i="6"/>
  <c r="X246" i="12" s="1"/>
  <c r="AP185" i="6"/>
  <c r="X184" i="12" s="1"/>
  <c r="AP142" i="6"/>
  <c r="X141" i="12" s="1"/>
  <c r="AP230" i="6"/>
  <c r="X229" i="12" s="1"/>
  <c r="AP268" i="6"/>
  <c r="X267" i="12" s="1"/>
  <c r="AP233" i="6"/>
  <c r="X232" i="12" s="1"/>
  <c r="AP9" i="6"/>
  <c r="X8" i="12" s="1"/>
  <c r="AP14" i="6"/>
  <c r="X13" i="12" s="1"/>
  <c r="AP6" i="6"/>
  <c r="X5" i="12" s="1"/>
  <c r="AP94" i="6"/>
  <c r="X93" i="12" s="1"/>
  <c r="AP249" i="6"/>
  <c r="X248" i="12" s="1"/>
  <c r="AP205" i="6"/>
  <c r="X204" i="12" s="1"/>
  <c r="AP282" i="6"/>
  <c r="X281" i="12" s="1"/>
  <c r="AP73" i="6"/>
  <c r="X72" i="12" s="1"/>
  <c r="AP11" i="6"/>
  <c r="X10" i="12" s="1"/>
  <c r="AP50" i="6"/>
  <c r="X49" i="12" s="1"/>
  <c r="AP197" i="6"/>
  <c r="X196" i="12" s="1"/>
  <c r="AP289" i="6"/>
  <c r="X288" i="12" s="1"/>
  <c r="AP256" i="6"/>
  <c r="X255" i="12" s="1"/>
  <c r="AP18" i="6"/>
  <c r="X17" i="12" s="1"/>
  <c r="AP102" i="6"/>
  <c r="X101" i="12" s="1"/>
  <c r="AP107" i="6"/>
  <c r="X106" i="12" s="1"/>
  <c r="AP123" i="6"/>
  <c r="X122" i="12" s="1"/>
  <c r="AP70" i="6"/>
  <c r="X69" i="12" s="1"/>
  <c r="AP202" i="6"/>
  <c r="X201" i="12" s="1"/>
  <c r="AP174" i="6"/>
  <c r="X173" i="12" s="1"/>
  <c r="AP214" i="6"/>
  <c r="X213" i="12" s="1"/>
  <c r="AP78" i="6"/>
  <c r="X77" i="12" s="1"/>
  <c r="AP172" i="6"/>
  <c r="X171" i="12" s="1"/>
  <c r="AP242" i="6"/>
  <c r="X241" i="12" s="1"/>
  <c r="AP173" i="6"/>
  <c r="X172" i="12" s="1"/>
  <c r="AP206" i="6"/>
  <c r="X205" i="12" s="1"/>
  <c r="AP281" i="6"/>
  <c r="X280" i="12" s="1"/>
  <c r="AP210" i="6"/>
  <c r="X209" i="12" s="1"/>
  <c r="AP109" i="6"/>
  <c r="X108" i="12" s="1"/>
  <c r="AP221" i="6"/>
  <c r="X220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<sst xmlns="http://schemas.openxmlformats.org/spreadsheetml/2006/main" count="5021" uniqueCount="1969">
  <si>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</si>
  <si>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</si>
  <si>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</si>
  <si>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</si>
  <si>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</si>
  <si>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</si>
  <si>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</si>
  <si>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</si>
  <si>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</si>
  <si>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</si>
  <si>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</si>
  <si>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</si>
  <si>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</si>
  <si>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</si>
  <si>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</si>
  <si>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</si>
  <si>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</si>
  <si>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</si>
  <si>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</si>
  <si>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</si>
  <si>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</si>
  <si>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</si>
  <si>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</si>
  <si>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</si>
  <si>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</si>
  <si>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</si>
  <si>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</si>
  <si>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</si>
  <si>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</si>
  <si>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</si>
  <si>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</si>
  <si>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</si>
  <si>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</si>
  <si>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</si>
  <si>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</si>
  <si>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</si>
  <si>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</si>
  <si>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</si>
  <si>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</si>
  <si>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</si>
  <si>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</si>
  <si>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</si>
  <si>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</si>
  <si>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</si>
  <si>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</si>
  <si>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</si>
  <si>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</si>
  <si>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</si>
  <si>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</si>
  <si>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</si>
  <si>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</si>
  <si>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</si>
  <si>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</si>
  <si>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</si>
  <si>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</si>
  <si>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</si>
  <si>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</si>
  <si>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</si>
  <si>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</si>
  <si>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</si>
  <si>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</si>
  <si>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</si>
  <si>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</si>
  <si>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</si>
  <si>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</si>
  <si>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</si>
  <si>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</si>
  <si>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</si>
  <si>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</si>
  <si>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</si>
  <si>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</si>
  <si>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</si>
  <si>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</si>
  <si>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</si>
  <si>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</si>
  <si>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</si>
  <si>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</si>
  <si>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</si>
  <si>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</si>
  <si>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</si>
  <si>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</si>
  <si>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</si>
  <si>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</si>
  <si>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</si>
  <si>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</si>
  <si>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</si>
  <si>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</si>
  <si>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</si>
  <si>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</si>
  <si>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</si>
  <si>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</si>
  <si>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</si>
  <si>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</si>
  <si>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</si>
  <si>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</si>
  <si>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</si>
  <si>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</si>
  <si>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</si>
  <si>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</si>
  <si>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</si>
  <si>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</si>
  <si>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</si>
  <si>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</si>
  <si>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</si>
  <si>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</si>
  <si>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</si>
  <si>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</si>
  <si>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</si>
  <si>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</si>
  <si>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</si>
  <si>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</si>
  <si>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</si>
  <si>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</si>
  <si>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</si>
  <si>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</si>
  <si>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</si>
  <si>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</si>
  <si>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</si>
  <si>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</si>
  <si>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</si>
  <si>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</si>
  <si>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</si>
  <si>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</si>
  <si>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</si>
  <si>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</si>
  <si>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</si>
  <si>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</si>
  <si>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</si>
  <si>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</si>
  <si>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</si>
  <si>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</si>
  <si>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</si>
  <si>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</si>
  <si>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</si>
  <si>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</si>
  <si>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</si>
  <si>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</si>
  <si>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</si>
  <si>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</si>
  <si>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</si>
  <si>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</si>
  <si>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</si>
  <si>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</si>
  <si>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</si>
  <si>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</si>
  <si>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</si>
  <si>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</si>
  <si>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</si>
  <si>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</si>
  <si>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</si>
  <si>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</si>
  <si>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</si>
  <si>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</si>
  <si>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</si>
  <si>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</si>
  <si>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</si>
  <si>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</si>
  <si>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</si>
  <si>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</si>
  <si>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</si>
  <si>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</si>
  <si>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</si>
  <si>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</si>
  <si>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</si>
  <si>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</si>
  <si>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</si>
  <si>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</si>
  <si>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</si>
  <si>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</si>
  <si>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</si>
  <si>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</si>
  <si>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</si>
  <si>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</si>
  <si>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</si>
  <si>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</si>
  <si>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</si>
  <si>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</si>
  <si>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</si>
  <si>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</si>
  <si>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</si>
  <si>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</si>
  <si>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</si>
  <si>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</si>
  <si>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</si>
  <si>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</si>
  <si>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</si>
  <si>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</si>
  <si>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</si>
  <si>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</si>
  <si>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</si>
  <si>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</si>
  <si>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</si>
  <si>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</si>
  <si>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</si>
  <si>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</si>
  <si>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</si>
  <si>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</si>
  <si>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</si>
  <si>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</si>
  <si>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</si>
  <si>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</si>
  <si>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</si>
  <si>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</si>
  <si>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</si>
  <si>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</si>
  <si>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</si>
  <si>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</si>
  <si>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</si>
  <si>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</si>
  <si>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</si>
  <si>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</si>
  <si>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</si>
  <si>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</si>
  <si>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</si>
  <si>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</si>
  <si>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</si>
  <si>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</si>
  <si>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</si>
  <si>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</si>
  <si>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</si>
  <si>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</si>
  <si>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</si>
  <si>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</si>
  <si>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</si>
  <si>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</si>
  <si>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</si>
  <si>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</si>
  <si>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</si>
  <si>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</si>
  <si>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</si>
  <si>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</si>
  <si>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</si>
  <si>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</si>
  <si>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</si>
  <si>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</si>
  <si>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</si>
  <si>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</si>
  <si>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</si>
  <si>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</si>
  <si>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</si>
  <si>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</si>
  <si>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</si>
  <si>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</si>
  <si>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</si>
  <si>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</si>
  <si>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</si>
  <si>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</si>
  <si>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</si>
  <si>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</si>
  <si>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</si>
  <si>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</si>
  <si>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</si>
  <si>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</si>
  <si>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</si>
  <si>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</si>
  <si>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</si>
  <si>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</si>
  <si>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</si>
  <si>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</si>
  <si>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</si>
  <si>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</si>
  <si>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</si>
  <si>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</si>
  <si>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</si>
  <si>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</si>
  <si>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</si>
  <si>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</si>
  <si>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</si>
  <si>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</si>
  <si>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</si>
  <si>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</si>
  <si>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</si>
  <si>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</si>
  <si>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</si>
  <si>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</si>
  <si>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</si>
  <si>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</si>
  <si>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</si>
  <si>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</si>
  <si>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</si>
  <si>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</si>
  <si>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</si>
  <si>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</si>
  <si>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</si>
  <si>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</si>
  <si>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</si>
  <si>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</si>
  <si>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</si>
  <si>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</si>
  <si>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</si>
  <si>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</si>
  <si>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</si>
  <si>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</si>
  <si>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</si>
  <si>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</si>
  <si>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</si>
  <si>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</si>
  <si>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</si>
  <si>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</si>
  <si>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</si>
  <si>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</si>
  <si>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</si>
  <si>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</si>
  <si>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</si>
  <si>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</si>
  <si>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</si>
  <si>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</si>
  <si>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</si>
  <si>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</si>
  <si>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</si>
  <si>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</si>
  <si>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</si>
  <si>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</si>
  <si>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</si>
  <si>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</si>
  <si>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</si>
  <si>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</si>
  <si>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</si>
  <si>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</si>
  <si>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</si>
  <si>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</si>
  <si>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</si>
  <si>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</si>
  <si>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</si>
  <si>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</si>
  <si>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</si>
  <si>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</si>
  <si>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</si>
  <si>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</si>
  <si>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</si>
  <si>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</si>
  <si>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</si>
  <si>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</si>
  <si>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</si>
  <si>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</si>
  <si>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</si>
  <si>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</si>
  <si>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</si>
  <si>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</si>
  <si>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</si>
  <si>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</si>
  <si>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</si>
  <si>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</si>
  <si>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</si>
  <si>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</si>
  <si>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</si>
  <si>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</si>
  <si>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</si>
  <si>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</si>
  <si>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</si>
  <si>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</si>
  <si>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</si>
  <si>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</si>
  <si>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</si>
  <si>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</si>
  <si>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</si>
  <si>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</si>
  <si>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</si>
  <si>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</si>
  <si>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</si>
  <si>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</si>
  <si>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</si>
  <si>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</si>
  <si>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</si>
  <si>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</si>
  <si>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</si>
  <si>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</si>
  <si>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</si>
  <si>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</si>
  <si>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</si>
  <si>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</si>
  <si>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</si>
  <si>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</si>
  <si>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</si>
  <si>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</si>
  <si>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</si>
  <si>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</si>
  <si>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</si>
  <si>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</si>
  <si>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</si>
  <si>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</si>
  <si>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</si>
  <si>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</si>
  <si>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</si>
  <si>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</si>
  <si>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</si>
  <si>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</si>
  <si>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</si>
  <si>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</si>
  <si>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</si>
  <si>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</si>
  <si>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</si>
  <si>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</si>
  <si>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</si>
  <si>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</si>
  <si>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</si>
  <si>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</si>
  <si>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</si>
  <si>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</si>
  <si>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</si>
  <si>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</si>
  <si>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</si>
  <si>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</si>
  <si>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</si>
  <si>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</si>
  <si>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</si>
  <si>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</si>
  <si>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</si>
  <si>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</si>
  <si>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</si>
  <si>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</si>
  <si>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</si>
  <si>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</si>
  <si>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</si>
  <si>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</si>
  <si>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</si>
  <si>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</si>
  <si>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</si>
  <si>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</si>
  <si>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</si>
  <si>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</si>
  <si>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</si>
  <si>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</si>
  <si>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</si>
  <si>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</si>
  <si>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</si>
  <si>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</si>
  <si>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</si>
  <si>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</si>
  <si>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</si>
  <si>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</si>
  <si>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</si>
  <si>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</si>
  <si>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</si>
  <si>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</si>
  <si>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</si>
  <si>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</si>
  <si>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</si>
  <si>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</si>
  <si>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</si>
  <si>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</si>
  <si>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</si>
  <si>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</si>
  <si>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</si>
  <si>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</si>
  <si>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</si>
  <si>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</si>
  <si>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</si>
  <si>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</si>
  <si>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</si>
  <si>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</si>
  <si>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</si>
  <si>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</si>
  <si>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</si>
  <si>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</si>
  <si>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</si>
  <si>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</si>
  <si>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</si>
  <si>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</si>
  <si>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</si>
  <si>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</si>
  <si>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</si>
  <si>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</si>
  <si>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</si>
  <si>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</si>
  <si>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</si>
  <si>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</si>
  <si>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</si>
  <si>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</si>
  <si>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</si>
  <si>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</si>
  <si>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</si>
  <si>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</si>
  <si>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</si>
  <si>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</si>
  <si>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</si>
  <si>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</si>
  <si>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</si>
  <si>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</si>
  <si>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</si>
  <si>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</si>
  <si>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</si>
  <si>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</si>
  <si>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</si>
  <si>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</si>
  <si>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</si>
  <si>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</si>
  <si>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</si>
  <si>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</si>
  <si>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</si>
  <si>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</si>
  <si>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</si>
  <si>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</si>
  <si>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</si>
  <si>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</si>
  <si>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</si>
  <si>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</si>
  <si>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</si>
  <si>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</si>
  <si>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</si>
  <si>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</si>
  <si>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</si>
  <si>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</si>
  <si>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</si>
  <si>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</si>
  <si>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</si>
  <si>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</si>
  <si>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</si>
  <si>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</si>
  <si>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</si>
  <si>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</si>
  <si>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</si>
  <si>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</si>
  <si>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</si>
  <si>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</si>
  <si>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</si>
  <si>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</si>
  <si>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</si>
  <si>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</si>
  <si>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</si>
  <si>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</si>
  <si>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</si>
  <si>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</si>
  <si>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</si>
  <si>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</si>
  <si>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</si>
  <si>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</si>
  <si>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</si>
  <si>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</si>
  <si>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</si>
  <si>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</si>
  <si>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</si>
  <si>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</si>
  <si>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</si>
  <si>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</si>
  <si>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</si>
  <si>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</si>
  <si>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</si>
  <si>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</si>
  <si>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</si>
  <si>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</si>
  <si>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</si>
  <si>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</si>
  <si>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</si>
  <si>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</si>
  <si>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</si>
  <si>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</si>
  <si>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</si>
  <si>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</si>
  <si>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</si>
  <si>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</si>
  <si>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</si>
  <si>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</si>
  <si>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</si>
  <si>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</si>
  <si>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</si>
  <si>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</si>
  <si>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</si>
  <si>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</si>
  <si>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</si>
  <si>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</si>
  <si>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</si>
  <si>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</si>
  <si>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</si>
  <si>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</si>
  <si>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</si>
  <si>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</si>
  <si>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</si>
  <si>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</si>
  <si>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</si>
  <si>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</si>
  <si>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</si>
  <si>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</si>
  <si>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</si>
  <si>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</si>
  <si>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</si>
  <si>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</si>
  <si>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</si>
  <si>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</si>
  <si>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</si>
  <si>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</si>
  <si>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</si>
  <si>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</si>
  <si>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</si>
  <si>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</si>
  <si>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</si>
  <si>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</si>
  <si>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</si>
  <si>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</si>
  <si>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</si>
  <si>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</si>
  <si>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</si>
  <si>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</si>
  <si>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</si>
  <si>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</si>
  <si>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</si>
  <si>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</si>
  <si>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</si>
  <si>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</si>
  <si>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</si>
  <si>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</si>
  <si>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</si>
  <si>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</si>
  <si>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</si>
  <si>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</si>
  <si>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</si>
  <si>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</si>
  <si>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</si>
  <si>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</si>
  <si>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</si>
  <si>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</si>
  <si>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</si>
  <si>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</si>
  <si>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</si>
  <si>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</si>
  <si>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</si>
  <si>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</si>
  <si>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</si>
  <si>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</si>
  <si>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</si>
  <si>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</si>
  <si>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</si>
  <si>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</si>
  <si>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</si>
  <si>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</si>
  <si>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</si>
  <si>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</si>
  <si>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</si>
  <si>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</si>
  <si>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</si>
  <si>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</si>
  <si>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</si>
  <si>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</si>
  <si>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</si>
  <si>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</si>
  <si>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</si>
  <si>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</si>
  <si>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</si>
  <si>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</si>
  <si>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</si>
  <si>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</si>
  <si>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</si>
  <si>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</si>
  <si>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</si>
  <si>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</si>
  <si>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</si>
  <si>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</si>
  <si>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</si>
  <si>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</si>
  <si>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</si>
  <si>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</si>
  <si>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</si>
  <si>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</si>
  <si>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</si>
  <si>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</si>
  <si>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</si>
  <si>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</si>
  <si>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</si>
  <si>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</si>
  <si>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</si>
  <si>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</si>
  <si>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</si>
  <si>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</si>
  <si>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</si>
  <si>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</si>
  <si>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</si>
  <si>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</si>
  <si>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</si>
  <si>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</si>
  <si>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</si>
  <si>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</si>
  <si>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</si>
  <si>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</si>
  <si>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</si>
  <si>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</si>
  <si>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</si>
  <si>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</si>
  <si>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</si>
  <si>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</si>
  <si>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</si>
  <si>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</si>
  <si>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</si>
  <si>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</si>
  <si>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</si>
  <si>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</si>
  <si>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</si>
  <si>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</si>
  <si>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</si>
  <si>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</si>
  <si>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</si>
  <si>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</si>
  <si>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</si>
  <si>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</si>
  <si>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</si>
  <si>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</si>
  <si>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</si>
  <si>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</si>
  <si>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</si>
  <si>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</si>
  <si>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</si>
  <si>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</si>
  <si>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</si>
  <si>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</si>
  <si>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</si>
  <si>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</si>
  <si>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</si>
  <si>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</si>
  <si>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</si>
  <si>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</si>
  <si>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</si>
  <si>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</si>
  <si>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</si>
  <si>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</si>
  <si>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</si>
  <si>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</si>
  <si>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</si>
  <si>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</si>
  <si>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</si>
  <si>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</si>
  <si>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</si>
  <si>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</si>
  <si>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</si>
  <si>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</si>
  <si>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</si>
  <si>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</si>
  <si>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</si>
  <si>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</si>
  <si>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</si>
  <si>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</si>
  <si>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</si>
  <si>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</si>
  <si>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</si>
  <si>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</si>
  <si>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</si>
  <si>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</si>
  <si>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</si>
  <si>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</si>
  <si>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</si>
  <si>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</si>
  <si>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</si>
  <si>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</si>
  <si>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</si>
  <si>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</si>
  <si>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</si>
  <si>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</si>
  <si>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</si>
  <si>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</si>
  <si>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</si>
  <si>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</si>
  <si>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</si>
  <si>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</si>
  <si>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</si>
  <si>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</si>
  <si>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</si>
  <si>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</si>
  <si>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</si>
  <si>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</si>
  <si>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</si>
  <si>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</si>
  <si>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</si>
  <si>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</si>
  <si>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</si>
  <si>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</si>
  <si>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</si>
  <si>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</si>
  <si>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</si>
  <si>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</si>
  <si>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</si>
  <si>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</si>
  <si>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</si>
  <si>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</si>
  <si>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</si>
  <si>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</si>
  <si>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</si>
  <si>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</si>
  <si>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</si>
  <si>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</si>
  <si>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</si>
  <si>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</si>
  <si>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</si>
  <si>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</si>
  <si>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</si>
  <si>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</si>
  <si>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</si>
  <si>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</si>
  <si>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</si>
  <si>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</si>
  <si>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</si>
  <si>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</si>
  <si>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</si>
  <si>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</si>
  <si>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</si>
  <si>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</si>
  <si>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</si>
  <si>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</si>
  <si>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</si>
  <si>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</si>
  <si>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</si>
  <si>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</si>
  <si>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</si>
  <si>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</si>
  <si>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</si>
  <si>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</si>
  <si>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</si>
  <si>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</si>
  <si>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</si>
  <si>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</si>
  <si>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</si>
  <si>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</si>
  <si>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</si>
  <si>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</si>
  <si>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</si>
  <si>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</si>
  <si>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</si>
  <si>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</si>
  <si>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</si>
  <si>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</si>
  <si>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</si>
  <si>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</si>
  <si>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</si>
  <si>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</si>
  <si>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</si>
  <si>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</si>
  <si>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</si>
  <si>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</si>
  <si>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</si>
  <si>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</si>
  <si>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</si>
  <si>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</si>
  <si>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</si>
  <si>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</si>
  <si>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</si>
  <si>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</si>
  <si>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</si>
  <si>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</si>
  <si>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</si>
  <si>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</si>
  <si>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</si>
  <si>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</si>
  <si>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</si>
  <si>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</si>
  <si>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</si>
  <si>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</si>
  <si>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</si>
  <si>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</si>
  <si>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</si>
  <si>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</si>
  <si>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</si>
  <si>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</si>
  <si>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</si>
  <si>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</si>
  <si>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</si>
  <si>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</si>
  <si>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</si>
  <si>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</si>
  <si>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</si>
  <si>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</si>
  <si>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</si>
  <si>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</si>
  <si>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</si>
  <si>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</si>
  <si>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</si>
  <si>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</si>
  <si>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</si>
  <si>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</si>
  <si>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</si>
  <si>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</si>
  <si>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</si>
  <si>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</si>
  <si>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</si>
  <si>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</si>
  <si>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</si>
  <si>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</si>
  <si>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</si>
  <si>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</si>
  <si>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</si>
  <si>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</si>
  <si>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</si>
  <si>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</si>
  <si>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</si>
  <si>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</si>
  <si>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</si>
  <si>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</si>
  <si>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</si>
  <si>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</si>
  <si>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</si>
  <si>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</si>
  <si>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</si>
  <si>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</si>
  <si>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</si>
  <si>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</si>
  <si>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</si>
  <si>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</si>
  <si>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</si>
  <si>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</si>
  <si>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</si>
  <si>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</si>
  <si>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</si>
  <si>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</si>
  <si>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</si>
  <si>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</si>
  <si>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</si>
  <si>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</si>
  <si>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</si>
  <si>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</si>
  <si>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</si>
  <si>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</si>
  <si>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</si>
  <si>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</si>
  <si>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</si>
  <si>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</si>
  <si>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</si>
  <si>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</si>
  <si>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</si>
  <si>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</si>
  <si>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</si>
  <si>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</si>
  <si>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</si>
  <si>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</si>
  <si>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</si>
  <si>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</si>
  <si>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</si>
  <si>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</si>
  <si>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</si>
  <si>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</si>
  <si>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</si>
  <si>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</si>
  <si>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</si>
  <si>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</si>
  <si>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</si>
  <si>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</si>
  <si>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</si>
  <si>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</si>
  <si>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</si>
  <si>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</si>
  <si>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</si>
  <si>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</si>
  <si>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</si>
  <si>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</si>
  <si>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</si>
  <si>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</si>
  <si>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</si>
  <si>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</si>
  <si>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</si>
  <si>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</si>
  <si>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</si>
  <si>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</si>
  <si>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</si>
  <si>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</si>
  <si>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</si>
  <si>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</si>
  <si>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</si>
  <si>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</si>
  <si>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</si>
  <si>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</si>
  <si>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</si>
  <si>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</si>
  <si>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</si>
  <si>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</si>
  <si>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</si>
  <si>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</si>
  <si>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</si>
  <si>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</si>
  <si>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</si>
  <si>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</si>
  <si>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</si>
  <si>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</si>
  <si>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</si>
  <si>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</si>
  <si>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</si>
  <si>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</si>
  <si>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</si>
  <si>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</si>
  <si>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</si>
  <si>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</si>
  <si>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</si>
  <si>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</si>
  <si>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</si>
  <si>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</si>
  <si>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</si>
  <si>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</si>
  <si>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</si>
  <si>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</si>
  <si>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</si>
  <si>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</si>
  <si>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</si>
  <si>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</si>
  <si>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</si>
  <si>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</si>
  <si>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</si>
  <si>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</si>
  <si>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</si>
  <si>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</si>
  <si>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</si>
  <si>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</si>
  <si>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</si>
  <si>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</si>
  <si>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</si>
  <si>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</si>
  <si>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</si>
  <si>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</si>
  <si>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</si>
  <si>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</si>
  <si>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</si>
  <si>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</si>
  <si>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</si>
  <si>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</si>
  <si>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</si>
  <si>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</si>
  <si>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</si>
  <si>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</si>
  <si>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</si>
  <si>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</si>
  <si>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</si>
  <si>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</si>
  <si>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</si>
  <si>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</si>
  <si>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</si>
  <si>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</si>
  <si>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</si>
  <si>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</si>
  <si>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</si>
  <si>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</si>
  <si>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</si>
  <si>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</si>
  <si>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</si>
  <si>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</si>
  <si>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</si>
  <si>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</si>
  <si>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</si>
  <si>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</si>
  <si>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</si>
  <si>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</si>
  <si>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</si>
  <si>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</si>
  <si>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</si>
  <si>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</si>
  <si>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</si>
  <si>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</si>
  <si>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</si>
  <si>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</si>
  <si>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</si>
  <si>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</si>
  <si>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</si>
  <si>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</si>
  <si>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</si>
  <si>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</si>
  <si>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</si>
  <si>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</si>
  <si>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</si>
  <si>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</si>
  <si>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</si>
  <si>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</si>
  <si>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</si>
  <si>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</si>
  <si>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</si>
  <si>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</si>
  <si>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</si>
  <si>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</si>
  <si>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</si>
  <si>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</si>
  <si>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</si>
  <si>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</si>
  <si>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</si>
  <si>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</si>
  <si>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</si>
  <si>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</si>
  <si>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</si>
  <si>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</si>
  <si>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</si>
  <si>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</si>
  <si>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</si>
  <si>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</si>
  <si>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</si>
  <si>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</si>
  <si>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</si>
  <si>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</si>
  <si>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</si>
  <si>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</si>
  <si>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</si>
  <si>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</si>
  <si>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</si>
  <si>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</si>
  <si>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</si>
  <si>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</si>
  <si>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</si>
  <si>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</si>
  <si>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</si>
  <si>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</si>
  <si>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</si>
  <si>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</si>
  <si>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</si>
  <si>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</si>
  <si>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</si>
  <si>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</si>
  <si>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</si>
  <si>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</si>
  <si>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</si>
  <si>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</si>
  <si>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</si>
  <si>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</si>
  <si>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</si>
  <si>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</si>
  <si>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</si>
  <si>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</si>
  <si>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</si>
  <si>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</si>
  <si>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</si>
  <si>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</si>
  <si>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</si>
  <si>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</si>
  <si>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</si>
  <si>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</si>
  <si>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</si>
  <si>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</si>
  <si>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</si>
  <si>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</si>
  <si>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</si>
  <si>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</si>
  <si>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</si>
  <si>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</si>
  <si>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</si>
  <si>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</si>
  <si>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</si>
  <si>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</si>
  <si>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</si>
  <si>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</si>
  <si>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</si>
  <si>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</si>
  <si>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</si>
  <si>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</si>
  <si>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</si>
  <si>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</si>
  <si>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</si>
  <si>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</si>
  <si>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</si>
  <si>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</si>
  <si>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</si>
  <si>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</si>
  <si>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</si>
  <si>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</si>
  <si>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</si>
  <si>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</si>
  <si>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</si>
  <si>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</si>
  <si>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</si>
  <si>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</si>
  <si>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</si>
  <si>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</si>
  <si>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</si>
  <si>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</si>
  <si>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</si>
  <si>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</si>
  <si>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</si>
  <si>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</si>
  <si>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</si>
  <si>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</si>
  <si>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</si>
  <si>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</si>
  <si>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</si>
  <si>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</si>
  <si>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</si>
  <si>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</si>
  <si>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</si>
  <si>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</si>
  <si>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</si>
  <si>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</si>
  <si>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</si>
  <si>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</si>
  <si>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</si>
  <si>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</si>
  <si>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</si>
  <si>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</si>
  <si>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</si>
  <si>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</si>
  <si>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</si>
  <si>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</si>
  <si>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</si>
  <si>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</si>
  <si>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</si>
  <si>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</si>
  <si>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</si>
  <si>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</si>
  <si>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</si>
  <si>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</si>
  <si>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</si>
  <si>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</si>
  <si>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</si>
  <si>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</si>
  <si>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</si>
  <si>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</si>
  <si>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</si>
  <si>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</si>
  <si>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</si>
  <si>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</si>
  <si>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</si>
  <si>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</si>
  <si>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</si>
  <si>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</si>
  <si>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</si>
  <si>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</si>
  <si>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</si>
  <si>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</si>
  <si>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</si>
  <si>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</si>
  <si>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</si>
  <si>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</si>
  <si>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</si>
  <si>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</si>
  <si>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</si>
  <si>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</si>
  <si>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</si>
  <si>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</si>
  <si>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</si>
  <si>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</si>
  <si>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</si>
  <si>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</si>
  <si>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</si>
  <si>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</si>
  <si>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</si>
  <si>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</si>
  <si>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</si>
  <si>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</si>
  <si>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</si>
  <si>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</si>
  <si>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</si>
  <si>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</si>
  <si>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</si>
  <si>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</si>
  <si>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</si>
  <si>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</si>
  <si>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</si>
  <si>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</si>
  <si>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</si>
  <si>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</si>
  <si>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</si>
  <si>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</si>
  <si>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</si>
  <si>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</si>
  <si>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</si>
  <si>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</si>
  <si>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</si>
  <si>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</si>
  <si>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</si>
  <si>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</si>
  <si>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</si>
  <si>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</si>
  <si>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</si>
  <si>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</si>
  <si>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</si>
  <si>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</si>
  <si>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</si>
  <si>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</si>
  <si>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</si>
  <si>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</si>
  <si>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</si>
  <si>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</si>
  <si>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</si>
  <si>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</si>
  <si>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</si>
  <si>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</si>
  <si>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</si>
  <si>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</si>
  <si>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</si>
  <si>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</si>
  <si>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</si>
  <si>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</si>
  <si>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</si>
  <si>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</si>
  <si>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</si>
  <si>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</si>
  <si>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</si>
  <si>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</si>
  <si>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</si>
  <si>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</si>
  <si>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</si>
  <si>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</si>
  <si>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</si>
  <si>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</si>
  <si>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</si>
  <si>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</si>
  <si>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</si>
  <si>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</si>
  <si>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</si>
  <si>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</si>
  <si>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</si>
  <si>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</si>
  <si>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</si>
  <si>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</si>
  <si>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</si>
  <si>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</si>
  <si>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</si>
  <si>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</si>
  <si>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</si>
  <si>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</si>
  <si>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</si>
  <si>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</si>
  <si>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</si>
  <si>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</si>
  <si>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</si>
  <si>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</si>
  <si>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</si>
  <si>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</si>
  <si>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</si>
  <si>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</si>
  <si>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</si>
  <si>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</si>
  <si>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</si>
  <si>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</si>
  <si>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</si>
  <si>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</si>
  <si>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</si>
  <si>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</si>
  <si>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</si>
  <si>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</si>
  <si>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</si>
  <si>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</si>
  <si>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</si>
  <si>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</si>
  <si>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</si>
  <si>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</si>
  <si>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</si>
  <si>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</si>
  <si>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</si>
  <si>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</si>
  <si>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</si>
  <si>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</si>
  <si>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</si>
  <si>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</si>
  <si>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</si>
  <si>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</si>
  <si>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</si>
  <si>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</si>
  <si>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</si>
  <si>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</si>
  <si>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</si>
  <si>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</si>
  <si>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</si>
  <si>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</si>
  <si>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</si>
  <si>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</si>
  <si>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</si>
  <si>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</si>
  <si>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</si>
  <si>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</si>
  <si>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</si>
  <si>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</si>
  <si>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</si>
  <si>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</si>
  <si>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</si>
  <si>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</si>
  <si>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</si>
  <si>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</si>
  <si>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</si>
  <si>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</si>
  <si>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</si>
  <si>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</si>
  <si>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</si>
  <si>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</si>
  <si>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</si>
  <si>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</si>
  <si>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</si>
  <si>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</si>
  <si>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</si>
  <si>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</si>
  <si>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</si>
  <si>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</si>
  <si>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</si>
  <si>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</si>
  <si>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</si>
  <si>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</si>
  <si>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</si>
  <si>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</si>
  <si>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</si>
  <si>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</si>
  <si>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</si>
  <si>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</si>
  <si>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</si>
  <si>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</si>
  <si>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</si>
  <si>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</si>
  <si>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</si>
  <si>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</si>
  <si>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</si>
  <si>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</si>
  <si>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</si>
  <si>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</si>
  <si>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</si>
  <si>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</si>
  <si>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</si>
  <si>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</si>
  <si>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</si>
  <si>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</si>
  <si>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</si>
  <si>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</si>
  <si>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</si>
  <si>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</si>
  <si>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</si>
  <si>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</si>
  <si>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</si>
  <si>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</si>
  <si>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</si>
  <si>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</si>
  <si>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</si>
  <si>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</si>
  <si>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</si>
  <si>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</si>
  <si>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</si>
  <si>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</si>
  <si>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</si>
  <si>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</si>
  <si>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</si>
  <si>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</si>
  <si>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</si>
  <si>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</si>
  <si>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</si>
  <si>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</si>
  <si>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</si>
  <si>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</si>
  <si>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</si>
  <si>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</si>
  <si>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</si>
  <si>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</si>
  <si>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</si>
  <si>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</si>
  <si>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</si>
  <si>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</si>
  <si>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</si>
  <si>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</si>
  <si>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</si>
  <si>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</si>
  <si>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</si>
  <si>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</si>
  <si>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</si>
  <si>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</si>
  <si>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</si>
  <si>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</si>
  <si>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</si>
  <si>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</si>
  <si>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</si>
  <si>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</si>
  <si>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</si>
  <si>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</si>
  <si>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</si>
  <si>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</si>
  <si>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</si>
  <si>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</si>
  <si>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</si>
  <si>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</si>
  <si>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</si>
  <si>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</si>
  <si>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</si>
  <si>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</si>
  <si>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</si>
  <si>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</si>
  <si>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</si>
  <si>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</si>
  <si>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</si>
  <si>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</si>
  <si>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</si>
  <si>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</si>
  <si>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</si>
  <si>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</si>
  <si>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</si>
  <si>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</si>
  <si>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</si>
  <si>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</si>
  <si>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</si>
  <si>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</si>
  <si>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</si>
  <si>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</si>
  <si>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</si>
  <si>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</si>
  <si>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</si>
  <si>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</si>
  <si>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</si>
  <si>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</si>
  <si>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</si>
  <si>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</si>
  <si>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</si>
  <si>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</si>
  <si>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</si>
  <si>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</si>
  <si>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</si>
  <si>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</si>
  <si>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</si>
  <si>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</si>
  <si>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</si>
  <si>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</si>
  <si>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</si>
  <si>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</si>
  <si>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</si>
  <si>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</si>
  <si>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</si>
  <si>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</si>
  <si>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</si>
  <si>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</si>
  <si>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</si>
  <si>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</si>
  <si>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</si>
  <si>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</si>
  <si>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</si>
  <si>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</si>
  <si>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</si>
  <si>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</si>
  <si>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</si>
  <si>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</si>
  <si>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</si>
  <si>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</si>
  <si>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</si>
  <si>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</si>
  <si>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</si>
  <si>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</si>
  <si>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</si>
  <si>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</si>
  <si>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</si>
  <si>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</si>
  <si>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</si>
  <si>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</si>
  <si>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</si>
  <si>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</si>
  <si>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</si>
  <si>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</si>
  <si>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</si>
  <si>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</si>
  <si>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</si>
  <si>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</si>
  <si>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</si>
  <si>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</si>
  <si>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</si>
  <si>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</si>
  <si>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</si>
  <si>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</si>
  <si>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</si>
  <si>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</si>
  <si>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</si>
  <si>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</si>
  <si>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</si>
  <si>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</si>
  <si>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</si>
  <si>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</si>
  <si>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</si>
  <si>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</si>
  <si>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</si>
  <si>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</si>
  <si>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</si>
  <si>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</si>
  <si>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</si>
  <si>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</si>
  <si>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</si>
  <si>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</si>
  <si>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</si>
  <si>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</si>
  <si>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</si>
  <si>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</si>
  <si>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</si>
  <si>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</si>
  <si>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</si>
  <si>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</si>
  <si>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</si>
  <si>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</si>
  <si>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</si>
  <si>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</si>
  <si>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</si>
  <si>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</si>
  <si>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</si>
  <si>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</si>
  <si>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</si>
  <si>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</si>
  <si>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</si>
  <si>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</si>
  <si>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</si>
  <si>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</si>
  <si>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</si>
  <si>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</si>
  <si>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</si>
  <si>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</si>
  <si>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</si>
  <si>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</si>
  <si>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</si>
  <si>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</si>
  <si>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</si>
  <si>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</si>
  <si>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</si>
  <si>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</si>
  <si>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</si>
  <si>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</si>
  <si>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</si>
  <si>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</si>
  <si>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</si>
  <si>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</si>
  <si>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</si>
  <si>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</si>
  <si>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</si>
  <si>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</si>
  <si>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</si>
  <si>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</si>
  <si>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</si>
  <si>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</si>
  <si>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</si>
  <si>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</si>
  <si>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</si>
  <si>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</si>
  <si>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</si>
  <si>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</si>
  <si>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</si>
  <si>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</si>
  <si>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</si>
  <si>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</si>
  <si>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</si>
  <si>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</si>
  <si>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</si>
  <si>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</si>
  <si>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</si>
  <si>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</si>
  <si>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</si>
  <si>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</si>
  <si>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</si>
  <si>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</si>
  <si>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</si>
  <si>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</si>
  <si>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</si>
  <si>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</si>
  <si>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</si>
  <si>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</si>
  <si>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</si>
  <si>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</si>
  <si>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</si>
  <si>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</si>
  <si>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</si>
  <si>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</si>
  <si>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</si>
  <si>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</si>
  <si>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</si>
  <si>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</si>
  <si>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</si>
  <si>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</si>
  <si>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</si>
  <si>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</si>
  <si>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</si>
  <si>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</si>
  <si>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</si>
  <si>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</si>
  <si>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</si>
  <si>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</si>
  <si>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</si>
  <si>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</si>
  <si>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</si>
  <si>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</si>
  <si>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</si>
  <si>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</si>
  <si>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</si>
  <si>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</si>
  <si>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</si>
  <si>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</si>
  <si>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</si>
  <si>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</si>
  <si>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</si>
  <si>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</si>
  <si>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</si>
  <si>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</si>
  <si>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</si>
  <si>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</si>
  <si>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</si>
  <si>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</si>
  <si>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</si>
  <si>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</si>
  <si>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</si>
  <si>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</si>
  <si>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</si>
  <si>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</si>
  <si>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</si>
  <si>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</si>
  <si>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</si>
  <si>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</si>
  <si>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</si>
  <si>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</si>
  <si>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</si>
  <si>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</si>
  <si>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</si>
  <si>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</si>
  <si>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</si>
  <si>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</si>
  <si>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</si>
  <si>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</si>
  <si>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</si>
  <si>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</si>
  <si>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</si>
  <si>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</si>
  <si>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</si>
  <si>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</si>
  <si>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</si>
  <si>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</si>
  <si>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</si>
  <si>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</si>
  <si>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</si>
  <si>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</si>
  <si>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</si>
  <si>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</si>
  <si>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</si>
  <si>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</si>
  <si>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</si>
  <si>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</si>
  <si>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</si>
  <si>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</si>
  <si>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</si>
  <si>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</si>
  <si>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</si>
  <si>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</si>
  <si>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</si>
  <si>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</si>
  <si>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</si>
  <si>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</si>
  <si>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</si>
  <si>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</si>
  <si>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</si>
  <si>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</si>
  <si>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</si>
  <si>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</si>
  <si>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</si>
  <si>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</si>
  <si>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</si>
  <si>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</si>
  <si>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</si>
  <si>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</si>
  <si>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</si>
  <si>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</si>
  <si>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</si>
  <si>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</si>
  <si>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</si>
  <si>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</si>
  <si>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</si>
  <si>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</si>
  <si>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</si>
  <si>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</si>
  <si>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</si>
  <si>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</si>
  <si>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</si>
  <si>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</si>
  <si>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</si>
  <si>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</si>
  <si>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</si>
  <si>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</si>
  <si>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</si>
  <si>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</si>
  <si>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</si>
  <si>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</si>
  <si>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</si>
  <si>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</si>
  <si>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</si>
  <si>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</si>
  <si>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</si>
  <si>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</si>
  <si>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</si>
  <si>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</si>
  <si>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</si>
  <si>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</si>
  <si>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</si>
  <si>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</si>
  <si>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</si>
  <si>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</si>
  <si>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</si>
  <si>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</si>
  <si>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</si>
  <si>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</si>
  <si>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</si>
  <si>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</si>
  <si>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</si>
  <si>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</si>
  <si>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</si>
  <si>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</si>
  <si>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</si>
  <si>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</si>
  <si>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</si>
  <si>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</si>
  <si>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</si>
  <si>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</si>
  <si>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</si>
  <si>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</si>
  <si>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</si>
  <si>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</si>
  <si>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</si>
  <si>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</si>
  <si>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</si>
  <si>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</si>
  <si>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</si>
  <si>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</si>
  <si>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</si>
  <si>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</si>
  <si>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</si>
  <si>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</si>
  <si>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</si>
  <si>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</si>
  <si>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</si>
  <si>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</si>
  <si>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</si>
  <si>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</si>
  <si>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</si>
  <si>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</si>
  <si>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</si>
  <si>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</si>
  <si>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</si>
  <si>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</si>
  <si>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</si>
  <si>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</si>
  <si>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</si>
  <si>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</si>
  <si>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</si>
  <si>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</si>
  <si>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</si>
  <si>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</si>
  <si>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</si>
  <si>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</si>
  <si>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</si>
  <si>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</si>
  <si>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</si>
  <si>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</si>
  <si>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</si>
  <si>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</si>
  <si>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</si>
  <si>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</si>
  <si>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</si>
  <si>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</si>
  <si>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</si>
  <si>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</si>
  <si>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</si>
  <si>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</si>
  <si>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</si>
  <si>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</si>
  <si>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</si>
  <si>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</si>
  <si>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</si>
  <si>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</si>
  <si>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</si>
  <si>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</si>
  <si>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</si>
  <si>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</si>
  <si>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</si>
  <si>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</si>
  <si>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</si>
  <si>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</si>
  <si>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</si>
  <si>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</si>
  <si>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</si>
  <si>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</si>
  <si>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</si>
  <si>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</si>
  <si>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</si>
  <si>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</si>
  <si>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</si>
  <si>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</si>
  <si>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</si>
  <si>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</si>
  <si>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</si>
  <si>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</si>
  <si>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</si>
  <si>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</si>
  <si>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</si>
  <si>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</si>
  <si>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</si>
  <si>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</si>
  <si>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</si>
  <si>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</si>
  <si>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</si>
  <si>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</si>
  <si>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</si>
  <si>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</si>
  <si>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</si>
  <si>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</si>
  <si>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</si>
  <si>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</si>
  <si>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</si>
  <si>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</si>
  <si>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</si>
  <si>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</si>
  <si>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</si>
  <si>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</si>
  <si>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</si>
  <si>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</si>
  <si>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</si>
  <si>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</si>
  <si>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</si>
  <si>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</si>
  <si>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</si>
  <si>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</si>
  <si>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</si>
  <si>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</si>
  <si>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</si>
  <si>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</si>
  <si>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</si>
  <si>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</si>
  <si>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</si>
  <si>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</si>
  <si>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</si>
  <si>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</si>
  <si>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</si>
  <si>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</si>
  <si>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</si>
  <si>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</si>
  <si>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</si>
  <si>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</si>
  <si>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</si>
  <si>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</si>
  <si>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</si>
  <si>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</si>
  <si>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</si>
  <si>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</si>
  <si>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</si>
  <si>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</si>
  <si>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</si>
  <si>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</si>
  <si>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</si>
  <si>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</si>
  <si>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</si>
  <si>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</si>
  <si>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</si>
  <si>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</si>
  <si>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</si>
  <si>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</si>
  <si>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</si>
  <si>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</si>
  <si>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</si>
  <si>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</si>
  <si>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</si>
  <si>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</si>
  <si>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</si>
  <si>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</si>
  <si>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</si>
  <si>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</si>
  <si>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</si>
  <si>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</si>
  <si>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</si>
  <si>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</si>
  <si>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</si>
  <si>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</si>
  <si>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 xml:space="preserve">Formula E Gen3 Evo Championship Edition 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</si>
  <si>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</si>
  <si>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</si>
  <si>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</si>
  <si>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</si>
  <si>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</si>
  <si>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</si>
  <si>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</si>
  <si>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</si>
  <si>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</si>
  <si>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</si>
  <si>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？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</si>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</sst>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5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7">
                  <c:v>1</c:v>
                </c:pt>
                <c:pt idx="218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7">
                  <c:v>350</c:v>
                </c:pt>
                <c:pt idx="208">
                  <c:v>340</c:v>
                </c:pt>
                <c:pt idx="211">
                  <c:v>354</c:v>
                </c:pt>
                <c:pt idx="214">
                  <c:v>350</c:v>
                </c:pt>
                <c:pt idx="217">
                  <c:v>354</c:v>
                </c:pt>
                <c:pt idx="218">
                  <c:v>360</c:v>
                </c:pt>
                <c:pt idx="226">
                  <c:v>350</c:v>
                </c:pt>
                <c:pt idx="227">
                  <c:v>350</c:v>
                </c:pt>
                <c:pt idx="229">
                  <c:v>370</c:v>
                </c:pt>
                <c:pt idx="230">
                  <c:v>395</c:v>
                </c:pt>
                <c:pt idx="232">
                  <c:v>355</c:v>
                </c:pt>
                <c:pt idx="235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7">
                  <c:v>73</c:v>
                </c:pt>
                <c:pt idx="208">
                  <c:v>73.900000000000006</c:v>
                </c:pt>
                <c:pt idx="211">
                  <c:v>75.7</c:v>
                </c:pt>
                <c:pt idx="214">
                  <c:v>77.5</c:v>
                </c:pt>
                <c:pt idx="217">
                  <c:v>77.41</c:v>
                </c:pt>
                <c:pt idx="218">
                  <c:v>73</c:v>
                </c:pt>
                <c:pt idx="226">
                  <c:v>74.8</c:v>
                </c:pt>
                <c:pt idx="227">
                  <c:v>76.599999999999994</c:v>
                </c:pt>
                <c:pt idx="229">
                  <c:v>75.7</c:v>
                </c:pt>
                <c:pt idx="230">
                  <c:v>74.8</c:v>
                </c:pt>
                <c:pt idx="232">
                  <c:v>73.900000000000006</c:v>
                </c:pt>
                <c:pt idx="235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7">
                  <c:v>60.62</c:v>
                </c:pt>
                <c:pt idx="208">
                  <c:v>66.86</c:v>
                </c:pt>
                <c:pt idx="211">
                  <c:v>49.56</c:v>
                </c:pt>
                <c:pt idx="214">
                  <c:v>52.98</c:v>
                </c:pt>
                <c:pt idx="217">
                  <c:v>57.27</c:v>
                </c:pt>
                <c:pt idx="218">
                  <c:v>47.83</c:v>
                </c:pt>
                <c:pt idx="226">
                  <c:v>39.22</c:v>
                </c:pt>
                <c:pt idx="227">
                  <c:v>38.450000000000003</c:v>
                </c:pt>
                <c:pt idx="229">
                  <c:v>35.26</c:v>
                </c:pt>
                <c:pt idx="230">
                  <c:v>37</c:v>
                </c:pt>
                <c:pt idx="232">
                  <c:v>53.52</c:v>
                </c:pt>
                <c:pt idx="235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7">
                  <c:v>48.65</c:v>
                </c:pt>
                <c:pt idx="208">
                  <c:v>43.65</c:v>
                </c:pt>
                <c:pt idx="211">
                  <c:v>53.16</c:v>
                </c:pt>
                <c:pt idx="214">
                  <c:v>46.61</c:v>
                </c:pt>
                <c:pt idx="217">
                  <c:v>43.91</c:v>
                </c:pt>
                <c:pt idx="218">
                  <c:v>51.73</c:v>
                </c:pt>
                <c:pt idx="226">
                  <c:v>61.9</c:v>
                </c:pt>
                <c:pt idx="227">
                  <c:v>64.959999999999994</c:v>
                </c:pt>
                <c:pt idx="229">
                  <c:v>53.84</c:v>
                </c:pt>
                <c:pt idx="230">
                  <c:v>39.79</c:v>
                </c:pt>
                <c:pt idx="232">
                  <c:v>61.51</c:v>
                </c:pt>
                <c:pt idx="235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7">
                  <c:v>16.199999999999989</c:v>
                </c:pt>
                <c:pt idx="208">
                  <c:v>20.199999999999989</c:v>
                </c:pt>
                <c:pt idx="211">
                  <c:v>17.699999999999989</c:v>
                </c:pt>
                <c:pt idx="214">
                  <c:v>14.600000000000023</c:v>
                </c:pt>
                <c:pt idx="217">
                  <c:v>23.399999999999977</c:v>
                </c:pt>
                <c:pt idx="218">
                  <c:v>18.899999999999977</c:v>
                </c:pt>
                <c:pt idx="226">
                  <c:v>13.899999999999977</c:v>
                </c:pt>
                <c:pt idx="227">
                  <c:v>13.100000000000023</c:v>
                </c:pt>
                <c:pt idx="229">
                  <c:v>11.699999999999989</c:v>
                </c:pt>
                <c:pt idx="230">
                  <c:v>12.5</c:v>
                </c:pt>
                <c:pt idx="232">
                  <c:v>15.199999999999989</c:v>
                </c:pt>
                <c:pt idx="235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7">
                  <c:v>8.0300000000000011</c:v>
                </c:pt>
                <c:pt idx="208">
                  <c:v>9.2399999999999949</c:v>
                </c:pt>
                <c:pt idx="211">
                  <c:v>7.230000000000004</c:v>
                </c:pt>
                <c:pt idx="214">
                  <c:v>8.0300000000000011</c:v>
                </c:pt>
                <c:pt idx="217">
                  <c:v>4.8200000000000074</c:v>
                </c:pt>
                <c:pt idx="218">
                  <c:v>7.230000000000004</c:v>
                </c:pt>
                <c:pt idx="226">
                  <c:v>5.6800000000000068</c:v>
                </c:pt>
                <c:pt idx="227">
                  <c:v>7.3000000000000114</c:v>
                </c:pt>
                <c:pt idx="229">
                  <c:v>5.6799999999999926</c:v>
                </c:pt>
                <c:pt idx="230">
                  <c:v>5.6800000000000068</c:v>
                </c:pt>
                <c:pt idx="232">
                  <c:v>7.2999999999999972</c:v>
                </c:pt>
                <c:pt idx="235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7">
                  <c:v>21.860000000000007</c:v>
                </c:pt>
                <c:pt idx="208">
                  <c:v>27.36</c:v>
                </c:pt>
                <c:pt idx="211">
                  <c:v>18.25</c:v>
                </c:pt>
                <c:pt idx="214">
                  <c:v>22.759999999999998</c:v>
                </c:pt>
                <c:pt idx="217">
                  <c:v>24.490000000000002</c:v>
                </c:pt>
                <c:pt idx="218">
                  <c:v>24.340000000000003</c:v>
                </c:pt>
                <c:pt idx="226">
                  <c:v>8.240000000000002</c:v>
                </c:pt>
                <c:pt idx="227">
                  <c:v>5.2999999999999972</c:v>
                </c:pt>
                <c:pt idx="229">
                  <c:v>8.1200000000000045</c:v>
                </c:pt>
                <c:pt idx="230">
                  <c:v>3.9699999999999989</c:v>
                </c:pt>
                <c:pt idx="232">
                  <c:v>8.8699999999999974</c:v>
                </c:pt>
                <c:pt idx="235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7">
                  <c:v>21.449999999999996</c:v>
                </c:pt>
                <c:pt idx="208">
                  <c:v>26.140000000000008</c:v>
                </c:pt>
                <c:pt idx="211">
                  <c:v>17.189999999999998</c:v>
                </c:pt>
                <c:pt idx="214">
                  <c:v>23.040000000000006</c:v>
                </c:pt>
                <c:pt idx="217">
                  <c:v>15.64</c:v>
                </c:pt>
                <c:pt idx="218">
                  <c:v>19.410000000000004</c:v>
                </c:pt>
                <c:pt idx="226">
                  <c:v>8.4100000000000037</c:v>
                </c:pt>
                <c:pt idx="227">
                  <c:v>7.4300000000000068</c:v>
                </c:pt>
                <c:pt idx="229">
                  <c:v>12.049999999999997</c:v>
                </c:pt>
                <c:pt idx="230">
                  <c:v>18.47</c:v>
                </c:pt>
                <c:pt idx="232">
                  <c:v>17.280000000000008</c:v>
                </c:pt>
                <c:pt idx="235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7">
                  <c:v>67.539999999999992</c:v>
                </c:pt>
                <c:pt idx="208">
                  <c:v>82.94</c:v>
                </c:pt>
                <c:pt idx="211">
                  <c:v>60.36999999999999</c:v>
                </c:pt>
                <c:pt idx="214">
                  <c:v>68.430000000000035</c:v>
                </c:pt>
                <c:pt idx="217">
                  <c:v>68.349999999999994</c:v>
                </c:pt>
                <c:pt idx="218">
                  <c:v>69.88</c:v>
                </c:pt>
                <c:pt idx="226">
                  <c:v>36.22999999999999</c:v>
                </c:pt>
                <c:pt idx="227">
                  <c:v>33.130000000000038</c:v>
                </c:pt>
                <c:pt idx="229">
                  <c:v>37.549999999999983</c:v>
                </c:pt>
                <c:pt idx="230">
                  <c:v>40.620000000000005</c:v>
                </c:pt>
                <c:pt idx="232">
                  <c:v>48.649999999999991</c:v>
                </c:pt>
                <c:pt idx="235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7">
                  <c:v>71.394300000000001</c:v>
                </c:pt>
                <c:pt idx="208">
                  <c:v>87.009999999999991</c:v>
                </c:pt>
                <c:pt idx="211">
                  <c:v>60.9422</c:v>
                </c:pt>
                <c:pt idx="214">
                  <c:v>73.934500000000014</c:v>
                </c:pt>
                <c:pt idx="217">
                  <c:v>63.615900000000011</c:v>
                </c:pt>
                <c:pt idx="218">
                  <c:v>71.049500000000009</c:v>
                </c:pt>
                <c:pt idx="226">
                  <c:v>34.464000000000013</c:v>
                </c:pt>
                <c:pt idx="227">
                  <c:v>32.466400000000036</c:v>
                </c:pt>
                <c:pt idx="229">
                  <c:v>38.283599999999979</c:v>
                </c:pt>
                <c:pt idx="230">
                  <c:v>42.067700000000016</c:v>
                </c:pt>
                <c:pt idx="232">
                  <c:v>49.780500000000004</c:v>
                </c:pt>
                <c:pt idx="235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5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7">
                  <c:v>1</c:v>
                </c:pt>
                <c:pt idx="218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7">
                  <c:v>350</c:v>
                </c:pt>
                <c:pt idx="208">
                  <c:v>340</c:v>
                </c:pt>
                <c:pt idx="211">
                  <c:v>354</c:v>
                </c:pt>
                <c:pt idx="214">
                  <c:v>350</c:v>
                </c:pt>
                <c:pt idx="217">
                  <c:v>354</c:v>
                </c:pt>
                <c:pt idx="218">
                  <c:v>360</c:v>
                </c:pt>
                <c:pt idx="226">
                  <c:v>350</c:v>
                </c:pt>
                <c:pt idx="227">
                  <c:v>350</c:v>
                </c:pt>
                <c:pt idx="229">
                  <c:v>370</c:v>
                </c:pt>
                <c:pt idx="230">
                  <c:v>395</c:v>
                </c:pt>
                <c:pt idx="232">
                  <c:v>355</c:v>
                </c:pt>
                <c:pt idx="235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7">
                  <c:v>73</c:v>
                </c:pt>
                <c:pt idx="208">
                  <c:v>73.900000000000006</c:v>
                </c:pt>
                <c:pt idx="211">
                  <c:v>75.7</c:v>
                </c:pt>
                <c:pt idx="214">
                  <c:v>77.5</c:v>
                </c:pt>
                <c:pt idx="217">
                  <c:v>77.41</c:v>
                </c:pt>
                <c:pt idx="218">
                  <c:v>73</c:v>
                </c:pt>
                <c:pt idx="226">
                  <c:v>74.8</c:v>
                </c:pt>
                <c:pt idx="227">
                  <c:v>76.599999999999994</c:v>
                </c:pt>
                <c:pt idx="229">
                  <c:v>75.7</c:v>
                </c:pt>
                <c:pt idx="230">
                  <c:v>74.8</c:v>
                </c:pt>
                <c:pt idx="232">
                  <c:v>73.900000000000006</c:v>
                </c:pt>
                <c:pt idx="235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7">
                  <c:v>60.62</c:v>
                </c:pt>
                <c:pt idx="208">
                  <c:v>66.86</c:v>
                </c:pt>
                <c:pt idx="211">
                  <c:v>49.56</c:v>
                </c:pt>
                <c:pt idx="214">
                  <c:v>52.98</c:v>
                </c:pt>
                <c:pt idx="217">
                  <c:v>57.27</c:v>
                </c:pt>
                <c:pt idx="218">
                  <c:v>47.83</c:v>
                </c:pt>
                <c:pt idx="226">
                  <c:v>39.22</c:v>
                </c:pt>
                <c:pt idx="227">
                  <c:v>38.450000000000003</c:v>
                </c:pt>
                <c:pt idx="229">
                  <c:v>35.26</c:v>
                </c:pt>
                <c:pt idx="230">
                  <c:v>37</c:v>
                </c:pt>
                <c:pt idx="232">
                  <c:v>53.52</c:v>
                </c:pt>
                <c:pt idx="235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7">
                  <c:v>48.65</c:v>
                </c:pt>
                <c:pt idx="208">
                  <c:v>43.65</c:v>
                </c:pt>
                <c:pt idx="211">
                  <c:v>53.16</c:v>
                </c:pt>
                <c:pt idx="214">
                  <c:v>46.61</c:v>
                </c:pt>
                <c:pt idx="217">
                  <c:v>43.91</c:v>
                </c:pt>
                <c:pt idx="218">
                  <c:v>51.73</c:v>
                </c:pt>
                <c:pt idx="226">
                  <c:v>61.9</c:v>
                </c:pt>
                <c:pt idx="227">
                  <c:v>64.959999999999994</c:v>
                </c:pt>
                <c:pt idx="229">
                  <c:v>53.84</c:v>
                </c:pt>
                <c:pt idx="230">
                  <c:v>39.79</c:v>
                </c:pt>
                <c:pt idx="232">
                  <c:v>61.51</c:v>
                </c:pt>
                <c:pt idx="235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7">
                  <c:v>16.199999999999989</c:v>
                </c:pt>
                <c:pt idx="208">
                  <c:v>20.199999999999989</c:v>
                </c:pt>
                <c:pt idx="211">
                  <c:v>17.699999999999989</c:v>
                </c:pt>
                <c:pt idx="214">
                  <c:v>14.600000000000023</c:v>
                </c:pt>
                <c:pt idx="217">
                  <c:v>23.399999999999977</c:v>
                </c:pt>
                <c:pt idx="218">
                  <c:v>18.899999999999977</c:v>
                </c:pt>
                <c:pt idx="226">
                  <c:v>13.899999999999977</c:v>
                </c:pt>
                <c:pt idx="227">
                  <c:v>13.100000000000023</c:v>
                </c:pt>
                <c:pt idx="229">
                  <c:v>11.699999999999989</c:v>
                </c:pt>
                <c:pt idx="230">
                  <c:v>12.5</c:v>
                </c:pt>
                <c:pt idx="232">
                  <c:v>15.199999999999989</c:v>
                </c:pt>
                <c:pt idx="235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7">
                  <c:v>8.0300000000000011</c:v>
                </c:pt>
                <c:pt idx="208">
                  <c:v>9.2399999999999949</c:v>
                </c:pt>
                <c:pt idx="211">
                  <c:v>7.230000000000004</c:v>
                </c:pt>
                <c:pt idx="214">
                  <c:v>8.0300000000000011</c:v>
                </c:pt>
                <c:pt idx="217">
                  <c:v>4.8200000000000074</c:v>
                </c:pt>
                <c:pt idx="218">
                  <c:v>7.230000000000004</c:v>
                </c:pt>
                <c:pt idx="226">
                  <c:v>5.6800000000000068</c:v>
                </c:pt>
                <c:pt idx="227">
                  <c:v>7.3000000000000114</c:v>
                </c:pt>
                <c:pt idx="229">
                  <c:v>5.6799999999999926</c:v>
                </c:pt>
                <c:pt idx="230">
                  <c:v>5.6800000000000068</c:v>
                </c:pt>
                <c:pt idx="232">
                  <c:v>7.2999999999999972</c:v>
                </c:pt>
                <c:pt idx="235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7">
                  <c:v>21.860000000000007</c:v>
                </c:pt>
                <c:pt idx="208">
                  <c:v>27.36</c:v>
                </c:pt>
                <c:pt idx="211">
                  <c:v>18.25</c:v>
                </c:pt>
                <c:pt idx="214">
                  <c:v>22.759999999999998</c:v>
                </c:pt>
                <c:pt idx="217">
                  <c:v>24.490000000000002</c:v>
                </c:pt>
                <c:pt idx="218">
                  <c:v>24.340000000000003</c:v>
                </c:pt>
                <c:pt idx="226">
                  <c:v>8.240000000000002</c:v>
                </c:pt>
                <c:pt idx="227">
                  <c:v>5.2999999999999972</c:v>
                </c:pt>
                <c:pt idx="229">
                  <c:v>8.1200000000000045</c:v>
                </c:pt>
                <c:pt idx="230">
                  <c:v>3.9699999999999989</c:v>
                </c:pt>
                <c:pt idx="232">
                  <c:v>8.8699999999999974</c:v>
                </c:pt>
                <c:pt idx="235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7">
                  <c:v>21.449999999999996</c:v>
                </c:pt>
                <c:pt idx="208">
                  <c:v>26.140000000000008</c:v>
                </c:pt>
                <c:pt idx="211">
                  <c:v>17.189999999999998</c:v>
                </c:pt>
                <c:pt idx="214">
                  <c:v>23.040000000000006</c:v>
                </c:pt>
                <c:pt idx="217">
                  <c:v>15.64</c:v>
                </c:pt>
                <c:pt idx="218">
                  <c:v>19.410000000000004</c:v>
                </c:pt>
                <c:pt idx="226">
                  <c:v>8.4100000000000037</c:v>
                </c:pt>
                <c:pt idx="227">
                  <c:v>7.4300000000000068</c:v>
                </c:pt>
                <c:pt idx="229">
                  <c:v>12.049999999999997</c:v>
                </c:pt>
                <c:pt idx="230">
                  <c:v>18.47</c:v>
                </c:pt>
                <c:pt idx="232">
                  <c:v>17.280000000000008</c:v>
                </c:pt>
                <c:pt idx="235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7">
                  <c:v>67.539999999999992</c:v>
                </c:pt>
                <c:pt idx="208">
                  <c:v>82.94</c:v>
                </c:pt>
                <c:pt idx="211">
                  <c:v>60.36999999999999</c:v>
                </c:pt>
                <c:pt idx="214">
                  <c:v>68.430000000000035</c:v>
                </c:pt>
                <c:pt idx="217">
                  <c:v>68.349999999999994</c:v>
                </c:pt>
                <c:pt idx="218">
                  <c:v>69.88</c:v>
                </c:pt>
                <c:pt idx="226">
                  <c:v>36.22999999999999</c:v>
                </c:pt>
                <c:pt idx="227">
                  <c:v>33.130000000000038</c:v>
                </c:pt>
                <c:pt idx="229">
                  <c:v>37.549999999999983</c:v>
                </c:pt>
                <c:pt idx="230">
                  <c:v>40.620000000000005</c:v>
                </c:pt>
                <c:pt idx="232">
                  <c:v>48.649999999999991</c:v>
                </c:pt>
                <c:pt idx="235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7">
                  <c:v>71.394300000000001</c:v>
                </c:pt>
                <c:pt idx="208">
                  <c:v>87.009999999999991</c:v>
                </c:pt>
                <c:pt idx="211">
                  <c:v>60.9422</c:v>
                </c:pt>
                <c:pt idx="214">
                  <c:v>73.934500000000014</c:v>
                </c:pt>
                <c:pt idx="217">
                  <c:v>63.615900000000011</c:v>
                </c:pt>
                <c:pt idx="218">
                  <c:v>71.049500000000009</c:v>
                </c:pt>
                <c:pt idx="226">
                  <c:v>34.464000000000013</c:v>
                </c:pt>
                <c:pt idx="227">
                  <c:v>32.466400000000036</c:v>
                </c:pt>
                <c:pt idx="229">
                  <c:v>38.283599999999979</c:v>
                </c:pt>
                <c:pt idx="230">
                  <c:v>42.067700000000016</c:v>
                </c:pt>
                <c:pt idx="232">
                  <c:v>49.780500000000004</c:v>
                </c:pt>
                <c:pt idx="235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RowHeight="27.55" customHeight="1"/>
  <cols>
    <col min="2" max="2" width="56.28515625" customWidth="1"/>
  </cols>
  <sheetData>
    <row r="1" spans="1:2" ht="27.55" customHeight="1">
      <c r="A1" s="265" t="s">
        <v>1964</v>
      </c>
      <c r="B1" s="265" t="s">
        <v>1965</v>
      </c>
    </row>
    <row r="2" spans="1:2" ht="27.55" customHeight="1">
      <c r="A2">
        <v>24.6</v>
      </c>
      <c r="B2" s="265" t="s">
        <v>1966</v>
      </c>
    </row>
    <row r="3" spans="1:2" ht="27.55" customHeight="1">
      <c r="B3" t="s">
        <v>1967</v>
      </c>
    </row>
    <row r="4" spans="1:2" ht="27.55" customHeight="1">
      <c r="B4" s="265" t="s">
        <v>1968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全车数据表!AT210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全车数据表!AT211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全车数据表!AT214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全车数据表!AT217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全车数据表!AT220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全车数据表!AT221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全车数据表!AT229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全车数据表!AT230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全车数据表!AT232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全车数据表!AT233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全车数据表!AT235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全车数据表!AT238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AZ110" activePane="bottomRight" state="frozen"/>
      <selection pane="topRight" activeCell="D1" sqref="D1"/>
      <selection pane="bottomLeft" activeCell="A3" sqref="A3"/>
      <selection pane="bottomRight" activeCell="BN310" sqref="BN310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92" t="s">
        <v>93</v>
      </c>
      <c r="C1" s="492"/>
      <c r="D1" s="493"/>
      <c r="E1" s="493"/>
      <c r="F1" s="492" t="s">
        <v>51</v>
      </c>
      <c r="G1" s="492"/>
      <c r="H1" s="492" t="s">
        <v>82</v>
      </c>
      <c r="I1" s="492"/>
      <c r="J1" s="492"/>
      <c r="K1" s="492"/>
      <c r="L1" s="492"/>
      <c r="M1" s="492"/>
      <c r="N1" s="492"/>
      <c r="O1" s="492" t="s">
        <v>57</v>
      </c>
      <c r="P1" s="493"/>
      <c r="Q1" s="493"/>
      <c r="R1" s="493"/>
      <c r="S1" s="493"/>
      <c r="T1" s="452" t="s">
        <v>157</v>
      </c>
      <c r="U1" s="492" t="s">
        <v>80</v>
      </c>
      <c r="V1" s="492"/>
      <c r="W1" s="492"/>
      <c r="X1" s="492"/>
      <c r="Y1" s="492"/>
      <c r="Z1" s="492"/>
      <c r="AA1" s="492"/>
      <c r="AB1" s="492"/>
      <c r="AC1" s="492"/>
      <c r="AD1" s="492"/>
      <c r="AE1" s="492"/>
      <c r="AF1" s="492"/>
      <c r="AG1" s="492"/>
      <c r="AH1" s="492"/>
      <c r="AI1" s="492" t="s">
        <v>81</v>
      </c>
      <c r="AJ1" s="493"/>
      <c r="AK1" s="493"/>
      <c r="AL1" s="493"/>
      <c r="AM1" s="493"/>
      <c r="AN1" s="493"/>
      <c r="AO1" s="493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89" t="s">
        <v>1614</v>
      </c>
      <c r="BB1" s="489"/>
      <c r="BC1" s="489"/>
      <c r="BD1" s="489"/>
      <c r="BE1" s="489"/>
      <c r="BF1" s="489" t="s">
        <v>1612</v>
      </c>
      <c r="BG1" s="489"/>
      <c r="BH1" s="489"/>
      <c r="BI1" s="489"/>
      <c r="BJ1" s="489"/>
      <c r="BK1" s="495" t="s">
        <v>1613</v>
      </c>
      <c r="BL1" s="495"/>
      <c r="BM1" s="495"/>
      <c r="BN1" s="495"/>
      <c r="BO1" s="482" t="s">
        <v>1652</v>
      </c>
      <c r="BP1" s="494" t="s">
        <v>1549</v>
      </c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 t="s">
        <v>1550</v>
      </c>
      <c r="CD1" s="494"/>
      <c r="CE1" s="494"/>
      <c r="CF1" s="494"/>
      <c r="CG1" s="494"/>
      <c r="CH1" s="494"/>
      <c r="CI1" s="494"/>
      <c r="CJ1" s="459"/>
      <c r="CK1" s="494" t="s">
        <v>1612</v>
      </c>
      <c r="CL1" s="494"/>
      <c r="CM1" s="494"/>
      <c r="CN1" s="494"/>
      <c r="CO1" s="454"/>
      <c r="CP1" s="454"/>
      <c r="CQ1" s="454"/>
      <c r="CR1" s="460" t="s">
        <v>1551</v>
      </c>
      <c r="CS1" s="461"/>
      <c r="CT1" s="461"/>
      <c r="CU1" s="461"/>
      <c r="CV1" s="491" t="s">
        <v>1552</v>
      </c>
      <c r="CW1" s="491"/>
      <c r="CX1" s="491"/>
      <c r="CY1" s="491"/>
      <c r="CZ1" s="461"/>
      <c r="DA1" s="461"/>
      <c r="DB1" s="490" t="s">
        <v>1772</v>
      </c>
      <c r="DC1" s="490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6" t="s">
        <v>159</v>
      </c>
      <c r="AJ2" s="497"/>
      <c r="AK2" s="496" t="s">
        <v>160</v>
      </c>
      <c r="AL2" s="497"/>
      <c r="AM2" s="496" t="s">
        <v>161</v>
      </c>
      <c r="AN2" s="49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1773</v>
      </c>
      <c r="DC2" s="462" t="s">
        <v>1774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1775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1775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1775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1775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1775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1775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1775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1775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1775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1775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1631</v>
      </c>
      <c r="C16" s="301" t="s">
        <v>1632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1626</v>
      </c>
      <c r="AT16" s="291" t="s">
        <v>1649</v>
      </c>
      <c r="AU16" s="328" t="s">
        <v>702</v>
      </c>
      <c r="AZ16" s="292" t="s">
        <v>1636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1775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1775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1775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1883</v>
      </c>
      <c r="C20" s="301" t="s">
        <v>1884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1885</v>
      </c>
      <c r="AR20" s="289" t="str">
        <f t="shared" si="5"/>
        <v>GR Supra 2023</v>
      </c>
      <c r="AS20" s="290" t="s">
        <v>1886</v>
      </c>
      <c r="AT20" s="291" t="s">
        <v>1887</v>
      </c>
      <c r="AU20" s="328" t="s">
        <v>702</v>
      </c>
      <c r="AZ20" s="292" t="s">
        <v>1919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1775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1775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1888</v>
      </c>
      <c r="C23" s="301" t="s">
        <v>1889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1890</v>
      </c>
      <c r="AR23" s="289" t="str">
        <f t="shared" si="5"/>
        <v>IONIQ 5 N</v>
      </c>
      <c r="AS23" s="290" t="s">
        <v>1886</v>
      </c>
      <c r="AT23" s="291" t="s">
        <v>1891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1912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1719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1775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1775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1775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1775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1775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1720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1775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1775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1775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1610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1605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1775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1926</v>
      </c>
      <c r="C36" s="301" t="s">
        <v>1927</v>
      </c>
      <c r="D36" s="352" t="s">
        <v>196</v>
      </c>
      <c r="E36" s="303" t="s">
        <v>170</v>
      </c>
      <c r="F36" s="356"/>
      <c r="G36" s="351"/>
      <c r="H36" s="320">
        <v>15</v>
      </c>
      <c r="I36" s="373" t="s">
        <v>1928</v>
      </c>
      <c r="J36" s="373" t="s">
        <v>1928</v>
      </c>
      <c r="K36" s="373" t="s">
        <v>1928</v>
      </c>
      <c r="L36" s="373" t="s">
        <v>1928</v>
      </c>
      <c r="M36" s="320"/>
      <c r="N36" s="359"/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1929</v>
      </c>
      <c r="AR36" s="289" t="str">
        <f t="shared" si="5"/>
        <v>GR Supra Racing Concept</v>
      </c>
      <c r="AS36" s="290" t="s">
        <v>1930</v>
      </c>
      <c r="AT36" s="291" t="s">
        <v>1931</v>
      </c>
      <c r="AU36" s="386" t="s">
        <v>703</v>
      </c>
      <c r="AZ36" s="292" t="s">
        <v>1959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1948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1607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1775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1637</v>
      </c>
      <c r="C38" s="301" t="s">
        <v>1638</v>
      </c>
      <c r="D38" s="352" t="s">
        <v>1639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1626</v>
      </c>
      <c r="AT38" s="291" t="s">
        <v>1648</v>
      </c>
      <c r="AU38" s="386" t="s">
        <v>703</v>
      </c>
      <c r="AW38" s="292">
        <v>345</v>
      </c>
      <c r="AY38" s="292">
        <v>445</v>
      </c>
      <c r="AZ38" s="292" t="s">
        <v>1640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1641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1775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1775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1829</v>
      </c>
      <c r="C42" s="301" t="s">
        <v>1796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1797</v>
      </c>
      <c r="AR42" s="289" t="str">
        <f t="shared" si="139"/>
        <v>E-Tense Performance🔑</v>
      </c>
      <c r="AS42" s="290" t="s">
        <v>1819</v>
      </c>
      <c r="AT42" s="291" t="s">
        <v>1798</v>
      </c>
      <c r="AU42" s="386" t="s">
        <v>703</v>
      </c>
      <c r="AZ42" s="292" t="s">
        <v>1816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1604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1775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1854</v>
      </c>
      <c r="C44" s="301" t="s">
        <v>1834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1835</v>
      </c>
      <c r="AR44" s="289" t="str">
        <f t="shared" si="139"/>
        <v>EVO37🔑</v>
      </c>
      <c r="AS44" s="290" t="s">
        <v>1836</v>
      </c>
      <c r="AT44" s="291" t="s">
        <v>1837</v>
      </c>
      <c r="AU44" s="386" t="s">
        <v>703</v>
      </c>
      <c r="AZ44" s="292" t="s">
        <v>1862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1653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1775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1775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1775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1775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1744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1775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1775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1799</v>
      </c>
      <c r="C53" s="301" t="s">
        <v>1800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1819</v>
      </c>
      <c r="AT53" s="291" t="s">
        <v>1801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1825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1775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1775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1724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1775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1775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1746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1775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1726</v>
      </c>
      <c r="C60" s="301" t="s">
        <v>1727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1728</v>
      </c>
      <c r="AT60" s="291" t="s">
        <v>1729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1775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1745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1777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1838</v>
      </c>
      <c r="C65" s="301" t="s">
        <v>1839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312.60000000000002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1836</v>
      </c>
      <c r="AT65" s="291" t="s">
        <v>1840</v>
      </c>
      <c r="AU65" s="328" t="s">
        <v>702</v>
      </c>
      <c r="AZ65" s="292" t="s">
        <v>1861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1855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1777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1674</v>
      </c>
      <c r="C67" s="301" t="s">
        <v>1675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1718</v>
      </c>
      <c r="AT67" s="291" t="s">
        <v>1676</v>
      </c>
      <c r="AU67" s="328" t="s">
        <v>702</v>
      </c>
      <c r="AZ67" s="292" t="s">
        <v>1694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1711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1777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1777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1794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1777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1595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1596</v>
      </c>
      <c r="AR71" s="289" t="str">
        <f t="shared" si="139"/>
        <v>Gen 2 Asphalt Edition</v>
      </c>
      <c r="AS71" s="290" t="s">
        <v>1580</v>
      </c>
      <c r="AT71" s="291" t="s">
        <v>1597</v>
      </c>
      <c r="AU71" s="386" t="s">
        <v>703</v>
      </c>
      <c r="AW71" s="292">
        <v>317</v>
      </c>
      <c r="AY71" s="292">
        <v>405</v>
      </c>
      <c r="AZ71" s="292" t="s">
        <v>1598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1603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1841</v>
      </c>
      <c r="C74" s="301" t="s">
        <v>1842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1836</v>
      </c>
      <c r="AT74" s="291" t="s">
        <v>1843</v>
      </c>
      <c r="AU74" s="397" t="s">
        <v>703</v>
      </c>
      <c r="AZ74" s="292" t="s">
        <v>1860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1777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1777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1777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1777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1642</v>
      </c>
      <c r="C81" s="301" t="s">
        <v>1643</v>
      </c>
      <c r="D81" s="352" t="s">
        <v>1644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1645</v>
      </c>
      <c r="AR81" s="289" t="str">
        <f t="shared" si="281"/>
        <v>P900</v>
      </c>
      <c r="AS81" s="290" t="s">
        <v>1626</v>
      </c>
      <c r="AT81" s="291" t="s">
        <v>1646</v>
      </c>
      <c r="AU81" s="397" t="s">
        <v>703</v>
      </c>
      <c r="AZ81" s="292" t="s">
        <v>1647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1756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1777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1777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1917</v>
      </c>
      <c r="C84" s="301" t="s">
        <v>1763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1718</v>
      </c>
      <c r="AT84" s="291" t="s">
        <v>1764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1747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1777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1615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1777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1791</v>
      </c>
      <c r="C87" s="301" t="s">
        <v>1656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1660</v>
      </c>
      <c r="AT87" s="291" t="s">
        <v>1657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1777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1777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1777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1779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1779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1779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1779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1779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1608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1779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1932</v>
      </c>
      <c r="C99" s="301" t="s">
        <v>1933</v>
      </c>
      <c r="D99" s="352" t="s">
        <v>197</v>
      </c>
      <c r="E99" s="401" t="s">
        <v>170</v>
      </c>
      <c r="F99" s="345"/>
      <c r="G99" s="351"/>
      <c r="H99" s="373">
        <v>20</v>
      </c>
      <c r="I99" s="373" t="s">
        <v>1928</v>
      </c>
      <c r="J99" s="373" t="s">
        <v>1928</v>
      </c>
      <c r="K99" s="373" t="s">
        <v>1928</v>
      </c>
      <c r="L99" s="373" t="s">
        <v>1928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1934</v>
      </c>
      <c r="AR99" s="289" t="str">
        <f t="shared" si="281"/>
        <v>Z GT4</v>
      </c>
      <c r="AS99" s="290" t="s">
        <v>1930</v>
      </c>
      <c r="AT99" s="291" t="s">
        <v>1954</v>
      </c>
      <c r="AU99" s="397" t="s">
        <v>703</v>
      </c>
      <c r="AZ99" s="292" t="s">
        <v>1946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1949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1775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1749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1775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1775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1748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1775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1751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1775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1750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1775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1677</v>
      </c>
      <c r="C108" s="301" t="s">
        <v>1678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1679</v>
      </c>
      <c r="AR108" s="289" t="str">
        <f t="shared" si="281"/>
        <v>Mustang RTR Spec 5 10th Anniv.</v>
      </c>
      <c r="AS108" s="290" t="s">
        <v>1718</v>
      </c>
      <c r="AT108" s="291" t="s">
        <v>1680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1710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1775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1775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1775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1775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1762</v>
      </c>
      <c r="C113" s="301" t="s">
        <v>1730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1728</v>
      </c>
      <c r="AT113" s="291" t="s">
        <v>1731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1761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1777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1611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1602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1777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1777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1706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1777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1777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1777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1777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1802</v>
      </c>
      <c r="C122" s="301" t="s">
        <v>1818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1819</v>
      </c>
      <c r="AT122" s="291" t="s">
        <v>1803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1826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1707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1923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1708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1777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1777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1658</v>
      </c>
      <c r="C125" s="301" t="s">
        <v>1659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1660</v>
      </c>
      <c r="AT125" s="291" t="s">
        <v>1661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1777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1777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1844</v>
      </c>
      <c r="C127" s="301" t="s">
        <v>1845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1836</v>
      </c>
      <c r="AT127" s="291" t="s">
        <v>1846</v>
      </c>
      <c r="AU127" s="328" t="s">
        <v>703</v>
      </c>
      <c r="AZ127" s="292" t="s">
        <v>1865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1856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1778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1777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1777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1779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1777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1935</v>
      </c>
      <c r="C132" s="301" t="s">
        <v>1936</v>
      </c>
      <c r="D132" s="352" t="s">
        <v>177</v>
      </c>
      <c r="E132" s="329" t="s">
        <v>170</v>
      </c>
      <c r="F132" s="327"/>
      <c r="G132" s="328"/>
      <c r="H132" s="487">
        <v>35</v>
      </c>
      <c r="I132" s="487" t="s">
        <v>1928</v>
      </c>
      <c r="J132" s="487" t="s">
        <v>1928</v>
      </c>
      <c r="K132" s="487" t="s">
        <v>1928</v>
      </c>
      <c r="L132" s="487" t="s">
        <v>1928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1937</v>
      </c>
      <c r="AR132" s="289" t="str">
        <f t="shared" si="445"/>
        <v>Gen3 Evo Championship Edition</v>
      </c>
      <c r="AS132" s="290" t="s">
        <v>1930</v>
      </c>
      <c r="AT132" s="291" t="s">
        <v>1955</v>
      </c>
      <c r="AU132" s="328" t="s">
        <v>703</v>
      </c>
      <c r="AZ132" s="292" t="s">
        <v>1958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1950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05">BB133+P133</f>
        <v>333</v>
      </c>
      <c r="BH133" s="480">
        <f t="shared" ref="BH133" si="506">BC133+Q133</f>
        <v>77.5</v>
      </c>
      <c r="BI133" s="480">
        <f t="shared" ref="BI133" si="507">BD133+R133</f>
        <v>95.399999999999991</v>
      </c>
      <c r="BJ133" s="480">
        <f t="shared" ref="BJ133" si="508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09">P133-CR133</f>
        <v>17.199999999999989</v>
      </c>
      <c r="CW133" s="297">
        <f t="shared" si="509"/>
        <v>8.9500000000000028</v>
      </c>
      <c r="CX133" s="297">
        <f t="shared" si="509"/>
        <v>22.709999999999994</v>
      </c>
      <c r="CY133" s="297">
        <f t="shared" si="509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0">IF(AI134,2*AI134,"")</f>
        <v>100000</v>
      </c>
      <c r="AL134" s="316">
        <f>VLOOKUP(D134&amp;E134,计算辅助页面!$V$5:$Y$18,3,0)</f>
        <v>5</v>
      </c>
      <c r="AM134" s="317">
        <f t="shared" ref="AM134" si="511">IF(AN134="×",AN134,IF(AI134,6*AI134,""))</f>
        <v>300000</v>
      </c>
      <c r="AN134" s="317">
        <f>VLOOKUP(D134&amp;E134,计算辅助页面!$V$5:$Y$18,4,0)</f>
        <v>2</v>
      </c>
      <c r="AO134" s="304">
        <f t="shared" ref="AO134" si="512">IF(AI134,IF(AN134="×",4*(AI134*AJ134+AK134*AL134),4*(AI134*AJ134+AK134*AL134+AM134*AN134)),"")</f>
        <v>6000000</v>
      </c>
      <c r="AP134" s="318">
        <f t="shared" ref="AP134" si="513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14">BB134+P134</f>
        <v>336.8</v>
      </c>
      <c r="BH134" s="480">
        <f t="shared" ref="BH134:BH136" si="515">BC134+Q134</f>
        <v>82</v>
      </c>
      <c r="BI134" s="480">
        <f t="shared" ref="BI134:BI136" si="516">BD134+R134</f>
        <v>92.44</v>
      </c>
      <c r="BJ134" s="480">
        <f t="shared" ref="BJ134:BJ136" si="517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09"/>
        <v>15.100000000000023</v>
      </c>
      <c r="CW134" s="297">
        <f t="shared" si="509"/>
        <v>9.7599999999999909</v>
      </c>
      <c r="CX134" s="297">
        <f t="shared" si="509"/>
        <v>28.910000000000004</v>
      </c>
      <c r="CY134" s="297">
        <f t="shared" si="509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1779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14"/>
        <v>339.5</v>
      </c>
      <c r="BH135" s="480">
        <f t="shared" si="515"/>
        <v>79.300000000000011</v>
      </c>
      <c r="BI135" s="480">
        <f t="shared" si="516"/>
        <v>89.24</v>
      </c>
      <c r="BJ135" s="480">
        <f t="shared" si="517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09"/>
        <v>15.800000000000011</v>
      </c>
      <c r="CW135" s="297">
        <f t="shared" si="509"/>
        <v>9.7600000000000051</v>
      </c>
      <c r="CX135" s="297">
        <f t="shared" si="509"/>
        <v>22.519999999999996</v>
      </c>
      <c r="CY135" s="297">
        <f t="shared" si="509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1779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14"/>
        <v>349.7</v>
      </c>
      <c r="BH136" s="480">
        <f t="shared" si="515"/>
        <v>85.600000000000009</v>
      </c>
      <c r="BI136" s="480">
        <f t="shared" si="516"/>
        <v>75.87</v>
      </c>
      <c r="BJ136" s="480">
        <f t="shared" si="517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09"/>
        <v>13.300000000000011</v>
      </c>
      <c r="CW136" s="297">
        <f t="shared" si="509"/>
        <v>8.9500000000000028</v>
      </c>
      <c r="CX136" s="297">
        <f t="shared" si="509"/>
        <v>25.53</v>
      </c>
      <c r="CY136" s="297">
        <f t="shared" si="509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1779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1752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09"/>
        <v>17.400000000000034</v>
      </c>
      <c r="CW137" s="297">
        <f t="shared" si="509"/>
        <v>7.4700000000000131</v>
      </c>
      <c r="CX137" s="297">
        <f t="shared" si="509"/>
        <v>7.7100000000000009</v>
      </c>
      <c r="CY137" s="297">
        <f t="shared" si="509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1779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18">BL138</f>
        <v>0.95000000000000284</v>
      </c>
      <c r="BD138" s="472">
        <f t="shared" ref="BD138" si="519">BM138</f>
        <v>1.75</v>
      </c>
      <c r="BE138" s="472">
        <f t="shared" ref="BE138" si="520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1779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21">BB139+P139</f>
        <v>366.40000000000003</v>
      </c>
      <c r="BH139" s="480">
        <f t="shared" ref="BH139" si="522">BC139+Q139</f>
        <v>76.150000000000006</v>
      </c>
      <c r="BI139" s="480">
        <f t="shared" ref="BI139" si="523">BD139+R139</f>
        <v>66.62</v>
      </c>
      <c r="BJ139" s="480">
        <f t="shared" ref="BJ139" si="524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25">BB140+P140</f>
        <v>364.5</v>
      </c>
      <c r="BH140" s="480">
        <f t="shared" ref="BH140" si="526">BC140+Q140</f>
        <v>80.2</v>
      </c>
      <c r="BI140" s="480">
        <f t="shared" ref="BI140" si="527">BD140+R140</f>
        <v>70.31</v>
      </c>
      <c r="BJ140" s="480">
        <f t="shared" ref="BJ140" si="528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1779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1918</v>
      </c>
      <c r="C141" s="301" t="s">
        <v>1765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29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1718</v>
      </c>
      <c r="AT141" s="291" t="s">
        <v>1766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0">BB142+P142</f>
        <v>375.6</v>
      </c>
      <c r="BH142" s="480">
        <f t="shared" ref="BH142:BH143" si="531">BC142+Q142</f>
        <v>81.099999999999994</v>
      </c>
      <c r="BI142" s="480">
        <f t="shared" ref="BI142:BI143" si="532">BD142+R142</f>
        <v>59.800000000000004</v>
      </c>
      <c r="BJ142" s="480">
        <f t="shared" ref="BJ142:BJ143" si="533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34">P142-CR142</f>
        <v>14.100000000000023</v>
      </c>
      <c r="CW142" s="297">
        <f t="shared" si="534"/>
        <v>7.3199999999999932</v>
      </c>
      <c r="CX142" s="297">
        <f t="shared" si="534"/>
        <v>15.770000000000003</v>
      </c>
      <c r="CY142" s="297">
        <f t="shared" si="534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1779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0"/>
        <v>355.3</v>
      </c>
      <c r="BH143" s="480">
        <f t="shared" si="531"/>
        <v>79.300000000000011</v>
      </c>
      <c r="BI143" s="480">
        <f t="shared" si="532"/>
        <v>69.009999999999991</v>
      </c>
      <c r="BJ143" s="480">
        <f t="shared" si="533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34"/>
        <v>19.300000000000011</v>
      </c>
      <c r="CW143" s="297">
        <f t="shared" si="534"/>
        <v>10.580000000000013</v>
      </c>
      <c r="CX143" s="297">
        <f t="shared" si="534"/>
        <v>22.759999999999991</v>
      </c>
      <c r="CY143" s="297">
        <f t="shared" si="534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1779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35">BL144</f>
        <v>1.0400000000000063</v>
      </c>
      <c r="BD144" s="472">
        <f t="shared" ref="BD144" si="536">BM144</f>
        <v>2.4100000000000108</v>
      </c>
      <c r="BE144" s="472">
        <f t="shared" ref="BE144" si="537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34"/>
        <v>16.399999999999977</v>
      </c>
      <c r="CW144" s="297">
        <f t="shared" si="534"/>
        <v>9.7599999999999909</v>
      </c>
      <c r="CX144" s="297">
        <f t="shared" si="534"/>
        <v>22.699999999999996</v>
      </c>
      <c r="CY144" s="297">
        <f t="shared" si="534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38">BB145+P145</f>
        <v>342.9</v>
      </c>
      <c r="BH145" s="480">
        <f t="shared" ref="BH145" si="539">BC145+Q145</f>
        <v>86.05</v>
      </c>
      <c r="BI145" s="480">
        <f t="shared" ref="BI145" si="540">BD145+R145</f>
        <v>78.600000000000009</v>
      </c>
      <c r="BJ145" s="480">
        <f t="shared" ref="BJ145" si="541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34"/>
        <v>22.5</v>
      </c>
      <c r="CW145" s="297">
        <f t="shared" si="534"/>
        <v>8.9499999999999886</v>
      </c>
      <c r="CX145" s="297">
        <f t="shared" si="534"/>
        <v>26.300000000000004</v>
      </c>
      <c r="CY145" s="297">
        <f t="shared" si="534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1755</v>
      </c>
      <c r="C146" s="301" t="s">
        <v>1633</v>
      </c>
      <c r="D146" s="302" t="s">
        <v>1634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35</v>
      </c>
      <c r="K146" s="320">
        <v>40</v>
      </c>
      <c r="L146" s="320">
        <v>62</v>
      </c>
      <c r="M146" s="306" t="s">
        <v>59</v>
      </c>
      <c r="N146" s="307">
        <f t="shared" ref="N146" si="542">IF(COUNTBLANK(H146:M146),"",SUM(H146:M146))</f>
        <v>163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43">IF(AI146,2*AI146,"")</f>
        <v>100000</v>
      </c>
      <c r="AL146" s="316">
        <f>VLOOKUP(D146&amp;E146,计算辅助页面!$V$5:$Y$18,3,0)</f>
        <v>5</v>
      </c>
      <c r="AM146" s="317">
        <f t="shared" ref="AM146" si="544">IF(AN146="×",AN146,IF(AI146,6*AI146,""))</f>
        <v>300000</v>
      </c>
      <c r="AN146" s="317">
        <f>VLOOKUP(D146&amp;E146,计算辅助页面!$V$5:$Y$18,4,0)</f>
        <v>2</v>
      </c>
      <c r="AO146" s="304">
        <f t="shared" ref="AO146" si="545">IF(AI146,IF(AN146="×",4*(AI146*AJ146+AK146*AL146),4*(AI146*AJ146+AK146*AL146+AM146*AN146)),"")</f>
        <v>6000000</v>
      </c>
      <c r="AP146" s="318">
        <f t="shared" ref="AP146" si="546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1626</v>
      </c>
      <c r="AT146" s="291" t="s">
        <v>1635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47">BL146</f>
        <v>1.1200000000000045</v>
      </c>
      <c r="BD146" s="472">
        <f t="shared" ref="BD146" si="548">BM146</f>
        <v>2.7299999999999898</v>
      </c>
      <c r="BE146" s="472">
        <f t="shared" ref="BE146" si="549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0">IF(BG146="", "", BG146-P146)</f>
        <v>1.5</v>
      </c>
      <c r="BL146" s="473">
        <f t="shared" ref="BL146" si="551">IF(BH146="", "", BH146-Q146)</f>
        <v>1.1200000000000045</v>
      </c>
      <c r="BM146" s="473">
        <f t="shared" ref="BM146" si="552">IF(BI146="", "", BI146-R146)</f>
        <v>2.7299999999999898</v>
      </c>
      <c r="BN146" s="473">
        <f t="shared" ref="BN146" si="553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54">BB147+P147</f>
        <v>342.3</v>
      </c>
      <c r="BH147" s="480">
        <f t="shared" ref="BH147" si="555">BC147+Q147</f>
        <v>87.4</v>
      </c>
      <c r="BI147" s="480">
        <f t="shared" ref="BI147" si="556">BD147+R147</f>
        <v>86.75</v>
      </c>
      <c r="BJ147" s="480">
        <f t="shared" ref="BJ147" si="557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1779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1895</v>
      </c>
      <c r="C148" s="301" t="s">
        <v>1892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35</v>
      </c>
      <c r="K148" s="320">
        <v>40</v>
      </c>
      <c r="L148" s="320">
        <v>62</v>
      </c>
      <c r="M148" s="306" t="s">
        <v>59</v>
      </c>
      <c r="N148" s="307">
        <f t="shared" ref="N148" si="558">IF(COUNTBLANK(H148:M148),"",SUM(H148:M148))</f>
        <v>163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59">IF(AI148,2*AI148,"")</f>
        <v>100000</v>
      </c>
      <c r="AL148" s="316">
        <f>VLOOKUP(D148&amp;E148,计算辅助页面!$V$5:$Y$18,3,0)</f>
        <v>5</v>
      </c>
      <c r="AM148" s="317">
        <f t="shared" ref="AM148" si="560">IF(AN148="×",AN148,IF(AI148,6*AI148,""))</f>
        <v>300000</v>
      </c>
      <c r="AN148" s="317">
        <f>VLOOKUP(D148&amp;E148,计算辅助页面!$V$5:$Y$18,4,0)</f>
        <v>2</v>
      </c>
      <c r="AO148" s="304">
        <f t="shared" ref="AO148" si="561">IF(AI148,IF(AN148="×",4*(AI148*AJ148+AK148*AL148),4*(AI148*AJ148+AK148*AL148+AM148*AN148)),"")</f>
        <v>6000000</v>
      </c>
      <c r="AP148" s="318">
        <f t="shared" ref="AP148" si="562">IF(AND(AH148,AO148),AO148+AH148,"")</f>
        <v>12369280</v>
      </c>
      <c r="AQ148" s="288" t="s">
        <v>1925</v>
      </c>
      <c r="AR148" s="289" t="str">
        <f t="shared" si="445"/>
        <v>GR Super Sport Concept🔑</v>
      </c>
      <c r="AS148" s="290" t="s">
        <v>1886</v>
      </c>
      <c r="AT148" s="291"/>
      <c r="AU148" s="328" t="s">
        <v>703</v>
      </c>
      <c r="AZ148" s="292" t="s">
        <v>1920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1911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1852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63">BL149</f>
        <v>1.25</v>
      </c>
      <c r="BD149" s="472">
        <f t="shared" ref="BD149" si="564">BM149</f>
        <v>3.3699999999999903</v>
      </c>
      <c r="BE149" s="472">
        <f t="shared" ref="BE149" si="565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66">BA150+O150</f>
        <v>4232</v>
      </c>
      <c r="BG150" s="476">
        <f t="shared" ref="BG150:BG151" si="567">BB150+P150</f>
        <v>351.6</v>
      </c>
      <c r="BH150" s="480">
        <f t="shared" ref="BH150:BH151" si="568">BC150+Q150</f>
        <v>84.25</v>
      </c>
      <c r="BI150" s="480">
        <f t="shared" ref="BI150:BI151" si="569">BD150+R150</f>
        <v>86.13</v>
      </c>
      <c r="BJ150" s="480">
        <f t="shared" ref="BJ150:BJ151" si="570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1779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1721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66"/>
        <v>4279</v>
      </c>
      <c r="BG151" s="476">
        <f t="shared" si="567"/>
        <v>342.29999999999995</v>
      </c>
      <c r="BH151" s="480">
        <f t="shared" si="568"/>
        <v>89.649999999999991</v>
      </c>
      <c r="BI151" s="480">
        <f t="shared" si="569"/>
        <v>78.47</v>
      </c>
      <c r="BJ151" s="480">
        <f t="shared" si="570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1779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66"/>
        <v>4332</v>
      </c>
      <c r="BG152" s="476">
        <f t="shared" ref="BG152:BG153" si="571">BB152+P152</f>
        <v>346</v>
      </c>
      <c r="BH152" s="480">
        <f t="shared" ref="BH152:BH153" si="572">BC152+Q152</f>
        <v>85.600000000000009</v>
      </c>
      <c r="BI152" s="480">
        <f t="shared" ref="BI152:BI153" si="573">BD152+R152</f>
        <v>79.08</v>
      </c>
      <c r="BJ152" s="480">
        <f t="shared" ref="BJ152:BJ153" si="574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75">P152-CR152</f>
        <v>19</v>
      </c>
      <c r="CW152" s="297">
        <f t="shared" si="575"/>
        <v>12.210000000000008</v>
      </c>
      <c r="CX152" s="297">
        <f t="shared" si="575"/>
        <v>29.35</v>
      </c>
      <c r="CY152" s="297">
        <f t="shared" si="575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66"/>
        <v>4298</v>
      </c>
      <c r="BG153" s="476">
        <f t="shared" si="571"/>
        <v>349.7</v>
      </c>
      <c r="BH153" s="480">
        <f t="shared" si="572"/>
        <v>79.75</v>
      </c>
      <c r="BI153" s="480">
        <f t="shared" si="573"/>
        <v>87.33</v>
      </c>
      <c r="BJ153" s="480">
        <f t="shared" si="574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75"/>
        <v>17.800000000000011</v>
      </c>
      <c r="CW153" s="297">
        <f t="shared" si="575"/>
        <v>10.170000000000002</v>
      </c>
      <c r="CX153" s="297">
        <f t="shared" si="575"/>
        <v>23.089999999999996</v>
      </c>
      <c r="CY153" s="297">
        <f t="shared" si="575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1779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1853</v>
      </c>
      <c r="C154" s="301" t="s">
        <v>1847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76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77">IF(AI154,2*AI154,"")</f>
        <v>100000</v>
      </c>
      <c r="AL154" s="316">
        <f>VLOOKUP(D154&amp;E154,计算辅助页面!$V$5:$Y$18,3,0)</f>
        <v>5</v>
      </c>
      <c r="AM154" s="317">
        <f t="shared" ref="AM154" si="578">IF(AN154="×",AN154,IF(AI154,6*AI154,""))</f>
        <v>300000</v>
      </c>
      <c r="AN154" s="317">
        <f>VLOOKUP(D154&amp;E154,计算辅助页面!$V$5:$Y$18,4,0)</f>
        <v>2</v>
      </c>
      <c r="AO154" s="304">
        <f t="shared" ref="AO154" si="579">IF(AI154,IF(AN154="×",4*(AI154*AJ154+AK154*AL154),4*(AI154*AJ154+AK154*AL154+AM154*AN154)),"")</f>
        <v>6000000</v>
      </c>
      <c r="AP154" s="318">
        <f t="shared" ref="AP154" si="580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1836</v>
      </c>
      <c r="AT154" s="291" t="s">
        <v>1848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66"/>
        <v>4319</v>
      </c>
      <c r="BG154" s="476">
        <f t="shared" ref="BG154" si="581">BB154+P154</f>
        <v>372.8</v>
      </c>
      <c r="BH154" s="480">
        <f t="shared" ref="BH154" si="582">BC154+Q154</f>
        <v>82.45</v>
      </c>
      <c r="BI154" s="480">
        <f t="shared" ref="BI154" si="583">BD154+R154</f>
        <v>53.87</v>
      </c>
      <c r="BJ154" s="480">
        <f t="shared" ref="BJ154" si="584">BE154+S154</f>
        <v>57.34</v>
      </c>
      <c r="BK154" s="473">
        <f t="shared" ref="BK154" si="585">IF(BG154="", "", BG154-P154)</f>
        <v>1.6999999999999886</v>
      </c>
      <c r="BL154" s="473">
        <f t="shared" ref="BL154" si="586">IF(BH154="", "", BH154-Q154)</f>
        <v>0.65000000000000568</v>
      </c>
      <c r="BM154" s="473">
        <f t="shared" ref="BM154" si="587">IF(BI154="", "", BI154-R154)</f>
        <v>1.8900000000000006</v>
      </c>
      <c r="BN154" s="473">
        <f t="shared" ref="BN154" si="588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66"/>
        <v>4372</v>
      </c>
      <c r="BG155" s="476">
        <f t="shared" ref="BG155" si="589">BB155+P155</f>
        <v>351.6</v>
      </c>
      <c r="BH155" s="480">
        <f t="shared" ref="BH155" si="590">BC155+Q155</f>
        <v>87.4</v>
      </c>
      <c r="BI155" s="480">
        <f t="shared" ref="BI155" si="591">BD155+R155</f>
        <v>76.929999999999993</v>
      </c>
      <c r="BJ155" s="480">
        <f t="shared" ref="BJ155" si="592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593">BL156</f>
        <v>1.1200000000000045</v>
      </c>
      <c r="BD156" s="472">
        <f t="shared" ref="BD156" si="594">BM156</f>
        <v>3.4500000000000028</v>
      </c>
      <c r="BE156" s="472">
        <f t="shared" ref="BE156" si="595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1779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596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597">BL157</f>
        <v>1.039999999999992</v>
      </c>
      <c r="BD157" s="472">
        <f t="shared" ref="BD157" si="598">BM157</f>
        <v>3.1700000000000017</v>
      </c>
      <c r="BE157" s="472">
        <f t="shared" ref="BE157" si="599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596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00">BB158+P158</f>
        <v>342.29999999999995</v>
      </c>
      <c r="BH158" s="480">
        <f t="shared" ref="BH158" si="601">BC158+Q158</f>
        <v>87.4</v>
      </c>
      <c r="BI158" s="480">
        <f t="shared" ref="BI158" si="602">BD158+R158</f>
        <v>97.289999999999992</v>
      </c>
      <c r="BJ158" s="480">
        <f t="shared" ref="BJ158" si="603">BE158+S158</f>
        <v>90.01</v>
      </c>
      <c r="BK158" s="473">
        <f t="shared" ref="BK158:BK237" si="604">IF(BG158="", "", BG158-P158)</f>
        <v>2.8999999999999773</v>
      </c>
      <c r="BL158" s="473">
        <f t="shared" ref="BL158:BL237" si="605">IF(BH158="", "", BH158-Q158)</f>
        <v>1.5600000000000023</v>
      </c>
      <c r="BM158" s="473">
        <f t="shared" ref="BM158:BM237" si="606">IF(BI158="", "", BI158-R158)</f>
        <v>4.3199999999999932</v>
      </c>
      <c r="BN158" s="473">
        <f t="shared" ref="BN158:BN237" si="607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08">P158-CR158</f>
        <v>27.399999999999977</v>
      </c>
      <c r="CW158" s="297">
        <f t="shared" si="608"/>
        <v>14.64</v>
      </c>
      <c r="CX158" s="297">
        <f t="shared" si="608"/>
        <v>40.619999999999997</v>
      </c>
      <c r="CY158" s="297">
        <f t="shared" si="608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1780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1701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1725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596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09">BB160+P160</f>
        <v>353.4</v>
      </c>
      <c r="BH160" s="480">
        <f t="shared" si="609"/>
        <v>83.800000000000011</v>
      </c>
      <c r="BI160" s="480">
        <f t="shared" si="609"/>
        <v>80.3</v>
      </c>
      <c r="BJ160" s="480">
        <f t="shared" si="609"/>
        <v>79.790000000000006</v>
      </c>
      <c r="BK160" s="473">
        <f t="shared" si="604"/>
        <v>2.1999999999999886</v>
      </c>
      <c r="BL160" s="473">
        <f t="shared" si="605"/>
        <v>1.0400000000000063</v>
      </c>
      <c r="BM160" s="473">
        <f t="shared" si="606"/>
        <v>3.1899999999999977</v>
      </c>
      <c r="BN160" s="473">
        <f t="shared" si="607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08"/>
        <v>21.199999999999989</v>
      </c>
      <c r="CW160" s="297">
        <f t="shared" si="608"/>
        <v>9.7600000000000051</v>
      </c>
      <c r="CX160" s="297">
        <f t="shared" si="608"/>
        <v>29.979999999999997</v>
      </c>
      <c r="CY160" s="297">
        <f t="shared" si="608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1780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596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10">BL161</f>
        <v>1.0400000000000063</v>
      </c>
      <c r="BD161" s="472">
        <f t="shared" ref="BD161" si="611">BM161</f>
        <v>2.8100000000000023</v>
      </c>
      <c r="BE161" s="472">
        <f t="shared" ref="BE161" si="612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04"/>
        <v>2.1000000000000227</v>
      </c>
      <c r="BL161" s="473">
        <f t="shared" si="605"/>
        <v>1.0400000000000063</v>
      </c>
      <c r="BM161" s="473">
        <f t="shared" si="606"/>
        <v>2.8100000000000023</v>
      </c>
      <c r="BN161" s="473">
        <f t="shared" si="607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13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14">IF(AI162,2*AI162,"")</f>
        <v>140000</v>
      </c>
      <c r="AL162" s="316">
        <f>VLOOKUP(D162&amp;E162,计算辅助页面!$V$5:$Y$18,3,0)</f>
        <v>5</v>
      </c>
      <c r="AM162" s="317">
        <f t="shared" ref="AM162:AM183" si="615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16">IF(AI162,IF(AN162="×",4*(AI162*AJ162+AK162*AL162),4*(AI162*AJ162+AK162*AL162+AM162*AN162)),"")</f>
        <v>10080000</v>
      </c>
      <c r="AP162" s="318">
        <f t="shared" ref="AP162:AP183" si="617">IF(AND(AH162,AO162),AO162+AH162,"")</f>
        <v>22003560</v>
      </c>
      <c r="AQ162" s="288" t="s">
        <v>562</v>
      </c>
      <c r="AR162" s="289" t="str">
        <f t="shared" si="596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18">BB162+P162</f>
        <v>370</v>
      </c>
      <c r="BH162" s="480">
        <f t="shared" ref="BH162" si="619">BC162+Q162</f>
        <v>82</v>
      </c>
      <c r="BI162" s="480">
        <f t="shared" ref="BI162" si="620">BD162+R162</f>
        <v>67.11</v>
      </c>
      <c r="BJ162" s="480">
        <f t="shared" ref="BJ162" si="621">BE162+S162</f>
        <v>65.52</v>
      </c>
      <c r="BK162" s="473">
        <f t="shared" si="604"/>
        <v>1.8999999999999773</v>
      </c>
      <c r="BL162" s="473">
        <f t="shared" si="605"/>
        <v>0.85999999999999943</v>
      </c>
      <c r="BM162" s="473">
        <f t="shared" si="606"/>
        <v>2.0900000000000034</v>
      </c>
      <c r="BN162" s="473">
        <f t="shared" si="607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22">P162-CR162</f>
        <v>18.100000000000023</v>
      </c>
      <c r="CW162" s="297">
        <f t="shared" si="622"/>
        <v>8.14</v>
      </c>
      <c r="CX162" s="297">
        <f t="shared" si="622"/>
        <v>19.689999999999998</v>
      </c>
      <c r="CY162" s="297">
        <f t="shared" si="622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1780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1916</v>
      </c>
      <c r="C163" s="301" t="s">
        <v>1767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23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596"/>
        <v>Gallardo Security</v>
      </c>
      <c r="AS163" s="290" t="s">
        <v>1718</v>
      </c>
      <c r="AT163" s="291" t="s">
        <v>1768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1894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13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14"/>
        <v>140000</v>
      </c>
      <c r="AL164" s="316">
        <f>VLOOKUP(D164&amp;E164,计算辅助页面!$V$5:$Y$18,3,0)</f>
        <v>5</v>
      </c>
      <c r="AM164" s="317">
        <f t="shared" si="615"/>
        <v>420000</v>
      </c>
      <c r="AN164" s="317">
        <f>VLOOKUP(D164&amp;E164,计算辅助页面!$V$5:$Y$18,4,0)</f>
        <v>3</v>
      </c>
      <c r="AO164" s="304">
        <f t="shared" si="616"/>
        <v>10080000</v>
      </c>
      <c r="AP164" s="318">
        <f t="shared" si="617"/>
        <v>22003560</v>
      </c>
      <c r="AQ164" s="288" t="s">
        <v>568</v>
      </c>
      <c r="AR164" s="289" t="str">
        <f t="shared" si="596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24">BB164+P164</f>
        <v>379.3</v>
      </c>
      <c r="BH164" s="480">
        <f t="shared" ref="BH164" si="625">BC164+Q164</f>
        <v>75.7</v>
      </c>
      <c r="BI164" s="480">
        <f t="shared" ref="BI164" si="626">BD164+R164</f>
        <v>68.34</v>
      </c>
      <c r="BJ164" s="480">
        <f t="shared" ref="BJ164" si="627">BE164+S164</f>
        <v>75.37</v>
      </c>
      <c r="BK164" s="473">
        <f t="shared" si="604"/>
        <v>1.6999999999999886</v>
      </c>
      <c r="BL164" s="473">
        <f t="shared" si="605"/>
        <v>1.0400000000000063</v>
      </c>
      <c r="BM164" s="473">
        <f t="shared" si="606"/>
        <v>1.730000000000004</v>
      </c>
      <c r="BN164" s="473">
        <f t="shared" si="607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22"/>
        <v>13.400000000000034</v>
      </c>
      <c r="CW164" s="297">
        <f t="shared" si="622"/>
        <v>8.6700000000000017</v>
      </c>
      <c r="CX164" s="297">
        <f t="shared" si="622"/>
        <v>14.439999999999998</v>
      </c>
      <c r="CY164" s="297">
        <f t="shared" si="622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1893</v>
      </c>
      <c r="C165" s="301" t="s">
        <v>1896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13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28">IF(AI165,2*AI165,"")</f>
        <v>140000</v>
      </c>
      <c r="AL165" s="316">
        <f>VLOOKUP(D165&amp;E165,计算辅助页面!$V$5:$Y$18,3,0)</f>
        <v>5</v>
      </c>
      <c r="AM165" s="317">
        <f t="shared" ref="AM165" si="629">IF(AN165="×",AN165,IF(AI165,6*AI165,""))</f>
        <v>420000</v>
      </c>
      <c r="AN165" s="317">
        <f>VLOOKUP(D165&amp;E165,计算辅助页面!$V$5:$Y$18,4,0)</f>
        <v>3</v>
      </c>
      <c r="AO165" s="304">
        <f t="shared" ref="AO165" si="630">IF(AI165,IF(AN165="×",4*(AI165*AJ165+AK165*AL165),4*(AI165*AJ165+AK165*AL165+AM165*AN165)),"")</f>
        <v>10080000</v>
      </c>
      <c r="AP165" s="318">
        <f t="shared" ref="AP165" si="631">IF(AND(AH165,AO165),AO165+AH165,"")</f>
        <v>22003560</v>
      </c>
      <c r="AQ165" s="288" t="s">
        <v>1897</v>
      </c>
      <c r="AR165" s="289" t="str">
        <f t="shared" si="596"/>
        <v>GT MK IV</v>
      </c>
      <c r="AS165" s="290" t="s">
        <v>1886</v>
      </c>
      <c r="AT165" s="291" t="s">
        <v>1898</v>
      </c>
      <c r="AU165" s="328" t="s">
        <v>703</v>
      </c>
      <c r="AZ165" s="292" t="s">
        <v>1921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1913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13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14"/>
        <v>140000</v>
      </c>
      <c r="AL166" s="316">
        <f>VLOOKUP(D166&amp;E166,计算辅助页面!$V$5:$Y$18,3,0)</f>
        <v>5</v>
      </c>
      <c r="AM166" s="317">
        <f t="shared" si="615"/>
        <v>420000</v>
      </c>
      <c r="AN166" s="317">
        <f>VLOOKUP(D166&amp;E166,计算辅助页面!$V$5:$Y$18,4,0)</f>
        <v>3</v>
      </c>
      <c r="AO166" s="304">
        <f t="shared" si="616"/>
        <v>10080000</v>
      </c>
      <c r="AP166" s="318">
        <f t="shared" si="617"/>
        <v>22003560</v>
      </c>
      <c r="AQ166" s="288" t="s">
        <v>939</v>
      </c>
      <c r="AR166" s="289" t="str">
        <f t="shared" si="596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04"/>
        <v/>
      </c>
      <c r="BL166" s="473" t="str">
        <f t="shared" si="605"/>
        <v/>
      </c>
      <c r="BM166" s="473" t="str">
        <f t="shared" si="606"/>
        <v/>
      </c>
      <c r="BN166" s="473" t="str">
        <f t="shared" si="607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1780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13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14"/>
        <v>140000</v>
      </c>
      <c r="AL167" s="316">
        <f>VLOOKUP(D167&amp;E167,计算辅助页面!$V$5:$Y$18,3,0)</f>
        <v>5</v>
      </c>
      <c r="AM167" s="317">
        <f t="shared" si="615"/>
        <v>420000</v>
      </c>
      <c r="AN167" s="317">
        <f>VLOOKUP(D167&amp;E167,计算辅助页面!$V$5:$Y$18,4,0)</f>
        <v>3</v>
      </c>
      <c r="AO167" s="304">
        <f t="shared" si="616"/>
        <v>10080000</v>
      </c>
      <c r="AP167" s="318">
        <f t="shared" si="617"/>
        <v>22003560</v>
      </c>
      <c r="AQ167" s="288" t="s">
        <v>862</v>
      </c>
      <c r="AR167" s="289" t="str">
        <f t="shared" si="596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04"/>
        <v>1.7999999999999545</v>
      </c>
      <c r="BL167" s="473">
        <f t="shared" si="605"/>
        <v>1.0799999999999983</v>
      </c>
      <c r="BM167" s="473">
        <f t="shared" si="606"/>
        <v>1.7100000000000009</v>
      </c>
      <c r="BN167" s="473">
        <f t="shared" si="607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13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14"/>
        <v>140000</v>
      </c>
      <c r="AL168" s="316">
        <f>VLOOKUP(D168&amp;E168,计算辅助页面!$V$5:$Y$18,3,0)</f>
        <v>5</v>
      </c>
      <c r="AM168" s="317">
        <f t="shared" si="615"/>
        <v>420000</v>
      </c>
      <c r="AN168" s="317">
        <f>VLOOKUP(D168&amp;E168,计算辅助页面!$V$5:$Y$18,4,0)</f>
        <v>3</v>
      </c>
      <c r="AO168" s="304">
        <f t="shared" si="616"/>
        <v>10080000</v>
      </c>
      <c r="AP168" s="318">
        <f t="shared" si="617"/>
        <v>22003560</v>
      </c>
      <c r="AQ168" s="288" t="s">
        <v>565</v>
      </c>
      <c r="AR168" s="289" t="str">
        <f t="shared" si="596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32">BL168</f>
        <v>1.0400000000000063</v>
      </c>
      <c r="BD168" s="472">
        <f t="shared" ref="BD168" si="633">BM168</f>
        <v>3.1400000000000006</v>
      </c>
      <c r="BE168" s="472">
        <f t="shared" ref="BE168" si="634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04"/>
        <v>1.1999999999999886</v>
      </c>
      <c r="BL168" s="473">
        <f t="shared" si="605"/>
        <v>1.0400000000000063</v>
      </c>
      <c r="BM168" s="473">
        <f t="shared" si="606"/>
        <v>3.1400000000000006</v>
      </c>
      <c r="BN168" s="473">
        <f t="shared" si="607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1780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1760</v>
      </c>
      <c r="C169" s="301" t="s">
        <v>1732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35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36">IF(AI169,2*AI169,"")</f>
        <v>140000</v>
      </c>
      <c r="AL169" s="316">
        <f>VLOOKUP(D169&amp;E169,计算辅助页面!$V$5:$Y$18,3,0)</f>
        <v>5</v>
      </c>
      <c r="AM169" s="317">
        <f t="shared" ref="AM169" si="637">IF(AN169="×",AN169,IF(AI169,6*AI169,""))</f>
        <v>420000</v>
      </c>
      <c r="AN169" s="317">
        <f>VLOOKUP(D169&amp;E169,计算辅助页面!$V$5:$Y$18,4,0)</f>
        <v>3</v>
      </c>
      <c r="AO169" s="304">
        <f t="shared" ref="AO169" si="638">IF(AI169,IF(AN169="×",4*(AI169*AJ169+AK169*AL169),4*(AI169*AJ169+AK169*AL169+AM169*AN169)),"")</f>
        <v>10080000</v>
      </c>
      <c r="AP169" s="318">
        <f t="shared" ref="AP169" si="639">IF(AND(AH169,AO169),AO169+AH169,"")</f>
        <v>22003560</v>
      </c>
      <c r="AQ169" s="288" t="s">
        <v>565</v>
      </c>
      <c r="AR169" s="289" t="str">
        <f t="shared" si="596"/>
        <v>Temerario🔑</v>
      </c>
      <c r="AS169" s="290" t="s">
        <v>1728</v>
      </c>
      <c r="AT169" s="291" t="s">
        <v>1733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40">BB169+P169</f>
        <v>360.8</v>
      </c>
      <c r="BH169" s="480">
        <f t="shared" ref="BH169" si="641">BC169+Q169</f>
        <v>88.300000000000011</v>
      </c>
      <c r="BI169" s="480">
        <f t="shared" ref="BI169" si="642">BD169+R169</f>
        <v>74.48</v>
      </c>
      <c r="BJ169" s="480">
        <f t="shared" ref="BJ169" si="643">BE169+S169</f>
        <v>66.400000000000006</v>
      </c>
      <c r="BK169" s="473">
        <f t="shared" si="604"/>
        <v>1.6999999999999886</v>
      </c>
      <c r="BL169" s="473">
        <f t="shared" si="605"/>
        <v>1.0400000000000063</v>
      </c>
      <c r="BM169" s="473">
        <f t="shared" si="606"/>
        <v>3.1500000000000057</v>
      </c>
      <c r="BN169" s="473">
        <f t="shared" si="607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1717</v>
      </c>
      <c r="C170" s="301" t="s">
        <v>1662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44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45">IF(AI170,2*AI170,"")</f>
        <v>140000</v>
      </c>
      <c r="AL170" s="316">
        <f>VLOOKUP(D170&amp;E170,计算辅助页面!$V$5:$Y$18,3,0)</f>
        <v>5</v>
      </c>
      <c r="AM170" s="317">
        <f t="shared" ref="AM170" si="646">IF(AN170="×",AN170,IF(AI170,6*AI170,""))</f>
        <v>420000</v>
      </c>
      <c r="AN170" s="317">
        <f>VLOOKUP(D170&amp;E170,计算辅助页面!$V$5:$Y$18,4,0)</f>
        <v>3</v>
      </c>
      <c r="AO170" s="304">
        <f t="shared" ref="AO170" si="647">IF(AI170,IF(AN170="×",4*(AI170*AJ170+AK170*AL170),4*(AI170*AJ170+AK170*AL170+AM170*AN170)),"")</f>
        <v>10080000</v>
      </c>
      <c r="AP170" s="318">
        <f t="shared" ref="AP170" si="648">IF(AND(AH170,AO170),AO170+AH170,"")</f>
        <v>22003560</v>
      </c>
      <c r="AQ170" s="288" t="s">
        <v>562</v>
      </c>
      <c r="AR170" s="289" t="str">
        <f t="shared" si="596"/>
        <v>E-R9🔑</v>
      </c>
      <c r="AS170" s="290" t="s">
        <v>1660</v>
      </c>
      <c r="AT170" s="291" t="s">
        <v>1663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49">BL170</f>
        <v>0.85999999999999943</v>
      </c>
      <c r="BD170" s="472">
        <f t="shared" ref="BD170" si="650">BM170</f>
        <v>2.1699999999999875</v>
      </c>
      <c r="BE170" s="472">
        <f t="shared" ref="BE170" si="651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04"/>
        <v>1.1999999999999886</v>
      </c>
      <c r="BL170" s="473">
        <f t="shared" si="605"/>
        <v>0.85999999999999943</v>
      </c>
      <c r="BM170" s="473">
        <f t="shared" si="606"/>
        <v>2.1699999999999875</v>
      </c>
      <c r="BN170" s="473">
        <f t="shared" si="607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1671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1780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13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14"/>
        <v>50000</v>
      </c>
      <c r="AL171" s="285">
        <f>VLOOKUP(D171&amp;E171,计算辅助页面!$V$5:$Y$18,3,0)</f>
        <v>5</v>
      </c>
      <c r="AM171" s="286">
        <f t="shared" si="615"/>
        <v>150000</v>
      </c>
      <c r="AN171" s="286">
        <f>VLOOKUP(D171&amp;E171,计算辅助页面!$V$5:$Y$18,4,0)</f>
        <v>2</v>
      </c>
      <c r="AO171" s="273">
        <f t="shared" si="616"/>
        <v>2700000</v>
      </c>
      <c r="AP171" s="287">
        <f t="shared" si="617"/>
        <v>4554880</v>
      </c>
      <c r="AQ171" s="288" t="s">
        <v>566</v>
      </c>
      <c r="AR171" s="289" t="str">
        <f t="shared" si="596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52">BB171+P171</f>
        <v>345.1</v>
      </c>
      <c r="BH171" s="480">
        <f t="shared" ref="BH171" si="653">BC171+Q171</f>
        <v>79.3</v>
      </c>
      <c r="BI171" s="480">
        <f t="shared" ref="BI171" si="654">BD171+R171</f>
        <v>48.66</v>
      </c>
      <c r="BJ171" s="480">
        <f t="shared" ref="BJ171" si="655">BE171+S171</f>
        <v>66.320000000000007</v>
      </c>
      <c r="BK171" s="473">
        <f t="shared" si="604"/>
        <v>1.6000000000000227</v>
      </c>
      <c r="BL171" s="473">
        <f t="shared" si="605"/>
        <v>0.59999999999999432</v>
      </c>
      <c r="BM171" s="473">
        <f t="shared" si="606"/>
        <v>0.85999999999999943</v>
      </c>
      <c r="BN171" s="473">
        <f t="shared" si="607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56">P171-CR171</f>
        <v>15.5</v>
      </c>
      <c r="CW171" s="297">
        <f t="shared" si="656"/>
        <v>5.7000000000000028</v>
      </c>
      <c r="CX171" s="297">
        <f t="shared" si="656"/>
        <v>8.1699999999999946</v>
      </c>
      <c r="CY171" s="297">
        <f t="shared" si="656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1775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13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14"/>
        <v>50000</v>
      </c>
      <c r="AL172" s="316">
        <f>VLOOKUP(D172&amp;E172,计算辅助页面!$V$5:$Y$18,3,0)</f>
        <v>5</v>
      </c>
      <c r="AM172" s="317">
        <f t="shared" si="615"/>
        <v>150000</v>
      </c>
      <c r="AN172" s="317">
        <f>VLOOKUP(D172&amp;E172,计算辅助页面!$V$5:$Y$18,4,0)</f>
        <v>2</v>
      </c>
      <c r="AO172" s="304">
        <f t="shared" si="616"/>
        <v>2700000</v>
      </c>
      <c r="AP172" s="318">
        <f t="shared" si="617"/>
        <v>4554880</v>
      </c>
      <c r="AQ172" s="288" t="s">
        <v>559</v>
      </c>
      <c r="AR172" s="289" t="str">
        <f t="shared" si="596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57">BB172+P172</f>
        <v>331.2</v>
      </c>
      <c r="BH172" s="480">
        <f t="shared" ref="BH172" si="658">BC172+Q172</f>
        <v>85.6</v>
      </c>
      <c r="BI172" s="480">
        <f t="shared" ref="BI172" si="659">BD172+R172</f>
        <v>61.949999999999996</v>
      </c>
      <c r="BJ172" s="480">
        <f t="shared" ref="BJ172" si="660">BE172+S172</f>
        <v>62.440000000000005</v>
      </c>
      <c r="BK172" s="473">
        <f t="shared" si="604"/>
        <v>1.5</v>
      </c>
      <c r="BL172" s="473">
        <f t="shared" si="605"/>
        <v>0.76999999999999602</v>
      </c>
      <c r="BM172" s="473">
        <f t="shared" si="606"/>
        <v>1.259999999999998</v>
      </c>
      <c r="BN172" s="473">
        <f t="shared" si="607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56"/>
        <v>14.699999999999989</v>
      </c>
      <c r="CW172" s="297">
        <f t="shared" si="656"/>
        <v>7.3299999999999983</v>
      </c>
      <c r="CX172" s="297">
        <f t="shared" si="656"/>
        <v>11.89</v>
      </c>
      <c r="CY172" s="297">
        <f t="shared" si="656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1775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13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14"/>
        <v>100000</v>
      </c>
      <c r="AL173" s="316">
        <f>VLOOKUP(D173&amp;E173,计算辅助页面!$V$5:$Y$18,3,0)</f>
        <v>5</v>
      </c>
      <c r="AM173" s="317">
        <f t="shared" si="615"/>
        <v>300000</v>
      </c>
      <c r="AN173" s="317">
        <f>VLOOKUP(D173&amp;E173,计算辅助页面!$V$5:$Y$18,4,0)</f>
        <v>2</v>
      </c>
      <c r="AO173" s="304">
        <f t="shared" si="616"/>
        <v>5400000</v>
      </c>
      <c r="AP173" s="318">
        <f t="shared" si="617"/>
        <v>9111360</v>
      </c>
      <c r="AQ173" s="288" t="s">
        <v>1005</v>
      </c>
      <c r="AR173" s="289" t="str">
        <f t="shared" si="596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61">BL173</f>
        <v>0.76999999999999602</v>
      </c>
      <c r="BD173" s="472">
        <f t="shared" ref="BD173" si="662">BM173</f>
        <v>1.9100000000000108</v>
      </c>
      <c r="BE173" s="472">
        <f t="shared" ref="BE173" si="663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04"/>
        <v>1.3999999999999773</v>
      </c>
      <c r="BL173" s="473">
        <f t="shared" si="605"/>
        <v>0.76999999999999602</v>
      </c>
      <c r="BM173" s="473">
        <f t="shared" si="606"/>
        <v>1.9100000000000108</v>
      </c>
      <c r="BN173" s="473">
        <f t="shared" si="607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56"/>
        <v>13.100000000000023</v>
      </c>
      <c r="CW173" s="297">
        <f t="shared" si="656"/>
        <v>7.3299999999999983</v>
      </c>
      <c r="CX173" s="297">
        <f t="shared" si="656"/>
        <v>18.019999999999996</v>
      </c>
      <c r="CY173" s="297">
        <f t="shared" si="656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1777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13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14"/>
        <v>50000</v>
      </c>
      <c r="AL174" s="316">
        <f>VLOOKUP(D174&amp;E174,计算辅助页面!$V$5:$Y$18,3,0)</f>
        <v>5</v>
      </c>
      <c r="AM174" s="317">
        <f t="shared" si="615"/>
        <v>150000</v>
      </c>
      <c r="AN174" s="317">
        <f>VLOOKUP(D174&amp;E174,计算辅助页面!$V$5:$Y$18,4,0)</f>
        <v>2</v>
      </c>
      <c r="AO174" s="304">
        <f t="shared" si="616"/>
        <v>2700000</v>
      </c>
      <c r="AP174" s="318">
        <f t="shared" si="617"/>
        <v>4554880</v>
      </c>
      <c r="AQ174" s="288" t="s">
        <v>567</v>
      </c>
      <c r="AR174" s="289" t="str">
        <f t="shared" si="596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64">BB174+P174</f>
        <v>352.5</v>
      </c>
      <c r="BH174" s="480">
        <f t="shared" ref="BH174" si="665">BC174+Q174</f>
        <v>81.099999999999994</v>
      </c>
      <c r="BI174" s="480">
        <f t="shared" ref="BI174" si="666">BD174+R174</f>
        <v>49.019999999999996</v>
      </c>
      <c r="BJ174" s="480">
        <f t="shared" ref="BJ174" si="667">BE174+S174</f>
        <v>66.31</v>
      </c>
      <c r="BK174" s="473">
        <f t="shared" si="604"/>
        <v>1.8999999999999773</v>
      </c>
      <c r="BL174" s="473">
        <f t="shared" si="605"/>
        <v>0.68999999999999773</v>
      </c>
      <c r="BM174" s="473">
        <f t="shared" si="606"/>
        <v>0.64999999999999858</v>
      </c>
      <c r="BN174" s="473">
        <f t="shared" si="607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56"/>
        <v>17.600000000000023</v>
      </c>
      <c r="CW174" s="297">
        <f t="shared" si="656"/>
        <v>6.5099999999999909</v>
      </c>
      <c r="CX174" s="297">
        <f t="shared" si="656"/>
        <v>6.0999999999999943</v>
      </c>
      <c r="CY174" s="297">
        <f t="shared" si="656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1777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1722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13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14"/>
        <v>50000</v>
      </c>
      <c r="AL175" s="316">
        <f>VLOOKUP(D175&amp;E175,计算辅助页面!$V$5:$Y$18,3,0)</f>
        <v>5</v>
      </c>
      <c r="AM175" s="317">
        <f t="shared" si="615"/>
        <v>150000</v>
      </c>
      <c r="AN175" s="317">
        <f>VLOOKUP(D175&amp;E175,计算辅助页面!$V$5:$Y$18,4,0)</f>
        <v>2</v>
      </c>
      <c r="AO175" s="304">
        <f t="shared" si="616"/>
        <v>2700000</v>
      </c>
      <c r="AP175" s="318">
        <f t="shared" si="617"/>
        <v>4554880</v>
      </c>
      <c r="AQ175" s="288" t="s">
        <v>560</v>
      </c>
      <c r="AR175" s="289" t="str">
        <f t="shared" si="596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68">BB175+P175</f>
        <v>354.9</v>
      </c>
      <c r="BH175" s="480">
        <f t="shared" ref="BH175" si="669">BC175+Q175</f>
        <v>81.099999999999994</v>
      </c>
      <c r="BI175" s="480">
        <f t="shared" ref="BI175" si="670">BD175+R175</f>
        <v>45.79</v>
      </c>
      <c r="BJ175" s="480">
        <f t="shared" ref="BJ175" si="671">BE175+S175</f>
        <v>68.7</v>
      </c>
      <c r="BK175" s="473">
        <f t="shared" si="604"/>
        <v>1.3999999999999773</v>
      </c>
      <c r="BL175" s="473">
        <f t="shared" si="605"/>
        <v>0.76999999999999602</v>
      </c>
      <c r="BM175" s="473">
        <f t="shared" si="606"/>
        <v>0.5</v>
      </c>
      <c r="BN175" s="473">
        <f t="shared" si="607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56"/>
        <v>13.5</v>
      </c>
      <c r="CW175" s="297">
        <f t="shared" si="656"/>
        <v>7.3299999999999983</v>
      </c>
      <c r="CX175" s="297">
        <f t="shared" si="656"/>
        <v>4.6400000000000006</v>
      </c>
      <c r="CY175" s="297">
        <f t="shared" si="656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1777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13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14"/>
        <v>100000</v>
      </c>
      <c r="AL176" s="316">
        <f>VLOOKUP(D176&amp;E176,计算辅助页面!$V$5:$Y$18,3,0)</f>
        <v>5</v>
      </c>
      <c r="AM176" s="317">
        <f t="shared" si="615"/>
        <v>300000</v>
      </c>
      <c r="AN176" s="317">
        <f>VLOOKUP(D176&amp;E176,计算辅助页面!$V$5:$Y$18,4,0)</f>
        <v>2</v>
      </c>
      <c r="AO176" s="304">
        <f t="shared" si="616"/>
        <v>5400000</v>
      </c>
      <c r="AP176" s="318">
        <f t="shared" si="617"/>
        <v>9111360</v>
      </c>
      <c r="AQ176" s="288" t="s">
        <v>593</v>
      </c>
      <c r="AR176" s="289" t="str">
        <f t="shared" si="596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72">BB176+P176</f>
        <v>349.7</v>
      </c>
      <c r="BH176" s="480">
        <f t="shared" ref="BH176" si="673">BC176+Q176</f>
        <v>77.5</v>
      </c>
      <c r="BI176" s="480">
        <f t="shared" ref="BI176" si="674">BD176+R176</f>
        <v>75.87</v>
      </c>
      <c r="BJ176" s="480">
        <f t="shared" ref="BJ176" si="675">BE176+S176</f>
        <v>60.84</v>
      </c>
      <c r="BK176" s="473">
        <f t="shared" si="604"/>
        <v>1.3999999999999773</v>
      </c>
      <c r="BL176" s="473">
        <f t="shared" si="605"/>
        <v>0.95000000000000284</v>
      </c>
      <c r="BM176" s="473">
        <f t="shared" si="606"/>
        <v>1.6400000000000006</v>
      </c>
      <c r="BN176" s="473">
        <f t="shared" si="607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1777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13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14"/>
        <v>60000</v>
      </c>
      <c r="AL177" s="316">
        <f>VLOOKUP(D177&amp;E177,计算辅助页面!$V$5:$Y$18,3,0)</f>
        <v>5</v>
      </c>
      <c r="AM177" s="317">
        <f t="shared" si="615"/>
        <v>180000</v>
      </c>
      <c r="AN177" s="317">
        <f>VLOOKUP(D177&amp;E177,计算辅助页面!$V$5:$Y$18,4,0)</f>
        <v>3</v>
      </c>
      <c r="AO177" s="304">
        <f t="shared" si="616"/>
        <v>4080000</v>
      </c>
      <c r="AP177" s="318">
        <f t="shared" si="617"/>
        <v>7546240</v>
      </c>
      <c r="AQ177" s="288" t="s">
        <v>567</v>
      </c>
      <c r="AR177" s="289" t="str">
        <f t="shared" si="596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76">BB177+P177</f>
        <v>366.40000000000003</v>
      </c>
      <c r="BH177" s="480">
        <f t="shared" ref="BH177" si="677">BC177+Q177</f>
        <v>81.100000000000009</v>
      </c>
      <c r="BI177" s="480">
        <f t="shared" ref="BI177" si="678">BD177+R177</f>
        <v>43.7</v>
      </c>
      <c r="BJ177" s="480">
        <f t="shared" ref="BJ177" si="679">BE177+S177</f>
        <v>72.42</v>
      </c>
      <c r="BK177" s="473">
        <f t="shared" si="604"/>
        <v>1.8000000000000114</v>
      </c>
      <c r="BL177" s="473">
        <f t="shared" si="605"/>
        <v>0.87000000000000455</v>
      </c>
      <c r="BM177" s="473">
        <f t="shared" si="606"/>
        <v>0.64000000000000057</v>
      </c>
      <c r="BN177" s="473">
        <f t="shared" si="607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80">P177-CR177</f>
        <v>14.600000000000023</v>
      </c>
      <c r="CW177" s="297">
        <f t="shared" si="680"/>
        <v>7.230000000000004</v>
      </c>
      <c r="CX177" s="297">
        <f t="shared" si="680"/>
        <v>5.3700000000000045</v>
      </c>
      <c r="CY177" s="297">
        <f t="shared" si="680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1777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13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14"/>
        <v>60000</v>
      </c>
      <c r="AL178" s="316">
        <f>VLOOKUP(D178&amp;E178,计算辅助页面!$V$5:$Y$18,3,0)</f>
        <v>5</v>
      </c>
      <c r="AM178" s="317">
        <f t="shared" si="615"/>
        <v>180000</v>
      </c>
      <c r="AN178" s="317">
        <f>VLOOKUP(D178&amp;E178,计算辅助页面!$V$5:$Y$18,4,0)</f>
        <v>3</v>
      </c>
      <c r="AO178" s="304">
        <f t="shared" si="616"/>
        <v>4080000</v>
      </c>
      <c r="AP178" s="318">
        <f t="shared" si="617"/>
        <v>7546240</v>
      </c>
      <c r="AQ178" s="288" t="s">
        <v>568</v>
      </c>
      <c r="AR178" s="289" t="str">
        <f t="shared" si="596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81">BB178+P178</f>
        <v>366.40000000000003</v>
      </c>
      <c r="BH178" s="480">
        <f t="shared" ref="BH178" si="682">BC178+Q178</f>
        <v>84.7</v>
      </c>
      <c r="BI178" s="480">
        <f t="shared" ref="BI178" si="683">BD178+R178</f>
        <v>48.44</v>
      </c>
      <c r="BJ178" s="480">
        <f t="shared" ref="BJ178" si="684">BE178+S178</f>
        <v>63.99</v>
      </c>
      <c r="BK178" s="473">
        <f t="shared" si="604"/>
        <v>1.8000000000000114</v>
      </c>
      <c r="BL178" s="473">
        <f t="shared" si="605"/>
        <v>1.0600000000000023</v>
      </c>
      <c r="BM178" s="473">
        <f t="shared" si="606"/>
        <v>0.89999999999999858</v>
      </c>
      <c r="BN178" s="473">
        <f t="shared" si="607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80"/>
        <v>14.600000000000023</v>
      </c>
      <c r="CW178" s="297">
        <f t="shared" si="680"/>
        <v>8.8400000000000034</v>
      </c>
      <c r="CX178" s="297">
        <f t="shared" si="680"/>
        <v>7.5600000000000023</v>
      </c>
      <c r="CY178" s="297">
        <f t="shared" si="680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1777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13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14"/>
        <v>120000</v>
      </c>
      <c r="AL179" s="316">
        <f>VLOOKUP(D179&amp;E179,计算辅助页面!$V$5:$Y$18,3,0)</f>
        <v>5</v>
      </c>
      <c r="AM179" s="317">
        <f t="shared" si="615"/>
        <v>360000</v>
      </c>
      <c r="AN179" s="317">
        <f>VLOOKUP(D179&amp;E179,计算辅助页面!$V$5:$Y$18,4,0)</f>
        <v>3</v>
      </c>
      <c r="AO179" s="304">
        <f t="shared" si="616"/>
        <v>8160000</v>
      </c>
      <c r="AP179" s="318">
        <f t="shared" si="617"/>
        <v>15931800</v>
      </c>
      <c r="AQ179" s="288" t="s">
        <v>862</v>
      </c>
      <c r="AR179" s="289" t="str">
        <f t="shared" si="596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685">BL179</f>
        <v>0.76999999999999602</v>
      </c>
      <c r="BD179" s="472">
        <f t="shared" ref="BD179" si="686">BM179</f>
        <v>2.6199999999999903</v>
      </c>
      <c r="BE179" s="472">
        <f t="shared" ref="BE179" si="687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04"/>
        <v>1.5</v>
      </c>
      <c r="BL179" s="473">
        <f t="shared" si="605"/>
        <v>0.76999999999999602</v>
      </c>
      <c r="BM179" s="473">
        <f t="shared" si="606"/>
        <v>2.6199999999999903</v>
      </c>
      <c r="BN179" s="473">
        <f t="shared" si="607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1777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13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14"/>
        <v>60000</v>
      </c>
      <c r="AL180" s="316">
        <f>VLOOKUP(D180&amp;E180,计算辅助页面!$V$5:$Y$18,3,0)</f>
        <v>5</v>
      </c>
      <c r="AM180" s="317">
        <f t="shared" si="615"/>
        <v>180000</v>
      </c>
      <c r="AN180" s="317">
        <f>VLOOKUP(D180&amp;E180,计算辅助页面!$V$5:$Y$18,4,0)</f>
        <v>3</v>
      </c>
      <c r="AO180" s="304">
        <f t="shared" si="616"/>
        <v>4080000</v>
      </c>
      <c r="AP180" s="318">
        <f t="shared" si="617"/>
        <v>7546240</v>
      </c>
      <c r="AQ180" s="288" t="s">
        <v>565</v>
      </c>
      <c r="AR180" s="289" t="str">
        <f t="shared" si="596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688">BB180+P180</f>
        <v>370.09999999999997</v>
      </c>
      <c r="BH180" s="480">
        <f t="shared" ref="BH180" si="689">BC180+Q180</f>
        <v>81.55</v>
      </c>
      <c r="BI180" s="480">
        <f t="shared" ref="BI180" si="690">BD180+R180</f>
        <v>51.19</v>
      </c>
      <c r="BJ180" s="480">
        <f t="shared" ref="BJ180" si="691">BE180+S180</f>
        <v>71.89</v>
      </c>
      <c r="BK180" s="473">
        <f t="shared" si="604"/>
        <v>2.1999999999999886</v>
      </c>
      <c r="BL180" s="473">
        <f t="shared" si="605"/>
        <v>0.71999999999999886</v>
      </c>
      <c r="BM180" s="473">
        <f t="shared" si="606"/>
        <v>1.0399999999999991</v>
      </c>
      <c r="BN180" s="473">
        <f t="shared" si="607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692">P180-CR180</f>
        <v>17.899999999999977</v>
      </c>
      <c r="CW180" s="297">
        <f t="shared" si="692"/>
        <v>6.0300000000000011</v>
      </c>
      <c r="CX180" s="297">
        <f t="shared" si="692"/>
        <v>8.64</v>
      </c>
      <c r="CY180" s="297">
        <f t="shared" si="692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1664</v>
      </c>
      <c r="C181" s="301" t="s">
        <v>1665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693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694">IF(AI181,2*AI181,"")</f>
        <v>120000</v>
      </c>
      <c r="AL181" s="316">
        <f>VLOOKUP(D181&amp;E181,计算辅助页面!$V$5:$Y$18,3,0)</f>
        <v>5</v>
      </c>
      <c r="AM181" s="317">
        <f t="shared" ref="AM181" si="695">IF(AN181="×",AN181,IF(AI181,6*AI181,""))</f>
        <v>360000</v>
      </c>
      <c r="AN181" s="317">
        <f>VLOOKUP(D181&amp;E181,计算辅助页面!$V$5:$Y$18,4,0)</f>
        <v>3</v>
      </c>
      <c r="AO181" s="304">
        <f t="shared" ref="AO181" si="696">IF(AI181,IF(AN181="×",4*(AI181*AJ181+AK181*AL181),4*(AI181*AJ181+AK181*AL181+AM181*AN181)),"")</f>
        <v>8160000</v>
      </c>
      <c r="AP181" s="318">
        <f t="shared" ref="AP181" si="697">IF(AND(AH181,AO181),AO181+AH181,"")</f>
        <v>15931800</v>
      </c>
      <c r="AQ181" s="288" t="s">
        <v>1666</v>
      </c>
      <c r="AR181" s="289" t="str">
        <f t="shared" si="596"/>
        <v>Speirling</v>
      </c>
      <c r="AS181" s="290" t="s">
        <v>1660</v>
      </c>
      <c r="AT181" s="291" t="s">
        <v>1667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698">BL181</f>
        <v>0.48000000000000398</v>
      </c>
      <c r="BD181" s="472">
        <f t="shared" ref="BD181" si="699">BM181</f>
        <v>3.7099999999999937</v>
      </c>
      <c r="BE181" s="472">
        <f t="shared" ref="BE181" si="700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01">IF(BG181="", "", BG181-P181)</f>
        <v>1.4000000000000341</v>
      </c>
      <c r="BL181" s="473">
        <f t="shared" ref="BL181" si="702">IF(BH181="", "", BH181-Q181)</f>
        <v>0.48000000000000398</v>
      </c>
      <c r="BM181" s="473">
        <f t="shared" ref="BM181" si="703">IF(BI181="", "", BI181-R181)</f>
        <v>3.7099999999999937</v>
      </c>
      <c r="BN181" s="473">
        <f t="shared" ref="BN181" si="704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13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14"/>
        <v>120000</v>
      </c>
      <c r="AL182" s="316">
        <f>VLOOKUP(D182&amp;E182,计算辅助页面!$V$5:$Y$18,3,0)</f>
        <v>5</v>
      </c>
      <c r="AM182" s="317">
        <f t="shared" si="615"/>
        <v>360000</v>
      </c>
      <c r="AN182" s="317">
        <f>VLOOKUP(D182&amp;E182,计算辅助页面!$V$5:$Y$18,4,0)</f>
        <v>3</v>
      </c>
      <c r="AO182" s="304">
        <f t="shared" si="616"/>
        <v>8160000</v>
      </c>
      <c r="AP182" s="318">
        <f t="shared" si="617"/>
        <v>15931800</v>
      </c>
      <c r="AQ182" s="288" t="s">
        <v>567</v>
      </c>
      <c r="AR182" s="289" t="str">
        <f t="shared" si="596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05">BB182+P182</f>
        <v>355.20000000000005</v>
      </c>
      <c r="BH182" s="480">
        <f t="shared" ref="BH182" si="706">BC182+Q182</f>
        <v>82</v>
      </c>
      <c r="BI182" s="480">
        <f t="shared" ref="BI182" si="707">BD182+R182</f>
        <v>65.150000000000006</v>
      </c>
      <c r="BJ182" s="480">
        <f t="shared" ref="BJ182" si="708">BE182+S182</f>
        <v>75.97</v>
      </c>
      <c r="BK182" s="473">
        <f t="shared" si="604"/>
        <v>1.6000000000000227</v>
      </c>
      <c r="BL182" s="473">
        <f t="shared" si="605"/>
        <v>0.87000000000000455</v>
      </c>
      <c r="BM182" s="473">
        <f t="shared" si="606"/>
        <v>1.980000000000004</v>
      </c>
      <c r="BN182" s="473">
        <f t="shared" si="607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692"/>
        <v>13.600000000000023</v>
      </c>
      <c r="CW182" s="297">
        <f t="shared" si="692"/>
        <v>7.2299999999999898</v>
      </c>
      <c r="CX182" s="297">
        <f t="shared" si="692"/>
        <v>16.53</v>
      </c>
      <c r="CY182" s="297">
        <f t="shared" si="692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1777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13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14"/>
        <v>120000</v>
      </c>
      <c r="AL183" s="316">
        <f>VLOOKUP(D183&amp;E183,计算辅助页面!$V$5:$Y$18,3,0)</f>
        <v>5</v>
      </c>
      <c r="AM183" s="317">
        <f t="shared" si="615"/>
        <v>360000</v>
      </c>
      <c r="AN183" s="317">
        <f>VLOOKUP(D183&amp;E183,计算辅助页面!$V$5:$Y$18,4,0)</f>
        <v>3</v>
      </c>
      <c r="AO183" s="304">
        <f t="shared" si="616"/>
        <v>8160000</v>
      </c>
      <c r="AP183" s="318">
        <f t="shared" si="617"/>
        <v>15931800</v>
      </c>
      <c r="AQ183" s="288" t="s">
        <v>1004</v>
      </c>
      <c r="AR183" s="289" t="str">
        <f t="shared" si="596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04"/>
        <v/>
      </c>
      <c r="BL183" s="473" t="str">
        <f t="shared" si="605"/>
        <v/>
      </c>
      <c r="BM183" s="473" t="str">
        <f t="shared" si="606"/>
        <v/>
      </c>
      <c r="BN183" s="473" t="str">
        <f t="shared" si="607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13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3" si="709">IF(AI184,2*AI184,"")</f>
        <v>120000</v>
      </c>
      <c r="AL184" s="316">
        <f>VLOOKUP(D184&amp;E184,计算辅助页面!$V$5:$Y$18,3,0)</f>
        <v>5</v>
      </c>
      <c r="AM184" s="317">
        <f t="shared" ref="AM184:AM223" si="710">IF(AN184="×",AN184,IF(AI184,6*AI184,""))</f>
        <v>360000</v>
      </c>
      <c r="AN184" s="317">
        <f>VLOOKUP(D184&amp;E184,计算辅助页面!$V$5:$Y$18,4,0)</f>
        <v>3</v>
      </c>
      <c r="AO184" s="304">
        <f t="shared" ref="AO184:AO223" si="711">IF(AI184,IF(AN184="×",4*(AI184*AJ184+AK184*AL184),4*(AI184*AJ184+AK184*AL184+AM184*AN184)),"")</f>
        <v>8160000</v>
      </c>
      <c r="AP184" s="318">
        <f t="shared" ref="AP184:AP246" si="712">IF(AND(AH184,AO184),AO184+AH184,"")</f>
        <v>15931800</v>
      </c>
      <c r="AQ184" s="288" t="s">
        <v>867</v>
      </c>
      <c r="AR184" s="289" t="str">
        <f t="shared" si="596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13">BB184+P184</f>
        <v>357.09999999999997</v>
      </c>
      <c r="BH184" s="480">
        <f t="shared" ref="BH184" si="714">BC184+Q184</f>
        <v>82.9</v>
      </c>
      <c r="BI184" s="480">
        <f t="shared" ref="BI184" si="715">BD184+R184</f>
        <v>61.510000000000005</v>
      </c>
      <c r="BJ184" s="480">
        <f t="shared" ref="BJ184" si="716">BE184+S184</f>
        <v>78.319999999999993</v>
      </c>
      <c r="BK184" s="473">
        <f t="shared" si="604"/>
        <v>1.6999999999999886</v>
      </c>
      <c r="BL184" s="473">
        <f t="shared" si="605"/>
        <v>0.87000000000000455</v>
      </c>
      <c r="BM184" s="473">
        <f t="shared" si="606"/>
        <v>1.4200000000000017</v>
      </c>
      <c r="BN184" s="473">
        <f t="shared" si="607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17">P184-CR184</f>
        <v>14.399999999999977</v>
      </c>
      <c r="CW184" s="297">
        <f t="shared" si="717"/>
        <v>7.230000000000004</v>
      </c>
      <c r="CX184" s="297">
        <f t="shared" si="717"/>
        <v>11.850000000000001</v>
      </c>
      <c r="CY184" s="297">
        <f t="shared" si="717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1779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13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09"/>
        <v>120000</v>
      </c>
      <c r="AL185" s="316">
        <f>VLOOKUP(D185&amp;E185,计算辅助页面!$V$5:$Y$18,3,0)</f>
        <v>5</v>
      </c>
      <c r="AM185" s="317">
        <f t="shared" si="710"/>
        <v>360000</v>
      </c>
      <c r="AN185" s="317">
        <f>VLOOKUP(D185&amp;E185,计算辅助页面!$V$5:$Y$18,4,0)</f>
        <v>3</v>
      </c>
      <c r="AO185" s="304">
        <f t="shared" si="711"/>
        <v>8160000</v>
      </c>
      <c r="AP185" s="318">
        <f t="shared" si="712"/>
        <v>15931800</v>
      </c>
      <c r="AQ185" s="288" t="s">
        <v>592</v>
      </c>
      <c r="AR185" s="289" t="str">
        <f t="shared" ref="AR185:AR226" si="718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19">BB185+P185</f>
        <v>371</v>
      </c>
      <c r="BH185" s="480">
        <f t="shared" ref="BH185:BH187" si="720">BC185+Q185</f>
        <v>76.600000000000009</v>
      </c>
      <c r="BI185" s="480">
        <f t="shared" ref="BI185:BI187" si="721">BD185+R185</f>
        <v>75.08</v>
      </c>
      <c r="BJ185" s="480">
        <f t="shared" ref="BJ185:BJ187" si="722">BE185+S185</f>
        <v>76.14</v>
      </c>
      <c r="BK185" s="473">
        <f t="shared" si="604"/>
        <v>1.8000000000000114</v>
      </c>
      <c r="BL185" s="473">
        <f t="shared" si="605"/>
        <v>1.0600000000000023</v>
      </c>
      <c r="BM185" s="473">
        <f t="shared" si="606"/>
        <v>1.9099999999999966</v>
      </c>
      <c r="BN185" s="473">
        <f t="shared" si="607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17"/>
        <v>15.199999999999989</v>
      </c>
      <c r="CW185" s="297">
        <f t="shared" si="717"/>
        <v>8.8400000000000034</v>
      </c>
      <c r="CX185" s="297">
        <f t="shared" si="717"/>
        <v>15.899999999999999</v>
      </c>
      <c r="CY185" s="297">
        <f t="shared" si="717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1779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1944</v>
      </c>
      <c r="C186" s="301" t="s">
        <v>1945</v>
      </c>
      <c r="D186" s="302" t="s">
        <v>8</v>
      </c>
      <c r="E186" s="303" t="s">
        <v>78</v>
      </c>
      <c r="F186" s="327"/>
      <c r="G186" s="328"/>
      <c r="H186" s="320">
        <v>30</v>
      </c>
      <c r="I186" s="320" t="s">
        <v>1946</v>
      </c>
      <c r="J186" s="320" t="s">
        <v>1946</v>
      </c>
      <c r="K186" s="320" t="s">
        <v>1946</v>
      </c>
      <c r="L186" s="320" t="s">
        <v>1946</v>
      </c>
      <c r="M186" s="320"/>
      <c r="N186" s="333"/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23">IF(AI186,2*AI186,"")</f>
        <v>120000</v>
      </c>
      <c r="AL186" s="316">
        <f>VLOOKUP(D186&amp;E186,计算辅助页面!$V$5:$Y$18,3,0)</f>
        <v>5</v>
      </c>
      <c r="AM186" s="317">
        <f t="shared" ref="AM186" si="724">IF(AN186="×",AN186,IF(AI186,6*AI186,""))</f>
        <v>360000</v>
      </c>
      <c r="AN186" s="317">
        <f>VLOOKUP(D186&amp;E186,计算辅助页面!$V$5:$Y$18,4,0)</f>
        <v>3</v>
      </c>
      <c r="AO186" s="304">
        <f t="shared" ref="AO186" si="725">IF(AI186,IF(AN186="×",4*(AI186*AJ186+AK186*AL186),4*(AI186*AJ186+AK186*AL186+AM186*AN186)),"")</f>
        <v>8160000</v>
      </c>
      <c r="AP186" s="318">
        <f t="shared" ref="AP186" si="726">IF(AND(AH186,AO186),AO186+AH186,"")</f>
        <v>15931800</v>
      </c>
      <c r="AQ186" s="288" t="s">
        <v>1004</v>
      </c>
      <c r="AR186" s="289" t="str">
        <f t="shared" si="718"/>
        <v>Aston Martin Valkyrie</v>
      </c>
      <c r="AS186" s="290" t="s">
        <v>1930</v>
      </c>
      <c r="AT186" s="291" t="s">
        <v>1947</v>
      </c>
      <c r="AU186" s="427" t="s">
        <v>703</v>
      </c>
      <c r="AZ186" s="292" t="s">
        <v>1956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1951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13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09"/>
        <v>60000</v>
      </c>
      <c r="AL187" s="316">
        <f>VLOOKUP(D187&amp;E187,计算辅助页面!$V$5:$Y$18,3,0)</f>
        <v>5</v>
      </c>
      <c r="AM187" s="317">
        <f t="shared" si="710"/>
        <v>180000</v>
      </c>
      <c r="AN187" s="317">
        <f>VLOOKUP(D187&amp;E187,计算辅助页面!$V$5:$Y$18,4,0)</f>
        <v>3</v>
      </c>
      <c r="AO187" s="304">
        <f t="shared" si="711"/>
        <v>4080000</v>
      </c>
      <c r="AP187" s="318">
        <f t="shared" si="712"/>
        <v>7546240</v>
      </c>
      <c r="AQ187" s="288" t="s">
        <v>128</v>
      </c>
      <c r="AR187" s="289" t="str">
        <f t="shared" si="718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19"/>
        <v>371</v>
      </c>
      <c r="BH187" s="480">
        <f t="shared" si="720"/>
        <v>81.099999999999994</v>
      </c>
      <c r="BI187" s="480">
        <f t="shared" si="721"/>
        <v>56.07</v>
      </c>
      <c r="BJ187" s="480">
        <f t="shared" si="722"/>
        <v>76.28</v>
      </c>
      <c r="BK187" s="473">
        <f t="shared" si="604"/>
        <v>2.1999999999999886</v>
      </c>
      <c r="BL187" s="473">
        <f t="shared" si="605"/>
        <v>0.76999999999999602</v>
      </c>
      <c r="BM187" s="473">
        <f t="shared" si="606"/>
        <v>1.3900000000000006</v>
      </c>
      <c r="BN187" s="473">
        <f t="shared" si="607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17"/>
        <v>18.800000000000011</v>
      </c>
      <c r="CW187" s="297">
        <f t="shared" si="717"/>
        <v>6.4299999999999926</v>
      </c>
      <c r="CX187" s="297">
        <f t="shared" si="717"/>
        <v>11.64</v>
      </c>
      <c r="CY187" s="297">
        <f t="shared" si="717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1779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1681</v>
      </c>
      <c r="C188" s="301" t="s">
        <v>1682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27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28">IF(AI188,2*AI188,"")</f>
        <v>120000</v>
      </c>
      <c r="AL188" s="316">
        <f>VLOOKUP(D188&amp;E188,计算辅助页面!$V$5:$Y$18,3,0)</f>
        <v>5</v>
      </c>
      <c r="AM188" s="317">
        <f t="shared" ref="AM188" si="729">IF(AN188="×",AN188,IF(AI188,6*AI188,""))</f>
        <v>360000</v>
      </c>
      <c r="AN188" s="317">
        <f>VLOOKUP(D188&amp;E188,计算辅助页面!$V$5:$Y$18,4,0)</f>
        <v>3</v>
      </c>
      <c r="AO188" s="304">
        <f t="shared" ref="AO188" si="730">IF(AI188,IF(AN188="×",4*(AI188*AJ188+AK188*AL188),4*(AI188*AJ188+AK188*AL188+AM188*AN188)),"")</f>
        <v>8160000</v>
      </c>
      <c r="AP188" s="318">
        <f t="shared" ref="AP188" si="731">IF(AND(AH188,AO188),AO188+AH188,"")</f>
        <v>15931800</v>
      </c>
      <c r="AQ188" s="288" t="s">
        <v>1679</v>
      </c>
      <c r="AR188" s="289" t="str">
        <f t="shared" si="718"/>
        <v>GT Frankie Edition</v>
      </c>
      <c r="AS188" s="290" t="s">
        <v>1718</v>
      </c>
      <c r="AT188" s="291" t="s">
        <v>1683</v>
      </c>
      <c r="AU188" s="427" t="s">
        <v>703</v>
      </c>
      <c r="AZ188" s="292" t="s">
        <v>1697</v>
      </c>
      <c r="BA188" s="477">
        <f>BF188-O188</f>
        <v>148</v>
      </c>
      <c r="BB188" s="476">
        <f>BK188</f>
        <v>2</v>
      </c>
      <c r="BC188" s="472">
        <f t="shared" ref="BC188" si="732">BL188</f>
        <v>1.0600000000000023</v>
      </c>
      <c r="BD188" s="472">
        <f t="shared" ref="BD188" si="733">BM188</f>
        <v>1.5700000000000003</v>
      </c>
      <c r="BE188" s="472">
        <f t="shared" ref="BE188" si="734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04"/>
        <v>2</v>
      </c>
      <c r="BL188" s="473">
        <f t="shared" si="605"/>
        <v>1.0600000000000023</v>
      </c>
      <c r="BM188" s="473">
        <f t="shared" si="606"/>
        <v>1.5700000000000003</v>
      </c>
      <c r="BN188" s="473">
        <f t="shared" si="607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1704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1779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13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09"/>
        <v>120000</v>
      </c>
      <c r="AL189" s="316">
        <f>VLOOKUP(D189&amp;E189,计算辅助页面!$V$5:$Y$18,3,0)</f>
        <v>5</v>
      </c>
      <c r="AM189" s="317">
        <f t="shared" si="710"/>
        <v>360000</v>
      </c>
      <c r="AN189" s="317">
        <f>VLOOKUP(D189&amp;E189,计算辅助页面!$V$5:$Y$18,4,0)</f>
        <v>3</v>
      </c>
      <c r="AO189" s="304">
        <f t="shared" si="711"/>
        <v>8160000</v>
      </c>
      <c r="AP189" s="318">
        <f t="shared" si="712"/>
        <v>15931800</v>
      </c>
      <c r="AQ189" s="288" t="s">
        <v>568</v>
      </c>
      <c r="AR189" s="289" t="str">
        <f t="shared" si="718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35">BB189+P189</f>
        <v>360.8</v>
      </c>
      <c r="BH189" s="480">
        <f t="shared" ref="BH189" si="736">BC189+Q189</f>
        <v>82.9</v>
      </c>
      <c r="BI189" s="480">
        <f t="shared" ref="BI189" si="737">BD189+R189</f>
        <v>61.980000000000004</v>
      </c>
      <c r="BJ189" s="480">
        <f t="shared" ref="BJ189" si="738">BE189+S189</f>
        <v>78.910000000000011</v>
      </c>
      <c r="BK189" s="473">
        <f t="shared" si="604"/>
        <v>2.8000000000000114</v>
      </c>
      <c r="BL189" s="473">
        <f t="shared" si="605"/>
        <v>0.87000000000000455</v>
      </c>
      <c r="BM189" s="473">
        <f t="shared" si="606"/>
        <v>1.1400000000000006</v>
      </c>
      <c r="BN189" s="473">
        <f t="shared" si="607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13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09"/>
        <v>160000</v>
      </c>
      <c r="AL190" s="316">
        <f>VLOOKUP(D190&amp;E190,计算辅助页面!$V$5:$Y$18,3,0)</f>
        <v>5</v>
      </c>
      <c r="AM190" s="317">
        <f t="shared" si="710"/>
        <v>480000</v>
      </c>
      <c r="AN190" s="317">
        <f>VLOOKUP(D190&amp;E190,计算辅助页面!$V$5:$Y$18,4,0)</f>
        <v>4</v>
      </c>
      <c r="AO190" s="304">
        <f t="shared" si="711"/>
        <v>12800000</v>
      </c>
      <c r="AP190" s="318">
        <f t="shared" si="712"/>
        <v>32207600</v>
      </c>
      <c r="AQ190" s="288" t="s">
        <v>565</v>
      </c>
      <c r="AR190" s="289" t="str">
        <f t="shared" si="718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39">BB190+P190</f>
        <v>366.4</v>
      </c>
      <c r="BH190" s="480">
        <f t="shared" ref="BH190:BH191" si="740">BC190+Q190</f>
        <v>82</v>
      </c>
      <c r="BI190" s="480">
        <f t="shared" ref="BI190:BI191" si="741">BD190+R190</f>
        <v>77.69</v>
      </c>
      <c r="BJ190" s="480">
        <f t="shared" ref="BJ190:BJ191" si="742">BE190+S190</f>
        <v>77.690000000000012</v>
      </c>
      <c r="BK190" s="473">
        <f t="shared" si="604"/>
        <v>1.6999999999999886</v>
      </c>
      <c r="BL190" s="473">
        <f t="shared" si="605"/>
        <v>0.87000000000000455</v>
      </c>
      <c r="BM190" s="473">
        <f t="shared" si="606"/>
        <v>3.9599999999999937</v>
      </c>
      <c r="BN190" s="473">
        <f t="shared" si="607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1779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13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09"/>
        <v>60000</v>
      </c>
      <c r="AL191" s="316">
        <f>VLOOKUP(D191&amp;E191,计算辅助页面!$V$5:$Y$18,3,0)</f>
        <v>5</v>
      </c>
      <c r="AM191" s="317">
        <f t="shared" si="710"/>
        <v>180000</v>
      </c>
      <c r="AN191" s="317">
        <f>VLOOKUP(D191&amp;E191,计算辅助页面!$V$5:$Y$18,4,0)</f>
        <v>3</v>
      </c>
      <c r="AO191" s="304">
        <f t="shared" si="711"/>
        <v>4080000</v>
      </c>
      <c r="AP191" s="318">
        <f t="shared" si="712"/>
        <v>7546240</v>
      </c>
      <c r="AQ191" s="288" t="s">
        <v>561</v>
      </c>
      <c r="AR191" s="289" t="str">
        <f t="shared" si="718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39"/>
        <v>364.5</v>
      </c>
      <c r="BH191" s="480">
        <f t="shared" si="740"/>
        <v>83.8</v>
      </c>
      <c r="BI191" s="480">
        <f t="shared" si="741"/>
        <v>52.989999999999995</v>
      </c>
      <c r="BJ191" s="480">
        <f t="shared" si="742"/>
        <v>81.599999999999994</v>
      </c>
      <c r="BK191" s="473">
        <f t="shared" si="604"/>
        <v>2.1000000000000227</v>
      </c>
      <c r="BL191" s="473">
        <f t="shared" si="605"/>
        <v>0.76999999999999602</v>
      </c>
      <c r="BM191" s="473">
        <f t="shared" si="606"/>
        <v>1.1899999999999977</v>
      </c>
      <c r="BN191" s="473">
        <f t="shared" si="607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43">P191-CR191</f>
        <v>17.399999999999977</v>
      </c>
      <c r="CW191" s="297">
        <f t="shared" si="743"/>
        <v>6.4300000000000068</v>
      </c>
      <c r="CX191" s="297">
        <f t="shared" si="743"/>
        <v>9.9599999999999937</v>
      </c>
      <c r="CY191" s="297">
        <f t="shared" si="743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13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09"/>
        <v>160000</v>
      </c>
      <c r="AL192" s="316">
        <f>VLOOKUP(D192&amp;E192,计算辅助页面!$V$5:$Y$18,3,0)</f>
        <v>5</v>
      </c>
      <c r="AM192" s="317">
        <f t="shared" si="710"/>
        <v>480000</v>
      </c>
      <c r="AN192" s="317">
        <f>VLOOKUP(D192&amp;E192,计算辅助页面!$V$5:$Y$18,4,0)</f>
        <v>4</v>
      </c>
      <c r="AO192" s="304">
        <f t="shared" si="711"/>
        <v>12800000</v>
      </c>
      <c r="AP192" s="318">
        <f t="shared" si="712"/>
        <v>32207600</v>
      </c>
      <c r="AQ192" s="288" t="s">
        <v>1003</v>
      </c>
      <c r="AR192" s="289" t="str">
        <f t="shared" si="718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44">BB192+P192</f>
        <v>342.29999999999995</v>
      </c>
      <c r="BH192" s="480">
        <f t="shared" ref="BH192" si="745">BC192+Q192</f>
        <v>87.399999999999991</v>
      </c>
      <c r="BI192" s="480">
        <f t="shared" ref="BI192" si="746">BD192+R192</f>
        <v>101.05</v>
      </c>
      <c r="BJ192" s="480">
        <f t="shared" ref="BJ192" si="747">BE192+S192</f>
        <v>88.01</v>
      </c>
      <c r="BK192" s="473">
        <f t="shared" si="604"/>
        <v>2.3999999999999773</v>
      </c>
      <c r="BL192" s="473">
        <f t="shared" si="605"/>
        <v>1.1599999999999966</v>
      </c>
      <c r="BM192" s="473">
        <f t="shared" si="606"/>
        <v>5.1299999999999955</v>
      </c>
      <c r="BN192" s="473">
        <f t="shared" si="607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43"/>
        <v>19.899999999999977</v>
      </c>
      <c r="CW192" s="297">
        <f t="shared" si="743"/>
        <v>9.64</v>
      </c>
      <c r="CX192" s="297">
        <f t="shared" si="743"/>
        <v>42.63</v>
      </c>
      <c r="CY192" s="297">
        <f t="shared" si="743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13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09"/>
        <v>160000</v>
      </c>
      <c r="AL193" s="316">
        <f>VLOOKUP(D193&amp;E193,计算辅助页面!$V$5:$Y$18,3,0)</f>
        <v>5</v>
      </c>
      <c r="AM193" s="317">
        <f t="shared" si="710"/>
        <v>480000</v>
      </c>
      <c r="AN193" s="317">
        <f>VLOOKUP(D193&amp;E193,计算辅助页面!$V$5:$Y$18,4,0)</f>
        <v>4</v>
      </c>
      <c r="AO193" s="304">
        <f t="shared" si="711"/>
        <v>12800000</v>
      </c>
      <c r="AP193" s="318">
        <f t="shared" si="712"/>
        <v>32207600</v>
      </c>
      <c r="AQ193" s="288" t="s">
        <v>1002</v>
      </c>
      <c r="AR193" s="289" t="str">
        <f t="shared" si="718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48">BB193+P193</f>
        <v>346</v>
      </c>
      <c r="BH193" s="480">
        <f t="shared" ref="BH193" si="749">BC193+Q193</f>
        <v>91</v>
      </c>
      <c r="BI193" s="480">
        <f t="shared" ref="BI193" si="750">BD193+R193</f>
        <v>98.04</v>
      </c>
      <c r="BJ193" s="480">
        <f t="shared" ref="BJ193" si="751">BE193+S193</f>
        <v>72.509999999999991</v>
      </c>
      <c r="BK193" s="473">
        <f t="shared" si="604"/>
        <v>1.6999999999999886</v>
      </c>
      <c r="BL193" s="473">
        <f t="shared" si="605"/>
        <v>0.96999999999999886</v>
      </c>
      <c r="BM193" s="473">
        <f t="shared" si="606"/>
        <v>3.8900000000000006</v>
      </c>
      <c r="BN193" s="473">
        <f t="shared" si="607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1779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13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09"/>
        <v>160000</v>
      </c>
      <c r="AL194" s="316">
        <f>VLOOKUP(D194&amp;E194,计算辅助页面!$V$5:$Y$18,3,0)</f>
        <v>5</v>
      </c>
      <c r="AM194" s="317">
        <f t="shared" si="710"/>
        <v>480000</v>
      </c>
      <c r="AN194" s="317">
        <f>VLOOKUP(D194&amp;E194,计算辅助页面!$V$5:$Y$18,4,0)</f>
        <v>4</v>
      </c>
      <c r="AO194" s="304">
        <f t="shared" si="711"/>
        <v>12800000</v>
      </c>
      <c r="AP194" s="318">
        <f t="shared" si="712"/>
        <v>32207600</v>
      </c>
      <c r="AQ194" s="288" t="s">
        <v>566</v>
      </c>
      <c r="AR194" s="289" t="str">
        <f t="shared" si="718"/>
        <v>DBS GT Zagato</v>
      </c>
      <c r="AS194" s="290" t="s">
        <v>1375</v>
      </c>
      <c r="AT194" s="291" t="s">
        <v>1623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52">BL194</f>
        <v>1.3499999999999943</v>
      </c>
      <c r="BD194" s="472">
        <f t="shared" ref="BD194" si="753">BM194</f>
        <v>2.4200000000000017</v>
      </c>
      <c r="BE194" s="472">
        <f t="shared" ref="BE194" si="754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04"/>
        <v>2.6000000000000227</v>
      </c>
      <c r="BL194" s="473">
        <f t="shared" si="605"/>
        <v>1.3499999999999943</v>
      </c>
      <c r="BM194" s="473">
        <f t="shared" si="606"/>
        <v>2.4200000000000017</v>
      </c>
      <c r="BN194" s="473">
        <f t="shared" si="607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1779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13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09"/>
        <v>160000</v>
      </c>
      <c r="AL195" s="316">
        <f>VLOOKUP(D195&amp;E195,计算辅助页面!$V$5:$Y$18,3,0)</f>
        <v>5</v>
      </c>
      <c r="AM195" s="317">
        <f t="shared" si="710"/>
        <v>480000</v>
      </c>
      <c r="AN195" s="317">
        <f>VLOOKUP(D195&amp;E195,计算辅助页面!$V$5:$Y$18,4,0)</f>
        <v>4</v>
      </c>
      <c r="AO195" s="304">
        <f t="shared" si="711"/>
        <v>12800000</v>
      </c>
      <c r="AP195" s="318">
        <f t="shared" si="712"/>
        <v>32207600</v>
      </c>
      <c r="AQ195" s="288" t="s">
        <v>568</v>
      </c>
      <c r="AR195" s="289" t="str">
        <f t="shared" si="718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55">BB195+P195</f>
        <v>379.7</v>
      </c>
      <c r="BH195" s="480">
        <f t="shared" ref="BH195:BH197" si="756">BC195+Q195</f>
        <v>80.2</v>
      </c>
      <c r="BI195" s="480">
        <f t="shared" ref="BI195:BI197" si="757">BD195+R195</f>
        <v>68.460000000000008</v>
      </c>
      <c r="BJ195" s="480">
        <f t="shared" ref="BJ195:BJ197" si="758">BE195+S195</f>
        <v>66.84</v>
      </c>
      <c r="BK195" s="473">
        <f t="shared" si="604"/>
        <v>2.5</v>
      </c>
      <c r="BL195" s="473">
        <f t="shared" si="605"/>
        <v>0.96999999999999886</v>
      </c>
      <c r="BM195" s="473">
        <f t="shared" si="606"/>
        <v>2.4000000000000057</v>
      </c>
      <c r="BN195" s="473">
        <f t="shared" si="607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59">P195-CR195</f>
        <v>21.199999999999989</v>
      </c>
      <c r="CW195" s="297">
        <f t="shared" si="759"/>
        <v>8.0300000000000011</v>
      </c>
      <c r="CX195" s="297">
        <f t="shared" si="759"/>
        <v>19.980000000000004</v>
      </c>
      <c r="CY195" s="297">
        <f t="shared" si="759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1779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1792</v>
      </c>
      <c r="C196" s="301" t="s">
        <v>1784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60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61">IF(AI196,2*AI196,"")</f>
        <v>160000</v>
      </c>
      <c r="AL196" s="316">
        <f>VLOOKUP(D196&amp;E196,计算辅助页面!$V$5:$Y$18,3,0)</f>
        <v>5</v>
      </c>
      <c r="AM196" s="317">
        <f t="shared" ref="AM196" si="762">IF(AN196="×",AN196,IF(AI196,6*AI196,""))</f>
        <v>480000</v>
      </c>
      <c r="AN196" s="317">
        <f>VLOOKUP(D196&amp;E196,计算辅助页面!$V$5:$Y$18,4,0)</f>
        <v>4</v>
      </c>
      <c r="AO196" s="304">
        <f t="shared" ref="AO196" si="763">IF(AI196,IF(AN196="×",4*(AI196*AJ196+AK196*AL196),4*(AI196*AJ196+AK196*AL196+AM196*AN196)),"")</f>
        <v>12800000</v>
      </c>
      <c r="AP196" s="318">
        <f t="shared" ref="AP196" si="764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1814</v>
      </c>
      <c r="AT196" s="291" t="s">
        <v>1785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55"/>
        <v>367.29999999999995</v>
      </c>
      <c r="BH196" s="480">
        <f t="shared" si="756"/>
        <v>90.100000000000009</v>
      </c>
      <c r="BI196" s="480">
        <f t="shared" si="757"/>
        <v>66.739999999999995</v>
      </c>
      <c r="BJ196" s="480">
        <f t="shared" si="758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1786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13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09"/>
        <v>120000</v>
      </c>
      <c r="AL197" s="316">
        <f>VLOOKUP(D197&amp;E197,计算辅助页面!$V$5:$Y$18,3,0)</f>
        <v>5</v>
      </c>
      <c r="AM197" s="317">
        <f t="shared" si="710"/>
        <v>360000</v>
      </c>
      <c r="AN197" s="317">
        <f>VLOOKUP(D197&amp;E197,计算辅助页面!$V$5:$Y$18,4,0)</f>
        <v>3</v>
      </c>
      <c r="AO197" s="304">
        <f t="shared" si="711"/>
        <v>8160000</v>
      </c>
      <c r="AP197" s="318">
        <f t="shared" si="712"/>
        <v>15931800</v>
      </c>
      <c r="AQ197" s="288" t="s">
        <v>565</v>
      </c>
      <c r="AR197" s="289" t="str">
        <f t="shared" si="718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55"/>
        <v>365.40000000000003</v>
      </c>
      <c r="BH197" s="480">
        <f t="shared" si="756"/>
        <v>80.649999999999991</v>
      </c>
      <c r="BI197" s="480">
        <f t="shared" si="757"/>
        <v>75.97</v>
      </c>
      <c r="BJ197" s="480">
        <f t="shared" si="758"/>
        <v>79.650000000000006</v>
      </c>
      <c r="BK197" s="473">
        <f t="shared" si="604"/>
        <v>1.6000000000000227</v>
      </c>
      <c r="BL197" s="473">
        <f t="shared" si="605"/>
        <v>0.81999999999999318</v>
      </c>
      <c r="BM197" s="473">
        <f t="shared" si="606"/>
        <v>2.8700000000000045</v>
      </c>
      <c r="BN197" s="473">
        <f t="shared" si="607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59"/>
        <v>13.800000000000011</v>
      </c>
      <c r="CW197" s="297">
        <f t="shared" si="759"/>
        <v>6.8299999999999983</v>
      </c>
      <c r="CX197" s="297">
        <f t="shared" si="759"/>
        <v>23.939999999999998</v>
      </c>
      <c r="CY197" s="297">
        <f t="shared" si="759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1779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13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09"/>
        <v>160000</v>
      </c>
      <c r="AL198" s="336">
        <f>VLOOKUP(D198&amp;E198,计算辅助页面!$V$5:$Y$18,3,0)</f>
        <v>5</v>
      </c>
      <c r="AM198" s="337">
        <f t="shared" si="710"/>
        <v>480000</v>
      </c>
      <c r="AN198" s="337">
        <f>VLOOKUP(D198&amp;E198,计算辅助页面!$V$5:$Y$18,4,0)</f>
        <v>4</v>
      </c>
      <c r="AO198" s="327">
        <f t="shared" si="711"/>
        <v>12800000</v>
      </c>
      <c r="AP198" s="318">
        <f t="shared" si="712"/>
        <v>32207600</v>
      </c>
      <c r="AQ198" s="288" t="s">
        <v>1002</v>
      </c>
      <c r="AR198" s="289" t="str">
        <f t="shared" si="718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65">BB198+P198</f>
        <v>371.90000000000003</v>
      </c>
      <c r="BH198" s="480">
        <f t="shared" ref="BH198" si="766">BC198+Q198</f>
        <v>82.9</v>
      </c>
      <c r="BI198" s="480">
        <f t="shared" ref="BI198" si="767">BD198+R198</f>
        <v>87.339999999999989</v>
      </c>
      <c r="BJ198" s="480">
        <f t="shared" ref="BJ198" si="768">BE198+S198</f>
        <v>62.56</v>
      </c>
      <c r="BK198" s="473">
        <f t="shared" si="604"/>
        <v>1.3000000000000114</v>
      </c>
      <c r="BL198" s="473">
        <f t="shared" si="605"/>
        <v>0.96999999999999886</v>
      </c>
      <c r="BM198" s="473">
        <f t="shared" si="606"/>
        <v>2.519999999999996</v>
      </c>
      <c r="BN198" s="473">
        <f t="shared" si="607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59"/>
        <v>10.600000000000023</v>
      </c>
      <c r="CW198" s="297">
        <f t="shared" si="759"/>
        <v>8.0300000000000011</v>
      </c>
      <c r="CX198" s="297">
        <f t="shared" si="759"/>
        <v>20.989999999999995</v>
      </c>
      <c r="CY198" s="297">
        <f t="shared" si="759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1779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13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09"/>
        <v>160000</v>
      </c>
      <c r="AL199" s="336">
        <f>VLOOKUP(D199&amp;E199,计算辅助页面!$V$5:$Y$18,3,0)</f>
        <v>5</v>
      </c>
      <c r="AM199" s="337">
        <f t="shared" si="710"/>
        <v>480000</v>
      </c>
      <c r="AN199" s="337">
        <f>VLOOKUP(D199&amp;E199,计算辅助页面!$V$5:$Y$18,4,0)</f>
        <v>4</v>
      </c>
      <c r="AO199" s="327">
        <f t="shared" si="711"/>
        <v>12800000</v>
      </c>
      <c r="AP199" s="318">
        <f t="shared" si="712"/>
        <v>32207600</v>
      </c>
      <c r="AQ199" s="288" t="s">
        <v>862</v>
      </c>
      <c r="AR199" s="289" t="str">
        <f t="shared" si="718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69">BL199</f>
        <v>1.0599999999999881</v>
      </c>
      <c r="BD199" s="472">
        <f t="shared" ref="BD199" si="770">BM199</f>
        <v>1.8599999999999994</v>
      </c>
      <c r="BE199" s="472">
        <f t="shared" ref="BE199" si="771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04"/>
        <v>1.8000000000000114</v>
      </c>
      <c r="BL199" s="473">
        <f t="shared" si="605"/>
        <v>1.0599999999999881</v>
      </c>
      <c r="BM199" s="473">
        <f t="shared" si="606"/>
        <v>1.8599999999999994</v>
      </c>
      <c r="BN199" s="473">
        <f t="shared" si="607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1779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1804</v>
      </c>
      <c r="C200" s="301" t="s">
        <v>1833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13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72">IF(AI200,2*AI200,"")</f>
        <v>160000</v>
      </c>
      <c r="AL200" s="336">
        <f>VLOOKUP(D200&amp;E200,计算辅助页面!$V$5:$Y$18,3,0)</f>
        <v>5</v>
      </c>
      <c r="AM200" s="337">
        <f t="shared" ref="AM200" si="773">IF(AN200="×",AN200,IF(AI200,6*AI200,""))</f>
        <v>480000</v>
      </c>
      <c r="AN200" s="337">
        <f>VLOOKUP(D200&amp;E200,计算辅助页面!$V$5:$Y$18,4,0)</f>
        <v>4</v>
      </c>
      <c r="AO200" s="327">
        <f t="shared" ref="AO200" si="774">IF(AI200,IF(AN200="×",4*(AI200*AJ200+AK200*AL200),4*(AI200*AJ200+AK200*AL200+AM200*AN200)),"")</f>
        <v>12800000</v>
      </c>
      <c r="AP200" s="318">
        <f t="shared" ref="AP200" si="775">IF(AND(AH200,AO200),AO200+AH200,"")</f>
        <v>32207600</v>
      </c>
      <c r="AQ200" s="288" t="s">
        <v>568</v>
      </c>
      <c r="AR200" s="289" t="str">
        <f t="shared" si="718"/>
        <v>Sabre</v>
      </c>
      <c r="AS200" s="290" t="s">
        <v>1819</v>
      </c>
      <c r="AT200" s="291" t="s">
        <v>1805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776">BL200</f>
        <v>1.2599999999999909</v>
      </c>
      <c r="BD200" s="472">
        <f t="shared" ref="BD200" si="777">BM200</f>
        <v>2.25</v>
      </c>
      <c r="BE200" s="472">
        <f t="shared" ref="BE200" si="778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04"/>
        <v>1.3999999999999773</v>
      </c>
      <c r="BL200" s="473">
        <f t="shared" si="605"/>
        <v>1.2599999999999909</v>
      </c>
      <c r="BM200" s="473">
        <f t="shared" si="606"/>
        <v>2.25</v>
      </c>
      <c r="BN200" s="473">
        <f t="shared" si="607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1827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1709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13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09"/>
        <v>160000</v>
      </c>
      <c r="AL201" s="336">
        <f>VLOOKUP(D201&amp;E201,计算辅助页面!$V$5:$Y$18,3,0)</f>
        <v>5</v>
      </c>
      <c r="AM201" s="337">
        <f t="shared" si="710"/>
        <v>480000</v>
      </c>
      <c r="AN201" s="337">
        <f>VLOOKUP(D201&amp;E201,计算辅助页面!$V$5:$Y$18,4,0)</f>
        <v>4</v>
      </c>
      <c r="AO201" s="327">
        <f t="shared" si="711"/>
        <v>12800000</v>
      </c>
      <c r="AP201" s="318">
        <f t="shared" si="712"/>
        <v>32207600</v>
      </c>
      <c r="AQ201" s="288" t="s">
        <v>1923</v>
      </c>
      <c r="AR201" s="289" t="str">
        <f t="shared" si="718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779">BL201</f>
        <v>0.76999999999999602</v>
      </c>
      <c r="BD201" s="472">
        <f t="shared" ref="BD201" si="780">BM201</f>
        <v>2.7900000000000063</v>
      </c>
      <c r="BE201" s="472">
        <f t="shared" ref="BE201" si="781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04"/>
        <v>2.1999999999999886</v>
      </c>
      <c r="BL201" s="473">
        <f t="shared" si="605"/>
        <v>0.76999999999999602</v>
      </c>
      <c r="BM201" s="473">
        <f t="shared" si="606"/>
        <v>2.7900000000000063</v>
      </c>
      <c r="BN201" s="473">
        <f t="shared" si="607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1779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13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09"/>
        <v>160000</v>
      </c>
      <c r="AL202" s="336">
        <f>VLOOKUP(D202&amp;E202,计算辅助页面!$V$5:$Y$18,3,0)</f>
        <v>5</v>
      </c>
      <c r="AM202" s="337">
        <f t="shared" si="710"/>
        <v>480000</v>
      </c>
      <c r="AN202" s="337">
        <f>VLOOKUP(D202&amp;E202,计算辅助页面!$V$5:$Y$18,4,0)</f>
        <v>4</v>
      </c>
      <c r="AO202" s="327">
        <f t="shared" si="711"/>
        <v>12800000</v>
      </c>
      <c r="AP202" s="318">
        <f t="shared" si="712"/>
        <v>32207600</v>
      </c>
      <c r="AQ202" s="288" t="s">
        <v>1001</v>
      </c>
      <c r="AR202" s="289" t="str">
        <f t="shared" si="718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782">BB202+P202</f>
        <v>390.4</v>
      </c>
      <c r="BH202" s="480">
        <f t="shared" ref="BH202" si="783">BC202+Q202</f>
        <v>77.5</v>
      </c>
      <c r="BI202" s="480">
        <f t="shared" ref="BI202" si="784">BD202+R202</f>
        <v>65.679999999999993</v>
      </c>
      <c r="BJ202" s="480">
        <f t="shared" ref="BJ202" si="785">BE202+S202</f>
        <v>69.260000000000005</v>
      </c>
      <c r="BK202" s="473">
        <f t="shared" si="604"/>
        <v>1.6999999999999886</v>
      </c>
      <c r="BL202" s="473">
        <f t="shared" si="605"/>
        <v>0.96999999999999886</v>
      </c>
      <c r="BM202" s="473">
        <f t="shared" si="606"/>
        <v>1.0699999999999932</v>
      </c>
      <c r="BN202" s="473">
        <f t="shared" si="607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13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09"/>
        <v>160000</v>
      </c>
      <c r="AL203" s="336">
        <f>VLOOKUP(D203&amp;E203,计算辅助页面!$V$5:$Y$18,3,0)</f>
        <v>5</v>
      </c>
      <c r="AM203" s="337">
        <f t="shared" si="710"/>
        <v>480000</v>
      </c>
      <c r="AN203" s="337">
        <f>VLOOKUP(D203&amp;E203,计算辅助页面!$V$5:$Y$18,4,0)</f>
        <v>4</v>
      </c>
      <c r="AO203" s="327">
        <f t="shared" si="711"/>
        <v>12800000</v>
      </c>
      <c r="AP203" s="318">
        <f t="shared" si="712"/>
        <v>32207600</v>
      </c>
      <c r="AQ203" s="288" t="s">
        <v>561</v>
      </c>
      <c r="AR203" s="289" t="str">
        <f t="shared" si="718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786">BB203+P203</f>
        <v>353.4</v>
      </c>
      <c r="BH203" s="480">
        <f t="shared" ref="BH203" si="787">BC203+Q203</f>
        <v>86.05</v>
      </c>
      <c r="BI203" s="480">
        <f t="shared" ref="BI203" si="788">BD203+R203</f>
        <v>91.85</v>
      </c>
      <c r="BJ203" s="480">
        <f t="shared" ref="BJ203" si="789">BE203+S203</f>
        <v>74.650000000000006</v>
      </c>
      <c r="BK203" s="473">
        <f t="shared" si="604"/>
        <v>1.3999999999999773</v>
      </c>
      <c r="BL203" s="473">
        <f t="shared" si="605"/>
        <v>1.1099999999999994</v>
      </c>
      <c r="BM203" s="473">
        <f t="shared" si="606"/>
        <v>3.8900000000000006</v>
      </c>
      <c r="BN203" s="473">
        <f t="shared" si="607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1780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13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09"/>
        <v>160000</v>
      </c>
      <c r="AL204" s="336">
        <f>VLOOKUP(D204&amp;E204,计算辅助页面!$V$5:$Y$18,3,0)</f>
        <v>5</v>
      </c>
      <c r="AM204" s="337">
        <f t="shared" si="710"/>
        <v>480000</v>
      </c>
      <c r="AN204" s="337">
        <f>VLOOKUP(D204&amp;E204,计算辅助页面!$V$5:$Y$18,4,0)</f>
        <v>4</v>
      </c>
      <c r="AO204" s="327">
        <f t="shared" si="711"/>
        <v>12800000</v>
      </c>
      <c r="AP204" s="318">
        <f t="shared" si="712"/>
        <v>32207600</v>
      </c>
      <c r="AQ204" s="288" t="s">
        <v>566</v>
      </c>
      <c r="AR204" s="289" t="str">
        <f t="shared" si="718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790">BB204+P204</f>
        <v>372.79999999999995</v>
      </c>
      <c r="BH204" s="480">
        <f t="shared" ref="BH204" si="791">BC204+Q204</f>
        <v>79.3</v>
      </c>
      <c r="BI204" s="480">
        <f t="shared" ref="BI204" si="792">BD204+R204</f>
        <v>79.490000000000009</v>
      </c>
      <c r="BJ204" s="480">
        <f t="shared" ref="BJ204" si="793">BE204+S204</f>
        <v>72.28</v>
      </c>
      <c r="BK204" s="473">
        <f t="shared" si="604"/>
        <v>1.3999999999999773</v>
      </c>
      <c r="BL204" s="473">
        <f t="shared" si="605"/>
        <v>0.96999999999999886</v>
      </c>
      <c r="BM204" s="473">
        <f t="shared" si="606"/>
        <v>2.6500000000000057</v>
      </c>
      <c r="BN204" s="473">
        <f t="shared" si="607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794">P204-CR204</f>
        <v>11.399999999999977</v>
      </c>
      <c r="CW204" s="297">
        <f t="shared" si="794"/>
        <v>8.0300000000000011</v>
      </c>
      <c r="CX204" s="297">
        <f t="shared" si="794"/>
        <v>21.990000000000002</v>
      </c>
      <c r="CY204" s="297">
        <f t="shared" si="794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1780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13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09"/>
        <v>160000</v>
      </c>
      <c r="AL205" s="336">
        <f>VLOOKUP(D205&amp;E205,计算辅助页面!$V$5:$Y$18,3,0)</f>
        <v>5</v>
      </c>
      <c r="AM205" s="337">
        <f t="shared" si="710"/>
        <v>480000</v>
      </c>
      <c r="AN205" s="337">
        <f>VLOOKUP(D205&amp;E205,计算辅助页面!$V$5:$Y$18,4,0)</f>
        <v>4</v>
      </c>
      <c r="AO205" s="327">
        <f t="shared" si="711"/>
        <v>12800000</v>
      </c>
      <c r="AP205" s="318">
        <f t="shared" si="712"/>
        <v>32207600</v>
      </c>
      <c r="AQ205" s="288" t="s">
        <v>561</v>
      </c>
      <c r="AR205" s="289" t="str">
        <f t="shared" si="718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795">BB205+P205</f>
        <v>359</v>
      </c>
      <c r="BH205" s="480">
        <f t="shared" ref="BH205" si="796">BC205+Q205</f>
        <v>84.7</v>
      </c>
      <c r="BI205" s="480">
        <f t="shared" ref="BI205" si="797">BD205+R205</f>
        <v>89</v>
      </c>
      <c r="BJ205" s="480">
        <f t="shared" ref="BJ205" si="798">BE205+S205</f>
        <v>76.540000000000006</v>
      </c>
      <c r="BK205" s="473">
        <f t="shared" si="604"/>
        <v>2.1000000000000227</v>
      </c>
      <c r="BL205" s="473">
        <f t="shared" si="605"/>
        <v>1.0600000000000023</v>
      </c>
      <c r="BM205" s="473">
        <f t="shared" si="606"/>
        <v>3.5799999999999983</v>
      </c>
      <c r="BN205" s="473">
        <f t="shared" si="607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794"/>
        <v>16.899999999999977</v>
      </c>
      <c r="CW205" s="297">
        <f t="shared" si="794"/>
        <v>8.8400000000000034</v>
      </c>
      <c r="CX205" s="297">
        <f t="shared" si="794"/>
        <v>29.79</v>
      </c>
      <c r="CY205" s="297">
        <f t="shared" si="794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1780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13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09"/>
        <v>80000</v>
      </c>
      <c r="AL206" s="316">
        <f>VLOOKUP(D206&amp;E206,计算辅助页面!$V$5:$Y$18,3,0)</f>
        <v>5</v>
      </c>
      <c r="AM206" s="317">
        <f t="shared" si="710"/>
        <v>240000</v>
      </c>
      <c r="AN206" s="317">
        <f>VLOOKUP(D206&amp;E206,计算辅助页面!$V$5:$Y$18,4,0)</f>
        <v>4</v>
      </c>
      <c r="AO206" s="304">
        <f t="shared" si="711"/>
        <v>6400000</v>
      </c>
      <c r="AP206" s="318">
        <f t="shared" si="712"/>
        <v>12775160</v>
      </c>
      <c r="AQ206" s="288" t="s">
        <v>862</v>
      </c>
      <c r="AR206" s="289" t="str">
        <f t="shared" si="718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799">BB206+P206</f>
        <v>367.29999999999995</v>
      </c>
      <c r="BH206" s="480">
        <f t="shared" ref="BH206" si="800">BC206+Q206</f>
        <v>81.100000000000009</v>
      </c>
      <c r="BI206" s="480">
        <f t="shared" ref="BI206" si="801">BD206+R206</f>
        <v>65.16</v>
      </c>
      <c r="BJ206" s="480">
        <f t="shared" ref="BJ206" si="802">BE206+S206</f>
        <v>88.39</v>
      </c>
      <c r="BK206" s="473">
        <f t="shared" si="604"/>
        <v>1.8999999999999773</v>
      </c>
      <c r="BL206" s="473">
        <f t="shared" si="605"/>
        <v>1.0600000000000023</v>
      </c>
      <c r="BM206" s="473">
        <f t="shared" si="606"/>
        <v>2.0499999999999972</v>
      </c>
      <c r="BN206" s="473">
        <f t="shared" si="607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794"/>
        <v>15.399999999999977</v>
      </c>
      <c r="CW206" s="297">
        <f t="shared" si="794"/>
        <v>8.8400000000000034</v>
      </c>
      <c r="CX206" s="297">
        <f t="shared" si="794"/>
        <v>17.009999999999998</v>
      </c>
      <c r="CY206" s="297">
        <f t="shared" si="794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1780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13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09"/>
        <v>160000</v>
      </c>
      <c r="AL207" s="316">
        <f>VLOOKUP(D207&amp;E207,计算辅助页面!$V$5:$Y$18,3,0)</f>
        <v>5</v>
      </c>
      <c r="AM207" s="317">
        <f t="shared" si="710"/>
        <v>480000</v>
      </c>
      <c r="AN207" s="317">
        <f>VLOOKUP(D207&amp;E207,计算辅助页面!$V$5:$Y$18,4,0)</f>
        <v>4</v>
      </c>
      <c r="AO207" s="304">
        <f t="shared" si="711"/>
        <v>12800000</v>
      </c>
      <c r="AP207" s="318">
        <f t="shared" si="712"/>
        <v>32207600</v>
      </c>
      <c r="AQ207" s="288" t="s">
        <v>568</v>
      </c>
      <c r="AR207" s="289" t="str">
        <f t="shared" si="718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03">BL207</f>
        <v>1.2599999999999909</v>
      </c>
      <c r="BD207" s="472">
        <f t="shared" ref="BD207" si="804">BM207</f>
        <v>3.1800000000000068</v>
      </c>
      <c r="BE207" s="472">
        <f t="shared" ref="BE207" si="805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04"/>
        <v>2</v>
      </c>
      <c r="BL207" s="473">
        <f t="shared" si="605"/>
        <v>1.2599999999999909</v>
      </c>
      <c r="BM207" s="473">
        <f t="shared" si="606"/>
        <v>3.1800000000000068</v>
      </c>
      <c r="BN207" s="473">
        <f t="shared" si="607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1780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7" si="806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13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09"/>
        <v>160000</v>
      </c>
      <c r="AL208" s="316">
        <f>VLOOKUP(D208&amp;E208,计算辅助页面!$V$5:$Y$18,3,0)</f>
        <v>5</v>
      </c>
      <c r="AM208" s="317">
        <f t="shared" si="710"/>
        <v>480000</v>
      </c>
      <c r="AN208" s="317">
        <f>VLOOKUP(D208&amp;E208,计算辅助页面!$V$5:$Y$18,4,0)</f>
        <v>4</v>
      </c>
      <c r="AO208" s="304">
        <f t="shared" si="711"/>
        <v>12800000</v>
      </c>
      <c r="AP208" s="318">
        <f t="shared" si="712"/>
        <v>32207600</v>
      </c>
      <c r="AQ208" s="288" t="s">
        <v>565</v>
      </c>
      <c r="AR208" s="289" t="str">
        <f t="shared" si="718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09" si="807">BB208+P208</f>
        <v>363.6</v>
      </c>
      <c r="BH208" s="480">
        <f t="shared" ref="BH208:BH209" si="808">BC208+Q208</f>
        <v>82.9</v>
      </c>
      <c r="BI208" s="480">
        <f t="shared" ref="BI208:BI209" si="809">BD208+R208</f>
        <v>66.25</v>
      </c>
      <c r="BJ208" s="480">
        <f t="shared" ref="BJ208:BJ209" si="810">BE208+S208</f>
        <v>84.59</v>
      </c>
      <c r="BK208" s="473">
        <f t="shared" si="604"/>
        <v>1.5</v>
      </c>
      <c r="BL208" s="473">
        <f t="shared" si="605"/>
        <v>0.87000000000000455</v>
      </c>
      <c r="BM208" s="473">
        <f t="shared" si="606"/>
        <v>2.25</v>
      </c>
      <c r="BN208" s="473">
        <f t="shared" si="607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1" si="811">P208-CR208</f>
        <v>12.100000000000023</v>
      </c>
      <c r="CW208" s="297">
        <f t="shared" si="811"/>
        <v>7.230000000000004</v>
      </c>
      <c r="CX208" s="297">
        <f t="shared" si="811"/>
        <v>18.670000000000002</v>
      </c>
      <c r="CY208" s="297">
        <f t="shared" si="811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1684</v>
      </c>
      <c r="C209" s="301" t="s">
        <v>1685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12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13">IF(AI209,2*AI209,"")</f>
        <v>180000</v>
      </c>
      <c r="AL209" s="316">
        <f>VLOOKUP(D209&amp;E209,计算辅助页面!$V$5:$Y$18,3,0)</f>
        <v>5</v>
      </c>
      <c r="AM209" s="317">
        <f t="shared" ref="AM209" si="814">IF(AN209="×",AN209,IF(AI209,6*AI209,""))</f>
        <v>540000</v>
      </c>
      <c r="AN209" s="317">
        <f>VLOOKUP(D209&amp;E209,计算辅助页面!$V$5:$Y$18,4,0)</f>
        <v>4</v>
      </c>
      <c r="AO209" s="304">
        <f t="shared" ref="AO209" si="815">IF(AI209,IF(AN209="×",4*(AI209*AJ209+AK209*AL209),4*(AI209*AJ209+AK209*AL209+AM209*AN209)),"")</f>
        <v>14400000</v>
      </c>
      <c r="AP209" s="318">
        <f t="shared" ref="AP209" si="816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1718</v>
      </c>
      <c r="AT209" s="291" t="s">
        <v>1686</v>
      </c>
      <c r="AU209" s="427" t="s">
        <v>703</v>
      </c>
      <c r="AZ209" s="292" t="s">
        <v>1694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07"/>
        <v>362.7</v>
      </c>
      <c r="BH209" s="480">
        <f t="shared" si="808"/>
        <v>86.5</v>
      </c>
      <c r="BI209" s="480">
        <f t="shared" si="809"/>
        <v>82.61</v>
      </c>
      <c r="BJ209" s="480">
        <f t="shared" si="810"/>
        <v>66.650000000000006</v>
      </c>
      <c r="BK209" s="473">
        <f t="shared" si="604"/>
        <v>1.5</v>
      </c>
      <c r="BL209" s="473">
        <f t="shared" si="605"/>
        <v>0.76999999999999602</v>
      </c>
      <c r="BM209" s="473">
        <f t="shared" si="606"/>
        <v>3.4399999999999977</v>
      </c>
      <c r="BN209" s="473">
        <f t="shared" si="607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1705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1780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38" t="s">
        <v>192</v>
      </c>
      <c r="C210" s="301" t="s">
        <v>784</v>
      </c>
      <c r="D210" s="352" t="s">
        <v>8</v>
      </c>
      <c r="E210" s="303" t="s">
        <v>79</v>
      </c>
      <c r="F210" s="304">
        <f t="shared" si="806"/>
        <v>3</v>
      </c>
      <c r="G210" s="305" t="s">
        <v>401</v>
      </c>
      <c r="H210" s="330">
        <v>50</v>
      </c>
      <c r="I210" s="306">
        <v>23</v>
      </c>
      <c r="J210" s="306">
        <v>27</v>
      </c>
      <c r="K210" s="306">
        <v>36</v>
      </c>
      <c r="L210" s="306">
        <v>52</v>
      </c>
      <c r="M210" s="330">
        <v>62</v>
      </c>
      <c r="N210" s="307">
        <f t="shared" si="613"/>
        <v>250</v>
      </c>
      <c r="O210" s="339">
        <v>4291</v>
      </c>
      <c r="P210" s="340">
        <v>366.2</v>
      </c>
      <c r="Q210" s="341">
        <v>81.03</v>
      </c>
      <c r="R210" s="341">
        <v>82.48</v>
      </c>
      <c r="S210" s="341">
        <v>70.099999999999994</v>
      </c>
      <c r="T210" s="430">
        <v>7.2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709"/>
        <v>160000</v>
      </c>
      <c r="AL210" s="316">
        <f>VLOOKUP(D210&amp;E210,计算辅助页面!$V$5:$Y$18,3,0)</f>
        <v>5</v>
      </c>
      <c r="AM210" s="317">
        <f t="shared" si="710"/>
        <v>480000</v>
      </c>
      <c r="AN210" s="317">
        <f>VLOOKUP(D210&amp;E210,计算辅助页面!$V$5:$Y$18,4,0)</f>
        <v>4</v>
      </c>
      <c r="AO210" s="304">
        <f t="shared" si="711"/>
        <v>12800000</v>
      </c>
      <c r="AP210" s="318">
        <f t="shared" si="712"/>
        <v>32207600</v>
      </c>
      <c r="AQ210" s="288" t="s">
        <v>567</v>
      </c>
      <c r="AR210" s="289" t="str">
        <f t="shared" si="718"/>
        <v>LaFerrari Aperta</v>
      </c>
      <c r="AS210" s="290" t="s">
        <v>912</v>
      </c>
      <c r="AT210" s="291" t="s">
        <v>658</v>
      </c>
      <c r="AU210" s="427" t="s">
        <v>703</v>
      </c>
      <c r="AV210" s="292">
        <v>19</v>
      </c>
      <c r="AW210" s="292">
        <v>381</v>
      </c>
      <c r="AY210" s="292">
        <v>506</v>
      </c>
      <c r="AZ210" s="292" t="s">
        <v>1462</v>
      </c>
      <c r="BA210" s="481">
        <v>156</v>
      </c>
      <c r="BB210" s="476">
        <v>2</v>
      </c>
      <c r="BC210" s="472">
        <v>0.97</v>
      </c>
      <c r="BD210" s="472">
        <v>2.63</v>
      </c>
      <c r="BE210" s="472">
        <v>2.58</v>
      </c>
      <c r="BF210" s="474">
        <f>BA210+O210</f>
        <v>4447</v>
      </c>
      <c r="BG210" s="476">
        <f t="shared" ref="BG210" si="817">BB210+P210</f>
        <v>368.2</v>
      </c>
      <c r="BH210" s="480">
        <f t="shared" ref="BH210" si="818">BC210+Q210</f>
        <v>82</v>
      </c>
      <c r="BI210" s="480">
        <f t="shared" ref="BI210" si="819">BD210+R210</f>
        <v>85.11</v>
      </c>
      <c r="BJ210" s="480">
        <f t="shared" ref="BJ210" si="820">BE210+S210</f>
        <v>72.679999999999993</v>
      </c>
      <c r="BK210" s="473">
        <f t="shared" si="604"/>
        <v>2</v>
      </c>
      <c r="BL210" s="473">
        <f t="shared" si="605"/>
        <v>0.96999999999999886</v>
      </c>
      <c r="BM210" s="473">
        <f t="shared" si="606"/>
        <v>2.6299999999999955</v>
      </c>
      <c r="BN210" s="473">
        <f t="shared" si="607"/>
        <v>2.5799999999999983</v>
      </c>
      <c r="BO210" s="483">
        <v>1</v>
      </c>
      <c r="BP210" s="293"/>
      <c r="BQ210" s="293"/>
      <c r="BR210" s="293"/>
      <c r="BS210" s="293">
        <v>1</v>
      </c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>
        <v>1</v>
      </c>
      <c r="CE210" s="293"/>
      <c r="CF210" s="293"/>
      <c r="CG210" s="293" t="s">
        <v>1150</v>
      </c>
      <c r="CH210" s="293"/>
      <c r="CI210" s="293">
        <v>1</v>
      </c>
      <c r="CJ210" s="294" t="s">
        <v>1499</v>
      </c>
      <c r="CK210" s="294"/>
      <c r="CL210" s="294"/>
      <c r="CM210" s="294"/>
      <c r="CN210" s="294"/>
      <c r="CO210" s="295"/>
      <c r="CP210" s="295"/>
      <c r="CQ210" s="295"/>
      <c r="CR210" s="296">
        <v>350</v>
      </c>
      <c r="CS210" s="297">
        <v>73</v>
      </c>
      <c r="CT210" s="297">
        <v>60.62</v>
      </c>
      <c r="CU210" s="297">
        <v>48.65</v>
      </c>
      <c r="CV210" s="297">
        <f t="shared" si="811"/>
        <v>16.199999999999989</v>
      </c>
      <c r="CW210" s="297">
        <f t="shared" si="811"/>
        <v>8.0300000000000011</v>
      </c>
      <c r="CX210" s="297">
        <f t="shared" si="811"/>
        <v>21.860000000000007</v>
      </c>
      <c r="CY210" s="297">
        <f t="shared" si="811"/>
        <v>21.449999999999996</v>
      </c>
      <c r="CZ210" s="297">
        <f>SUM(CV210:CY210)</f>
        <v>67.539999999999992</v>
      </c>
      <c r="DA210" s="297">
        <f>0.32*(P210-CR210)+1.75*(Q210-CS210)+1.13*(R210-CT210)+1.28*(S210-CU210)</f>
        <v>71.394300000000001</v>
      </c>
      <c r="DB210" s="295" t="s">
        <v>1780</v>
      </c>
      <c r="DC210" s="295">
        <v>3</v>
      </c>
      <c r="DD210" s="295"/>
      <c r="DE210" s="295"/>
    </row>
    <row r="211" spans="1:109" ht="21" customHeight="1">
      <c r="A211" s="268">
        <v>209</v>
      </c>
      <c r="B211" s="338" t="s">
        <v>693</v>
      </c>
      <c r="C211" s="301" t="s">
        <v>785</v>
      </c>
      <c r="D211" s="352" t="s">
        <v>8</v>
      </c>
      <c r="E211" s="303" t="s">
        <v>79</v>
      </c>
      <c r="F211" s="304">
        <f t="shared" si="806"/>
        <v>3</v>
      </c>
      <c r="G211" s="328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13"/>
        <v>250</v>
      </c>
      <c r="O211" s="339">
        <v>4305</v>
      </c>
      <c r="P211" s="340">
        <v>360.2</v>
      </c>
      <c r="Q211" s="341">
        <v>83.14</v>
      </c>
      <c r="R211" s="341">
        <v>94.22</v>
      </c>
      <c r="S211" s="341">
        <v>69.790000000000006</v>
      </c>
      <c r="T211" s="430"/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09"/>
        <v>160000</v>
      </c>
      <c r="AL211" s="316">
        <f>VLOOKUP(D211&amp;E211,计算辅助页面!$V$5:$Y$18,3,0)</f>
        <v>5</v>
      </c>
      <c r="AM211" s="317">
        <f t="shared" si="710"/>
        <v>480000</v>
      </c>
      <c r="AN211" s="317">
        <f>VLOOKUP(D211&amp;E211,计算辅助页面!$V$5:$Y$18,4,0)</f>
        <v>4</v>
      </c>
      <c r="AO211" s="304">
        <f t="shared" si="711"/>
        <v>12800000</v>
      </c>
      <c r="AP211" s="318">
        <f t="shared" si="712"/>
        <v>32207600</v>
      </c>
      <c r="AQ211" s="288" t="s">
        <v>567</v>
      </c>
      <c r="AR211" s="289" t="str">
        <f t="shared" si="718"/>
        <v>F8 Tributo</v>
      </c>
      <c r="AS211" s="290" t="s">
        <v>695</v>
      </c>
      <c r="AT211" s="291" t="s">
        <v>699</v>
      </c>
      <c r="AU211" s="427" t="s">
        <v>703</v>
      </c>
      <c r="AV211" s="292">
        <v>35</v>
      </c>
      <c r="AW211" s="292">
        <v>375</v>
      </c>
      <c r="AY211" s="292">
        <v>496</v>
      </c>
      <c r="AZ211" s="292" t="s">
        <v>1101</v>
      </c>
      <c r="BA211" s="481">
        <f>BF211-O211</f>
        <v>156</v>
      </c>
      <c r="BB211" s="476">
        <f>BK211</f>
        <v>2.4000000000000341</v>
      </c>
      <c r="BC211" s="472">
        <f t="shared" ref="BC211" si="821">BL211</f>
        <v>1.1099999999999994</v>
      </c>
      <c r="BD211" s="472">
        <f t="shared" ref="BD211" si="822">BM211</f>
        <v>3.2900000000000063</v>
      </c>
      <c r="BE211" s="472">
        <f t="shared" ref="BE211" si="823">BN211</f>
        <v>3.1400000000000006</v>
      </c>
      <c r="BF211" s="474">
        <v>4461</v>
      </c>
      <c r="BG211" s="476">
        <v>362.6</v>
      </c>
      <c r="BH211" s="480">
        <v>84.25</v>
      </c>
      <c r="BI211" s="480">
        <v>97.51</v>
      </c>
      <c r="BJ211" s="480">
        <v>72.930000000000007</v>
      </c>
      <c r="BK211" s="473">
        <f t="shared" si="604"/>
        <v>2.4000000000000341</v>
      </c>
      <c r="BL211" s="473">
        <f t="shared" si="605"/>
        <v>1.1099999999999994</v>
      </c>
      <c r="BM211" s="473">
        <f t="shared" si="606"/>
        <v>3.2900000000000063</v>
      </c>
      <c r="BN211" s="473">
        <f t="shared" si="607"/>
        <v>3.1400000000000006</v>
      </c>
      <c r="BO211" s="483">
        <v>1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831</v>
      </c>
      <c r="CK211" s="294"/>
      <c r="CL211" s="294"/>
      <c r="CM211" s="294"/>
      <c r="CN211" s="294"/>
      <c r="CO211" s="295"/>
      <c r="CP211" s="295"/>
      <c r="CQ211" s="295"/>
      <c r="CR211" s="296">
        <v>340</v>
      </c>
      <c r="CS211" s="297">
        <v>73.900000000000006</v>
      </c>
      <c r="CT211" s="297">
        <v>66.86</v>
      </c>
      <c r="CU211" s="297">
        <v>43.65</v>
      </c>
      <c r="CV211" s="297">
        <f t="shared" si="811"/>
        <v>20.199999999999989</v>
      </c>
      <c r="CW211" s="297">
        <f t="shared" si="811"/>
        <v>9.2399999999999949</v>
      </c>
      <c r="CX211" s="297">
        <f t="shared" si="811"/>
        <v>27.36</v>
      </c>
      <c r="CY211" s="297">
        <f t="shared" si="811"/>
        <v>26.140000000000008</v>
      </c>
      <c r="CZ211" s="297">
        <f>SUM(CV211:CY211)</f>
        <v>82.94</v>
      </c>
      <c r="DA211" s="297">
        <f>0.32*(P211-CR211)+1.75*(Q211-CS211)+1.13*(R211-CT211)+1.28*(S211-CU211)</f>
        <v>87.009999999999991</v>
      </c>
      <c r="DB211" s="295" t="s">
        <v>1780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1500</v>
      </c>
      <c r="C212" s="301" t="s">
        <v>948</v>
      </c>
      <c r="D212" s="352" t="s">
        <v>8</v>
      </c>
      <c r="E212" s="303" t="s">
        <v>79</v>
      </c>
      <c r="F212" s="304">
        <f t="shared" si="806"/>
        <v>3</v>
      </c>
      <c r="G212" s="328"/>
      <c r="H212" s="358" t="s">
        <v>407</v>
      </c>
      <c r="I212" s="320">
        <v>28</v>
      </c>
      <c r="J212" s="306">
        <v>32</v>
      </c>
      <c r="K212" s="306">
        <v>44</v>
      </c>
      <c r="L212" s="306">
        <v>59</v>
      </c>
      <c r="M212" s="306">
        <v>86</v>
      </c>
      <c r="N212" s="307">
        <f t="shared" si="613"/>
        <v>249</v>
      </c>
      <c r="O212" s="339">
        <v>4307</v>
      </c>
      <c r="P212" s="340">
        <v>370.7</v>
      </c>
      <c r="Q212" s="341">
        <v>81.900000000000006</v>
      </c>
      <c r="R212" s="341">
        <v>72.510000000000005</v>
      </c>
      <c r="S212" s="341">
        <v>68.900000000000006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09"/>
        <v>160000</v>
      </c>
      <c r="AL212" s="316">
        <f>VLOOKUP(D212&amp;E212,计算辅助页面!$V$5:$Y$18,3,0)</f>
        <v>5</v>
      </c>
      <c r="AM212" s="317">
        <f t="shared" si="710"/>
        <v>480000</v>
      </c>
      <c r="AN212" s="317">
        <f>VLOOKUP(D212&amp;E212,计算辅助页面!$V$5:$Y$18,4,0)</f>
        <v>4</v>
      </c>
      <c r="AO212" s="304">
        <f t="shared" si="711"/>
        <v>12800000</v>
      </c>
      <c r="AP212" s="318">
        <f t="shared" si="712"/>
        <v>32207600</v>
      </c>
      <c r="AQ212" s="288" t="s">
        <v>565</v>
      </c>
      <c r="AR212" s="289" t="str">
        <f t="shared" si="718"/>
        <v>SC20🔑</v>
      </c>
      <c r="AS212" s="290" t="s">
        <v>945</v>
      </c>
      <c r="AT212" s="291" t="s">
        <v>949</v>
      </c>
      <c r="AU212" s="427" t="s">
        <v>703</v>
      </c>
      <c r="AW212" s="292">
        <v>385</v>
      </c>
      <c r="AY212" s="292">
        <v>514</v>
      </c>
      <c r="AZ212" s="292" t="s">
        <v>1065</v>
      </c>
      <c r="BA212" s="481">
        <v>153</v>
      </c>
      <c r="BB212" s="476">
        <v>2.1000000000000227</v>
      </c>
      <c r="BC212" s="472">
        <v>1</v>
      </c>
      <c r="BD212" s="472">
        <v>2.5799999999999983</v>
      </c>
      <c r="BE212" s="472">
        <v>3.3799999999999955</v>
      </c>
      <c r="BF212" s="474">
        <v>4460</v>
      </c>
      <c r="BG212" s="476">
        <v>372.8</v>
      </c>
      <c r="BH212" s="480">
        <v>82.9</v>
      </c>
      <c r="BI212" s="480">
        <v>75.09</v>
      </c>
      <c r="BJ212" s="480">
        <v>72.28</v>
      </c>
      <c r="BK212" s="473">
        <f t="shared" si="604"/>
        <v>2.1000000000000227</v>
      </c>
      <c r="BL212" s="473">
        <f t="shared" si="605"/>
        <v>1</v>
      </c>
      <c r="BM212" s="473">
        <f t="shared" si="606"/>
        <v>2.5799999999999983</v>
      </c>
      <c r="BN212" s="473">
        <f t="shared" si="607"/>
        <v>3.3799999999999955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>
        <v>1</v>
      </c>
      <c r="CB212" s="293"/>
      <c r="CC212" s="293">
        <v>1</v>
      </c>
      <c r="CD212" s="293">
        <v>1</v>
      </c>
      <c r="CE212" s="293"/>
      <c r="CF212" s="293"/>
      <c r="CG212" s="293" t="s">
        <v>1150</v>
      </c>
      <c r="CH212" s="293"/>
      <c r="CI212" s="293"/>
      <c r="CJ212" s="294" t="s">
        <v>1147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338" t="s">
        <v>1609</v>
      </c>
      <c r="C213" s="301" t="s">
        <v>1584</v>
      </c>
      <c r="D213" s="352" t="s">
        <v>8</v>
      </c>
      <c r="E213" s="303" t="s">
        <v>79</v>
      </c>
      <c r="F213" s="345"/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ref="N213" si="824">IF(COUNTBLANK(H213:M213),"",SUM(H213:M213))</f>
        <v>249</v>
      </c>
      <c r="O213" s="339">
        <v>4308</v>
      </c>
      <c r="P213" s="340">
        <v>367.9</v>
      </c>
      <c r="Q213" s="341">
        <v>81.03</v>
      </c>
      <c r="R213" s="341">
        <v>80.63</v>
      </c>
      <c r="S213" s="341">
        <v>77.19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ref="AK213" si="825">IF(AI213,2*AI213,"")</f>
        <v>160000</v>
      </c>
      <c r="AL213" s="316">
        <f>VLOOKUP(D213&amp;E213,计算辅助页面!$V$5:$Y$18,3,0)</f>
        <v>5</v>
      </c>
      <c r="AM213" s="317">
        <f t="shared" ref="AM213" si="826">IF(AN213="×",AN213,IF(AI213,6*AI213,""))</f>
        <v>480000</v>
      </c>
      <c r="AN213" s="317">
        <f>VLOOKUP(D213&amp;E213,计算辅助页面!$V$5:$Y$18,4,0)</f>
        <v>4</v>
      </c>
      <c r="AO213" s="304">
        <f t="shared" ref="AO213" si="827">IF(AI213,IF(AN213="×",4*(AI213*AJ213+AK213*AL213),4*(AI213*AJ213+AK213*AL213+AM213*AN213)),"")</f>
        <v>12800000</v>
      </c>
      <c r="AP213" s="318">
        <f t="shared" ref="AP213" si="828">IF(AND(AH213,AO213),AO213+AH213,"")</f>
        <v>32207600</v>
      </c>
      <c r="AQ213" s="288" t="s">
        <v>862</v>
      </c>
      <c r="AR213" s="289" t="str">
        <f t="shared" si="718"/>
        <v>Utopia Coupe🔑</v>
      </c>
      <c r="AS213" s="290" t="s">
        <v>1580</v>
      </c>
      <c r="AT213" s="291" t="s">
        <v>1585</v>
      </c>
      <c r="AU213" s="427" t="s">
        <v>703</v>
      </c>
      <c r="AW213" s="292">
        <v>382</v>
      </c>
      <c r="AY213" s="292">
        <v>509</v>
      </c>
      <c r="AZ213" s="292" t="s">
        <v>1101</v>
      </c>
      <c r="BA213" s="481">
        <f>BF213-O213</f>
        <v>156</v>
      </c>
      <c r="BB213" s="476">
        <f>BK213</f>
        <v>2.2000000000000455</v>
      </c>
      <c r="BC213" s="472">
        <f t="shared" ref="BC213" si="829">BL213</f>
        <v>0.96999999999999886</v>
      </c>
      <c r="BD213" s="472">
        <f t="shared" ref="BD213" si="830">BM213</f>
        <v>2.4100000000000108</v>
      </c>
      <c r="BE213" s="472">
        <f t="shared" ref="BE213" si="831">BN213</f>
        <v>3.1899999999999977</v>
      </c>
      <c r="BF213" s="474">
        <v>4464</v>
      </c>
      <c r="BG213" s="476">
        <v>370.1</v>
      </c>
      <c r="BH213" s="480">
        <v>82</v>
      </c>
      <c r="BI213" s="480">
        <v>83.04</v>
      </c>
      <c r="BJ213" s="480">
        <v>80.38</v>
      </c>
      <c r="BK213" s="473">
        <f t="shared" si="604"/>
        <v>2.2000000000000455</v>
      </c>
      <c r="BL213" s="473">
        <f t="shared" si="605"/>
        <v>0.96999999999999886</v>
      </c>
      <c r="BM213" s="473">
        <f t="shared" si="606"/>
        <v>2.4100000000000108</v>
      </c>
      <c r="BN213" s="473">
        <f t="shared" si="607"/>
        <v>3.1899999999999977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1485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 t="s">
        <v>1780</v>
      </c>
      <c r="DC213" s="295">
        <v>3</v>
      </c>
      <c r="DD213" s="295"/>
      <c r="DE213" s="295"/>
    </row>
    <row r="214" spans="1:109" ht="21" customHeight="1" thickBot="1">
      <c r="A214" s="299">
        <v>212</v>
      </c>
      <c r="B214" s="338" t="s">
        <v>999</v>
      </c>
      <c r="C214" s="301" t="s">
        <v>786</v>
      </c>
      <c r="D214" s="352" t="s">
        <v>198</v>
      </c>
      <c r="E214" s="353" t="s">
        <v>190</v>
      </c>
      <c r="F214" s="345">
        <f t="shared" si="806"/>
        <v>3</v>
      </c>
      <c r="G214" s="305" t="s">
        <v>401</v>
      </c>
      <c r="H214" s="330">
        <v>50</v>
      </c>
      <c r="I214" s="330">
        <v>23</v>
      </c>
      <c r="J214" s="330">
        <v>27</v>
      </c>
      <c r="K214" s="330">
        <v>36</v>
      </c>
      <c r="L214" s="330">
        <v>52</v>
      </c>
      <c r="M214" s="330">
        <v>62</v>
      </c>
      <c r="N214" s="343">
        <f t="shared" si="613"/>
        <v>250</v>
      </c>
      <c r="O214" s="339">
        <v>4310</v>
      </c>
      <c r="P214" s="340">
        <v>371.7</v>
      </c>
      <c r="Q214" s="341">
        <v>82.93</v>
      </c>
      <c r="R214" s="341">
        <v>67.81</v>
      </c>
      <c r="S214" s="341">
        <v>70.349999999999994</v>
      </c>
      <c r="T214" s="430">
        <v>7.15</v>
      </c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45">
        <f>VLOOKUP($U214,计算辅助页面!$Z$5:$AM$26,COLUMN()-20,0)</f>
        <v>19407600</v>
      </c>
      <c r="AI214" s="334">
        <v>80000</v>
      </c>
      <c r="AJ214" s="346">
        <f>VLOOKUP(D214&amp;E214,计算辅助页面!$V$5:$Y$18,2,0)</f>
        <v>6</v>
      </c>
      <c r="AK214" s="347">
        <f t="shared" si="709"/>
        <v>160000</v>
      </c>
      <c r="AL214" s="347">
        <f>VLOOKUP(D214&amp;E214,计算辅助页面!$V$5:$Y$18,3,0)</f>
        <v>5</v>
      </c>
      <c r="AM214" s="348">
        <f t="shared" si="710"/>
        <v>480000</v>
      </c>
      <c r="AN214" s="348">
        <f>VLOOKUP(D214&amp;E214,计算辅助页面!$V$5:$Y$18,4,0)</f>
        <v>4</v>
      </c>
      <c r="AO214" s="345">
        <f t="shared" si="711"/>
        <v>12800000</v>
      </c>
      <c r="AP214" s="349">
        <f t="shared" si="712"/>
        <v>32207600</v>
      </c>
      <c r="AQ214" s="288" t="s">
        <v>1000</v>
      </c>
      <c r="AR214" s="289" t="str">
        <f t="shared" si="718"/>
        <v>Akylone</v>
      </c>
      <c r="AS214" s="290" t="s">
        <v>912</v>
      </c>
      <c r="AT214" s="291" t="s">
        <v>666</v>
      </c>
      <c r="AU214" s="427" t="s">
        <v>703</v>
      </c>
      <c r="AV214" s="292">
        <v>20</v>
      </c>
      <c r="AW214" s="292">
        <v>386</v>
      </c>
      <c r="AY214" s="292">
        <v>515</v>
      </c>
      <c r="AZ214" s="292" t="s">
        <v>1462</v>
      </c>
      <c r="BA214" s="477">
        <v>156</v>
      </c>
      <c r="BB214" s="476">
        <v>2.1</v>
      </c>
      <c r="BC214" s="472">
        <v>0.87</v>
      </c>
      <c r="BD214" s="472">
        <v>2.2000000000000002</v>
      </c>
      <c r="BE214" s="472">
        <v>2.0699999999999998</v>
      </c>
      <c r="BF214" s="474">
        <f>BA214+O214</f>
        <v>4466</v>
      </c>
      <c r="BG214" s="476">
        <f t="shared" ref="BG214" si="832">BB214+P214</f>
        <v>373.8</v>
      </c>
      <c r="BH214" s="480">
        <f t="shared" ref="BH214" si="833">BC214+Q214</f>
        <v>83.800000000000011</v>
      </c>
      <c r="BI214" s="480">
        <f t="shared" ref="BI214" si="834">BD214+R214</f>
        <v>70.010000000000005</v>
      </c>
      <c r="BJ214" s="480">
        <f t="shared" ref="BJ214" si="835">BE214+S214</f>
        <v>72.419999999999987</v>
      </c>
      <c r="BK214" s="473">
        <f t="shared" si="604"/>
        <v>2.1000000000000227</v>
      </c>
      <c r="BL214" s="473">
        <f t="shared" si="605"/>
        <v>0.87000000000000455</v>
      </c>
      <c r="BM214" s="473">
        <f t="shared" si="606"/>
        <v>2.2000000000000028</v>
      </c>
      <c r="BN214" s="473">
        <f t="shared" si="607"/>
        <v>2.0699999999999932</v>
      </c>
      <c r="BO214" s="483">
        <v>4</v>
      </c>
      <c r="BP214" s="293"/>
      <c r="BQ214" s="293"/>
      <c r="BR214" s="293"/>
      <c r="BS214" s="293">
        <v>1</v>
      </c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>
        <v>1</v>
      </c>
      <c r="CJ214" s="294" t="s">
        <v>1501</v>
      </c>
      <c r="CK214" s="294"/>
      <c r="CL214" s="294"/>
      <c r="CM214" s="294"/>
      <c r="CN214" s="294"/>
      <c r="CO214" s="295"/>
      <c r="CP214" s="295"/>
      <c r="CQ214" s="295"/>
      <c r="CR214" s="296">
        <v>354</v>
      </c>
      <c r="CS214" s="297">
        <v>75.7</v>
      </c>
      <c r="CT214" s="297">
        <v>49.56</v>
      </c>
      <c r="CU214" s="297">
        <v>53.16</v>
      </c>
      <c r="CV214" s="297">
        <f>P214-CR214</f>
        <v>17.699999999999989</v>
      </c>
      <c r="CW214" s="297">
        <f>Q214-CS214</f>
        <v>7.230000000000004</v>
      </c>
      <c r="CX214" s="297">
        <f>R214-CT214</f>
        <v>18.25</v>
      </c>
      <c r="CY214" s="297">
        <f>S214-CU214</f>
        <v>17.189999999999998</v>
      </c>
      <c r="CZ214" s="297">
        <f>SUM(CV214:CY214)</f>
        <v>60.36999999999999</v>
      </c>
      <c r="DA214" s="297">
        <f>0.32*(P214-CR214)+1.75*(Q214-CS214)+1.13*(R214-CT214)+1.28*(S214-CU214)</f>
        <v>60.9422</v>
      </c>
      <c r="DB214" s="295" t="s">
        <v>1780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1806</v>
      </c>
      <c r="C215" s="301" t="s">
        <v>1807</v>
      </c>
      <c r="D215" s="352" t="s">
        <v>198</v>
      </c>
      <c r="E215" s="353" t="s">
        <v>190</v>
      </c>
      <c r="F215" s="345"/>
      <c r="G215" s="328"/>
      <c r="H215" s="330">
        <v>70</v>
      </c>
      <c r="I215" s="330">
        <v>23</v>
      </c>
      <c r="J215" s="330">
        <v>27</v>
      </c>
      <c r="K215" s="330">
        <v>36</v>
      </c>
      <c r="L215" s="330">
        <v>52</v>
      </c>
      <c r="M215" s="330">
        <v>59</v>
      </c>
      <c r="N215" s="343">
        <f t="shared" ref="N215" si="836">IF(COUNTBLANK(H215:M215),"",SUM(H215:M215))</f>
        <v>267</v>
      </c>
      <c r="O215" s="374">
        <v>4350</v>
      </c>
      <c r="P215" s="340">
        <v>363.4</v>
      </c>
      <c r="Q215" s="341">
        <v>85.44</v>
      </c>
      <c r="R215" s="341">
        <v>75.98</v>
      </c>
      <c r="S215" s="341">
        <v>59.74</v>
      </c>
      <c r="T215" s="430"/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ref="AK215" si="837">IF(AI215,2*AI215,"")</f>
        <v>160000</v>
      </c>
      <c r="AL215" s="347">
        <f>VLOOKUP(D215&amp;E215,计算辅助页面!$V$5:$Y$18,3,0)</f>
        <v>5</v>
      </c>
      <c r="AM215" s="348">
        <f t="shared" ref="AM215" si="838">IF(AN215="×",AN215,IF(AI215,6*AI215,""))</f>
        <v>480000</v>
      </c>
      <c r="AN215" s="348">
        <f>VLOOKUP(D215&amp;E215,计算辅助页面!$V$5:$Y$18,4,0)</f>
        <v>4</v>
      </c>
      <c r="AO215" s="345">
        <f t="shared" ref="AO215" si="839">IF(AI215,IF(AN215="×",4*(AI215*AJ215+AK215*AL215),4*(AI215*AJ215+AK215*AL215+AM215*AN215)),"")</f>
        <v>12800000</v>
      </c>
      <c r="AP215" s="349">
        <f t="shared" ref="AP215" si="840">IF(AND(AH215,AO215),AO215+AH215,"")</f>
        <v>32207600</v>
      </c>
      <c r="AQ215" s="288" t="s">
        <v>1808</v>
      </c>
      <c r="AR215" s="289" t="str">
        <f t="shared" si="718"/>
        <v>Shelby Super Snake</v>
      </c>
      <c r="AS215" s="290" t="s">
        <v>1819</v>
      </c>
      <c r="AT215" s="291" t="s">
        <v>1809</v>
      </c>
      <c r="AU215" s="427" t="s">
        <v>703</v>
      </c>
      <c r="AZ215" s="292" t="s">
        <v>1101</v>
      </c>
      <c r="BA215" s="481">
        <f>BF215-O215</f>
        <v>157</v>
      </c>
      <c r="BB215" s="476">
        <f>BK215</f>
        <v>2</v>
      </c>
      <c r="BC215" s="472">
        <f t="shared" ref="BC215" si="841">BL215</f>
        <v>1.0600000000000023</v>
      </c>
      <c r="BD215" s="472">
        <f t="shared" ref="BD215" si="842">BM215</f>
        <v>2.3499999999999943</v>
      </c>
      <c r="BE215" s="472">
        <f t="shared" ref="BE215" si="843">BN215</f>
        <v>3.0799999999999983</v>
      </c>
      <c r="BF215" s="474">
        <v>4507</v>
      </c>
      <c r="BG215" s="476">
        <v>365.4</v>
      </c>
      <c r="BH215" s="480">
        <v>86.5</v>
      </c>
      <c r="BI215" s="480">
        <v>78.33</v>
      </c>
      <c r="BJ215" s="480">
        <v>62.82</v>
      </c>
      <c r="BK215" s="473">
        <f t="shared" si="604"/>
        <v>2</v>
      </c>
      <c r="BL215" s="473">
        <f t="shared" si="605"/>
        <v>1.0600000000000023</v>
      </c>
      <c r="BM215" s="473">
        <f t="shared" si="606"/>
        <v>2.3499999999999943</v>
      </c>
      <c r="BN215" s="473">
        <f t="shared" si="607"/>
        <v>3.0799999999999983</v>
      </c>
      <c r="BO215" s="483">
        <v>12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1828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38" t="s">
        <v>1716</v>
      </c>
      <c r="C216" s="301" t="s">
        <v>1629</v>
      </c>
      <c r="D216" s="352" t="s">
        <v>198</v>
      </c>
      <c r="E216" s="353" t="s">
        <v>190</v>
      </c>
      <c r="F216" s="345"/>
      <c r="G216" s="328"/>
      <c r="H216" s="358" t="s">
        <v>407</v>
      </c>
      <c r="I216" s="320">
        <v>28</v>
      </c>
      <c r="J216" s="306">
        <v>32</v>
      </c>
      <c r="K216" s="306">
        <v>44</v>
      </c>
      <c r="L216" s="306">
        <v>59</v>
      </c>
      <c r="M216" s="306">
        <v>86</v>
      </c>
      <c r="N216" s="307">
        <f t="shared" si="613"/>
        <v>249</v>
      </c>
      <c r="O216" s="339">
        <v>4377</v>
      </c>
      <c r="P216" s="340">
        <v>373.9</v>
      </c>
      <c r="Q216" s="341">
        <v>82.03</v>
      </c>
      <c r="R216" s="341">
        <v>69.13</v>
      </c>
      <c r="S216" s="341">
        <v>67.63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44">IF(AI216,2*AI216,"")</f>
        <v>160000</v>
      </c>
      <c r="AL216" s="347">
        <f>VLOOKUP(D216&amp;E216,计算辅助页面!$V$5:$Y$18,3,0)</f>
        <v>5</v>
      </c>
      <c r="AM216" s="348">
        <f t="shared" ref="AM216" si="845">IF(AN216="×",AN216,IF(AI216,6*AI216,""))</f>
        <v>480000</v>
      </c>
      <c r="AN216" s="348">
        <f>VLOOKUP(D216&amp;E216,计算辅助页面!$V$5:$Y$18,4,0)</f>
        <v>4</v>
      </c>
      <c r="AO216" s="345">
        <f t="shared" ref="AO216" si="846">IF(AI216,IF(AN216="×",4*(AI216*AJ216+AK216*AL216),4*(AI216*AJ216+AK216*AL216+AM216*AN216)),"")</f>
        <v>12800000</v>
      </c>
      <c r="AP216" s="349">
        <f t="shared" ref="AP216" si="847">IF(AND(AH216,AO216),AO216+AH216,"")</f>
        <v>32207600</v>
      </c>
      <c r="AQ216" s="288" t="s">
        <v>1278</v>
      </c>
      <c r="AR216" s="289" t="str">
        <f t="shared" si="718"/>
        <v>Asfane🔑</v>
      </c>
      <c r="AS216" s="290" t="s">
        <v>1626</v>
      </c>
      <c r="AT216" s="291" t="s">
        <v>1630</v>
      </c>
      <c r="AU216" s="427" t="s">
        <v>703</v>
      </c>
      <c r="AW216" s="292">
        <v>389</v>
      </c>
      <c r="AY216" s="292">
        <v>519</v>
      </c>
      <c r="AZ216" s="292" t="s">
        <v>1628</v>
      </c>
      <c r="BA216" s="481">
        <f>BF216-O216</f>
        <v>157</v>
      </c>
      <c r="BB216" s="476">
        <f>BK216</f>
        <v>1.7000000000000455</v>
      </c>
      <c r="BC216" s="472">
        <f t="shared" ref="BC216" si="848">BL216</f>
        <v>0.87000000000000455</v>
      </c>
      <c r="BD216" s="472">
        <f t="shared" ref="BD216" si="849">BM216</f>
        <v>2.75</v>
      </c>
      <c r="BE216" s="472">
        <f t="shared" ref="BE216" si="850">BN216</f>
        <v>2.9000000000000057</v>
      </c>
      <c r="BF216" s="474">
        <v>4534</v>
      </c>
      <c r="BG216" s="476">
        <v>375.6</v>
      </c>
      <c r="BH216" s="480">
        <v>82.9</v>
      </c>
      <c r="BI216" s="480">
        <v>71.88</v>
      </c>
      <c r="BJ216" s="480">
        <v>70.53</v>
      </c>
      <c r="BK216" s="473">
        <f t="shared" ref="BK216" si="851">IF(BG216="", "", BG216-P216)</f>
        <v>1.7000000000000455</v>
      </c>
      <c r="BL216" s="473">
        <f t="shared" ref="BL216" si="852">IF(BH216="", "", BH216-Q216)</f>
        <v>0.87000000000000455</v>
      </c>
      <c r="BM216" s="473">
        <f t="shared" ref="BM216" si="853">IF(BI216="", "", BI216-R216)</f>
        <v>2.75</v>
      </c>
      <c r="BN216" s="473">
        <f t="shared" ref="BN216" si="854">IF(BJ216="", "", BJ216-S216)</f>
        <v>2.9000000000000057</v>
      </c>
      <c r="BO216" s="483">
        <v>1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>
        <v>1</v>
      </c>
      <c r="CD216" s="293"/>
      <c r="CE216" s="293"/>
      <c r="CF216" s="293"/>
      <c r="CG216" s="293"/>
      <c r="CH216" s="293"/>
      <c r="CI216" s="293"/>
      <c r="CJ216" s="294" t="s">
        <v>1757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1780</v>
      </c>
      <c r="DC216" s="295">
        <v>3</v>
      </c>
      <c r="DD216" s="295"/>
      <c r="DE216" s="295"/>
    </row>
    <row r="217" spans="1:109" ht="21" customHeight="1" thickBot="1">
      <c r="A217" s="268">
        <v>215</v>
      </c>
      <c r="B217" s="319" t="s">
        <v>406</v>
      </c>
      <c r="C217" s="301" t="s">
        <v>787</v>
      </c>
      <c r="D217" s="352" t="s">
        <v>8</v>
      </c>
      <c r="E217" s="355" t="s">
        <v>79</v>
      </c>
      <c r="F217" s="356">
        <f t="shared" si="806"/>
        <v>3</v>
      </c>
      <c r="G217" s="328" t="s">
        <v>401</v>
      </c>
      <c r="H217" s="358" t="s">
        <v>407</v>
      </c>
      <c r="I217" s="358">
        <v>30</v>
      </c>
      <c r="J217" s="358">
        <v>40</v>
      </c>
      <c r="K217" s="358">
        <v>50</v>
      </c>
      <c r="L217" s="358">
        <v>65</v>
      </c>
      <c r="M217" s="358">
        <v>80</v>
      </c>
      <c r="N217" s="307">
        <f t="shared" si="613"/>
        <v>265</v>
      </c>
      <c r="O217" s="339">
        <v>4444</v>
      </c>
      <c r="P217" s="340">
        <v>364.6</v>
      </c>
      <c r="Q217" s="341">
        <v>85.53</v>
      </c>
      <c r="R217" s="341">
        <v>75.739999999999995</v>
      </c>
      <c r="S217" s="341">
        <v>69.650000000000006</v>
      </c>
      <c r="T217" s="341">
        <v>7.13</v>
      </c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09"/>
        <v>160000</v>
      </c>
      <c r="AL217" s="316">
        <f>VLOOKUP(D217&amp;E217,计算辅助页面!$V$5:$Y$18,3,0)</f>
        <v>5</v>
      </c>
      <c r="AM217" s="317">
        <f t="shared" si="710"/>
        <v>480000</v>
      </c>
      <c r="AN217" s="317">
        <f>VLOOKUP(D217&amp;E217,计算辅助页面!$V$5:$Y$18,4,0)</f>
        <v>4</v>
      </c>
      <c r="AO217" s="304">
        <f t="shared" si="711"/>
        <v>12800000</v>
      </c>
      <c r="AP217" s="318">
        <f t="shared" si="712"/>
        <v>32207600</v>
      </c>
      <c r="AQ217" s="288" t="s">
        <v>998</v>
      </c>
      <c r="AR217" s="289" t="str">
        <f t="shared" si="718"/>
        <v>AT96 Track Version🔑</v>
      </c>
      <c r="AS217" s="290" t="s">
        <v>913</v>
      </c>
      <c r="AT217" s="291" t="s">
        <v>656</v>
      </c>
      <c r="AU217" s="427" t="s">
        <v>703</v>
      </c>
      <c r="AW217" s="292">
        <v>379</v>
      </c>
      <c r="AY217" s="292">
        <v>503</v>
      </c>
      <c r="AZ217" s="292" t="s">
        <v>1065</v>
      </c>
      <c r="BA217" s="477">
        <v>159</v>
      </c>
      <c r="BB217" s="476">
        <v>1.8</v>
      </c>
      <c r="BC217" s="472">
        <v>0.97</v>
      </c>
      <c r="BD217" s="472">
        <v>2.74</v>
      </c>
      <c r="BE217" s="472">
        <v>2.77</v>
      </c>
      <c r="BF217" s="474">
        <f>BA217+O217</f>
        <v>4603</v>
      </c>
      <c r="BG217" s="476">
        <f t="shared" ref="BG217" si="855">BB217+P217</f>
        <v>366.40000000000003</v>
      </c>
      <c r="BH217" s="480">
        <f t="shared" ref="BH217" si="856">BC217+Q217</f>
        <v>86.5</v>
      </c>
      <c r="BI217" s="480">
        <f t="shared" ref="BI217" si="857">BD217+R217</f>
        <v>78.47999999999999</v>
      </c>
      <c r="BJ217" s="480">
        <f t="shared" ref="BJ217" si="858">BE217+S217</f>
        <v>72.42</v>
      </c>
      <c r="BK217" s="473">
        <f t="shared" si="604"/>
        <v>1.8000000000000114</v>
      </c>
      <c r="BL217" s="473">
        <f t="shared" si="605"/>
        <v>0.96999999999999886</v>
      </c>
      <c r="BM217" s="473">
        <f t="shared" si="606"/>
        <v>2.7399999999999949</v>
      </c>
      <c r="BN217" s="473">
        <f t="shared" si="607"/>
        <v>2.769999999999996</v>
      </c>
      <c r="BO217" s="483">
        <v>4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>
        <v>1</v>
      </c>
      <c r="CE217" s="293"/>
      <c r="CF217" s="293"/>
      <c r="CG217" s="293"/>
      <c r="CH217" s="293"/>
      <c r="CI217" s="293"/>
      <c r="CJ217" s="294" t="s">
        <v>1502</v>
      </c>
      <c r="CK217" s="294"/>
      <c r="CL217" s="294"/>
      <c r="CM217" s="294"/>
      <c r="CN217" s="294"/>
      <c r="CO217" s="295"/>
      <c r="CP217" s="295"/>
      <c r="CQ217" s="295"/>
      <c r="CR217" s="296">
        <v>350</v>
      </c>
      <c r="CS217" s="297">
        <v>77.5</v>
      </c>
      <c r="CT217" s="297">
        <v>52.98</v>
      </c>
      <c r="CU217" s="297">
        <v>46.61</v>
      </c>
      <c r="CV217" s="297">
        <f>P217-CR217</f>
        <v>14.600000000000023</v>
      </c>
      <c r="CW217" s="297">
        <f>Q217-CS217</f>
        <v>8.0300000000000011</v>
      </c>
      <c r="CX217" s="297">
        <f>R217-CT217</f>
        <v>22.759999999999998</v>
      </c>
      <c r="CY217" s="297">
        <f>S217-CU217</f>
        <v>23.040000000000006</v>
      </c>
      <c r="CZ217" s="297">
        <f>SUM(CV217:CY217)</f>
        <v>68.430000000000035</v>
      </c>
      <c r="DA217" s="297">
        <f>0.32*(P217-CR217)+1.75*(Q217-CS217)+1.13*(R217-CT217)+1.28*(S217-CU217)</f>
        <v>73.934500000000014</v>
      </c>
      <c r="DB217" s="295" t="s">
        <v>1780</v>
      </c>
      <c r="DC217" s="295">
        <v>2</v>
      </c>
      <c r="DD217" s="295"/>
      <c r="DE217" s="295"/>
    </row>
    <row r="218" spans="1:109" ht="21" customHeight="1" thickBot="1">
      <c r="A218" s="299">
        <v>216</v>
      </c>
      <c r="B218" s="319" t="s">
        <v>1332</v>
      </c>
      <c r="C218" s="301" t="s">
        <v>1333</v>
      </c>
      <c r="D218" s="352" t="s">
        <v>8</v>
      </c>
      <c r="E218" s="355" t="s">
        <v>79</v>
      </c>
      <c r="F218" s="345"/>
      <c r="G218" s="328"/>
      <c r="H218" s="330">
        <v>70</v>
      </c>
      <c r="I218" s="330">
        <v>23</v>
      </c>
      <c r="J218" s="330">
        <v>27</v>
      </c>
      <c r="K218" s="330">
        <v>36</v>
      </c>
      <c r="L218" s="330">
        <v>52</v>
      </c>
      <c r="M218" s="330">
        <v>59</v>
      </c>
      <c r="N218" s="343">
        <f t="shared" si="613"/>
        <v>267</v>
      </c>
      <c r="O218" s="374">
        <v>4464</v>
      </c>
      <c r="P218" s="375">
        <v>375.7</v>
      </c>
      <c r="Q218" s="376">
        <v>81.3</v>
      </c>
      <c r="R218" s="376">
        <v>85.47</v>
      </c>
      <c r="S218" s="376">
        <v>61.71</v>
      </c>
      <c r="T218" s="376">
        <v>5.75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09"/>
        <v>160000</v>
      </c>
      <c r="AL218" s="316">
        <f>VLOOKUP(D218&amp;E218,计算辅助页面!$V$5:$Y$18,3,0)</f>
        <v>5</v>
      </c>
      <c r="AM218" s="317">
        <f t="shared" si="710"/>
        <v>480000</v>
      </c>
      <c r="AN218" s="317">
        <f>VLOOKUP(D218&amp;E218,计算辅助页面!$V$5:$Y$18,4,0)</f>
        <v>4</v>
      </c>
      <c r="AO218" s="304">
        <f t="shared" si="711"/>
        <v>12800000</v>
      </c>
      <c r="AP218" s="318">
        <f t="shared" si="712"/>
        <v>32207600</v>
      </c>
      <c r="AQ218" s="288" t="s">
        <v>1334</v>
      </c>
      <c r="AR218" s="289" t="str">
        <f t="shared" si="718"/>
        <v>M600 Speedster</v>
      </c>
      <c r="AS218" s="290" t="s">
        <v>1326</v>
      </c>
      <c r="AT218" s="291" t="s">
        <v>1335</v>
      </c>
      <c r="AU218" s="427" t="s">
        <v>1336</v>
      </c>
      <c r="AW218" s="292">
        <v>390</v>
      </c>
      <c r="AY218" s="292">
        <v>522</v>
      </c>
      <c r="AZ218" s="292" t="s">
        <v>1352</v>
      </c>
      <c r="BA218" s="481">
        <f>BF218-O218</f>
        <v>158</v>
      </c>
      <c r="BB218" s="476">
        <f>BK218</f>
        <v>1.8000000000000114</v>
      </c>
      <c r="BC218" s="472">
        <f t="shared" ref="BC218" si="859">BL218</f>
        <v>0.70000000000000284</v>
      </c>
      <c r="BD218" s="472">
        <f t="shared" ref="BD218" si="860">BM218</f>
        <v>2.8200000000000074</v>
      </c>
      <c r="BE218" s="472">
        <f t="shared" ref="BE218" si="861">BN218</f>
        <v>3.6900000000000048</v>
      </c>
      <c r="BF218" s="474">
        <v>4622</v>
      </c>
      <c r="BG218" s="476">
        <v>377.5</v>
      </c>
      <c r="BH218" s="480">
        <v>82</v>
      </c>
      <c r="BI218" s="480">
        <v>88.29</v>
      </c>
      <c r="BJ218" s="480">
        <v>65.400000000000006</v>
      </c>
      <c r="BK218" s="473">
        <f t="shared" si="604"/>
        <v>1.8000000000000114</v>
      </c>
      <c r="BL218" s="473">
        <f t="shared" si="605"/>
        <v>0.70000000000000284</v>
      </c>
      <c r="BM218" s="473">
        <f t="shared" si="606"/>
        <v>2.8200000000000074</v>
      </c>
      <c r="BN218" s="473">
        <f t="shared" si="607"/>
        <v>3.6900000000000048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>
        <v>1</v>
      </c>
      <c r="CC218" s="293"/>
      <c r="CD218" s="293"/>
      <c r="CE218" s="293"/>
      <c r="CF218" s="293"/>
      <c r="CG218" s="293"/>
      <c r="CH218" s="293"/>
      <c r="CI218" s="293"/>
      <c r="CJ218" s="294" t="s">
        <v>1344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 t="s">
        <v>1780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1037</v>
      </c>
      <c r="C219" s="301" t="s">
        <v>1038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13"/>
        <v>267</v>
      </c>
      <c r="O219" s="374">
        <v>4480</v>
      </c>
      <c r="P219" s="375">
        <v>368.5</v>
      </c>
      <c r="Q219" s="376">
        <v>86.34</v>
      </c>
      <c r="R219" s="376">
        <v>84.08</v>
      </c>
      <c r="S219" s="376">
        <v>54.53</v>
      </c>
      <c r="T219" s="376">
        <v>5.23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09"/>
        <v>160000</v>
      </c>
      <c r="AL219" s="316">
        <f>VLOOKUP(D219&amp;E219,计算辅助页面!$V$5:$Y$18,3,0)</f>
        <v>5</v>
      </c>
      <c r="AM219" s="317">
        <f t="shared" si="710"/>
        <v>480000</v>
      </c>
      <c r="AN219" s="317">
        <f>VLOOKUP(D219&amp;E219,计算辅助页面!$V$5:$Y$18,4,0)</f>
        <v>4</v>
      </c>
      <c r="AO219" s="304">
        <f t="shared" si="711"/>
        <v>12800000</v>
      </c>
      <c r="AP219" s="318">
        <f t="shared" si="712"/>
        <v>32207600</v>
      </c>
      <c r="AQ219" s="288" t="s">
        <v>991</v>
      </c>
      <c r="AR219" s="289" t="str">
        <f t="shared" si="718"/>
        <v>Concept_One</v>
      </c>
      <c r="AS219" s="290" t="s">
        <v>1030</v>
      </c>
      <c r="AT219" s="291" t="s">
        <v>1042</v>
      </c>
      <c r="AU219" s="427" t="s">
        <v>703</v>
      </c>
      <c r="AV219" s="292">
        <v>56</v>
      </c>
      <c r="AW219" s="292">
        <v>383</v>
      </c>
      <c r="AY219" s="292">
        <v>510</v>
      </c>
      <c r="AZ219" s="292" t="s">
        <v>1101</v>
      </c>
      <c r="BA219" s="477">
        <v>157</v>
      </c>
      <c r="BB219" s="476">
        <v>1.6</v>
      </c>
      <c r="BC219" s="472">
        <v>1.06</v>
      </c>
      <c r="BD219" s="472">
        <v>2.94</v>
      </c>
      <c r="BE219" s="472">
        <v>2.5</v>
      </c>
      <c r="BF219" s="474">
        <f>BA219+O219</f>
        <v>4637</v>
      </c>
      <c r="BG219" s="476">
        <f t="shared" ref="BG219" si="862">BB219+P219</f>
        <v>370.1</v>
      </c>
      <c r="BH219" s="480">
        <f t="shared" ref="BH219" si="863">BC219+Q219</f>
        <v>87.4</v>
      </c>
      <c r="BI219" s="480">
        <f t="shared" ref="BI219" si="864">BD219+R219</f>
        <v>87.02</v>
      </c>
      <c r="BJ219" s="480">
        <f t="shared" ref="BJ219" si="865">BE219+S219</f>
        <v>57.03</v>
      </c>
      <c r="BK219" s="473">
        <f t="shared" si="604"/>
        <v>1.6000000000000227</v>
      </c>
      <c r="BL219" s="473">
        <f t="shared" si="605"/>
        <v>1.0600000000000023</v>
      </c>
      <c r="BM219" s="473">
        <f t="shared" si="606"/>
        <v>2.9399999999999977</v>
      </c>
      <c r="BN219" s="473">
        <f t="shared" si="607"/>
        <v>2.5</v>
      </c>
      <c r="BO219" s="483">
        <v>4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/>
      <c r="CE219" s="293"/>
      <c r="CF219" s="293"/>
      <c r="CG219" s="293"/>
      <c r="CH219" s="293"/>
      <c r="CI219" s="293"/>
      <c r="CJ219" s="294" t="s">
        <v>1042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1780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590</v>
      </c>
      <c r="C220" s="301" t="s">
        <v>788</v>
      </c>
      <c r="D220" s="352" t="s">
        <v>198</v>
      </c>
      <c r="E220" s="353" t="s">
        <v>190</v>
      </c>
      <c r="F220" s="345">
        <f>9-LEN(E220)-LEN(SUBSTITUTE(E220,"★",""))</f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77</v>
      </c>
      <c r="N220" s="343">
        <f t="shared" si="613"/>
        <v>265</v>
      </c>
      <c r="O220" s="374">
        <v>4517</v>
      </c>
      <c r="P220" s="375">
        <v>377.4</v>
      </c>
      <c r="Q220" s="376">
        <v>82.23</v>
      </c>
      <c r="R220" s="376">
        <v>81.760000000000005</v>
      </c>
      <c r="S220" s="376">
        <v>59.55</v>
      </c>
      <c r="T220" s="376">
        <v>5.68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09"/>
        <v>160000</v>
      </c>
      <c r="AL220" s="316">
        <f>VLOOKUP(D220&amp;E220,计算辅助页面!$V$5:$Y$18,3,0)</f>
        <v>5</v>
      </c>
      <c r="AM220" s="317">
        <f t="shared" si="710"/>
        <v>480000</v>
      </c>
      <c r="AN220" s="317">
        <f>VLOOKUP(D220&amp;E220,计算辅助页面!$V$5:$Y$18,4,0)</f>
        <v>4</v>
      </c>
      <c r="AO220" s="304">
        <f t="shared" si="711"/>
        <v>12800000</v>
      </c>
      <c r="AP220" s="318">
        <f t="shared" si="712"/>
        <v>32207600</v>
      </c>
      <c r="AQ220" s="288" t="s">
        <v>566</v>
      </c>
      <c r="AR220" s="289" t="str">
        <f t="shared" si="718"/>
        <v>Valhalla Concept Car</v>
      </c>
      <c r="AS220" s="290" t="s">
        <v>916</v>
      </c>
      <c r="AT220" s="291" t="s">
        <v>668</v>
      </c>
      <c r="AU220" s="427" t="s">
        <v>703</v>
      </c>
      <c r="AV220" s="292">
        <v>38</v>
      </c>
      <c r="AW220" s="292">
        <v>392</v>
      </c>
      <c r="AY220" s="292">
        <v>525</v>
      </c>
      <c r="AZ220" s="292" t="s">
        <v>1101</v>
      </c>
      <c r="BA220" s="477">
        <v>155</v>
      </c>
      <c r="BB220" s="476">
        <v>2.8</v>
      </c>
      <c r="BC220" s="472">
        <v>0.57999999999999996</v>
      </c>
      <c r="BD220" s="472">
        <v>2.95</v>
      </c>
      <c r="BE220" s="472">
        <v>1.87</v>
      </c>
      <c r="BF220" s="474">
        <f>BA220+O220</f>
        <v>4672</v>
      </c>
      <c r="BG220" s="476">
        <f t="shared" ref="BG220" si="866">BB220+P220</f>
        <v>380.2</v>
      </c>
      <c r="BH220" s="480">
        <f t="shared" ref="BH220" si="867">BC220+Q220</f>
        <v>82.81</v>
      </c>
      <c r="BI220" s="480">
        <f t="shared" ref="BI220" si="868">BD220+R220</f>
        <v>84.710000000000008</v>
      </c>
      <c r="BJ220" s="480">
        <f t="shared" ref="BJ220" si="869">BE220+S220</f>
        <v>61.419999999999995</v>
      </c>
      <c r="BK220" s="473">
        <f t="shared" si="604"/>
        <v>2.8000000000000114</v>
      </c>
      <c r="BL220" s="473">
        <f t="shared" si="605"/>
        <v>0.57999999999999829</v>
      </c>
      <c r="BM220" s="473">
        <f t="shared" si="606"/>
        <v>2.9500000000000028</v>
      </c>
      <c r="BN220" s="473">
        <f t="shared" si="607"/>
        <v>1.8699999999999974</v>
      </c>
      <c r="BO220" s="483">
        <v>10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1503</v>
      </c>
      <c r="CK220" s="294"/>
      <c r="CL220" s="294"/>
      <c r="CM220" s="294"/>
      <c r="CN220" s="294"/>
      <c r="CO220" s="295"/>
      <c r="CP220" s="295"/>
      <c r="CQ220" s="295">
        <v>1</v>
      </c>
      <c r="CR220" s="296">
        <v>354</v>
      </c>
      <c r="CS220" s="297">
        <v>77.41</v>
      </c>
      <c r="CT220" s="297">
        <v>57.27</v>
      </c>
      <c r="CU220" s="297">
        <v>43.91</v>
      </c>
      <c r="CV220" s="297">
        <f t="shared" ref="CV220:CY221" si="870">P220-CR220</f>
        <v>23.399999999999977</v>
      </c>
      <c r="CW220" s="297">
        <f t="shared" si="870"/>
        <v>4.8200000000000074</v>
      </c>
      <c r="CX220" s="297">
        <f t="shared" si="870"/>
        <v>24.490000000000002</v>
      </c>
      <c r="CY220" s="297">
        <f t="shared" si="870"/>
        <v>15.64</v>
      </c>
      <c r="CZ220" s="297">
        <f>SUM(CV220:CY220)</f>
        <v>68.349999999999994</v>
      </c>
      <c r="DA220" s="297">
        <f>0.32*(P220-CR220)+1.75*(Q220-CS220)+1.13*(R220-CT220)+1.28*(S220-CU220)</f>
        <v>63.615900000000011</v>
      </c>
      <c r="DB220" s="295" t="s">
        <v>1780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859</v>
      </c>
      <c r="C221" s="301" t="s">
        <v>860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861</v>
      </c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si="613"/>
        <v>267</v>
      </c>
      <c r="O221" s="374">
        <v>4545</v>
      </c>
      <c r="P221" s="375">
        <v>378.9</v>
      </c>
      <c r="Q221" s="376">
        <v>80.23</v>
      </c>
      <c r="R221" s="376">
        <v>72.17</v>
      </c>
      <c r="S221" s="376">
        <v>71.14</v>
      </c>
      <c r="T221" s="376">
        <v>6.98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09"/>
        <v>160000</v>
      </c>
      <c r="AL221" s="316">
        <f>VLOOKUP(D221&amp;E221,计算辅助页面!$V$5:$Y$18,3,0)</f>
        <v>5</v>
      </c>
      <c r="AM221" s="317">
        <f t="shared" si="710"/>
        <v>480000</v>
      </c>
      <c r="AN221" s="317">
        <f>VLOOKUP(D221&amp;E221,计算辅助页面!$V$5:$Y$18,4,0)</f>
        <v>4</v>
      </c>
      <c r="AO221" s="304">
        <f t="shared" si="711"/>
        <v>12800000</v>
      </c>
      <c r="AP221" s="318">
        <f t="shared" si="712"/>
        <v>32207600</v>
      </c>
      <c r="AQ221" s="288" t="s">
        <v>862</v>
      </c>
      <c r="AR221" s="289" t="str">
        <f t="shared" si="718"/>
        <v>Imola</v>
      </c>
      <c r="AS221" s="290" t="s">
        <v>866</v>
      </c>
      <c r="AT221" s="291" t="s">
        <v>875</v>
      </c>
      <c r="AU221" s="427" t="s">
        <v>703</v>
      </c>
      <c r="AV221" s="292">
        <v>54</v>
      </c>
      <c r="AW221" s="292">
        <v>394</v>
      </c>
      <c r="AY221" s="292">
        <v>528</v>
      </c>
      <c r="AZ221" s="292" t="s">
        <v>1101</v>
      </c>
      <c r="BA221" s="481">
        <f>BF221-O221</f>
        <v>155</v>
      </c>
      <c r="BB221" s="476">
        <f>BK221</f>
        <v>2.3000000000000114</v>
      </c>
      <c r="BC221" s="472">
        <f t="shared" ref="BC221" si="871">BL221</f>
        <v>0.86999999999999034</v>
      </c>
      <c r="BD221" s="472">
        <f t="shared" ref="BD221" si="872">BM221</f>
        <v>2.9299999999999926</v>
      </c>
      <c r="BE221" s="472">
        <f t="shared" ref="BE221" si="873">BN221</f>
        <v>2.3299999999999983</v>
      </c>
      <c r="BF221" s="474">
        <v>4700</v>
      </c>
      <c r="BG221" s="476">
        <v>381.2</v>
      </c>
      <c r="BH221" s="480">
        <v>81.099999999999994</v>
      </c>
      <c r="BI221" s="480">
        <v>75.099999999999994</v>
      </c>
      <c r="BJ221" s="480">
        <v>73.47</v>
      </c>
      <c r="BK221" s="473">
        <f t="shared" si="604"/>
        <v>2.3000000000000114</v>
      </c>
      <c r="BL221" s="473">
        <f t="shared" si="605"/>
        <v>0.86999999999999034</v>
      </c>
      <c r="BM221" s="473">
        <f t="shared" si="606"/>
        <v>2.9299999999999926</v>
      </c>
      <c r="BN221" s="473">
        <f t="shared" si="607"/>
        <v>2.3299999999999983</v>
      </c>
      <c r="BO221" s="483">
        <v>1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/>
      <c r="CG221" s="293"/>
      <c r="CH221" s="293"/>
      <c r="CI221" s="293"/>
      <c r="CJ221" s="294" t="s">
        <v>1485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360</v>
      </c>
      <c r="CS221" s="297">
        <v>73</v>
      </c>
      <c r="CT221" s="297">
        <v>47.83</v>
      </c>
      <c r="CU221" s="297">
        <v>51.73</v>
      </c>
      <c r="CV221" s="297">
        <f t="shared" si="870"/>
        <v>18.899999999999977</v>
      </c>
      <c r="CW221" s="297">
        <f t="shared" si="870"/>
        <v>7.230000000000004</v>
      </c>
      <c r="CX221" s="297">
        <f t="shared" si="870"/>
        <v>24.340000000000003</v>
      </c>
      <c r="CY221" s="297">
        <f t="shared" si="870"/>
        <v>19.410000000000004</v>
      </c>
      <c r="CZ221" s="297">
        <f>SUM(CV221:CY221)</f>
        <v>69.88</v>
      </c>
      <c r="DA221" s="297">
        <f>0.32*(P221-CR221)+1.75*(Q221-CS221)+1.13*(R221-CT221)+1.28*(S221-CU221)</f>
        <v>71.049500000000009</v>
      </c>
      <c r="DB221" s="295" t="s">
        <v>1780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1388</v>
      </c>
      <c r="C222" s="301" t="s">
        <v>1389</v>
      </c>
      <c r="D222" s="352" t="s">
        <v>198</v>
      </c>
      <c r="E222" s="353" t="s">
        <v>190</v>
      </c>
      <c r="F222" s="387"/>
      <c r="G222" s="335"/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13"/>
        <v>267</v>
      </c>
      <c r="O222" s="374">
        <v>4548</v>
      </c>
      <c r="P222" s="375">
        <v>382</v>
      </c>
      <c r="Q222" s="376">
        <v>87.72</v>
      </c>
      <c r="R222" s="376">
        <v>53.75</v>
      </c>
      <c r="S222" s="376">
        <v>60.72</v>
      </c>
      <c r="T222" s="376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09"/>
        <v>160000</v>
      </c>
      <c r="AL222" s="316">
        <f>VLOOKUP(D222&amp;E222,计算辅助页面!$V$5:$Y$18,3,0)</f>
        <v>5</v>
      </c>
      <c r="AM222" s="317">
        <f t="shared" si="710"/>
        <v>480000</v>
      </c>
      <c r="AN222" s="317">
        <f>VLOOKUP(D222&amp;E222,计算辅助页面!$V$5:$Y$18,4,0)</f>
        <v>4</v>
      </c>
      <c r="AO222" s="304">
        <f t="shared" si="711"/>
        <v>12800000</v>
      </c>
      <c r="AP222" s="318">
        <f t="shared" si="712"/>
        <v>32207600</v>
      </c>
      <c r="AQ222" s="288" t="s">
        <v>1390</v>
      </c>
      <c r="AR222" s="289" t="str">
        <f t="shared" si="718"/>
        <v>Team Fordzilla P1</v>
      </c>
      <c r="AS222" s="290" t="s">
        <v>1375</v>
      </c>
      <c r="AT222" s="291" t="s">
        <v>1391</v>
      </c>
      <c r="AU222" s="427" t="s">
        <v>703</v>
      </c>
      <c r="AW222" s="292">
        <v>397</v>
      </c>
      <c r="AY222" s="292">
        <v>533</v>
      </c>
      <c r="AZ222" s="292" t="s">
        <v>1622</v>
      </c>
      <c r="BA222" s="477">
        <v>155</v>
      </c>
      <c r="BB222" s="476">
        <v>2.9</v>
      </c>
      <c r="BC222" s="472">
        <v>0.57999999999999996</v>
      </c>
      <c r="BD222" s="472">
        <v>1.4</v>
      </c>
      <c r="BE222" s="472">
        <v>2.35</v>
      </c>
      <c r="BF222" s="474">
        <f>BA222+O222</f>
        <v>4703</v>
      </c>
      <c r="BG222" s="476">
        <f t="shared" ref="BG222" si="874">BB222+P222</f>
        <v>384.9</v>
      </c>
      <c r="BH222" s="480">
        <f t="shared" ref="BH222" si="875">BC222+Q222</f>
        <v>88.3</v>
      </c>
      <c r="BI222" s="480">
        <f t="shared" ref="BI222" si="876">BD222+R222</f>
        <v>55.15</v>
      </c>
      <c r="BJ222" s="480">
        <f t="shared" ref="BJ222" si="877">BE222+S222</f>
        <v>63.07</v>
      </c>
      <c r="BK222" s="473">
        <f t="shared" si="604"/>
        <v>2.8999999999999773</v>
      </c>
      <c r="BL222" s="473">
        <f t="shared" si="605"/>
        <v>0.57999999999999829</v>
      </c>
      <c r="BM222" s="473">
        <f t="shared" si="606"/>
        <v>1.3999999999999986</v>
      </c>
      <c r="BN222" s="473">
        <f t="shared" si="607"/>
        <v>2.3500000000000014</v>
      </c>
      <c r="BO222" s="483">
        <v>11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1704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1780</v>
      </c>
      <c r="DC222" s="295">
        <v>1</v>
      </c>
      <c r="DD222" s="295"/>
      <c r="DE222" s="295"/>
    </row>
    <row r="223" spans="1:109" ht="21" customHeight="1" thickBot="1">
      <c r="A223" s="268">
        <v>221</v>
      </c>
      <c r="B223" s="319" t="s">
        <v>1504</v>
      </c>
      <c r="C223" s="301" t="s">
        <v>1275</v>
      </c>
      <c r="D223" s="352" t="s">
        <v>198</v>
      </c>
      <c r="E223" s="353" t="s">
        <v>190</v>
      </c>
      <c r="F223" s="387"/>
      <c r="G223" s="335"/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13"/>
        <v>265</v>
      </c>
      <c r="O223" s="374">
        <v>4551</v>
      </c>
      <c r="P223" s="375">
        <v>412.3</v>
      </c>
      <c r="Q223" s="376">
        <v>69.239999999999995</v>
      </c>
      <c r="R223" s="376">
        <v>59.33</v>
      </c>
      <c r="S223" s="376">
        <v>84.95</v>
      </c>
      <c r="T223" s="376">
        <v>8.4700000000000006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09"/>
        <v>160000</v>
      </c>
      <c r="AL223" s="316">
        <f>VLOOKUP(D223&amp;E223,计算辅助页面!$V$5:$Y$18,3,0)</f>
        <v>5</v>
      </c>
      <c r="AM223" s="317">
        <f t="shared" si="710"/>
        <v>480000</v>
      </c>
      <c r="AN223" s="317">
        <f>VLOOKUP(D223&amp;E223,计算辅助页面!$V$5:$Y$18,4,0)</f>
        <v>4</v>
      </c>
      <c r="AO223" s="304">
        <f t="shared" si="711"/>
        <v>12800000</v>
      </c>
      <c r="AP223" s="318">
        <f t="shared" si="712"/>
        <v>32207600</v>
      </c>
      <c r="AQ223" s="288" t="s">
        <v>592</v>
      </c>
      <c r="AR223" s="289" t="str">
        <f t="shared" si="718"/>
        <v>XJR-9🔑</v>
      </c>
      <c r="AS223" s="290" t="s">
        <v>1263</v>
      </c>
      <c r="AT223" s="291" t="s">
        <v>1276</v>
      </c>
      <c r="AU223" s="427" t="s">
        <v>703</v>
      </c>
      <c r="AW223" s="292">
        <v>432</v>
      </c>
      <c r="AY223" s="292">
        <v>563</v>
      </c>
      <c r="AZ223" s="292" t="s">
        <v>1282</v>
      </c>
      <c r="BA223" s="481">
        <f>BF223-O223</f>
        <v>155</v>
      </c>
      <c r="BB223" s="476">
        <f>BK223</f>
        <v>2.1999999999999886</v>
      </c>
      <c r="BC223" s="472">
        <f t="shared" ref="BC223" si="878">BL223</f>
        <v>1.0600000000000023</v>
      </c>
      <c r="BD223" s="472">
        <f t="shared" ref="BD223" si="879">BM223</f>
        <v>0.69000000000000483</v>
      </c>
      <c r="BE223" s="472">
        <f t="shared" ref="BE223" si="880">BN223</f>
        <v>2.5</v>
      </c>
      <c r="BF223" s="474">
        <v>4706</v>
      </c>
      <c r="BG223" s="476">
        <v>414.5</v>
      </c>
      <c r="BH223" s="480">
        <v>70.3</v>
      </c>
      <c r="BI223" s="480">
        <v>60.02</v>
      </c>
      <c r="BJ223" s="480">
        <v>87.45</v>
      </c>
      <c r="BK223" s="473">
        <f t="shared" si="604"/>
        <v>2.1999999999999886</v>
      </c>
      <c r="BL223" s="473">
        <f t="shared" si="605"/>
        <v>1.0600000000000023</v>
      </c>
      <c r="BM223" s="473">
        <f t="shared" si="606"/>
        <v>0.69000000000000483</v>
      </c>
      <c r="BN223" s="473">
        <f t="shared" si="607"/>
        <v>2.5</v>
      </c>
      <c r="BO223" s="483">
        <v>6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1289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1712</v>
      </c>
      <c r="C224" s="301" t="s">
        <v>1144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13"/>
        <v>265</v>
      </c>
      <c r="O224" s="374">
        <v>4559</v>
      </c>
      <c r="P224" s="375">
        <v>373.4</v>
      </c>
      <c r="Q224" s="376">
        <v>81.23</v>
      </c>
      <c r="R224" s="376">
        <v>85.96</v>
      </c>
      <c r="S224" s="376">
        <v>72.400000000000006</v>
      </c>
      <c r="T224" s="376">
        <v>7.26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ref="AK224:AK264" si="881">IF(AI224,2*AI224,"")</f>
        <v>160000</v>
      </c>
      <c r="AL224" s="316">
        <f>VLOOKUP(D224&amp;E224,计算辅助页面!$V$5:$Y$18,3,0)</f>
        <v>5</v>
      </c>
      <c r="AM224" s="317">
        <f t="shared" ref="AM224:AM264" si="882">IF(AN224="×",AN224,IF(AI224,6*AI224,""))</f>
        <v>480000</v>
      </c>
      <c r="AN224" s="317">
        <f>VLOOKUP(D224&amp;E224,计算辅助页面!$V$5:$Y$18,4,0)</f>
        <v>4</v>
      </c>
      <c r="AO224" s="304">
        <f t="shared" ref="AO224:AO264" si="883">IF(AI224,IF(AN224="×",4*(AI224*AJ224+AK224*AL224),4*(AI224*AJ224+AK224*AL224+AM224*AN224)),"")</f>
        <v>12800000</v>
      </c>
      <c r="AP224" s="318">
        <f t="shared" si="712"/>
        <v>32207600</v>
      </c>
      <c r="AQ224" s="288" t="s">
        <v>565</v>
      </c>
      <c r="AR224" s="289" t="str">
        <f t="shared" si="718"/>
        <v>Countach LPI 800-4🔑</v>
      </c>
      <c r="AS224" s="290" t="s">
        <v>1131</v>
      </c>
      <c r="AT224" s="291" t="s">
        <v>1145</v>
      </c>
      <c r="AU224" s="427" t="s">
        <v>703</v>
      </c>
      <c r="AW224" s="292">
        <v>388</v>
      </c>
      <c r="AY224" s="292">
        <v>518</v>
      </c>
      <c r="AZ224" s="292" t="s">
        <v>1101</v>
      </c>
      <c r="BA224" s="477">
        <v>155</v>
      </c>
      <c r="BB224" s="476">
        <v>2.2000000000000002</v>
      </c>
      <c r="BC224" s="472">
        <v>0.77</v>
      </c>
      <c r="BD224" s="472">
        <v>3.62</v>
      </c>
      <c r="BE224" s="472">
        <v>2.4300000000000002</v>
      </c>
      <c r="BF224" s="474">
        <f>BA224+O224</f>
        <v>4714</v>
      </c>
      <c r="BG224" s="476">
        <f t="shared" ref="BG224" si="884">BB224+P224</f>
        <v>375.59999999999997</v>
      </c>
      <c r="BH224" s="480">
        <f t="shared" ref="BH224" si="885">BC224+Q224</f>
        <v>82</v>
      </c>
      <c r="BI224" s="480">
        <f t="shared" ref="BI224" si="886">BD224+R224</f>
        <v>89.58</v>
      </c>
      <c r="BJ224" s="480">
        <f t="shared" ref="BJ224" si="887">BE224+S224</f>
        <v>74.830000000000013</v>
      </c>
      <c r="BK224" s="473">
        <f t="shared" si="604"/>
        <v>2.1999999999999886</v>
      </c>
      <c r="BL224" s="473">
        <f t="shared" si="605"/>
        <v>0.76999999999999602</v>
      </c>
      <c r="BM224" s="473">
        <f t="shared" si="606"/>
        <v>3.6200000000000045</v>
      </c>
      <c r="BN224" s="473">
        <f t="shared" si="607"/>
        <v>2.4300000000000068</v>
      </c>
      <c r="BO224" s="483">
        <v>7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>
        <v>1</v>
      </c>
      <c r="CE224" s="293"/>
      <c r="CF224" s="293"/>
      <c r="CG224" s="293"/>
      <c r="CH224" s="293"/>
      <c r="CI224" s="293"/>
      <c r="CJ224" s="294" t="s">
        <v>1147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1780</v>
      </c>
      <c r="DC224" s="295">
        <v>1</v>
      </c>
      <c r="DD224" s="295"/>
      <c r="DE224" s="295"/>
    </row>
    <row r="225" spans="1:109" ht="21" customHeight="1">
      <c r="A225" s="268">
        <v>223</v>
      </c>
      <c r="B225" s="319" t="s">
        <v>1899</v>
      </c>
      <c r="C225" s="301" t="s">
        <v>1900</v>
      </c>
      <c r="D225" s="352" t="s">
        <v>198</v>
      </c>
      <c r="E225" s="353" t="s">
        <v>190</v>
      </c>
      <c r="F225" s="387"/>
      <c r="G225" s="335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ref="N225" si="888">IF(COUNTBLANK(H225:M225),"",SUM(H225:M225))</f>
        <v>267</v>
      </c>
      <c r="O225" s="374">
        <v>4565</v>
      </c>
      <c r="P225" s="375">
        <v>379.2</v>
      </c>
      <c r="Q225" s="376">
        <v>88.43</v>
      </c>
      <c r="R225" s="376">
        <v>50.26</v>
      </c>
      <c r="S225" s="376">
        <v>55.59</v>
      </c>
      <c r="T225" s="376"/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881"/>
        <v>160000</v>
      </c>
      <c r="AL225" s="316">
        <f>VLOOKUP(D225&amp;E225,计算辅助页面!$V$5:$Y$18,3,0)</f>
        <v>5</v>
      </c>
      <c r="AM225" s="317">
        <f t="shared" si="882"/>
        <v>480000</v>
      </c>
      <c r="AN225" s="317">
        <f>VLOOKUP(D225&amp;E225,计算辅助页面!$V$5:$Y$18,4,0)</f>
        <v>4</v>
      </c>
      <c r="AO225" s="304">
        <f t="shared" si="883"/>
        <v>12800000</v>
      </c>
      <c r="AP225" s="318">
        <f t="shared" si="712"/>
        <v>32207600</v>
      </c>
      <c r="AQ225" s="288" t="s">
        <v>1901</v>
      </c>
      <c r="AR225" s="289" t="str">
        <f t="shared" si="718"/>
        <v>BEV Sport Concept</v>
      </c>
      <c r="AS225" s="290" t="s">
        <v>1886</v>
      </c>
      <c r="AT225" s="291" t="s">
        <v>1902</v>
      </c>
      <c r="AU225" s="427" t="s">
        <v>703</v>
      </c>
      <c r="AZ225" s="292" t="s">
        <v>1922</v>
      </c>
      <c r="BA225" s="481">
        <f>BF225-O225</f>
        <v>156</v>
      </c>
      <c r="BB225" s="476">
        <f>BK225</f>
        <v>2</v>
      </c>
      <c r="BC225" s="472">
        <f t="shared" ref="BC225" si="889">BL225</f>
        <v>0.76999999999999602</v>
      </c>
      <c r="BD225" s="472">
        <f t="shared" ref="BD225" si="890">BM225</f>
        <v>2.0500000000000043</v>
      </c>
      <c r="BE225" s="472">
        <f t="shared" ref="BE225" si="891">BN225</f>
        <v>2.6899999999999977</v>
      </c>
      <c r="BF225" s="474">
        <v>4721</v>
      </c>
      <c r="BG225" s="476">
        <v>381.2</v>
      </c>
      <c r="BH225" s="480">
        <v>89.2</v>
      </c>
      <c r="BI225" s="480">
        <v>52.31</v>
      </c>
      <c r="BJ225" s="480">
        <v>58.28</v>
      </c>
      <c r="BK225" s="473">
        <f t="shared" ref="BK225" si="892">IF(BG225="", "", BG225-P225)</f>
        <v>2</v>
      </c>
      <c r="BL225" s="473">
        <f t="shared" ref="BL225" si="893">IF(BH225="", "", BH225-Q225)</f>
        <v>0.76999999999999602</v>
      </c>
      <c r="BM225" s="473">
        <f t="shared" ref="BM225" si="894">IF(BI225="", "", BI225-R225)</f>
        <v>2.0500000000000043</v>
      </c>
      <c r="BN225" s="473">
        <f t="shared" ref="BN225" si="895">IF(BJ225="", "", BJ225-S225)</f>
        <v>2.6899999999999977</v>
      </c>
      <c r="BO225" s="483">
        <v>16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1914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1832</v>
      </c>
      <c r="C226" s="301" t="s">
        <v>1830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896">IF(COUNTBLANK(H226:M226),"",SUM(H226:M226))</f>
        <v>267</v>
      </c>
      <c r="O226" s="374">
        <v>4572</v>
      </c>
      <c r="P226" s="375">
        <v>358.6</v>
      </c>
      <c r="Q226" s="376">
        <v>84.54</v>
      </c>
      <c r="R226" s="376">
        <v>85.32</v>
      </c>
      <c r="S226" s="376">
        <v>77.849999999999994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ref="AK226" si="897">IF(AI226,2*AI226,"")</f>
        <v>160000</v>
      </c>
      <c r="AL226" s="316">
        <f>VLOOKUP(D226&amp;E226,计算辅助页面!$V$5:$Y$18,3,0)</f>
        <v>5</v>
      </c>
      <c r="AM226" s="317">
        <f t="shared" ref="AM226" si="898">IF(AN226="×",AN226,IF(AI226,6*AI226,""))</f>
        <v>480000</v>
      </c>
      <c r="AN226" s="317">
        <f>VLOOKUP(D226&amp;E226,计算辅助页面!$V$5:$Y$18,4,0)</f>
        <v>4</v>
      </c>
      <c r="AO226" s="304">
        <f t="shared" ref="AO226" si="899">IF(AI226,IF(AN226="×",4*(AI226*AJ226+AK226*AL226),4*(AI226*AJ226+AK226*AL226+AM226*AN226)),"")</f>
        <v>12800000</v>
      </c>
      <c r="AP226" s="318">
        <f t="shared" ref="AP226" si="900">IF(AND(AH226,AO226),AO226+AH226,"")</f>
        <v>32207600</v>
      </c>
      <c r="AQ226" s="288" t="s">
        <v>567</v>
      </c>
      <c r="AR226" s="289" t="str">
        <f t="shared" si="718"/>
        <v>499P Modificata</v>
      </c>
      <c r="AS226" s="290" t="s">
        <v>1822</v>
      </c>
      <c r="AT226" s="291" t="s">
        <v>1831</v>
      </c>
      <c r="AU226" s="427" t="s">
        <v>703</v>
      </c>
      <c r="AZ226" s="292" t="s">
        <v>1101</v>
      </c>
      <c r="BA226" s="477">
        <v>156</v>
      </c>
      <c r="BB226" s="476">
        <v>2.2000000000000002</v>
      </c>
      <c r="BC226" s="472">
        <v>1.06</v>
      </c>
      <c r="BD226" s="472">
        <v>4.01</v>
      </c>
      <c r="BE226" s="472">
        <v>3.15</v>
      </c>
      <c r="BF226" s="474">
        <f>BA226+O226</f>
        <v>4728</v>
      </c>
      <c r="BG226" s="476">
        <f t="shared" ref="BG226" si="901">BB226+P226</f>
        <v>360.8</v>
      </c>
      <c r="BH226" s="480">
        <f t="shared" ref="BH226" si="902">BC226+Q226</f>
        <v>85.600000000000009</v>
      </c>
      <c r="BI226" s="480">
        <f t="shared" ref="BI226" si="903">BD226+R226</f>
        <v>89.33</v>
      </c>
      <c r="BJ226" s="480">
        <f t="shared" ref="BJ226" si="904">BE226+S226</f>
        <v>81</v>
      </c>
      <c r="BK226" s="473">
        <f t="shared" ref="BK226" si="905">IF(BG226="", "", BG226-P226)</f>
        <v>2.1999999999999886</v>
      </c>
      <c r="BL226" s="473">
        <f t="shared" ref="BL226" si="906">IF(BH226="", "", BH226-Q226)</f>
        <v>1.0600000000000023</v>
      </c>
      <c r="BM226" s="473">
        <f t="shared" ref="BM226" si="907">IF(BI226="", "", BI226-R226)</f>
        <v>4.0100000000000051</v>
      </c>
      <c r="BN226" s="473">
        <f t="shared" ref="BN226" si="908">IF(BJ226="", "", BJ226-S226)</f>
        <v>3.1500000000000057</v>
      </c>
      <c r="BO226" s="483">
        <v>14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1857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 thickBot="1">
      <c r="A227" s="268">
        <v>225</v>
      </c>
      <c r="B227" s="319" t="s">
        <v>1753</v>
      </c>
      <c r="C227" s="301" t="s">
        <v>1304</v>
      </c>
      <c r="D227" s="352" t="s">
        <v>1305</v>
      </c>
      <c r="E227" s="353" t="s">
        <v>190</v>
      </c>
      <c r="F227" s="387"/>
      <c r="G227" s="335"/>
      <c r="H227" s="358" t="s">
        <v>407</v>
      </c>
      <c r="I227" s="358">
        <v>30</v>
      </c>
      <c r="J227" s="358">
        <v>40</v>
      </c>
      <c r="K227" s="358">
        <v>50</v>
      </c>
      <c r="L227" s="358">
        <v>65</v>
      </c>
      <c r="M227" s="358">
        <v>80</v>
      </c>
      <c r="N227" s="307">
        <f t="shared" si="613"/>
        <v>265</v>
      </c>
      <c r="O227" s="374">
        <v>4586</v>
      </c>
      <c r="P227" s="375">
        <v>375.6</v>
      </c>
      <c r="Q227" s="376">
        <v>82.74</v>
      </c>
      <c r="R227" s="376">
        <v>75.239999999999995</v>
      </c>
      <c r="S227" s="376">
        <v>71.180000000000007</v>
      </c>
      <c r="T227" s="376">
        <v>7.06</v>
      </c>
      <c r="U227" s="324">
        <v>16100</v>
      </c>
      <c r="V227" s="325">
        <f>VLOOKUP($U227,计算辅助页面!$Z$5:$AM$26,COLUMN()-20,0)</f>
        <v>26300</v>
      </c>
      <c r="W227" s="325">
        <f>VLOOKUP($U227,计算辅助页面!$Z$5:$AM$26,COLUMN()-20,0)</f>
        <v>42000</v>
      </c>
      <c r="X227" s="333">
        <f>VLOOKUP($U227,计算辅助页面!$Z$5:$AM$26,COLUMN()-20,0)</f>
        <v>63000</v>
      </c>
      <c r="Y227" s="333">
        <f>VLOOKUP($U227,计算辅助页面!$Z$5:$AM$26,COLUMN()-20,0)</f>
        <v>91000</v>
      </c>
      <c r="Z227" s="420">
        <f>VLOOKUP($U227,计算辅助页面!$Z$5:$AM$26,COLUMN()-20,0)</f>
        <v>127500</v>
      </c>
      <c r="AA227" s="333">
        <f>VLOOKUP($U227,计算辅助页面!$Z$5:$AM$26,COLUMN()-20,0)</f>
        <v>178500</v>
      </c>
      <c r="AB227" s="333">
        <f>VLOOKUP($U227,计算辅助页面!$Z$5:$AM$26,COLUMN()-20,0)</f>
        <v>249500</v>
      </c>
      <c r="AC227" s="333">
        <f>VLOOKUP($U227,计算辅助页面!$Z$5:$AM$26,COLUMN()-20,0)</f>
        <v>349500</v>
      </c>
      <c r="AD227" s="333">
        <f>VLOOKUP($U227,计算辅助页面!$Z$5:$AM$26,COLUMN()-20,0)</f>
        <v>489500</v>
      </c>
      <c r="AE227" s="333">
        <f>VLOOKUP($U227,计算辅助页面!$Z$5:$AM$26,COLUMN()-20,0)</f>
        <v>685000</v>
      </c>
      <c r="AF227" s="333">
        <f>VLOOKUP($U227,计算辅助页面!$Z$5:$AM$26,COLUMN()-20,0)</f>
        <v>959000</v>
      </c>
      <c r="AG227" s="343">
        <f>VLOOKUP($U227,计算辅助页面!$Z$5:$AM$26,COLUMN()-20,0)</f>
        <v>1575000</v>
      </c>
      <c r="AH227" s="327">
        <f>VLOOKUP($U227,计算辅助页面!$Z$5:$AM$26,COLUMN()-20,0)</f>
        <v>19407600</v>
      </c>
      <c r="AI227" s="326">
        <v>80000</v>
      </c>
      <c r="AJ227" s="429">
        <f>VLOOKUP(D227&amp;E227,计算辅助页面!$V$5:$Y$18,2,0)</f>
        <v>6</v>
      </c>
      <c r="AK227" s="336">
        <f t="shared" si="881"/>
        <v>160000</v>
      </c>
      <c r="AL227" s="336">
        <f>VLOOKUP(D227&amp;E227,计算辅助页面!$V$5:$Y$18,3,0)</f>
        <v>5</v>
      </c>
      <c r="AM227" s="337">
        <f t="shared" si="882"/>
        <v>480000</v>
      </c>
      <c r="AN227" s="337">
        <f>VLOOKUP(D227&amp;E227,计算辅助页面!$V$5:$Y$18,4,0)</f>
        <v>4</v>
      </c>
      <c r="AO227" s="327">
        <f t="shared" si="883"/>
        <v>12800000</v>
      </c>
      <c r="AP227" s="318">
        <f t="shared" si="712"/>
        <v>32207600</v>
      </c>
      <c r="AQ227" s="288" t="s">
        <v>1645</v>
      </c>
      <c r="AR227" s="289" t="str">
        <f t="shared" ref="AR227:AR264" si="909">TRIM(RIGHT(B227,LEN(B227)-LEN(AQ227)-1))</f>
        <v>P72🔑</v>
      </c>
      <c r="AS227" s="290" t="s">
        <v>1292</v>
      </c>
      <c r="AT227" s="291" t="s">
        <v>1306</v>
      </c>
      <c r="AU227" s="427" t="s">
        <v>703</v>
      </c>
      <c r="AW227" s="292">
        <v>390</v>
      </c>
      <c r="AY227" s="292">
        <v>522</v>
      </c>
      <c r="AZ227" s="292" t="s">
        <v>1346</v>
      </c>
      <c r="BA227" s="477">
        <v>156</v>
      </c>
      <c r="BB227" s="476">
        <v>1.9</v>
      </c>
      <c r="BC227" s="472">
        <v>1.06</v>
      </c>
      <c r="BD227" s="472">
        <v>2.5499999999999998</v>
      </c>
      <c r="BE227" s="472">
        <v>2.84</v>
      </c>
      <c r="BF227" s="474">
        <f>BA227+O227</f>
        <v>4742</v>
      </c>
      <c r="BG227" s="476">
        <f t="shared" ref="BG227" si="910">BB227+P227</f>
        <v>377.5</v>
      </c>
      <c r="BH227" s="480">
        <f t="shared" ref="BH227" si="911">BC227+Q227</f>
        <v>83.8</v>
      </c>
      <c r="BI227" s="480">
        <f t="shared" ref="BI227" si="912">BD227+R227</f>
        <v>77.789999999999992</v>
      </c>
      <c r="BJ227" s="480">
        <f t="shared" ref="BJ227" si="913">BE227+S227</f>
        <v>74.02000000000001</v>
      </c>
      <c r="BK227" s="473">
        <f t="shared" si="604"/>
        <v>1.8999999999999773</v>
      </c>
      <c r="BL227" s="473">
        <f t="shared" si="605"/>
        <v>1.0600000000000023</v>
      </c>
      <c r="BM227" s="473">
        <f t="shared" si="606"/>
        <v>2.5499999999999972</v>
      </c>
      <c r="BN227" s="473">
        <f t="shared" si="607"/>
        <v>2.8400000000000034</v>
      </c>
      <c r="BO227" s="483">
        <v>12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>
        <v>1</v>
      </c>
      <c r="CD227" s="293"/>
      <c r="CE227" s="293"/>
      <c r="CF227" s="293"/>
      <c r="CG227" s="293"/>
      <c r="CH227" s="293"/>
      <c r="CI227" s="293"/>
      <c r="CJ227" s="294" t="s">
        <v>1756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269" t="s">
        <v>1754</v>
      </c>
      <c r="C228" s="301" t="s">
        <v>1734</v>
      </c>
      <c r="D228" s="352" t="s">
        <v>8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ref="N228" si="914">IF(COUNTBLANK(H228:M228),"",SUM(H228:M228))</f>
        <v>265</v>
      </c>
      <c r="O228" s="374">
        <v>4600</v>
      </c>
      <c r="P228" s="375">
        <v>381</v>
      </c>
      <c r="Q228" s="376">
        <v>83.93</v>
      </c>
      <c r="R228" s="376">
        <v>76.349999999999994</v>
      </c>
      <c r="S228" s="376">
        <v>57.95</v>
      </c>
      <c r="T228" s="376"/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ref="AK228" si="915">IF(AI228,2*AI228,"")</f>
        <v>160000</v>
      </c>
      <c r="AL228" s="336">
        <f>VLOOKUP(D228&amp;E228,计算辅助页面!$V$5:$Y$18,3,0)</f>
        <v>5</v>
      </c>
      <c r="AM228" s="337">
        <f t="shared" ref="AM228" si="916">IF(AN228="×",AN228,IF(AI228,6*AI228,""))</f>
        <v>480000</v>
      </c>
      <c r="AN228" s="337">
        <f>VLOOKUP(D228&amp;E228,计算辅助页面!$V$5:$Y$18,4,0)</f>
        <v>4</v>
      </c>
      <c r="AO228" s="327">
        <f t="shared" ref="AO228" si="917">IF(AI228,IF(AN228="×",4*(AI228*AJ228+AK228*AL228),4*(AI228*AJ228+AK228*AL228+AM228*AN228)),"")</f>
        <v>12800000</v>
      </c>
      <c r="AP228" s="318">
        <f t="shared" ref="AP228" si="918">IF(AND(AH228,AO228),AO228+AH228,"")</f>
        <v>32207600</v>
      </c>
      <c r="AQ228" s="288" t="s">
        <v>564</v>
      </c>
      <c r="AR228" s="289" t="str">
        <f t="shared" si="909"/>
        <v>Vision One-Eleven🔑</v>
      </c>
      <c r="AS228" s="290" t="s">
        <v>1728</v>
      </c>
      <c r="AT228" s="291" t="s">
        <v>1735</v>
      </c>
      <c r="AU228" s="427" t="s">
        <v>703</v>
      </c>
      <c r="AZ228" s="292" t="s">
        <v>1101</v>
      </c>
      <c r="BA228" s="477">
        <v>156</v>
      </c>
      <c r="BB228" s="476">
        <v>2</v>
      </c>
      <c r="BC228" s="472">
        <v>0.77</v>
      </c>
      <c r="BD228" s="472">
        <v>3.1</v>
      </c>
      <c r="BE228" s="472">
        <v>2.72</v>
      </c>
      <c r="BF228" s="474">
        <f t="shared" ref="BF228" si="919">BA228+O228</f>
        <v>4756</v>
      </c>
      <c r="BG228" s="476">
        <f t="shared" ref="BG228" si="920">BB228+P228</f>
        <v>383</v>
      </c>
      <c r="BH228" s="480">
        <f t="shared" ref="BH228" si="921">BC228+Q228</f>
        <v>84.7</v>
      </c>
      <c r="BI228" s="480">
        <f t="shared" ref="BI228" si="922">BD228+R228</f>
        <v>79.449999999999989</v>
      </c>
      <c r="BJ228" s="480">
        <f t="shared" ref="BJ228" si="923">BE228+S228</f>
        <v>60.67</v>
      </c>
      <c r="BK228" s="473">
        <f t="shared" si="604"/>
        <v>2</v>
      </c>
      <c r="BL228" s="473">
        <f t="shared" si="605"/>
        <v>0.76999999999999602</v>
      </c>
      <c r="BM228" s="473">
        <f t="shared" si="606"/>
        <v>3.0999999999999943</v>
      </c>
      <c r="BN228" s="473">
        <f t="shared" si="607"/>
        <v>2.7199999999999989</v>
      </c>
      <c r="BO228" s="483">
        <v>10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1314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88" t="s">
        <v>132</v>
      </c>
      <c r="C229" s="389" t="s">
        <v>789</v>
      </c>
      <c r="D229" s="271" t="s">
        <v>42</v>
      </c>
      <c r="E229" s="272" t="s">
        <v>78</v>
      </c>
      <c r="F229" s="273">
        <f>9-LEN(E229)-LEN(SUBSTITUTE(E229,"★",""))</f>
        <v>4</v>
      </c>
      <c r="G229" s="274" t="s">
        <v>75</v>
      </c>
      <c r="H229" s="275">
        <v>40</v>
      </c>
      <c r="I229" s="275">
        <v>13</v>
      </c>
      <c r="J229" s="275">
        <v>16</v>
      </c>
      <c r="K229" s="275">
        <v>25</v>
      </c>
      <c r="L229" s="275">
        <v>39</v>
      </c>
      <c r="M229" s="275" t="s">
        <v>59</v>
      </c>
      <c r="N229" s="276">
        <f t="shared" si="613"/>
        <v>133</v>
      </c>
      <c r="O229" s="277">
        <v>3709</v>
      </c>
      <c r="P229" s="278">
        <v>363.9</v>
      </c>
      <c r="Q229" s="279">
        <v>80.48</v>
      </c>
      <c r="R229" s="279">
        <v>47.46</v>
      </c>
      <c r="S229" s="279">
        <v>70.31</v>
      </c>
      <c r="T229" s="279">
        <v>7.25</v>
      </c>
      <c r="U229" s="280">
        <v>4600</v>
      </c>
      <c r="V229" s="281">
        <f>VLOOKUP($U229,计算辅助页面!$Z$5:$AM$26,COLUMN()-20,0)</f>
        <v>7500</v>
      </c>
      <c r="W229" s="281">
        <f>VLOOKUP($U229,计算辅助页面!$Z$5:$AM$26,COLUMN()-20,0)</f>
        <v>12000</v>
      </c>
      <c r="X229" s="276">
        <f>VLOOKUP($U229,计算辅助页面!$Z$5:$AM$26,COLUMN()-20,0)</f>
        <v>18000</v>
      </c>
      <c r="Y229" s="276">
        <f>VLOOKUP($U229,计算辅助页面!$Z$5:$AM$26,COLUMN()-20,0)</f>
        <v>26000</v>
      </c>
      <c r="Z229" s="282">
        <f>VLOOKUP($U229,计算辅助页面!$Z$5:$AM$26,COLUMN()-20,0)</f>
        <v>36500</v>
      </c>
      <c r="AA229" s="276">
        <f>VLOOKUP($U229,计算辅助页面!$Z$5:$AM$26,COLUMN()-20,0)</f>
        <v>51000</v>
      </c>
      <c r="AB229" s="276">
        <f>VLOOKUP($U229,计算辅助页面!$Z$5:$AM$26,COLUMN()-20,0)</f>
        <v>71500</v>
      </c>
      <c r="AC229" s="276">
        <f>VLOOKUP($U229,计算辅助页面!$Z$5:$AM$26,COLUMN()-20,0)</f>
        <v>100000</v>
      </c>
      <c r="AD229" s="276">
        <f>VLOOKUP($U229,计算辅助页面!$Z$5:$AM$26,COLUMN()-20,0)</f>
        <v>140000</v>
      </c>
      <c r="AE229" s="276">
        <f>VLOOKUP($U229,计算辅助页面!$Z$5:$AM$26,COLUMN()-20,0)</f>
        <v>196000</v>
      </c>
      <c r="AF229" s="276">
        <f>VLOOKUP($U229,计算辅助页面!$Z$5:$AM$26,COLUMN()-20,0)</f>
        <v>274000</v>
      </c>
      <c r="AG229" s="276" t="str">
        <f>VLOOKUP($U229,计算辅助页面!$Z$5:$AM$26,COLUMN()-20,0)</f>
        <v>×</v>
      </c>
      <c r="AH229" s="273">
        <f>VLOOKUP($U229,计算辅助页面!$Z$5:$AM$26,COLUMN()-20,0)</f>
        <v>3748400</v>
      </c>
      <c r="AI229" s="283">
        <v>35000</v>
      </c>
      <c r="AJ229" s="284">
        <f>VLOOKUP(D229&amp;E229,计算辅助页面!$V$5:$Y$18,2,0)</f>
        <v>7</v>
      </c>
      <c r="AK229" s="285">
        <f t="shared" si="881"/>
        <v>70000</v>
      </c>
      <c r="AL229" s="285">
        <f>VLOOKUP(D229&amp;E229,计算辅助页面!$V$5:$Y$18,3,0)</f>
        <v>5</v>
      </c>
      <c r="AM229" s="286">
        <f t="shared" si="882"/>
        <v>210000</v>
      </c>
      <c r="AN229" s="286">
        <f>VLOOKUP(D229&amp;E229,计算辅助页面!$V$5:$Y$18,4,0)</f>
        <v>3</v>
      </c>
      <c r="AO229" s="273">
        <f t="shared" si="883"/>
        <v>4900000</v>
      </c>
      <c r="AP229" s="287">
        <f t="shared" si="712"/>
        <v>8648400</v>
      </c>
      <c r="AQ229" s="288" t="s">
        <v>565</v>
      </c>
      <c r="AR229" s="289" t="str">
        <f t="shared" si="909"/>
        <v>Centenario</v>
      </c>
      <c r="AS229" s="290" t="s">
        <v>596</v>
      </c>
      <c r="AT229" s="291" t="s">
        <v>653</v>
      </c>
      <c r="AU229" s="427" t="s">
        <v>703</v>
      </c>
      <c r="AV229" s="292">
        <v>11</v>
      </c>
      <c r="AW229" s="292">
        <v>378</v>
      </c>
      <c r="AY229" s="292">
        <v>502</v>
      </c>
      <c r="AZ229" s="292" t="s">
        <v>1400</v>
      </c>
      <c r="BA229" s="477">
        <v>110</v>
      </c>
      <c r="BB229" s="476">
        <v>1.5</v>
      </c>
      <c r="BC229" s="472">
        <v>0.62</v>
      </c>
      <c r="BD229" s="472">
        <v>0.89</v>
      </c>
      <c r="BE229" s="472">
        <v>0.92</v>
      </c>
      <c r="BF229" s="474">
        <f t="shared" ref="BF229:BF235" si="924">BA229+O229</f>
        <v>3819</v>
      </c>
      <c r="BG229" s="476">
        <f t="shared" ref="BG229" si="925">BB229+P229</f>
        <v>365.4</v>
      </c>
      <c r="BH229" s="480">
        <f t="shared" ref="BH229" si="926">BC229+Q229</f>
        <v>81.100000000000009</v>
      </c>
      <c r="BI229" s="480">
        <f t="shared" ref="BI229" si="927">BD229+R229</f>
        <v>48.35</v>
      </c>
      <c r="BJ229" s="480">
        <f t="shared" ref="BJ229" si="928">BE229+S229</f>
        <v>71.23</v>
      </c>
      <c r="BK229" s="473">
        <f t="shared" si="604"/>
        <v>1.5</v>
      </c>
      <c r="BL229" s="473">
        <f t="shared" si="605"/>
        <v>0.62000000000000455</v>
      </c>
      <c r="BM229" s="473">
        <f t="shared" si="606"/>
        <v>0.89000000000000057</v>
      </c>
      <c r="BN229" s="473">
        <f t="shared" si="607"/>
        <v>0.92000000000000171</v>
      </c>
      <c r="BO229" s="483">
        <v>9</v>
      </c>
      <c r="BP229" s="293">
        <v>1</v>
      </c>
      <c r="BQ229" s="293"/>
      <c r="BR229" s="293">
        <v>1</v>
      </c>
      <c r="BS229" s="293">
        <v>1</v>
      </c>
      <c r="BT229" s="293"/>
      <c r="BU229" s="293">
        <v>1</v>
      </c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>
        <v>1</v>
      </c>
      <c r="CJ229" s="294" t="s">
        <v>1505</v>
      </c>
      <c r="CK229" s="294"/>
      <c r="CL229" s="294"/>
      <c r="CM229" s="294"/>
      <c r="CN229" s="294"/>
      <c r="CO229" s="295"/>
      <c r="CP229" s="295"/>
      <c r="CQ229" s="295"/>
      <c r="CR229" s="296">
        <v>350</v>
      </c>
      <c r="CS229" s="297">
        <v>74.8</v>
      </c>
      <c r="CT229" s="297">
        <v>39.22</v>
      </c>
      <c r="CU229" s="297">
        <v>61.9</v>
      </c>
      <c r="CV229" s="297">
        <f t="shared" ref="CV229:CY233" si="929">P229-CR229</f>
        <v>13.899999999999977</v>
      </c>
      <c r="CW229" s="297">
        <f t="shared" si="929"/>
        <v>5.6800000000000068</v>
      </c>
      <c r="CX229" s="297">
        <f t="shared" si="929"/>
        <v>8.240000000000002</v>
      </c>
      <c r="CY229" s="297">
        <f t="shared" si="929"/>
        <v>8.4100000000000037</v>
      </c>
      <c r="CZ229" s="297">
        <f>SUM(CV229:CY229)</f>
        <v>36.22999999999999</v>
      </c>
      <c r="DA229" s="297">
        <f>0.32*(P229-CR229)+1.75*(Q229-CS229)+1.13*(R229-CT229)+1.28*(S229-CU229)</f>
        <v>34.464000000000013</v>
      </c>
      <c r="DB229" s="295" t="s">
        <v>1777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00" t="s">
        <v>134</v>
      </c>
      <c r="C230" s="301" t="s">
        <v>790</v>
      </c>
      <c r="D230" s="302" t="s">
        <v>42</v>
      </c>
      <c r="E230" s="303" t="s">
        <v>78</v>
      </c>
      <c r="F230" s="304">
        <f>9-LEN(E230)-LEN(SUBSTITUTE(E230,"★",""))</f>
        <v>4</v>
      </c>
      <c r="G230" s="305" t="s">
        <v>75</v>
      </c>
      <c r="H230" s="306">
        <v>40</v>
      </c>
      <c r="I230" s="306">
        <v>13</v>
      </c>
      <c r="J230" s="306">
        <v>16</v>
      </c>
      <c r="K230" s="306">
        <v>25</v>
      </c>
      <c r="L230" s="306">
        <v>39</v>
      </c>
      <c r="M230" s="306" t="s">
        <v>59</v>
      </c>
      <c r="N230" s="307">
        <f t="shared" si="613"/>
        <v>133</v>
      </c>
      <c r="O230" s="308">
        <v>3832</v>
      </c>
      <c r="P230" s="309">
        <v>363.1</v>
      </c>
      <c r="Q230" s="310">
        <v>83.9</v>
      </c>
      <c r="R230" s="310">
        <v>43.75</v>
      </c>
      <c r="S230" s="310">
        <v>72.39</v>
      </c>
      <c r="T230" s="310">
        <v>7.6670000000000007</v>
      </c>
      <c r="U230" s="311">
        <v>4600</v>
      </c>
      <c r="V230" s="312">
        <f>VLOOKUP($U230,计算辅助页面!$Z$5:$AM$26,COLUMN()-20,0)</f>
        <v>7500</v>
      </c>
      <c r="W230" s="312">
        <f>VLOOKUP($U230,计算辅助页面!$Z$5:$AM$26,COLUMN()-20,0)</f>
        <v>12000</v>
      </c>
      <c r="X230" s="307">
        <f>VLOOKUP($U230,计算辅助页面!$Z$5:$AM$26,COLUMN()-20,0)</f>
        <v>18000</v>
      </c>
      <c r="Y230" s="307">
        <f>VLOOKUP($U230,计算辅助页面!$Z$5:$AM$26,COLUMN()-20,0)</f>
        <v>26000</v>
      </c>
      <c r="Z230" s="313">
        <f>VLOOKUP($U230,计算辅助页面!$Z$5:$AM$26,COLUMN()-20,0)</f>
        <v>36500</v>
      </c>
      <c r="AA230" s="307">
        <f>VLOOKUP($U230,计算辅助页面!$Z$5:$AM$26,COLUMN()-20,0)</f>
        <v>51000</v>
      </c>
      <c r="AB230" s="307">
        <f>VLOOKUP($U230,计算辅助页面!$Z$5:$AM$26,COLUMN()-20,0)</f>
        <v>71500</v>
      </c>
      <c r="AC230" s="307">
        <f>VLOOKUP($U230,计算辅助页面!$Z$5:$AM$26,COLUMN()-20,0)</f>
        <v>100000</v>
      </c>
      <c r="AD230" s="307">
        <f>VLOOKUP($U230,计算辅助页面!$Z$5:$AM$26,COLUMN()-20,0)</f>
        <v>140000</v>
      </c>
      <c r="AE230" s="307">
        <f>VLOOKUP($U230,计算辅助页面!$Z$5:$AM$26,COLUMN()-20,0)</f>
        <v>196000</v>
      </c>
      <c r="AF230" s="307">
        <f>VLOOKUP($U230,计算辅助页面!$Z$5:$AM$26,COLUMN()-20,0)</f>
        <v>274000</v>
      </c>
      <c r="AG230" s="307" t="str">
        <f>VLOOKUP($U230,计算辅助页面!$Z$5:$AM$26,COLUMN()-20,0)</f>
        <v>×</v>
      </c>
      <c r="AH230" s="304">
        <f>VLOOKUP($U230,计算辅助页面!$Z$5:$AM$26,COLUMN()-20,0)</f>
        <v>3748400</v>
      </c>
      <c r="AI230" s="314">
        <v>35000</v>
      </c>
      <c r="AJ230" s="315">
        <f>VLOOKUP(D230&amp;E230,计算辅助页面!$V$5:$Y$18,2,0)</f>
        <v>7</v>
      </c>
      <c r="AK230" s="316">
        <f t="shared" si="881"/>
        <v>70000</v>
      </c>
      <c r="AL230" s="316">
        <f>VLOOKUP(D230&amp;E230,计算辅助页面!$V$5:$Y$18,3,0)</f>
        <v>5</v>
      </c>
      <c r="AM230" s="317">
        <f t="shared" si="882"/>
        <v>210000</v>
      </c>
      <c r="AN230" s="317">
        <f>VLOOKUP(D230&amp;E230,计算辅助页面!$V$5:$Y$18,4,0)</f>
        <v>3</v>
      </c>
      <c r="AO230" s="304">
        <f t="shared" si="883"/>
        <v>4900000</v>
      </c>
      <c r="AP230" s="318">
        <f t="shared" si="712"/>
        <v>8648400</v>
      </c>
      <c r="AQ230" s="288" t="s">
        <v>567</v>
      </c>
      <c r="AR230" s="289" t="str">
        <f t="shared" si="909"/>
        <v>FXX K</v>
      </c>
      <c r="AS230" s="290" t="s">
        <v>596</v>
      </c>
      <c r="AT230" s="291" t="s">
        <v>651</v>
      </c>
      <c r="AU230" s="427" t="s">
        <v>703</v>
      </c>
      <c r="AV230" s="292">
        <v>12</v>
      </c>
      <c r="AW230" s="292">
        <v>378</v>
      </c>
      <c r="AY230" s="292">
        <v>501</v>
      </c>
      <c r="AZ230" s="292" t="s">
        <v>1400</v>
      </c>
      <c r="BA230" s="481">
        <v>112</v>
      </c>
      <c r="BB230" s="476">
        <v>1.4</v>
      </c>
      <c r="BC230" s="472">
        <v>0.8</v>
      </c>
      <c r="BD230" s="472">
        <v>0.56999999999999995</v>
      </c>
      <c r="BE230" s="472">
        <v>0.81</v>
      </c>
      <c r="BF230" s="474">
        <f t="shared" si="924"/>
        <v>3944</v>
      </c>
      <c r="BG230" s="476">
        <f t="shared" ref="BG230" si="930">BB230+P230</f>
        <v>364.5</v>
      </c>
      <c r="BH230" s="480">
        <f t="shared" ref="BH230" si="931">BC230+Q230</f>
        <v>84.7</v>
      </c>
      <c r="BI230" s="480">
        <f t="shared" ref="BI230" si="932">BD230+R230</f>
        <v>44.32</v>
      </c>
      <c r="BJ230" s="480">
        <f t="shared" ref="BJ230" si="933">BE230+S230</f>
        <v>73.2</v>
      </c>
      <c r="BK230" s="473">
        <f t="shared" si="604"/>
        <v>1.3999999999999773</v>
      </c>
      <c r="BL230" s="473">
        <f t="shared" si="605"/>
        <v>0.79999999999999716</v>
      </c>
      <c r="BM230" s="473">
        <f t="shared" si="606"/>
        <v>0.57000000000000028</v>
      </c>
      <c r="BN230" s="473">
        <f t="shared" si="607"/>
        <v>0.81000000000000227</v>
      </c>
      <c r="BO230" s="483">
        <v>1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1506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76.599999999999994</v>
      </c>
      <c r="CT230" s="297">
        <v>38.450000000000003</v>
      </c>
      <c r="CU230" s="297">
        <v>64.959999999999994</v>
      </c>
      <c r="CV230" s="297">
        <f t="shared" si="929"/>
        <v>13.100000000000023</v>
      </c>
      <c r="CW230" s="297">
        <f t="shared" si="929"/>
        <v>7.3000000000000114</v>
      </c>
      <c r="CX230" s="297">
        <f t="shared" si="929"/>
        <v>5.2999999999999972</v>
      </c>
      <c r="CY230" s="297">
        <f t="shared" si="929"/>
        <v>7.4300000000000068</v>
      </c>
      <c r="CZ230" s="297">
        <f>SUM(CV230:CY230)</f>
        <v>33.130000000000038</v>
      </c>
      <c r="DA230" s="297">
        <f>0.32*(P230-CR230)+1.75*(Q230-CS230)+1.13*(R230-CT230)+1.28*(S230-CU230)</f>
        <v>32.466400000000036</v>
      </c>
      <c r="DB230" s="295" t="s">
        <v>1777</v>
      </c>
      <c r="DC230" s="295">
        <v>1</v>
      </c>
      <c r="DD230" s="295"/>
      <c r="DE230" s="295"/>
    </row>
    <row r="231" spans="1:109" ht="21" customHeight="1" thickBot="1">
      <c r="A231" s="268">
        <v>229</v>
      </c>
      <c r="B231" s="319" t="s">
        <v>1715</v>
      </c>
      <c r="C231" s="301" t="s">
        <v>1687</v>
      </c>
      <c r="D231" s="302" t="s">
        <v>42</v>
      </c>
      <c r="E231" s="303" t="s">
        <v>78</v>
      </c>
      <c r="F231" s="327"/>
      <c r="G231" s="328"/>
      <c r="H231" s="434" t="s">
        <v>407</v>
      </c>
      <c r="I231" s="320">
        <v>35</v>
      </c>
      <c r="J231" s="320">
        <v>36</v>
      </c>
      <c r="K231" s="320">
        <v>46</v>
      </c>
      <c r="L231" s="320">
        <v>85</v>
      </c>
      <c r="M231" s="306" t="s">
        <v>59</v>
      </c>
      <c r="N231" s="307">
        <f t="shared" si="613"/>
        <v>202</v>
      </c>
      <c r="O231" s="321">
        <v>3894</v>
      </c>
      <c r="P231" s="322">
        <v>366.9</v>
      </c>
      <c r="Q231" s="323">
        <v>78.86</v>
      </c>
      <c r="R231" s="323">
        <v>47.25</v>
      </c>
      <c r="S231" s="323">
        <v>68.87</v>
      </c>
      <c r="T231" s="323"/>
      <c r="U231" s="324"/>
      <c r="V231" s="325"/>
      <c r="W231" s="325"/>
      <c r="X231" s="333"/>
      <c r="Y231" s="333"/>
      <c r="Z231" s="420"/>
      <c r="AA231" s="333"/>
      <c r="AB231" s="333"/>
      <c r="AC231" s="333"/>
      <c r="AD231" s="333"/>
      <c r="AE231" s="333"/>
      <c r="AF231" s="333"/>
      <c r="AG231" s="333"/>
      <c r="AH231" s="327"/>
      <c r="AI231" s="326"/>
      <c r="AJ231" s="429"/>
      <c r="AK231" s="336"/>
      <c r="AL231" s="336"/>
      <c r="AM231" s="337"/>
      <c r="AN231" s="337"/>
      <c r="AO231" s="327"/>
      <c r="AP231" s="318"/>
      <c r="AQ231" s="288" t="s">
        <v>565</v>
      </c>
      <c r="AR231" s="289" t="str">
        <f t="shared" si="909"/>
        <v>Autentica🔑</v>
      </c>
      <c r="AS231" s="290" t="s">
        <v>1718</v>
      </c>
      <c r="AT231" s="291" t="s">
        <v>1688</v>
      </c>
      <c r="AU231" s="427" t="s">
        <v>703</v>
      </c>
      <c r="AZ231" s="292" t="s">
        <v>1695</v>
      </c>
      <c r="BA231" s="481">
        <v>113</v>
      </c>
      <c r="BB231" s="476">
        <v>1.3</v>
      </c>
      <c r="BC231" s="472">
        <v>0.44</v>
      </c>
      <c r="BD231" s="472">
        <v>0.57999999999999996</v>
      </c>
      <c r="BE231" s="472">
        <v>1.7</v>
      </c>
      <c r="BF231" s="474">
        <f t="shared" si="924"/>
        <v>4007</v>
      </c>
      <c r="BG231" s="476">
        <f t="shared" ref="BG231" si="934">BB231+P231</f>
        <v>368.2</v>
      </c>
      <c r="BH231" s="480">
        <f t="shared" ref="BH231" si="935">BC231+Q231</f>
        <v>79.3</v>
      </c>
      <c r="BI231" s="480">
        <f t="shared" ref="BI231" si="936">BD231+R231</f>
        <v>47.83</v>
      </c>
      <c r="BJ231" s="480">
        <f t="shared" ref="BJ231" si="937">BE231+S231</f>
        <v>70.570000000000007</v>
      </c>
      <c r="BK231" s="473">
        <f t="shared" ref="BK231" si="938">IF(BG231="", "", BG231-P231)</f>
        <v>1.3000000000000114</v>
      </c>
      <c r="BL231" s="473">
        <f t="shared" ref="BL231" si="939">IF(BH231="", "", BH231-Q231)</f>
        <v>0.43999999999999773</v>
      </c>
      <c r="BM231" s="473">
        <f t="shared" ref="BM231" si="940">IF(BI231="", "", BI231-R231)</f>
        <v>0.57999999999999829</v>
      </c>
      <c r="BN231" s="473">
        <f t="shared" ref="BN231" si="941">IF(BJ231="", "", BJ231-S231)</f>
        <v>1.7000000000000028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>
        <v>1</v>
      </c>
      <c r="CB231" s="293"/>
      <c r="CC231" s="293">
        <v>1</v>
      </c>
      <c r="CD231" s="293"/>
      <c r="CE231" s="293"/>
      <c r="CF231" s="293"/>
      <c r="CG231" s="293"/>
      <c r="CH231" s="293"/>
      <c r="CI231" s="293"/>
      <c r="CJ231" s="294" t="s">
        <v>1703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Top="1" thickBot="1">
      <c r="A232" s="299">
        <v>230</v>
      </c>
      <c r="B232" s="300" t="s">
        <v>136</v>
      </c>
      <c r="C232" s="301" t="s">
        <v>791</v>
      </c>
      <c r="D232" s="302" t="s">
        <v>42</v>
      </c>
      <c r="E232" s="303" t="s">
        <v>78</v>
      </c>
      <c r="F232" s="304">
        <f>9-LEN(E232)-LEN(SUBSTITUTE(E232,"★",""))</f>
        <v>4</v>
      </c>
      <c r="G232" s="305" t="s">
        <v>74</v>
      </c>
      <c r="H232" s="306">
        <v>40</v>
      </c>
      <c r="I232" s="306">
        <v>13</v>
      </c>
      <c r="J232" s="306">
        <v>16</v>
      </c>
      <c r="K232" s="306">
        <v>25</v>
      </c>
      <c r="L232" s="306">
        <v>39</v>
      </c>
      <c r="M232" s="306" t="s">
        <v>59</v>
      </c>
      <c r="N232" s="307">
        <f t="shared" si="613"/>
        <v>133</v>
      </c>
      <c r="O232" s="308">
        <v>3957</v>
      </c>
      <c r="P232" s="309">
        <v>381.7</v>
      </c>
      <c r="Q232" s="310">
        <v>81.38</v>
      </c>
      <c r="R232" s="310">
        <v>43.38</v>
      </c>
      <c r="S232" s="310">
        <v>65.89</v>
      </c>
      <c r="T232" s="310">
        <v>6.3</v>
      </c>
      <c r="U232" s="311">
        <v>4600</v>
      </c>
      <c r="V232" s="312">
        <f>VLOOKUP($U232,计算辅助页面!$Z$5:$AM$26,COLUMN()-20,0)</f>
        <v>7500</v>
      </c>
      <c r="W232" s="312">
        <f>VLOOKUP($U232,计算辅助页面!$Z$5:$AM$26,COLUMN()-20,0)</f>
        <v>12000</v>
      </c>
      <c r="X232" s="307">
        <f>VLOOKUP($U232,计算辅助页面!$Z$5:$AM$26,COLUMN()-20,0)</f>
        <v>18000</v>
      </c>
      <c r="Y232" s="307">
        <f>VLOOKUP($U232,计算辅助页面!$Z$5:$AM$26,COLUMN()-20,0)</f>
        <v>26000</v>
      </c>
      <c r="Z232" s="313">
        <f>VLOOKUP($U232,计算辅助页面!$Z$5:$AM$26,COLUMN()-20,0)</f>
        <v>36500</v>
      </c>
      <c r="AA232" s="307">
        <f>VLOOKUP($U232,计算辅助页面!$Z$5:$AM$26,COLUMN()-20,0)</f>
        <v>51000</v>
      </c>
      <c r="AB232" s="307">
        <f>VLOOKUP($U232,计算辅助页面!$Z$5:$AM$26,COLUMN()-20,0)</f>
        <v>71500</v>
      </c>
      <c r="AC232" s="307">
        <f>VLOOKUP($U232,计算辅助页面!$Z$5:$AM$26,COLUMN()-20,0)</f>
        <v>100000</v>
      </c>
      <c r="AD232" s="307">
        <f>VLOOKUP($U232,计算辅助页面!$Z$5:$AM$26,COLUMN()-20,0)</f>
        <v>140000</v>
      </c>
      <c r="AE232" s="307">
        <f>VLOOKUP($U232,计算辅助页面!$Z$5:$AM$26,COLUMN()-20,0)</f>
        <v>196000</v>
      </c>
      <c r="AF232" s="307">
        <f>VLOOKUP($U232,计算辅助页面!$Z$5:$AM$26,COLUMN()-20,0)</f>
        <v>274000</v>
      </c>
      <c r="AG232" s="307" t="str">
        <f>VLOOKUP($U232,计算辅助页面!$Z$5:$AM$26,COLUMN()-20,0)</f>
        <v>×</v>
      </c>
      <c r="AH232" s="304">
        <f>VLOOKUP($U232,计算辅助页面!$Z$5:$AM$26,COLUMN()-20,0)</f>
        <v>3748400</v>
      </c>
      <c r="AI232" s="314">
        <v>35000</v>
      </c>
      <c r="AJ232" s="315">
        <f>VLOOKUP(D232&amp;E232,计算辅助页面!$V$5:$Y$18,2,0)</f>
        <v>7</v>
      </c>
      <c r="AK232" s="316">
        <f t="shared" si="881"/>
        <v>70000</v>
      </c>
      <c r="AL232" s="316">
        <f>VLOOKUP(D232&amp;E232,计算辅助页面!$V$5:$Y$18,3,0)</f>
        <v>5</v>
      </c>
      <c r="AM232" s="317">
        <f t="shared" si="882"/>
        <v>210000</v>
      </c>
      <c r="AN232" s="317">
        <f>VLOOKUP(D232&amp;E232,计算辅助页面!$V$5:$Y$18,4,0)</f>
        <v>3</v>
      </c>
      <c r="AO232" s="304">
        <f t="shared" si="883"/>
        <v>4900000</v>
      </c>
      <c r="AP232" s="318">
        <f t="shared" si="712"/>
        <v>8648400</v>
      </c>
      <c r="AQ232" s="288" t="s">
        <v>997</v>
      </c>
      <c r="AR232" s="289" t="str">
        <f t="shared" si="909"/>
        <v>Vulcano Titanium</v>
      </c>
      <c r="AS232" s="290" t="s">
        <v>596</v>
      </c>
      <c r="AT232" s="291" t="s">
        <v>671</v>
      </c>
      <c r="AU232" s="427" t="s">
        <v>703</v>
      </c>
      <c r="AV232" s="292">
        <v>13</v>
      </c>
      <c r="AW232" s="292">
        <v>397</v>
      </c>
      <c r="AY232" s="292">
        <v>533</v>
      </c>
      <c r="AZ232" s="292" t="s">
        <v>1400</v>
      </c>
      <c r="BA232" s="477">
        <v>114</v>
      </c>
      <c r="BB232" s="476">
        <v>1.3</v>
      </c>
      <c r="BC232" s="472">
        <v>0.62</v>
      </c>
      <c r="BD232" s="472">
        <v>0.88</v>
      </c>
      <c r="BE232" s="472">
        <v>1.31</v>
      </c>
      <c r="BF232" s="474">
        <f t="shared" si="924"/>
        <v>4071</v>
      </c>
      <c r="BG232" s="476">
        <f t="shared" ref="BG232" si="942">BB232+P232</f>
        <v>383</v>
      </c>
      <c r="BH232" s="480">
        <f t="shared" ref="BH232" si="943">BC232+Q232</f>
        <v>82</v>
      </c>
      <c r="BI232" s="480">
        <f t="shared" ref="BI232" si="944">BD232+R232</f>
        <v>44.260000000000005</v>
      </c>
      <c r="BJ232" s="480">
        <f t="shared" ref="BJ232" si="945">BE232+S232</f>
        <v>67.2</v>
      </c>
      <c r="BK232" s="473">
        <f t="shared" si="604"/>
        <v>1.3000000000000114</v>
      </c>
      <c r="BL232" s="473">
        <f t="shared" si="605"/>
        <v>0.62000000000000455</v>
      </c>
      <c r="BM232" s="473">
        <f t="shared" si="606"/>
        <v>0.88000000000000256</v>
      </c>
      <c r="BN232" s="473">
        <f t="shared" si="607"/>
        <v>1.3100000000000023</v>
      </c>
      <c r="BO232" s="483">
        <v>4</v>
      </c>
      <c r="BP232" s="293"/>
      <c r="BQ232" s="293"/>
      <c r="BR232" s="293">
        <v>1</v>
      </c>
      <c r="BS232" s="293">
        <v>1</v>
      </c>
      <c r="BT232" s="293"/>
      <c r="BU232" s="293">
        <v>1</v>
      </c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>
        <v>1</v>
      </c>
      <c r="CG232" s="293"/>
      <c r="CH232" s="293"/>
      <c r="CI232" s="293">
        <v>1</v>
      </c>
      <c r="CJ232" s="294" t="s">
        <v>137</v>
      </c>
      <c r="CK232" s="294"/>
      <c r="CL232" s="294"/>
      <c r="CM232" s="294"/>
      <c r="CN232" s="294"/>
      <c r="CO232" s="295"/>
      <c r="CP232" s="295"/>
      <c r="CQ232" s="295"/>
      <c r="CR232" s="296">
        <v>370</v>
      </c>
      <c r="CS232" s="297">
        <v>75.7</v>
      </c>
      <c r="CT232" s="297">
        <v>35.26</v>
      </c>
      <c r="CU232" s="297">
        <v>53.84</v>
      </c>
      <c r="CV232" s="297">
        <f t="shared" si="929"/>
        <v>11.699999999999989</v>
      </c>
      <c r="CW232" s="297">
        <f t="shared" si="929"/>
        <v>5.6799999999999926</v>
      </c>
      <c r="CX232" s="297">
        <f t="shared" si="929"/>
        <v>8.1200000000000045</v>
      </c>
      <c r="CY232" s="297">
        <f t="shared" si="929"/>
        <v>12.049999999999997</v>
      </c>
      <c r="CZ232" s="297">
        <f>SUM(CV232:CY232)</f>
        <v>37.549999999999983</v>
      </c>
      <c r="DA232" s="297">
        <f>0.32*(P232-CR232)+1.75*(Q232-CS232)+1.13*(R232-CT232)+1.28*(S232-CU232)</f>
        <v>38.283599999999979</v>
      </c>
      <c r="DB232" s="295" t="s">
        <v>1779</v>
      </c>
      <c r="DC232" s="295">
        <v>4</v>
      </c>
      <c r="DD232" s="295"/>
      <c r="DE232" s="295"/>
    </row>
    <row r="233" spans="1:109" ht="21" customHeight="1">
      <c r="A233" s="268">
        <v>231</v>
      </c>
      <c r="B233" s="300" t="s">
        <v>138</v>
      </c>
      <c r="C233" s="301" t="s">
        <v>792</v>
      </c>
      <c r="D233" s="302" t="s">
        <v>42</v>
      </c>
      <c r="E233" s="303" t="s">
        <v>171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13"/>
        <v>133</v>
      </c>
      <c r="O233" s="308">
        <v>4083</v>
      </c>
      <c r="P233" s="309">
        <v>407.5</v>
      </c>
      <c r="Q233" s="310">
        <v>80.48</v>
      </c>
      <c r="R233" s="310">
        <v>40.97</v>
      </c>
      <c r="S233" s="310">
        <v>58.26</v>
      </c>
      <c r="T233" s="310">
        <v>5.25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881"/>
        <v>70000</v>
      </c>
      <c r="AL233" s="316">
        <f>VLOOKUP(D233&amp;E233,计算辅助页面!$V$5:$Y$18,3,0)</f>
        <v>5</v>
      </c>
      <c r="AM233" s="317">
        <f t="shared" si="882"/>
        <v>210000</v>
      </c>
      <c r="AN233" s="317">
        <f>VLOOKUP(D233&amp;E233,计算辅助页面!$V$5:$Y$18,4,0)</f>
        <v>3</v>
      </c>
      <c r="AO233" s="304">
        <f t="shared" si="883"/>
        <v>4900000</v>
      </c>
      <c r="AP233" s="318">
        <f t="shared" si="712"/>
        <v>8648400</v>
      </c>
      <c r="AQ233" s="288" t="s">
        <v>569</v>
      </c>
      <c r="AR233" s="289" t="str">
        <f t="shared" si="909"/>
        <v>Lykan HyperSport</v>
      </c>
      <c r="AS233" s="290" t="s">
        <v>596</v>
      </c>
      <c r="AT233" s="291" t="s">
        <v>673</v>
      </c>
      <c r="AU233" s="427" t="s">
        <v>703</v>
      </c>
      <c r="AV233" s="292">
        <v>16</v>
      </c>
      <c r="AW233" s="292">
        <v>425</v>
      </c>
      <c r="AY233" s="292">
        <v>560</v>
      </c>
      <c r="AZ233" s="292" t="s">
        <v>1400</v>
      </c>
      <c r="BA233" s="481">
        <v>117</v>
      </c>
      <c r="BB233" s="476">
        <v>1.4</v>
      </c>
      <c r="BC233" s="472">
        <v>0.62</v>
      </c>
      <c r="BD233" s="472">
        <v>0.43</v>
      </c>
      <c r="BE233" s="472">
        <v>2.0099999999999998</v>
      </c>
      <c r="BF233" s="474">
        <f t="shared" si="924"/>
        <v>4200</v>
      </c>
      <c r="BG233" s="476">
        <f t="shared" ref="BG233" si="946">BB233+P233</f>
        <v>408.9</v>
      </c>
      <c r="BH233" s="480">
        <f t="shared" ref="BH233" si="947">BC233+Q233</f>
        <v>81.100000000000009</v>
      </c>
      <c r="BI233" s="480">
        <f t="shared" ref="BI233" si="948">BD233+R233</f>
        <v>41.4</v>
      </c>
      <c r="BJ233" s="480">
        <f t="shared" ref="BJ233" si="949">BE233+S233</f>
        <v>60.269999999999996</v>
      </c>
      <c r="BK233" s="473">
        <f t="shared" si="604"/>
        <v>1.3999999999999773</v>
      </c>
      <c r="BL233" s="473">
        <f t="shared" si="605"/>
        <v>0.62000000000000455</v>
      </c>
      <c r="BM233" s="473">
        <f t="shared" si="606"/>
        <v>0.42999999999999972</v>
      </c>
      <c r="BN233" s="473">
        <f t="shared" si="607"/>
        <v>2.009999999999998</v>
      </c>
      <c r="BO233" s="483">
        <v>1</v>
      </c>
      <c r="BP233" s="293"/>
      <c r="BQ233" s="293"/>
      <c r="BR233" s="293">
        <v>1</v>
      </c>
      <c r="BS233" s="293">
        <v>1</v>
      </c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>
        <v>1</v>
      </c>
      <c r="CJ233" s="294" t="s">
        <v>1507</v>
      </c>
      <c r="CK233" s="294"/>
      <c r="CL233" s="294"/>
      <c r="CM233" s="294"/>
      <c r="CN233" s="294"/>
      <c r="CO233" s="295"/>
      <c r="CP233" s="295"/>
      <c r="CQ233" s="295"/>
      <c r="CR233" s="296">
        <v>395</v>
      </c>
      <c r="CS233" s="297">
        <v>74.8</v>
      </c>
      <c r="CT233" s="297">
        <v>37</v>
      </c>
      <c r="CU233" s="297">
        <v>39.79</v>
      </c>
      <c r="CV233" s="297">
        <f t="shared" si="929"/>
        <v>12.5</v>
      </c>
      <c r="CW233" s="297">
        <f t="shared" si="929"/>
        <v>5.6800000000000068</v>
      </c>
      <c r="CX233" s="297">
        <f t="shared" si="929"/>
        <v>3.9699999999999989</v>
      </c>
      <c r="CY233" s="297">
        <f t="shared" si="929"/>
        <v>18.47</v>
      </c>
      <c r="CZ233" s="297">
        <f>SUM(CV233:CY233)</f>
        <v>40.620000000000005</v>
      </c>
      <c r="DA233" s="297">
        <f>0.32*(P233-CR233)+1.75*(Q233-CS233)+1.13*(R233-CT233)+1.28*(S233-CU233)</f>
        <v>42.067700000000016</v>
      </c>
      <c r="DB233" s="295" t="s">
        <v>1779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1508</v>
      </c>
      <c r="C234" s="301" t="s">
        <v>1039</v>
      </c>
      <c r="D234" s="302" t="s">
        <v>42</v>
      </c>
      <c r="E234" s="303" t="s">
        <v>79</v>
      </c>
      <c r="F234" s="327"/>
      <c r="G234" s="328"/>
      <c r="H234" s="358" t="s">
        <v>407</v>
      </c>
      <c r="I234" s="320">
        <v>40</v>
      </c>
      <c r="J234" s="320">
        <v>45</v>
      </c>
      <c r="K234" s="320">
        <v>60</v>
      </c>
      <c r="L234" s="320">
        <v>70</v>
      </c>
      <c r="M234" s="320">
        <v>85</v>
      </c>
      <c r="N234" s="343">
        <f t="shared" si="613"/>
        <v>300</v>
      </c>
      <c r="O234" s="321">
        <v>4109</v>
      </c>
      <c r="P234" s="322">
        <v>400.3</v>
      </c>
      <c r="Q234" s="323">
        <v>77.91</v>
      </c>
      <c r="R234" s="323">
        <v>53.44</v>
      </c>
      <c r="S234" s="323">
        <v>59.94</v>
      </c>
      <c r="T234" s="323">
        <v>5.4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45000</v>
      </c>
      <c r="AJ234" s="315">
        <f>VLOOKUP(D234&amp;E234,计算辅助页面!$V$5:$Y$18,2,0)</f>
        <v>7</v>
      </c>
      <c r="AK234" s="316">
        <f t="shared" si="881"/>
        <v>90000</v>
      </c>
      <c r="AL234" s="316">
        <f>VLOOKUP(D234&amp;E234,计算辅助页面!$V$5:$Y$18,3,0)</f>
        <v>5</v>
      </c>
      <c r="AM234" s="317">
        <f t="shared" si="882"/>
        <v>270000</v>
      </c>
      <c r="AN234" s="317">
        <f>VLOOKUP(D234&amp;E234,计算辅助页面!$V$5:$Y$18,4,0)</f>
        <v>4</v>
      </c>
      <c r="AO234" s="304">
        <f t="shared" si="883"/>
        <v>7380000</v>
      </c>
      <c r="AP234" s="318">
        <f t="shared" si="712"/>
        <v>35106000</v>
      </c>
      <c r="AQ234" s="288" t="s">
        <v>1040</v>
      </c>
      <c r="AR234" s="289" t="str">
        <f t="shared" si="909"/>
        <v>Tachyon Speed🔑</v>
      </c>
      <c r="AS234" s="290" t="s">
        <v>1030</v>
      </c>
      <c r="AT234" s="291" t="s">
        <v>1041</v>
      </c>
      <c r="AU234" s="427" t="s">
        <v>703</v>
      </c>
      <c r="AW234" s="292">
        <v>416</v>
      </c>
      <c r="AY234" s="292">
        <v>555</v>
      </c>
      <c r="AZ234" s="292" t="s">
        <v>1065</v>
      </c>
      <c r="BA234" s="481">
        <v>117</v>
      </c>
      <c r="BB234" s="476">
        <v>1.2</v>
      </c>
      <c r="BC234" s="472">
        <v>0.49</v>
      </c>
      <c r="BD234" s="472">
        <v>0.94</v>
      </c>
      <c r="BE234" s="472">
        <v>1.77</v>
      </c>
      <c r="BF234" s="474">
        <f t="shared" si="924"/>
        <v>4226</v>
      </c>
      <c r="BG234" s="476">
        <f t="shared" ref="BG234:BG235" si="950">BB234+P234</f>
        <v>401.5</v>
      </c>
      <c r="BH234" s="480">
        <f t="shared" ref="BH234:BH235" si="951">BC234+Q234</f>
        <v>78.399999999999991</v>
      </c>
      <c r="BI234" s="480">
        <f t="shared" ref="BI234:BI235" si="952">BD234+R234</f>
        <v>54.379999999999995</v>
      </c>
      <c r="BJ234" s="480">
        <f t="shared" ref="BJ234:BJ235" si="953">BE234+S234</f>
        <v>61.71</v>
      </c>
      <c r="BK234" s="473">
        <f t="shared" si="604"/>
        <v>1.1999999999999886</v>
      </c>
      <c r="BL234" s="473">
        <f t="shared" si="605"/>
        <v>0.48999999999999488</v>
      </c>
      <c r="BM234" s="473">
        <f t="shared" si="606"/>
        <v>0.93999999999999773</v>
      </c>
      <c r="BN234" s="473">
        <f t="shared" si="607"/>
        <v>1.7700000000000031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>
        <v>1</v>
      </c>
      <c r="CB234" s="293"/>
      <c r="CC234" s="293">
        <v>1</v>
      </c>
      <c r="CD234" s="293">
        <v>1</v>
      </c>
      <c r="CE234" s="293"/>
      <c r="CF234" s="293"/>
      <c r="CG234" s="293"/>
      <c r="CH234" s="293"/>
      <c r="CI234" s="293"/>
      <c r="CJ234" s="294" t="s">
        <v>1039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1779</v>
      </c>
      <c r="DC234" s="295">
        <v>2</v>
      </c>
      <c r="DD234" s="295"/>
      <c r="DE234" s="295"/>
    </row>
    <row r="235" spans="1:109" ht="21" customHeight="1">
      <c r="A235" s="268">
        <v>233</v>
      </c>
      <c r="B235" s="319" t="s">
        <v>504</v>
      </c>
      <c r="C235" s="301" t="s">
        <v>793</v>
      </c>
      <c r="D235" s="302" t="s">
        <v>42</v>
      </c>
      <c r="E235" s="303" t="s">
        <v>79</v>
      </c>
      <c r="F235" s="304">
        <f>9-LEN(E235)-LEN(SUBSTITUTE(E235,"★",""))</f>
        <v>3</v>
      </c>
      <c r="G235" s="305" t="s">
        <v>77</v>
      </c>
      <c r="H235" s="306">
        <v>60</v>
      </c>
      <c r="I235" s="306">
        <v>13</v>
      </c>
      <c r="J235" s="306">
        <v>16</v>
      </c>
      <c r="K235" s="306">
        <v>25</v>
      </c>
      <c r="L235" s="306">
        <v>38</v>
      </c>
      <c r="M235" s="306">
        <v>48</v>
      </c>
      <c r="N235" s="307">
        <f t="shared" si="613"/>
        <v>200</v>
      </c>
      <c r="O235" s="321">
        <v>4148</v>
      </c>
      <c r="P235" s="322">
        <v>370.2</v>
      </c>
      <c r="Q235" s="323">
        <v>81.2</v>
      </c>
      <c r="R235" s="323">
        <v>62.39</v>
      </c>
      <c r="S235" s="323">
        <v>78.790000000000006</v>
      </c>
      <c r="T235" s="323">
        <v>8.82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881"/>
        <v>90000</v>
      </c>
      <c r="AL235" s="316">
        <f>VLOOKUP(D235&amp;E235,计算辅助页面!$V$5:$Y$18,3,0)</f>
        <v>5</v>
      </c>
      <c r="AM235" s="317">
        <f t="shared" si="882"/>
        <v>270000</v>
      </c>
      <c r="AN235" s="317">
        <f>VLOOKUP(D235&amp;E235,计算辅助页面!$V$5:$Y$18,4,0)</f>
        <v>4</v>
      </c>
      <c r="AO235" s="304">
        <f t="shared" si="883"/>
        <v>7380000</v>
      </c>
      <c r="AP235" s="318">
        <f t="shared" si="712"/>
        <v>35106000</v>
      </c>
      <c r="AQ235" s="288" t="s">
        <v>565</v>
      </c>
      <c r="AR235" s="289" t="str">
        <f t="shared" si="909"/>
        <v>Veneno</v>
      </c>
      <c r="AS235" s="290" t="s">
        <v>920</v>
      </c>
      <c r="AT235" s="291" t="s">
        <v>688</v>
      </c>
      <c r="AU235" s="427" t="s">
        <v>703</v>
      </c>
      <c r="AV235" s="292">
        <v>51</v>
      </c>
      <c r="AW235" s="292">
        <v>387</v>
      </c>
      <c r="AY235" s="292">
        <v>516</v>
      </c>
      <c r="AZ235" s="292" t="s">
        <v>1101</v>
      </c>
      <c r="BA235" s="477">
        <v>118</v>
      </c>
      <c r="BB235" s="476">
        <v>1.7</v>
      </c>
      <c r="BC235" s="472">
        <v>0.8</v>
      </c>
      <c r="BD235" s="472">
        <v>0.97</v>
      </c>
      <c r="BE235" s="472">
        <v>1.89</v>
      </c>
      <c r="BF235" s="474">
        <f t="shared" si="924"/>
        <v>4266</v>
      </c>
      <c r="BG235" s="476">
        <f t="shared" si="950"/>
        <v>371.9</v>
      </c>
      <c r="BH235" s="480">
        <f t="shared" si="951"/>
        <v>82</v>
      </c>
      <c r="BI235" s="480">
        <f t="shared" si="952"/>
        <v>63.36</v>
      </c>
      <c r="BJ235" s="480">
        <f t="shared" si="953"/>
        <v>80.680000000000007</v>
      </c>
      <c r="BK235" s="473">
        <f t="shared" si="604"/>
        <v>1.6999999999999886</v>
      </c>
      <c r="BL235" s="473">
        <f t="shared" si="605"/>
        <v>0.79999999999999716</v>
      </c>
      <c r="BM235" s="473">
        <f t="shared" si="606"/>
        <v>0.96999999999999886</v>
      </c>
      <c r="BN235" s="473">
        <f t="shared" si="607"/>
        <v>1.8900000000000006</v>
      </c>
      <c r="BO235" s="483">
        <v>9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/>
      <c r="CD235" s="293">
        <v>1</v>
      </c>
      <c r="CE235" s="293"/>
      <c r="CF235" s="293"/>
      <c r="CG235" s="293"/>
      <c r="CH235" s="293"/>
      <c r="CI235" s="293"/>
      <c r="CJ235" s="294" t="s">
        <v>1509</v>
      </c>
      <c r="CK235" s="294"/>
      <c r="CL235" s="294"/>
      <c r="CM235" s="294"/>
      <c r="CN235" s="294"/>
      <c r="CO235" s="295"/>
      <c r="CP235" s="295"/>
      <c r="CQ235" s="295"/>
      <c r="CR235" s="296">
        <v>355</v>
      </c>
      <c r="CS235" s="297">
        <v>73.900000000000006</v>
      </c>
      <c r="CT235" s="297">
        <v>53.52</v>
      </c>
      <c r="CU235" s="297">
        <v>61.51</v>
      </c>
      <c r="CV235" s="297">
        <f>P235-CR235</f>
        <v>15.199999999999989</v>
      </c>
      <c r="CW235" s="297">
        <f>Q235-CS235</f>
        <v>7.2999999999999972</v>
      </c>
      <c r="CX235" s="297">
        <f>R235-CT235</f>
        <v>8.8699999999999974</v>
      </c>
      <c r="CY235" s="297">
        <f>S235-CU235</f>
        <v>17.280000000000008</v>
      </c>
      <c r="CZ235" s="297">
        <f>SUM(CV235:CY235)</f>
        <v>48.649999999999991</v>
      </c>
      <c r="DA235" s="297">
        <f>0.32*(P235-CR235)+1.75*(Q235-CS235)+1.13*(R235-CT235)+1.28*(S235-CU235)</f>
        <v>49.780500000000004</v>
      </c>
      <c r="DB235" s="295" t="s">
        <v>1779</v>
      </c>
      <c r="DC235" s="295">
        <v>1</v>
      </c>
      <c r="DD235" s="295"/>
      <c r="DE235" s="295"/>
    </row>
    <row r="236" spans="1:109" ht="21" customHeight="1" thickBot="1">
      <c r="A236" s="299">
        <v>234</v>
      </c>
      <c r="B236" s="319" t="s">
        <v>1589</v>
      </c>
      <c r="C236" s="301" t="s">
        <v>1590</v>
      </c>
      <c r="D236" s="302" t="s">
        <v>42</v>
      </c>
      <c r="E236" s="303" t="s">
        <v>79</v>
      </c>
      <c r="F236" s="327"/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ref="N236" si="954">IF(COUNTBLANK(H236:M236),"",SUM(H236:M236))</f>
        <v>300</v>
      </c>
      <c r="O236" s="321">
        <v>4161</v>
      </c>
      <c r="P236" s="322">
        <v>391.1</v>
      </c>
      <c r="Q236" s="323">
        <v>81.47</v>
      </c>
      <c r="R236" s="323">
        <v>52.12</v>
      </c>
      <c r="S236" s="323">
        <v>46.85</v>
      </c>
      <c r="T236" s="323">
        <v>4.5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ref="AK236" si="955">IF(AI236,2*AI236,"")</f>
        <v>90000</v>
      </c>
      <c r="AL236" s="316">
        <f>VLOOKUP(D236&amp;E236,计算辅助页面!$V$5:$Y$18,3,0)</f>
        <v>5</v>
      </c>
      <c r="AM236" s="317">
        <f t="shared" ref="AM236" si="956">IF(AN236="×",AN236,IF(AI236,6*AI236,""))</f>
        <v>270000</v>
      </c>
      <c r="AN236" s="317">
        <f>VLOOKUP(D236&amp;E236,计算辅助页面!$V$5:$Y$18,4,0)</f>
        <v>4</v>
      </c>
      <c r="AO236" s="304">
        <f t="shared" ref="AO236" si="957">IF(AI236,IF(AN236="×",4*(AI236*AJ236+AK236*AL236),4*(AI236*AJ236+AK236*AL236+AM236*AN236)),"")</f>
        <v>7380000</v>
      </c>
      <c r="AP236" s="318">
        <f t="shared" ref="AP236" si="958">IF(AND(AH236,AO236),AO236+AH236,"")</f>
        <v>35106000</v>
      </c>
      <c r="AQ236" s="288" t="s">
        <v>1015</v>
      </c>
      <c r="AR236" s="289" t="str">
        <f t="shared" si="909"/>
        <v>GT</v>
      </c>
      <c r="AS236" s="290" t="s">
        <v>1580</v>
      </c>
      <c r="AT236" s="291" t="s">
        <v>1591</v>
      </c>
      <c r="AU236" s="427" t="s">
        <v>703</v>
      </c>
      <c r="AW236" s="292">
        <v>406</v>
      </c>
      <c r="AY236" s="292">
        <v>549</v>
      </c>
      <c r="AZ236" s="292" t="s">
        <v>1599</v>
      </c>
      <c r="BA236" s="481">
        <f>BF236-O236</f>
        <v>118</v>
      </c>
      <c r="BB236" s="476">
        <f>BK236</f>
        <v>1.1999999999999886</v>
      </c>
      <c r="BC236" s="472">
        <f t="shared" ref="BC236" si="959">BL236</f>
        <v>0.53000000000000114</v>
      </c>
      <c r="BD236" s="472">
        <f t="shared" ref="BD236" si="960">BM236</f>
        <v>1.3200000000000003</v>
      </c>
      <c r="BE236" s="472">
        <f t="shared" ref="BE236" si="961">BN236</f>
        <v>1.6000000000000014</v>
      </c>
      <c r="BF236" s="474">
        <v>4279</v>
      </c>
      <c r="BG236" s="476">
        <v>392.3</v>
      </c>
      <c r="BH236" s="480">
        <v>82</v>
      </c>
      <c r="BI236" s="480">
        <v>53.44</v>
      </c>
      <c r="BJ236" s="480">
        <v>48.45</v>
      </c>
      <c r="BK236" s="473">
        <f t="shared" si="604"/>
        <v>1.1999999999999886</v>
      </c>
      <c r="BL236" s="473">
        <f t="shared" si="605"/>
        <v>0.53000000000000114</v>
      </c>
      <c r="BM236" s="473">
        <f t="shared" si="606"/>
        <v>1.3200000000000003</v>
      </c>
      <c r="BN236" s="473">
        <f t="shared" si="607"/>
        <v>1.6000000000000014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/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 t="s">
        <v>1779</v>
      </c>
      <c r="DC236" s="295">
        <v>1</v>
      </c>
      <c r="DD236" s="295"/>
      <c r="DE236" s="295"/>
    </row>
    <row r="237" spans="1:109" ht="21" customHeight="1" thickBot="1">
      <c r="A237" s="268">
        <v>235</v>
      </c>
      <c r="B237" s="319" t="s">
        <v>1908</v>
      </c>
      <c r="C237" s="301" t="s">
        <v>1093</v>
      </c>
      <c r="D237" s="302" t="s">
        <v>42</v>
      </c>
      <c r="E237" s="303" t="s">
        <v>79</v>
      </c>
      <c r="F237" s="327"/>
      <c r="G237" s="328"/>
      <c r="H237" s="358" t="s">
        <v>407</v>
      </c>
      <c r="I237" s="320">
        <v>40</v>
      </c>
      <c r="J237" s="320">
        <v>45</v>
      </c>
      <c r="K237" s="320">
        <v>60</v>
      </c>
      <c r="L237" s="320">
        <v>70</v>
      </c>
      <c r="M237" s="320">
        <v>85</v>
      </c>
      <c r="N237" s="343">
        <f t="shared" si="613"/>
        <v>300</v>
      </c>
      <c r="O237" s="321">
        <v>4173</v>
      </c>
      <c r="P237" s="322">
        <v>383.2</v>
      </c>
      <c r="Q237" s="323">
        <v>75.17</v>
      </c>
      <c r="R237" s="323">
        <v>60.57</v>
      </c>
      <c r="S237" s="323">
        <v>82.21</v>
      </c>
      <c r="T237" s="323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si="881"/>
        <v>90000</v>
      </c>
      <c r="AL237" s="316">
        <f>VLOOKUP(D237&amp;E237,计算辅助页面!$V$5:$Y$18,3,0)</f>
        <v>5</v>
      </c>
      <c r="AM237" s="317">
        <f t="shared" si="882"/>
        <v>270000</v>
      </c>
      <c r="AN237" s="317">
        <f>VLOOKUP(D237&amp;E237,计算辅助页面!$V$5:$Y$18,4,0)</f>
        <v>4</v>
      </c>
      <c r="AO237" s="304">
        <f t="shared" si="883"/>
        <v>7380000</v>
      </c>
      <c r="AP237" s="318">
        <f t="shared" si="712"/>
        <v>35106000</v>
      </c>
      <c r="AQ237" s="288" t="s">
        <v>592</v>
      </c>
      <c r="AR237" s="289" t="str">
        <f t="shared" si="909"/>
        <v>XJ220 TWR🔑</v>
      </c>
      <c r="AS237" s="290" t="s">
        <v>1082</v>
      </c>
      <c r="AT237" s="291" t="s">
        <v>1094</v>
      </c>
      <c r="AU237" s="427" t="s">
        <v>703</v>
      </c>
      <c r="AW237" s="292">
        <v>398</v>
      </c>
      <c r="AY237" s="292">
        <v>535</v>
      </c>
      <c r="AZ237" s="292" t="s">
        <v>1065</v>
      </c>
      <c r="BA237" s="477">
        <v>119</v>
      </c>
      <c r="BB237" s="476">
        <v>1.7</v>
      </c>
      <c r="BC237" s="472">
        <v>0.53</v>
      </c>
      <c r="BD237" s="472">
        <v>1.1299999999999999</v>
      </c>
      <c r="BE237" s="472">
        <v>1.62</v>
      </c>
      <c r="BF237" s="474">
        <f>BA237+O237</f>
        <v>4292</v>
      </c>
      <c r="BG237" s="476">
        <f t="shared" ref="BG237" si="962">BB237+P237</f>
        <v>384.9</v>
      </c>
      <c r="BH237" s="480">
        <f t="shared" ref="BH237" si="963">BC237+Q237</f>
        <v>75.7</v>
      </c>
      <c r="BI237" s="480">
        <f t="shared" ref="BI237" si="964">BD237+R237</f>
        <v>61.7</v>
      </c>
      <c r="BJ237" s="480">
        <f t="shared" ref="BJ237" si="965">BE237+S237</f>
        <v>83.83</v>
      </c>
      <c r="BK237" s="473">
        <f t="shared" si="604"/>
        <v>1.6999999999999886</v>
      </c>
      <c r="BL237" s="473">
        <f t="shared" si="605"/>
        <v>0.53000000000000114</v>
      </c>
      <c r="BM237" s="473">
        <f t="shared" si="606"/>
        <v>1.1300000000000026</v>
      </c>
      <c r="BN237" s="473">
        <f t="shared" si="607"/>
        <v>1.6200000000000045</v>
      </c>
      <c r="BO237" s="483">
        <v>4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>
        <v>1</v>
      </c>
      <c r="CB237" s="293"/>
      <c r="CC237" s="293">
        <v>1</v>
      </c>
      <c r="CD237" s="293">
        <v>1</v>
      </c>
      <c r="CE237" s="293"/>
      <c r="CF237" s="293"/>
      <c r="CG237" s="293"/>
      <c r="CH237" s="293"/>
      <c r="CI237" s="293"/>
      <c r="CJ237" s="294" t="s">
        <v>26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1779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00" t="s">
        <v>140</v>
      </c>
      <c r="C238" s="301" t="s">
        <v>794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77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613"/>
        <v>200</v>
      </c>
      <c r="O238" s="308">
        <v>4213</v>
      </c>
      <c r="P238" s="309">
        <v>366.4</v>
      </c>
      <c r="Q238" s="310">
        <v>84.48</v>
      </c>
      <c r="R238" s="310">
        <v>61.54</v>
      </c>
      <c r="S238" s="310">
        <v>72.02</v>
      </c>
      <c r="T238" s="310">
        <v>7.516</v>
      </c>
      <c r="U238" s="311">
        <v>5640</v>
      </c>
      <c r="V238" s="312">
        <f>VLOOKUP($U238,计算辅助页面!$Z$5:$AM$26,COLUMN()-20,0)</f>
        <v>9200</v>
      </c>
      <c r="W238" s="312">
        <f>VLOOKUP($U238,计算辅助页面!$Z$5:$AM$26,COLUMN()-20,0)</f>
        <v>14700</v>
      </c>
      <c r="X238" s="307">
        <f>VLOOKUP($U238,计算辅助页面!$Z$5:$AM$26,COLUMN()-20,0)</f>
        <v>22100</v>
      </c>
      <c r="Y238" s="307">
        <f>VLOOKUP($U238,计算辅助页面!$Z$5:$AM$26,COLUMN()-20,0)</f>
        <v>31900</v>
      </c>
      <c r="Z238" s="313">
        <f>VLOOKUP($U238,计算辅助页面!$Z$5:$AM$26,COLUMN()-20,0)</f>
        <v>44500</v>
      </c>
      <c r="AA238" s="307">
        <f>VLOOKUP($U238,计算辅助页面!$Z$5:$AM$26,COLUMN()-20,0)</f>
        <v>62500</v>
      </c>
      <c r="AB238" s="307">
        <f>VLOOKUP($U238,计算辅助页面!$Z$5:$AM$26,COLUMN()-20,0)</f>
        <v>87500</v>
      </c>
      <c r="AC238" s="307">
        <f>VLOOKUP($U238,计算辅助页面!$Z$5:$AM$26,COLUMN()-20,0)</f>
        <v>122500</v>
      </c>
      <c r="AD238" s="307">
        <f>VLOOKUP($U238,计算辅助页面!$Z$5:$AM$26,COLUMN()-20,0)</f>
        <v>171500</v>
      </c>
      <c r="AE238" s="307">
        <f>VLOOKUP($U238,计算辅助页面!$Z$5:$AM$26,COLUMN()-20,0)</f>
        <v>240000</v>
      </c>
      <c r="AF238" s="307">
        <f>VLOOKUP($U238,计算辅助页面!$Z$5:$AM$26,COLUMN()-20,0)</f>
        <v>336000</v>
      </c>
      <c r="AG238" s="307">
        <f>VLOOKUP($U238,计算辅助页面!$Z$5:$AM$26,COLUMN()-20,0)</f>
        <v>551500</v>
      </c>
      <c r="AH238" s="304">
        <f>VLOOKUP($U238,计算辅助页面!$Z$5:$AM$26,COLUMN()-20,0)</f>
        <v>6798160</v>
      </c>
      <c r="AI238" s="314">
        <v>45000</v>
      </c>
      <c r="AJ238" s="315">
        <f>VLOOKUP(D238&amp;E238,计算辅助页面!$V$5:$Y$18,2,0)</f>
        <v>7</v>
      </c>
      <c r="AK238" s="316">
        <f t="shared" si="881"/>
        <v>90000</v>
      </c>
      <c r="AL238" s="316">
        <f>VLOOKUP(D238&amp;E238,计算辅助页面!$V$5:$Y$18,3,0)</f>
        <v>5</v>
      </c>
      <c r="AM238" s="317">
        <f t="shared" si="882"/>
        <v>270000</v>
      </c>
      <c r="AN238" s="317">
        <f>VLOOKUP(D238&amp;E238,计算辅助页面!$V$5:$Y$18,4,0)</f>
        <v>4</v>
      </c>
      <c r="AO238" s="304">
        <f t="shared" si="883"/>
        <v>7380000</v>
      </c>
      <c r="AP238" s="318">
        <f>IF(AND(AH238,AO238),AO238+AH238,"")</f>
        <v>14178160</v>
      </c>
      <c r="AQ238" s="288" t="s">
        <v>565</v>
      </c>
      <c r="AR238" s="289" t="str">
        <f t="shared" si="909"/>
        <v>Egoista</v>
      </c>
      <c r="AS238" s="290" t="s">
        <v>596</v>
      </c>
      <c r="AT238" s="291" t="s">
        <v>659</v>
      </c>
      <c r="AU238" s="427" t="s">
        <v>703</v>
      </c>
      <c r="AW238" s="292">
        <v>381</v>
      </c>
      <c r="AY238" s="292">
        <v>506</v>
      </c>
      <c r="AZ238" s="292" t="s">
        <v>1425</v>
      </c>
      <c r="BA238" s="477">
        <v>119</v>
      </c>
      <c r="BB238" s="476">
        <v>1.8</v>
      </c>
      <c r="BC238" s="472">
        <v>0.67</v>
      </c>
      <c r="BD238" s="472">
        <v>1.36</v>
      </c>
      <c r="BE238" s="472">
        <v>0.66</v>
      </c>
      <c r="BF238" s="474">
        <f>BA238+O238</f>
        <v>4332</v>
      </c>
      <c r="BG238" s="476">
        <f t="shared" ref="BG238" si="966">BB238+P238</f>
        <v>368.2</v>
      </c>
      <c r="BH238" s="480">
        <f t="shared" ref="BH238" si="967">BC238+Q238</f>
        <v>85.15</v>
      </c>
      <c r="BI238" s="480">
        <f t="shared" ref="BI238" si="968">BD238+R238</f>
        <v>62.9</v>
      </c>
      <c r="BJ238" s="480">
        <f t="shared" ref="BJ238" si="969">BE238+S238</f>
        <v>72.679999999999993</v>
      </c>
      <c r="BK238" s="473">
        <f t="shared" ref="BK238:BK300" si="970">IF(BG238="", "", BG238-P238)</f>
        <v>1.8000000000000114</v>
      </c>
      <c r="BL238" s="473">
        <f t="shared" ref="BL238:BL300" si="971">IF(BH238="", "", BH238-Q238)</f>
        <v>0.67000000000000171</v>
      </c>
      <c r="BM238" s="473">
        <f t="shared" ref="BM238:BM300" si="972">IF(BI238="", "", BI238-R238)</f>
        <v>1.3599999999999994</v>
      </c>
      <c r="BN238" s="473">
        <f t="shared" ref="BN238:BN300" si="973">IF(BJ238="", "", BJ238-S238)</f>
        <v>0.65999999999999659</v>
      </c>
      <c r="BO238" s="483">
        <v>7</v>
      </c>
      <c r="BP238" s="293"/>
      <c r="BQ238" s="293"/>
      <c r="BR238" s="293"/>
      <c r="BS238" s="293"/>
      <c r="BT238" s="293">
        <v>1</v>
      </c>
      <c r="BU238" s="293"/>
      <c r="BV238" s="293"/>
      <c r="BW238" s="293"/>
      <c r="BX238" s="293"/>
      <c r="BY238" s="293"/>
      <c r="BZ238" s="293"/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1510</v>
      </c>
      <c r="CK238" s="294"/>
      <c r="CL238" s="294"/>
      <c r="CM238" s="294"/>
      <c r="CN238" s="294"/>
      <c r="CO238" s="295">
        <v>1</v>
      </c>
      <c r="CP238" s="295"/>
      <c r="CQ238" s="295"/>
      <c r="CR238" s="296">
        <v>350</v>
      </c>
      <c r="CS238" s="297">
        <v>78.400000000000006</v>
      </c>
      <c r="CT238" s="297">
        <v>49.16</v>
      </c>
      <c r="CU238" s="297">
        <v>65.98</v>
      </c>
      <c r="CV238" s="297">
        <f>P238-CR238</f>
        <v>16.399999999999977</v>
      </c>
      <c r="CW238" s="297">
        <f>Q238-CS238</f>
        <v>6.0799999999999983</v>
      </c>
      <c r="CX238" s="297">
        <f>R238-CT238</f>
        <v>12.380000000000003</v>
      </c>
      <c r="CY238" s="297">
        <f>S238-CU238</f>
        <v>6.039999999999992</v>
      </c>
      <c r="CZ238" s="297">
        <f>SUM(CV238:CY238)</f>
        <v>40.89999999999997</v>
      </c>
      <c r="DA238" s="297">
        <f>0.32*(P238-CR238)+1.75*(Q238-CS238)+1.13*(R238-CT238)+1.28*(S238-CU238)</f>
        <v>37.608599999999981</v>
      </c>
      <c r="DB238" s="295" t="s">
        <v>1780</v>
      </c>
      <c r="DC238" s="295">
        <v>4</v>
      </c>
      <c r="DD238" s="295"/>
      <c r="DE238" s="295"/>
    </row>
    <row r="239" spans="1:109" ht="21" customHeight="1" thickBot="1">
      <c r="A239" s="268">
        <v>237</v>
      </c>
      <c r="B239" s="319" t="s">
        <v>1909</v>
      </c>
      <c r="C239" s="301" t="s">
        <v>1903</v>
      </c>
      <c r="D239" s="302" t="s">
        <v>42</v>
      </c>
      <c r="E239" s="303" t="s">
        <v>79</v>
      </c>
      <c r="F239" s="327"/>
      <c r="G239" s="328"/>
      <c r="H239" s="358" t="s">
        <v>407</v>
      </c>
      <c r="I239" s="320">
        <v>40</v>
      </c>
      <c r="J239" s="320">
        <v>45</v>
      </c>
      <c r="K239" s="320">
        <v>60</v>
      </c>
      <c r="L239" s="320">
        <v>70</v>
      </c>
      <c r="M239" s="320">
        <v>85</v>
      </c>
      <c r="N239" s="343">
        <f t="shared" ref="N239" si="974">IF(COUNTBLANK(H239:M239),"",SUM(H239:M239))</f>
        <v>300</v>
      </c>
      <c r="O239" s="321">
        <v>4239</v>
      </c>
      <c r="P239" s="322">
        <v>404.5</v>
      </c>
      <c r="Q239" s="323">
        <v>75.17</v>
      </c>
      <c r="R239" s="323">
        <v>51.92</v>
      </c>
      <c r="S239" s="323">
        <v>54.42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ref="AK239" si="975">IF(AI239,2*AI239,"")</f>
        <v>180000</v>
      </c>
      <c r="AL239" s="316">
        <f>VLOOKUP(D239&amp;E239,计算辅助页面!$V$5:$Y$18,3,0)</f>
        <v>5</v>
      </c>
      <c r="AM239" s="317">
        <f t="shared" ref="AM239" si="976">IF(AN239="×",AN239,IF(AI239,6*AI239,""))</f>
        <v>540000</v>
      </c>
      <c r="AN239" s="317">
        <f>VLOOKUP(D239&amp;E239,计算辅助页面!$V$5:$Y$18,4,0)</f>
        <v>4</v>
      </c>
      <c r="AO239" s="304">
        <f t="shared" ref="AO239" si="977">IF(AI239,IF(AN239="×",4*(AI239*AJ239+AK239*AL239),4*(AI239*AJ239+AK239*AL239+AM239*AN239)),"")</f>
        <v>14760000</v>
      </c>
      <c r="AP239" s="318">
        <f>IF(AND(AH239,AO239),AO239+AH239,"")</f>
        <v>42486000</v>
      </c>
      <c r="AQ239" s="288" t="s">
        <v>1890</v>
      </c>
      <c r="AR239" s="289" t="str">
        <f t="shared" si="909"/>
        <v>N Vision 74 Concept🔑</v>
      </c>
      <c r="AS239" s="290" t="s">
        <v>1886</v>
      </c>
      <c r="AT239" s="291" t="s">
        <v>1904</v>
      </c>
      <c r="AU239" s="427" t="s">
        <v>703</v>
      </c>
      <c r="AW239" s="292">
        <v>420</v>
      </c>
      <c r="AY239" s="292">
        <v>558</v>
      </c>
      <c r="AZ239" s="292" t="s">
        <v>1065</v>
      </c>
      <c r="BA239" s="477">
        <f>BF239-O239</f>
        <v>120</v>
      </c>
      <c r="BB239" s="476">
        <f>BK239</f>
        <v>1.6000000000000227</v>
      </c>
      <c r="BC239" s="472">
        <f t="shared" ref="BC239" si="978">BL239</f>
        <v>0.53000000000000114</v>
      </c>
      <c r="BD239" s="472">
        <f t="shared" ref="BD239" si="979">BM239</f>
        <v>1.2199999999999989</v>
      </c>
      <c r="BE239" s="472">
        <f t="shared" ref="BE239" si="980">BN239</f>
        <v>2.1299999999999955</v>
      </c>
      <c r="BF239" s="474">
        <v>4359</v>
      </c>
      <c r="BG239" s="476">
        <v>406.1</v>
      </c>
      <c r="BH239" s="480">
        <v>75.7</v>
      </c>
      <c r="BI239" s="480">
        <v>53.14</v>
      </c>
      <c r="BJ239" s="480">
        <v>56.55</v>
      </c>
      <c r="BK239" s="473">
        <f t="shared" ref="BK239" si="981">IF(BG239="", "", BG239-P239)</f>
        <v>1.6000000000000227</v>
      </c>
      <c r="BL239" s="473">
        <f t="shared" ref="BL239" si="982">IF(BH239="", "", BH239-Q239)</f>
        <v>0.53000000000000114</v>
      </c>
      <c r="BM239" s="473">
        <f t="shared" ref="BM239" si="983">IF(BI239="", "", BI239-R239)</f>
        <v>1.2199999999999989</v>
      </c>
      <c r="BN239" s="473">
        <f t="shared" ref="BN239" si="984">IF(BJ239="", "", BJ239-S239)</f>
        <v>2.1299999999999955</v>
      </c>
      <c r="BO239" s="483">
        <v>15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 t="s">
        <v>1912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19" t="s">
        <v>1225</v>
      </c>
      <c r="C240" s="301" t="s">
        <v>1226</v>
      </c>
      <c r="D240" s="302" t="s">
        <v>42</v>
      </c>
      <c r="E240" s="303" t="s">
        <v>79</v>
      </c>
      <c r="F240" s="327"/>
      <c r="G240" s="328"/>
      <c r="H240" s="32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si="613"/>
        <v>300</v>
      </c>
      <c r="O240" s="321">
        <v>4241</v>
      </c>
      <c r="P240" s="322">
        <v>399.1</v>
      </c>
      <c r="Q240" s="323">
        <v>74.900000000000006</v>
      </c>
      <c r="R240" s="323">
        <v>66.52</v>
      </c>
      <c r="S240" s="323">
        <v>63.39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81"/>
        <v>180000</v>
      </c>
      <c r="AL240" s="316">
        <f>VLOOKUP(D240&amp;E240,计算辅助页面!$V$5:$Y$18,3,0)</f>
        <v>5</v>
      </c>
      <c r="AM240" s="317">
        <f t="shared" si="882"/>
        <v>540000</v>
      </c>
      <c r="AN240" s="317">
        <f>VLOOKUP(D240&amp;E240,计算辅助页面!$V$5:$Y$18,4,0)</f>
        <v>4</v>
      </c>
      <c r="AO240" s="304">
        <f t="shared" si="883"/>
        <v>14760000</v>
      </c>
      <c r="AP240" s="318">
        <f t="shared" si="712"/>
        <v>42486000</v>
      </c>
      <c r="AQ240" s="288" t="s">
        <v>1227</v>
      </c>
      <c r="AR240" s="289" t="str">
        <f t="shared" si="909"/>
        <v>ME412</v>
      </c>
      <c r="AS240" s="290" t="s">
        <v>1213</v>
      </c>
      <c r="AT240" s="291" t="s">
        <v>1231</v>
      </c>
      <c r="AU240" s="427" t="s">
        <v>703</v>
      </c>
      <c r="AW240" s="292">
        <v>415</v>
      </c>
      <c r="AY240" s="292">
        <v>555</v>
      </c>
      <c r="AZ240" s="292" t="s">
        <v>1101</v>
      </c>
      <c r="BA240" s="481">
        <f>BF240-O240</f>
        <v>118</v>
      </c>
      <c r="BB240" s="476">
        <f>BK240</f>
        <v>1.5</v>
      </c>
      <c r="BC240" s="472">
        <f t="shared" ref="BC240" si="985">BL240</f>
        <v>0.79999999999999716</v>
      </c>
      <c r="BD240" s="472">
        <f t="shared" ref="BD240" si="986">BM240</f>
        <v>1.2700000000000102</v>
      </c>
      <c r="BE240" s="472">
        <f t="shared" ref="BE240" si="987">BN240</f>
        <v>1.5900000000000034</v>
      </c>
      <c r="BF240" s="474">
        <v>4359</v>
      </c>
      <c r="BG240" s="476">
        <v>400.6</v>
      </c>
      <c r="BH240" s="480">
        <v>75.7</v>
      </c>
      <c r="BI240" s="480">
        <v>67.790000000000006</v>
      </c>
      <c r="BJ240" s="480">
        <v>64.98</v>
      </c>
      <c r="BK240" s="473">
        <f t="shared" si="970"/>
        <v>1.5</v>
      </c>
      <c r="BL240" s="473">
        <f t="shared" si="971"/>
        <v>0.79999999999999716</v>
      </c>
      <c r="BM240" s="473">
        <f t="shared" si="972"/>
        <v>1.2700000000000102</v>
      </c>
      <c r="BN240" s="473">
        <f t="shared" si="973"/>
        <v>1.5900000000000034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 t="s">
        <v>1235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 thickBot="1">
      <c r="A241" s="268">
        <v>239</v>
      </c>
      <c r="B241" s="319" t="s">
        <v>1953</v>
      </c>
      <c r="C241" s="301" t="s">
        <v>1942</v>
      </c>
      <c r="D241" s="302" t="s">
        <v>42</v>
      </c>
      <c r="E241" s="303" t="s">
        <v>79</v>
      </c>
      <c r="F241" s="327"/>
      <c r="G241" s="328"/>
      <c r="H241" s="48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13"/>
        <v>300</v>
      </c>
      <c r="O241" s="321">
        <v>4287</v>
      </c>
      <c r="P241" s="322">
        <v>362.4</v>
      </c>
      <c r="Q241" s="323">
        <v>81.53</v>
      </c>
      <c r="R241" s="323">
        <v>76.78</v>
      </c>
      <c r="S241" s="323">
        <v>77.12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ref="AK241" si="988">IF(AI241,2*AI241,"")</f>
        <v>180000</v>
      </c>
      <c r="AL241" s="316">
        <f>VLOOKUP(D241&amp;E241,计算辅助页面!$V$5:$Y$18,3,0)</f>
        <v>5</v>
      </c>
      <c r="AM241" s="317">
        <f t="shared" ref="AM241" si="989">IF(AN241="×",AN241,IF(AI241,6*AI241,""))</f>
        <v>540000</v>
      </c>
      <c r="AN241" s="317">
        <f>VLOOKUP(D241&amp;E241,计算辅助页面!$V$5:$Y$18,4,0)</f>
        <v>4</v>
      </c>
      <c r="AO241" s="304">
        <f t="shared" ref="AO241" si="990">IF(AI241,IF(AN241="×",4*(AI241*AJ241+AK241*AL241),4*(AI241*AJ241+AK241*AL241+AM241*AN241)),"")</f>
        <v>14760000</v>
      </c>
      <c r="AP241" s="318">
        <f t="shared" ref="AP241" si="991">IF(AND(AH241,AO241),AO241+AH241,"")</f>
        <v>42486000</v>
      </c>
      <c r="AQ241" s="288" t="s">
        <v>564</v>
      </c>
      <c r="AR241" s="289" t="str">
        <f t="shared" si="909"/>
        <v>Mercedes-AMG ONE🔑</v>
      </c>
      <c r="AS241" s="290" t="s">
        <v>1930</v>
      </c>
      <c r="AT241" s="291" t="s">
        <v>1943</v>
      </c>
      <c r="AU241" s="427" t="s">
        <v>703</v>
      </c>
      <c r="AZ241" s="292" t="s">
        <v>1956</v>
      </c>
      <c r="BA241" s="481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/>
      <c r="CB241" s="293"/>
      <c r="CC241" s="293">
        <v>1</v>
      </c>
      <c r="CD241" s="293"/>
      <c r="CE241" s="293"/>
      <c r="CF241" s="293"/>
      <c r="CG241" s="293"/>
      <c r="CH241" s="293"/>
      <c r="CI241" s="293"/>
      <c r="CJ241" s="294" t="s">
        <v>1952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13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881"/>
        <v>90000</v>
      </c>
      <c r="AL242" s="316">
        <f>VLOOKUP(D242&amp;E242,计算辅助页面!$V$5:$Y$18,3,0)</f>
        <v>5</v>
      </c>
      <c r="AM242" s="317">
        <f t="shared" si="882"/>
        <v>270000</v>
      </c>
      <c r="AN242" s="317">
        <f>VLOOKUP(D242&amp;E242,计算辅助页面!$V$5:$Y$18,4,0)</f>
        <v>4</v>
      </c>
      <c r="AO242" s="304">
        <f t="shared" si="883"/>
        <v>7380000</v>
      </c>
      <c r="AP242" s="318">
        <f t="shared" si="712"/>
        <v>14178160</v>
      </c>
      <c r="AQ242" s="288" t="s">
        <v>996</v>
      </c>
      <c r="AR242" s="289" t="str">
        <f t="shared" si="909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992">BB242+P242</f>
        <v>452.5</v>
      </c>
      <c r="BH242" s="480">
        <f t="shared" ref="BH242" si="993">BC242+Q242</f>
        <v>80.650000000000006</v>
      </c>
      <c r="BI242" s="480">
        <f t="shared" ref="BI242" si="994">BD242+R242</f>
        <v>49.480000000000004</v>
      </c>
      <c r="BJ242" s="480">
        <f t="shared" ref="BJ242" si="995">BE242+S242</f>
        <v>45.83</v>
      </c>
      <c r="BK242" s="473">
        <f t="shared" si="970"/>
        <v>1.8000000000000114</v>
      </c>
      <c r="BL242" s="473">
        <f t="shared" si="971"/>
        <v>0.67000000000000171</v>
      </c>
      <c r="BM242" s="473">
        <f t="shared" si="972"/>
        <v>0.99000000000000199</v>
      </c>
      <c r="BN242" s="473">
        <f t="shared" si="973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1780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13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81"/>
        <v>180000</v>
      </c>
      <c r="AL243" s="316">
        <f>VLOOKUP(D243&amp;E243,计算辅助页面!$V$5:$Y$18,3,0)</f>
        <v>5</v>
      </c>
      <c r="AM243" s="317">
        <f t="shared" si="882"/>
        <v>540000</v>
      </c>
      <c r="AN243" s="317">
        <f>VLOOKUP(D243&amp;E243,计算辅助页面!$V$5:$Y$18,4,0)</f>
        <v>4</v>
      </c>
      <c r="AO243" s="304">
        <f t="shared" si="883"/>
        <v>14760000</v>
      </c>
      <c r="AP243" s="318">
        <f t="shared" si="712"/>
        <v>42486000</v>
      </c>
      <c r="AQ243" s="288" t="s">
        <v>1249</v>
      </c>
      <c r="AR243" s="289" t="str">
        <f t="shared" si="909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996">BL243</f>
        <v>0.79999999999999716</v>
      </c>
      <c r="BD243" s="472">
        <f t="shared" ref="BD243" si="997">BM243</f>
        <v>1.1600000000000037</v>
      </c>
      <c r="BE243" s="472">
        <f t="shared" ref="BE243" si="998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70"/>
        <v>1.1999999999999886</v>
      </c>
      <c r="BL243" s="473">
        <f t="shared" si="971"/>
        <v>0.79999999999999716</v>
      </c>
      <c r="BM243" s="473">
        <f t="shared" si="972"/>
        <v>1.1600000000000037</v>
      </c>
      <c r="BN243" s="473">
        <f t="shared" si="973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1780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1668</v>
      </c>
      <c r="C244" s="301" t="s">
        <v>1669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999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00">IF(AI244,2*AI244,"")</f>
        <v>180000</v>
      </c>
      <c r="AL244" s="316">
        <f>VLOOKUP(D244&amp;E244,计算辅助页面!$V$5:$Y$18,3,0)</f>
        <v>5</v>
      </c>
      <c r="AM244" s="317">
        <f t="shared" ref="AM244" si="1001">IF(AN244="×",AN244,IF(AI244,6*AI244,""))</f>
        <v>540000</v>
      </c>
      <c r="AN244" s="317">
        <f>VLOOKUP(D244&amp;E244,计算辅助页面!$V$5:$Y$18,4,0)</f>
        <v>4</v>
      </c>
      <c r="AO244" s="304">
        <f t="shared" ref="AO244" si="1002">IF(AI244,IF(AN244="×",4*(AI244*AJ244+AK244*AL244),4*(AI244*AJ244+AK244*AL244+AM244*AN244)),"")</f>
        <v>14760000</v>
      </c>
      <c r="AP244" s="318">
        <f t="shared" ref="AP244" si="1003">IF(AND(AH244,AO244),AO244+AH244,"")</f>
        <v>42486000</v>
      </c>
      <c r="AQ244" s="288" t="s">
        <v>559</v>
      </c>
      <c r="AR244" s="289" t="str">
        <f t="shared" si="909"/>
        <v>GT-R Neon Edition</v>
      </c>
      <c r="AS244" s="290" t="s">
        <v>1660</v>
      </c>
      <c r="AT244" s="291" t="s">
        <v>1670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04">BL244</f>
        <v>1.2000000000000028</v>
      </c>
      <c r="BD244" s="472">
        <f t="shared" ref="BD244" si="1005">BM244</f>
        <v>4.5900000000000034</v>
      </c>
      <c r="BE244" s="472">
        <f t="shared" ref="BE244" si="1006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70"/>
        <v>3.1000000000000227</v>
      </c>
      <c r="BL244" s="473">
        <f t="shared" si="971"/>
        <v>1.2000000000000028</v>
      </c>
      <c r="BM244" s="473">
        <f t="shared" si="972"/>
        <v>4.5900000000000034</v>
      </c>
      <c r="BN244" s="473">
        <f t="shared" si="973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1672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1780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13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81"/>
        <v>180000</v>
      </c>
      <c r="AL245" s="316">
        <f>VLOOKUP(D245&amp;E245,计算辅助页面!$V$5:$Y$18,3,0)</f>
        <v>5</v>
      </c>
      <c r="AM245" s="317">
        <f t="shared" si="882"/>
        <v>540000</v>
      </c>
      <c r="AN245" s="317">
        <f>VLOOKUP(D245&amp;E245,计算辅助页面!$V$5:$Y$18,4,0)</f>
        <v>4</v>
      </c>
      <c r="AO245" s="304">
        <f t="shared" si="883"/>
        <v>14760000</v>
      </c>
      <c r="AP245" s="318">
        <f t="shared" si="712"/>
        <v>42486000</v>
      </c>
      <c r="AQ245" s="288" t="s">
        <v>567</v>
      </c>
      <c r="AR245" s="289" t="str">
        <f t="shared" si="909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07">BL245</f>
        <v>1.019999999999996</v>
      </c>
      <c r="BD245" s="472">
        <f t="shared" ref="BD245" si="1008">BM245</f>
        <v>2.9099999999999966</v>
      </c>
      <c r="BE245" s="472">
        <f t="shared" ref="BE245" si="1009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70"/>
        <v>1.7000000000000455</v>
      </c>
      <c r="BL245" s="473">
        <f t="shared" si="971"/>
        <v>1.019999999999996</v>
      </c>
      <c r="BM245" s="473">
        <f t="shared" si="972"/>
        <v>2.9099999999999966</v>
      </c>
      <c r="BN245" s="473">
        <f t="shared" si="973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10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81"/>
        <v>180000</v>
      </c>
      <c r="AL246" s="316">
        <f>VLOOKUP(D246&amp;E246,计算辅助页面!$V$5:$Y$18,3,0)</f>
        <v>5</v>
      </c>
      <c r="AM246" s="317">
        <f t="shared" si="882"/>
        <v>540000</v>
      </c>
      <c r="AN246" s="317">
        <f>VLOOKUP(D246&amp;E246,计算辅助页面!$V$5:$Y$18,4,0)</f>
        <v>4</v>
      </c>
      <c r="AO246" s="304">
        <f t="shared" si="883"/>
        <v>14760000</v>
      </c>
      <c r="AP246" s="318">
        <f t="shared" si="712"/>
        <v>42486000</v>
      </c>
      <c r="AQ246" s="288" t="s">
        <v>1278</v>
      </c>
      <c r="AR246" s="289" t="str">
        <f t="shared" si="909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11">BA246+O246</f>
        <v>4521</v>
      </c>
      <c r="BG246" s="476">
        <f t="shared" ref="BG246:BG248" si="1012">BB246+P246</f>
        <v>392.3</v>
      </c>
      <c r="BH246" s="480">
        <f t="shared" ref="BH246:BH248" si="1013">BC246+Q246</f>
        <v>86.5</v>
      </c>
      <c r="BI246" s="480">
        <f t="shared" ref="BI246:BI248" si="1014">BD246+R246</f>
        <v>57.589999999999996</v>
      </c>
      <c r="BJ246" s="480">
        <f t="shared" ref="BJ246:BJ248" si="1015">BE246+S246</f>
        <v>50.67</v>
      </c>
      <c r="BK246" s="473">
        <f t="shared" si="970"/>
        <v>1</v>
      </c>
      <c r="BL246" s="473">
        <f t="shared" si="971"/>
        <v>0.79999999999999716</v>
      </c>
      <c r="BM246" s="473">
        <f t="shared" si="972"/>
        <v>0.90999999999999659</v>
      </c>
      <c r="BN246" s="473">
        <f t="shared" si="973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1780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10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81"/>
        <v>180000</v>
      </c>
      <c r="AL247" s="316">
        <f>VLOOKUP(D247&amp;E247,计算辅助页面!$V$5:$Y$18,3,0)</f>
        <v>5</v>
      </c>
      <c r="AM247" s="317">
        <f t="shared" si="882"/>
        <v>540000</v>
      </c>
      <c r="AN247" s="317">
        <f>VLOOKUP(D247&amp;E247,计算辅助页面!$V$5:$Y$18,4,0)</f>
        <v>4</v>
      </c>
      <c r="AO247" s="304">
        <f t="shared" si="883"/>
        <v>14760000</v>
      </c>
      <c r="AP247" s="318">
        <f t="shared" ref="AP247:AP285" si="1016">IF(AND(AH247,AO247),AO247+AH247,"")</f>
        <v>42486000</v>
      </c>
      <c r="AQ247" s="288" t="s">
        <v>568</v>
      </c>
      <c r="AR247" s="289" t="str">
        <f t="shared" si="909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11"/>
        <v>4576</v>
      </c>
      <c r="BG247" s="476">
        <f t="shared" si="1012"/>
        <v>360.8</v>
      </c>
      <c r="BH247" s="480">
        <f t="shared" si="1013"/>
        <v>83.8</v>
      </c>
      <c r="BI247" s="480">
        <f t="shared" si="1014"/>
        <v>104.9</v>
      </c>
      <c r="BJ247" s="480">
        <f t="shared" si="1015"/>
        <v>81</v>
      </c>
      <c r="BK247" s="473">
        <f t="shared" si="970"/>
        <v>2.1000000000000227</v>
      </c>
      <c r="BL247" s="473">
        <f t="shared" si="971"/>
        <v>0.89000000000000057</v>
      </c>
      <c r="BM247" s="473">
        <f t="shared" si="972"/>
        <v>3.0900000000000034</v>
      </c>
      <c r="BN247" s="473">
        <f t="shared" si="973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1780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10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81"/>
        <v>180000</v>
      </c>
      <c r="AL248" s="316">
        <f>VLOOKUP(D248&amp;E248,计算辅助页面!$V$5:$Y$18,3,0)</f>
        <v>5</v>
      </c>
      <c r="AM248" s="317">
        <f t="shared" si="882"/>
        <v>540000</v>
      </c>
      <c r="AN248" s="317">
        <f>VLOOKUP(D248&amp;E248,计算辅助页面!$V$5:$Y$18,4,0)</f>
        <v>4</v>
      </c>
      <c r="AO248" s="304">
        <f t="shared" si="883"/>
        <v>14760000</v>
      </c>
      <c r="AP248" s="318">
        <f t="shared" si="1016"/>
        <v>42486000</v>
      </c>
      <c r="AQ248" s="288" t="s">
        <v>712</v>
      </c>
      <c r="AR248" s="289" t="str">
        <f t="shared" si="909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11"/>
        <v>4548</v>
      </c>
      <c r="BG248" s="476">
        <f t="shared" si="1012"/>
        <v>420</v>
      </c>
      <c r="BH248" s="480">
        <f t="shared" si="1013"/>
        <v>81.55</v>
      </c>
      <c r="BI248" s="480">
        <f t="shared" si="1014"/>
        <v>50.12</v>
      </c>
      <c r="BJ248" s="480">
        <f t="shared" si="1015"/>
        <v>52.17</v>
      </c>
      <c r="BK248" s="473">
        <f t="shared" si="970"/>
        <v>1</v>
      </c>
      <c r="BL248" s="473">
        <f t="shared" si="971"/>
        <v>0.48999999999999488</v>
      </c>
      <c r="BM248" s="473">
        <f t="shared" si="972"/>
        <v>0.96999999999999886</v>
      </c>
      <c r="BN248" s="473">
        <f t="shared" si="973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10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81"/>
        <v>180000</v>
      </c>
      <c r="AL249" s="316">
        <f>VLOOKUP(D249&amp;E249,计算辅助页面!$V$5:$Y$18,3,0)</f>
        <v>5</v>
      </c>
      <c r="AM249" s="317">
        <f t="shared" si="882"/>
        <v>540000</v>
      </c>
      <c r="AN249" s="317">
        <f>VLOOKUP(D249&amp;E249,计算辅助页面!$V$5:$Y$18,4,0)</f>
        <v>4</v>
      </c>
      <c r="AO249" s="304">
        <f t="shared" si="883"/>
        <v>14760000</v>
      </c>
      <c r="AP249" s="318">
        <f t="shared" si="1016"/>
        <v>42486000</v>
      </c>
      <c r="AQ249" s="288" t="s">
        <v>565</v>
      </c>
      <c r="AR249" s="289" t="str">
        <f t="shared" si="909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11"/>
        <v>4534</v>
      </c>
      <c r="BG249" s="476">
        <f t="shared" ref="BG249" si="1017">BB249+P249</f>
        <v>396</v>
      </c>
      <c r="BH249" s="480">
        <f t="shared" ref="BH249" si="1018">BC249+Q249</f>
        <v>83.35</v>
      </c>
      <c r="BI249" s="480">
        <f t="shared" ref="BI249" si="1019">BD249+R249</f>
        <v>53.81</v>
      </c>
      <c r="BJ249" s="480">
        <f t="shared" ref="BJ249" si="1020">BE249+S249</f>
        <v>71.11</v>
      </c>
      <c r="BK249" s="473">
        <f t="shared" si="970"/>
        <v>1.6999999999999886</v>
      </c>
      <c r="BL249" s="473">
        <f t="shared" si="971"/>
        <v>0.57999999999999829</v>
      </c>
      <c r="BM249" s="473">
        <f t="shared" si="972"/>
        <v>0.96999999999999886</v>
      </c>
      <c r="BN249" s="473">
        <f t="shared" si="973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1780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10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81"/>
        <v>180000</v>
      </c>
      <c r="AL250" s="316">
        <f>VLOOKUP(D250&amp;E250,计算辅助页面!$V$5:$Y$18,3,0)</f>
        <v>5</v>
      </c>
      <c r="AM250" s="317">
        <f t="shared" si="882"/>
        <v>540000</v>
      </c>
      <c r="AN250" s="317">
        <f>VLOOKUP(D250&amp;E250,计算辅助页面!$V$5:$Y$18,4,0)</f>
        <v>4</v>
      </c>
      <c r="AO250" s="304">
        <f t="shared" si="883"/>
        <v>14760000</v>
      </c>
      <c r="AP250" s="318">
        <f t="shared" si="1016"/>
        <v>42486000</v>
      </c>
      <c r="AQ250" s="288" t="s">
        <v>1122</v>
      </c>
      <c r="AR250" s="289" t="str">
        <f t="shared" si="909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11"/>
        <v>4567</v>
      </c>
      <c r="BG250" s="476">
        <f t="shared" ref="BG250:BG251" si="1021">BB250+P250</f>
        <v>391.3</v>
      </c>
      <c r="BH250" s="480">
        <f t="shared" ref="BH250:BH251" si="1022">BC250+Q250</f>
        <v>82</v>
      </c>
      <c r="BI250" s="480">
        <f t="shared" ref="BI250:BI251" si="1023">BD250+R250</f>
        <v>61.639999999999993</v>
      </c>
      <c r="BJ250" s="480">
        <f t="shared" ref="BJ250:BJ251" si="1024">BE250+S250</f>
        <v>74.92</v>
      </c>
      <c r="BK250" s="473">
        <f t="shared" si="970"/>
        <v>1.1000000000000227</v>
      </c>
      <c r="BL250" s="473">
        <f t="shared" si="971"/>
        <v>0.70999999999999375</v>
      </c>
      <c r="BM250" s="473">
        <f t="shared" si="972"/>
        <v>1.7299999999999969</v>
      </c>
      <c r="BN250" s="473">
        <f t="shared" si="973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1780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1810</v>
      </c>
      <c r="C251" s="301" t="s">
        <v>1811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25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26">IF(AI251,2*AI251,"")</f>
        <v>180000</v>
      </c>
      <c r="AL251" s="316">
        <f>VLOOKUP(D251&amp;E251,计算辅助页面!$V$5:$Y$18,3,0)</f>
        <v>5</v>
      </c>
      <c r="AM251" s="317">
        <f t="shared" ref="AM251" si="1027">IF(AN251="×",AN251,IF(AI251,6*AI251,""))</f>
        <v>540000</v>
      </c>
      <c r="AN251" s="317">
        <f>VLOOKUP(D251&amp;E251,计算辅助页面!$V$5:$Y$18,4,0)</f>
        <v>4</v>
      </c>
      <c r="AO251" s="304">
        <f t="shared" ref="AO251" si="1028">IF(AI251,IF(AN251="×",4*(AI251*AJ251+AK251*AL251),4*(AI251*AJ251+AK251*AL251+AM251*AN251)),"")</f>
        <v>14760000</v>
      </c>
      <c r="AP251" s="318">
        <f t="shared" ref="AP251" si="1029">IF(AND(AH251,AO251),AO251+AH251,"")</f>
        <v>42486000</v>
      </c>
      <c r="AQ251" s="288" t="s">
        <v>1017</v>
      </c>
      <c r="AR251" s="289" t="str">
        <f t="shared" si="909"/>
        <v>Teorema</v>
      </c>
      <c r="AS251" s="290" t="s">
        <v>1819</v>
      </c>
      <c r="AT251" s="291" t="s">
        <v>1812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11"/>
        <v>4617</v>
      </c>
      <c r="BG251" s="476">
        <f t="shared" si="1021"/>
        <v>425.2</v>
      </c>
      <c r="BH251" s="480">
        <f t="shared" si="1022"/>
        <v>77.5</v>
      </c>
      <c r="BI251" s="480">
        <f t="shared" si="1023"/>
        <v>56.620000000000005</v>
      </c>
      <c r="BJ251" s="480">
        <f t="shared" si="1024"/>
        <v>53.690000000000005</v>
      </c>
      <c r="BK251" s="473">
        <f t="shared" si="970"/>
        <v>2.3000000000000114</v>
      </c>
      <c r="BL251" s="473">
        <f t="shared" si="971"/>
        <v>0.35999999999999943</v>
      </c>
      <c r="BM251" s="473">
        <f t="shared" si="972"/>
        <v>0.88000000000000256</v>
      </c>
      <c r="BN251" s="473">
        <f t="shared" si="973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10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881"/>
        <v>90000</v>
      </c>
      <c r="AL252" s="316">
        <f>VLOOKUP(D252&amp;E252,计算辅助页面!$V$5:$Y$18,3,0)</f>
        <v>5</v>
      </c>
      <c r="AM252" s="317">
        <f t="shared" si="882"/>
        <v>270000</v>
      </c>
      <c r="AN252" s="317">
        <f>VLOOKUP(D252&amp;E252,计算辅助页面!$V$5:$Y$18,4,0)</f>
        <v>4</v>
      </c>
      <c r="AO252" s="304">
        <f t="shared" si="883"/>
        <v>7380000</v>
      </c>
      <c r="AP252" s="318">
        <f t="shared" si="1016"/>
        <v>14178160</v>
      </c>
      <c r="AQ252" s="288" t="s">
        <v>569</v>
      </c>
      <c r="AR252" s="289" t="str">
        <f t="shared" si="909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11"/>
        <v>4603</v>
      </c>
      <c r="BG252" s="476">
        <f t="shared" ref="BG252" si="1030">BB252+P252</f>
        <v>418.2</v>
      </c>
      <c r="BH252" s="480">
        <f t="shared" ref="BH252" si="1031">BC252+Q252</f>
        <v>82.899999999999991</v>
      </c>
      <c r="BI252" s="480">
        <f t="shared" ref="BI252" si="1032">BD252+R252</f>
        <v>43.85</v>
      </c>
      <c r="BJ252" s="480">
        <f t="shared" ref="BJ252" si="1033">BE252+S252</f>
        <v>69.429999999999993</v>
      </c>
      <c r="BK252" s="473">
        <f t="shared" si="970"/>
        <v>1.3000000000000114</v>
      </c>
      <c r="BL252" s="473">
        <f t="shared" si="971"/>
        <v>0.70999999999999375</v>
      </c>
      <c r="BM252" s="473">
        <f t="shared" si="972"/>
        <v>0.60999999999999943</v>
      </c>
      <c r="BN252" s="473">
        <f t="shared" si="973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34">P252-CR252</f>
        <v>11.899999999999977</v>
      </c>
      <c r="CW252" s="297">
        <f t="shared" si="1034"/>
        <v>6.4899999999999949</v>
      </c>
      <c r="CX252" s="297">
        <f t="shared" si="1034"/>
        <v>5.5399999999999991</v>
      </c>
      <c r="CY252" s="297">
        <f t="shared" si="1034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10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81"/>
        <v>180000</v>
      </c>
      <c r="AL253" s="316">
        <f>VLOOKUP(D253&amp;E253,计算辅助页面!$V$5:$Y$18,3,0)</f>
        <v>5</v>
      </c>
      <c r="AM253" s="317">
        <f t="shared" si="882"/>
        <v>540000</v>
      </c>
      <c r="AN253" s="317">
        <f>VLOOKUP(D253&amp;E253,计算辅助页面!$V$5:$Y$18,4,0)</f>
        <v>4</v>
      </c>
      <c r="AO253" s="304">
        <f t="shared" si="883"/>
        <v>14760000</v>
      </c>
      <c r="AP253" s="318">
        <f t="shared" si="1016"/>
        <v>42486000</v>
      </c>
      <c r="AQ253" s="288" t="s">
        <v>566</v>
      </c>
      <c r="AR253" s="289" t="str">
        <f t="shared" si="909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11"/>
        <v>4631</v>
      </c>
      <c r="BG253" s="476">
        <f t="shared" ref="BG253" si="1035">BB253+P253</f>
        <v>380.2</v>
      </c>
      <c r="BH253" s="480">
        <f t="shared" ref="BH253" si="1036">BC253+Q253</f>
        <v>81.099999999999994</v>
      </c>
      <c r="BI253" s="480">
        <f t="shared" ref="BI253" si="1037">BD253+R253</f>
        <v>80.649999999999991</v>
      </c>
      <c r="BJ253" s="480">
        <f t="shared" ref="BJ253" si="1038">BE253+S253</f>
        <v>78.75</v>
      </c>
      <c r="BK253" s="473">
        <f t="shared" si="970"/>
        <v>2</v>
      </c>
      <c r="BL253" s="473">
        <f t="shared" si="971"/>
        <v>0.79999999999999716</v>
      </c>
      <c r="BM253" s="473">
        <f t="shared" si="972"/>
        <v>2.7399999999999949</v>
      </c>
      <c r="BN253" s="473">
        <f t="shared" si="973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34"/>
        <v>18.199999999999989</v>
      </c>
      <c r="CW253" s="297">
        <f t="shared" si="1034"/>
        <v>7.2999999999999972</v>
      </c>
      <c r="CX253" s="297">
        <f t="shared" si="1034"/>
        <v>25.009999999999998</v>
      </c>
      <c r="CY253" s="297">
        <f t="shared" si="1034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1780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10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81"/>
        <v>180000</v>
      </c>
      <c r="AL254" s="316">
        <f>VLOOKUP(D254&amp;E254,计算辅助页面!$V$5:$Y$18,3,0)</f>
        <v>5</v>
      </c>
      <c r="AM254" s="317">
        <f t="shared" si="882"/>
        <v>540000</v>
      </c>
      <c r="AN254" s="317">
        <f>VLOOKUP(D254&amp;E254,计算辅助页面!$V$5:$Y$18,4,0)</f>
        <v>4</v>
      </c>
      <c r="AO254" s="304">
        <f t="shared" si="883"/>
        <v>14760000</v>
      </c>
      <c r="AP254" s="318">
        <f t="shared" si="1016"/>
        <v>42486000</v>
      </c>
      <c r="AQ254" s="288" t="s">
        <v>929</v>
      </c>
      <c r="AR254" s="289" t="str">
        <f t="shared" si="909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70"/>
        <v>1.8000000000000114</v>
      </c>
      <c r="BL254" s="473">
        <f t="shared" si="971"/>
        <v>0.70999999999999375</v>
      </c>
      <c r="BM254" s="473">
        <f t="shared" si="972"/>
        <v>1</v>
      </c>
      <c r="BN254" s="473">
        <f t="shared" si="973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34"/>
        <v>16.199999999999989</v>
      </c>
      <c r="CW254" s="297">
        <f t="shared" si="1034"/>
        <v>6.4900000000000091</v>
      </c>
      <c r="CX254" s="297">
        <f t="shared" si="1034"/>
        <v>9.1699999999999946</v>
      </c>
      <c r="CY254" s="297">
        <f t="shared" si="1034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1780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10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81"/>
        <v>180000</v>
      </c>
      <c r="AL255" s="316">
        <f>VLOOKUP(D255&amp;E255,计算辅助页面!$V$5:$Y$18,3,0)</f>
        <v>5</v>
      </c>
      <c r="AM255" s="317">
        <f t="shared" si="882"/>
        <v>540000</v>
      </c>
      <c r="AN255" s="317">
        <f>VLOOKUP(D255&amp;E255,计算辅助页面!$V$5:$Y$18,4,0)</f>
        <v>4</v>
      </c>
      <c r="AO255" s="304">
        <f t="shared" si="883"/>
        <v>14760000</v>
      </c>
      <c r="AP255" s="318">
        <f t="shared" si="1016"/>
        <v>42486000</v>
      </c>
      <c r="AQ255" s="288" t="s">
        <v>991</v>
      </c>
      <c r="AR255" s="289" t="str">
        <f t="shared" si="909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39">BL255</f>
        <v>0.62000000000000455</v>
      </c>
      <c r="BD255" s="472">
        <f t="shared" ref="BD255" si="1040">BM255</f>
        <v>3.5499999999999972</v>
      </c>
      <c r="BE255" s="472">
        <f t="shared" ref="BE255" si="1041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70"/>
        <v>1.1999999999999886</v>
      </c>
      <c r="BL255" s="473">
        <f t="shared" si="971"/>
        <v>0.62000000000000455</v>
      </c>
      <c r="BM255" s="473">
        <f t="shared" si="972"/>
        <v>3.5499999999999972</v>
      </c>
      <c r="BN255" s="473">
        <f t="shared" si="973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10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81"/>
        <v>180000</v>
      </c>
      <c r="AL256" s="316">
        <f>VLOOKUP(D256&amp;E256,计算辅助页面!$V$5:$Y$18,3,0)</f>
        <v>5</v>
      </c>
      <c r="AM256" s="317">
        <f t="shared" si="882"/>
        <v>540000</v>
      </c>
      <c r="AN256" s="317">
        <f>VLOOKUP(D256&amp;E256,计算辅助页面!$V$5:$Y$18,4,0)</f>
        <v>4</v>
      </c>
      <c r="AO256" s="304">
        <f t="shared" si="883"/>
        <v>14760000</v>
      </c>
      <c r="AP256" s="318">
        <f t="shared" si="1016"/>
        <v>42486000</v>
      </c>
      <c r="AQ256" s="288" t="s">
        <v>995</v>
      </c>
      <c r="AR256" s="289" t="str">
        <f t="shared" si="909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42">BB256+P256</f>
        <v>370.5</v>
      </c>
      <c r="BH256" s="480">
        <f t="shared" ref="BH256" si="1043">BC256+Q256</f>
        <v>89.199999999999989</v>
      </c>
      <c r="BI256" s="480">
        <f t="shared" ref="BI256" si="1044">BD256+R256</f>
        <v>83.04</v>
      </c>
      <c r="BJ256" s="480">
        <f t="shared" ref="BJ256" si="1045">BE256+S256</f>
        <v>80.83</v>
      </c>
      <c r="BK256" s="473">
        <f t="shared" si="970"/>
        <v>2</v>
      </c>
      <c r="BL256" s="473">
        <f t="shared" si="971"/>
        <v>0.70999999999999375</v>
      </c>
      <c r="BM256" s="473">
        <f t="shared" si="972"/>
        <v>2.5900000000000034</v>
      </c>
      <c r="BN256" s="473">
        <f t="shared" si="973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1780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10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81"/>
        <v>180000</v>
      </c>
      <c r="AL257" s="316">
        <f>VLOOKUP(D257&amp;E257,计算辅助页面!$V$5:$Y$18,3,0)</f>
        <v>5</v>
      </c>
      <c r="AM257" s="317">
        <f t="shared" si="882"/>
        <v>540000</v>
      </c>
      <c r="AN257" s="317">
        <f>VLOOKUP(D257&amp;E257,计算辅助页面!$V$5:$Y$18,4,0)</f>
        <v>4</v>
      </c>
      <c r="AO257" s="304">
        <f t="shared" si="883"/>
        <v>14760000</v>
      </c>
      <c r="AP257" s="318">
        <f t="shared" si="1016"/>
        <v>42486000</v>
      </c>
      <c r="AQ257" s="288" t="s">
        <v>1070</v>
      </c>
      <c r="AR257" s="289" t="str">
        <f t="shared" si="909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46">BB257+P257</f>
        <v>384.9</v>
      </c>
      <c r="BH257" s="480">
        <f t="shared" ref="BH257" si="1047">BC257+Q257</f>
        <v>86.5</v>
      </c>
      <c r="BI257" s="480">
        <f t="shared" ref="BI257" si="1048">BD257+R257</f>
        <v>69.08</v>
      </c>
      <c r="BJ257" s="480">
        <f t="shared" ref="BJ257" si="1049">BE257+S257</f>
        <v>67.44</v>
      </c>
      <c r="BK257" s="473">
        <f t="shared" si="970"/>
        <v>1.5</v>
      </c>
      <c r="BL257" s="473">
        <f t="shared" si="971"/>
        <v>0.70999999999999375</v>
      </c>
      <c r="BM257" s="473">
        <f t="shared" si="972"/>
        <v>1.769999999999996</v>
      </c>
      <c r="BN257" s="473">
        <f t="shared" si="973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1780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10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81"/>
        <v>180000</v>
      </c>
      <c r="AL258" s="316">
        <f>VLOOKUP(D258&amp;E258,计算辅助页面!$V$5:$Y$18,3,0)</f>
        <v>5</v>
      </c>
      <c r="AM258" s="317">
        <f t="shared" si="882"/>
        <v>540000</v>
      </c>
      <c r="AN258" s="317">
        <f>VLOOKUP(D258&amp;E258,计算辅助页面!$V$5:$Y$18,4,0)</f>
        <v>4</v>
      </c>
      <c r="AO258" s="304">
        <f t="shared" si="883"/>
        <v>14760000</v>
      </c>
      <c r="AP258" s="318">
        <f t="shared" si="1016"/>
        <v>42486000</v>
      </c>
      <c r="AQ258" s="288" t="s">
        <v>568</v>
      </c>
      <c r="AR258" s="289" t="str">
        <f t="shared" si="909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50">BB258+P258</f>
        <v>418.2</v>
      </c>
      <c r="BH258" s="480">
        <f t="shared" ref="BH258" si="1051">BC258+Q258</f>
        <v>82</v>
      </c>
      <c r="BI258" s="480">
        <f t="shared" ref="BI258" si="1052">BD258+R258</f>
        <v>57.809999999999995</v>
      </c>
      <c r="BJ258" s="480">
        <f t="shared" ref="BJ258" si="1053">BE258+S258</f>
        <v>76.41</v>
      </c>
      <c r="BK258" s="473">
        <f t="shared" si="970"/>
        <v>1.5</v>
      </c>
      <c r="BL258" s="473">
        <f t="shared" si="971"/>
        <v>0.89000000000000057</v>
      </c>
      <c r="BM258" s="473">
        <f t="shared" si="972"/>
        <v>1.1599999999999966</v>
      </c>
      <c r="BN258" s="473">
        <f t="shared" si="973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1780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1879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10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81"/>
        <v>180000</v>
      </c>
      <c r="AL259" s="316">
        <f>VLOOKUP(D259&amp;E259,计算辅助页面!$V$5:$Y$18,3,0)</f>
        <v>5</v>
      </c>
      <c r="AM259" s="317">
        <f t="shared" si="882"/>
        <v>540000</v>
      </c>
      <c r="AN259" s="317">
        <f>VLOOKUP(D259&amp;E259,计算辅助页面!$V$5:$Y$18,4,0)</f>
        <v>4</v>
      </c>
      <c r="AO259" s="304">
        <f t="shared" si="883"/>
        <v>14760000</v>
      </c>
      <c r="AP259" s="318">
        <f t="shared" si="1016"/>
        <v>42486000</v>
      </c>
      <c r="AQ259" s="288" t="s">
        <v>1880</v>
      </c>
      <c r="AR259" s="289" t="str">
        <f t="shared" si="909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54">BB259+P259</f>
        <v>425.2</v>
      </c>
      <c r="BH259" s="480">
        <f t="shared" ref="BH259:BH260" si="1055">BC259+Q259</f>
        <v>86.5</v>
      </c>
      <c r="BI259" s="480">
        <f t="shared" ref="BI259:BI260" si="1056">BD259+R259</f>
        <v>43.41</v>
      </c>
      <c r="BJ259" s="480">
        <f t="shared" ref="BJ259:BJ260" si="1057">BE259+S259</f>
        <v>53.690000000000005</v>
      </c>
      <c r="BK259" s="473">
        <f t="shared" si="970"/>
        <v>2.1999999999999886</v>
      </c>
      <c r="BL259" s="473">
        <f t="shared" si="971"/>
        <v>0.43999999999999773</v>
      </c>
      <c r="BM259" s="473">
        <f t="shared" si="972"/>
        <v>0.57999999999999829</v>
      </c>
      <c r="BN259" s="473">
        <f t="shared" si="973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1780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1781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10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881"/>
        <v>180000</v>
      </c>
      <c r="AL260" s="316">
        <f>VLOOKUP(D260&amp;E260,计算辅助页面!$V$5:$Y$18,3,0)</f>
        <v>5</v>
      </c>
      <c r="AM260" s="317">
        <f t="shared" si="882"/>
        <v>540000</v>
      </c>
      <c r="AN260" s="317">
        <f>VLOOKUP(D260&amp;E260,计算辅助页面!$V$5:$Y$18,4,0)</f>
        <v>4</v>
      </c>
      <c r="AO260" s="304">
        <f t="shared" si="883"/>
        <v>14760000</v>
      </c>
      <c r="AP260" s="318">
        <f t="shared" si="1016"/>
        <v>42486000</v>
      </c>
      <c r="AQ260" s="288" t="s">
        <v>570</v>
      </c>
      <c r="AR260" s="289" t="str">
        <f t="shared" si="909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54"/>
        <v>459</v>
      </c>
      <c r="BH260" s="480">
        <f t="shared" si="1055"/>
        <v>81.55</v>
      </c>
      <c r="BI260" s="480">
        <f t="shared" si="1056"/>
        <v>49.54</v>
      </c>
      <c r="BJ260" s="480">
        <f t="shared" si="1057"/>
        <v>53.55</v>
      </c>
      <c r="BK260" s="473">
        <f t="shared" si="970"/>
        <v>1.8999999999999773</v>
      </c>
      <c r="BL260" s="473">
        <f t="shared" si="971"/>
        <v>0.67000000000000171</v>
      </c>
      <c r="BM260" s="473">
        <f t="shared" si="972"/>
        <v>0.78999999999999915</v>
      </c>
      <c r="BN260" s="473">
        <f t="shared" si="973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1780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10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881"/>
        <v>180000</v>
      </c>
      <c r="AL261" s="316">
        <f>VLOOKUP(D261&amp;E261,计算辅助页面!$V$5:$Y$18,3,0)</f>
        <v>5</v>
      </c>
      <c r="AM261" s="317">
        <f t="shared" si="882"/>
        <v>540000</v>
      </c>
      <c r="AN261" s="317">
        <f>VLOOKUP(D261&amp;E261,计算辅助页面!$V$5:$Y$18,4,0)</f>
        <v>4</v>
      </c>
      <c r="AO261" s="304">
        <f t="shared" si="883"/>
        <v>14760000</v>
      </c>
      <c r="AP261" s="318">
        <f t="shared" si="1016"/>
        <v>42486000</v>
      </c>
      <c r="AQ261" s="288" t="s">
        <v>1051</v>
      </c>
      <c r="AR261" s="289" t="str">
        <f t="shared" si="909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58">BL261</f>
        <v>0.79999999999999716</v>
      </c>
      <c r="BD261" s="472">
        <f t="shared" ref="BD261" si="1059">BM261</f>
        <v>0.67000000000000171</v>
      </c>
      <c r="BE261" s="472">
        <f t="shared" ref="BE261" si="1060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70"/>
        <v>3.1000000000000227</v>
      </c>
      <c r="BL261" s="473">
        <f t="shared" si="971"/>
        <v>0.79999999999999716</v>
      </c>
      <c r="BM261" s="473">
        <f t="shared" si="972"/>
        <v>0.67000000000000171</v>
      </c>
      <c r="BN261" s="473">
        <f t="shared" si="973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1782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10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881"/>
        <v>180000</v>
      </c>
      <c r="AL262" s="316">
        <f>VLOOKUP(D262&amp;E262,计算辅助页面!$V$5:$Y$18,3,0)</f>
        <v>5</v>
      </c>
      <c r="AM262" s="317">
        <f t="shared" si="882"/>
        <v>540000</v>
      </c>
      <c r="AN262" s="317">
        <f>VLOOKUP(D262&amp;E262,计算辅助页面!$V$5:$Y$18,4,0)</f>
        <v>4</v>
      </c>
      <c r="AO262" s="304">
        <f t="shared" si="883"/>
        <v>14760000</v>
      </c>
      <c r="AP262" s="318">
        <f t="shared" si="1016"/>
        <v>42486000</v>
      </c>
      <c r="AQ262" s="288" t="s">
        <v>1096</v>
      </c>
      <c r="AR262" s="289" t="str">
        <f t="shared" si="909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61">BB262+P262</f>
        <v>420</v>
      </c>
      <c r="BH262" s="480">
        <f t="shared" ref="BH262:BH263" si="1062">BC262+Q262</f>
        <v>82</v>
      </c>
      <c r="BI262" s="480">
        <f t="shared" ref="BI262:BI263" si="1063">BD262+R262</f>
        <v>65</v>
      </c>
      <c r="BJ262" s="480">
        <f t="shared" ref="BJ262:BJ263" si="1064">BE262+S262</f>
        <v>65</v>
      </c>
      <c r="BK262" s="473">
        <f t="shared" si="970"/>
        <v>1.8000000000000114</v>
      </c>
      <c r="BL262" s="473">
        <f t="shared" si="971"/>
        <v>0.62000000000000455</v>
      </c>
      <c r="BM262" s="473">
        <f t="shared" si="972"/>
        <v>1.4600000000000009</v>
      </c>
      <c r="BN262" s="473">
        <f t="shared" si="973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1782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10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881"/>
        <v>180000</v>
      </c>
      <c r="AL263" s="316">
        <f>VLOOKUP(D263&amp;E263,计算辅助页面!$V$5:$Y$18,3,0)</f>
        <v>5</v>
      </c>
      <c r="AM263" s="317">
        <f t="shared" si="882"/>
        <v>540000</v>
      </c>
      <c r="AN263" s="317">
        <f>VLOOKUP(D263&amp;E263,计算辅助页面!$V$5:$Y$18,4,0)</f>
        <v>4</v>
      </c>
      <c r="AO263" s="304">
        <f t="shared" si="883"/>
        <v>14760000</v>
      </c>
      <c r="AP263" s="318">
        <f t="shared" si="1016"/>
        <v>42486000</v>
      </c>
      <c r="AQ263" s="288" t="s">
        <v>565</v>
      </c>
      <c r="AR263" s="289" t="str">
        <f t="shared" si="909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61"/>
        <v>370</v>
      </c>
      <c r="BH263" s="480">
        <f t="shared" si="1062"/>
        <v>82.899999999999991</v>
      </c>
      <c r="BI263" s="480">
        <f t="shared" si="1063"/>
        <v>94.97999999999999</v>
      </c>
      <c r="BJ263" s="480">
        <f t="shared" si="1064"/>
        <v>82.51</v>
      </c>
      <c r="BK263" s="473">
        <f t="shared" si="970"/>
        <v>1.8999999999999773</v>
      </c>
      <c r="BL263" s="473">
        <f t="shared" si="971"/>
        <v>0.79999999999999716</v>
      </c>
      <c r="BM263" s="473">
        <f t="shared" si="972"/>
        <v>2.6299999999999955</v>
      </c>
      <c r="BN263" s="473">
        <f t="shared" si="973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10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881"/>
        <v>180000</v>
      </c>
      <c r="AL264" s="316">
        <f>VLOOKUP(D264&amp;E264,计算辅助页面!$V$5:$Y$18,3,0)</f>
        <v>5</v>
      </c>
      <c r="AM264" s="317">
        <f t="shared" si="882"/>
        <v>540000</v>
      </c>
      <c r="AN264" s="317">
        <f>VLOOKUP(D264&amp;E264,计算辅助页面!$V$5:$Y$18,4,0)</f>
        <v>4</v>
      </c>
      <c r="AO264" s="304">
        <f t="shared" si="883"/>
        <v>14760000</v>
      </c>
      <c r="AP264" s="318">
        <f t="shared" si="1016"/>
        <v>42486000</v>
      </c>
      <c r="AQ264" s="288" t="s">
        <v>1198</v>
      </c>
      <c r="AR264" s="289" t="str">
        <f t="shared" si="909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65">BB264+P264</f>
        <v>443.4</v>
      </c>
      <c r="BH264" s="480">
        <f t="shared" ref="BH264" si="1066">BC264+Q264</f>
        <v>82</v>
      </c>
      <c r="BI264" s="480">
        <f t="shared" ref="BI264" si="1067">BD264+R264</f>
        <v>48.919999999999995</v>
      </c>
      <c r="BJ264" s="480">
        <f t="shared" ref="BJ264" si="1068">BE264+S264</f>
        <v>62.14</v>
      </c>
      <c r="BK264" s="473">
        <f t="shared" si="970"/>
        <v>2.3999999999999773</v>
      </c>
      <c r="BL264" s="473">
        <f t="shared" si="971"/>
        <v>0.43999999999999773</v>
      </c>
      <c r="BM264" s="473">
        <f t="shared" si="972"/>
        <v>1.009999999999998</v>
      </c>
      <c r="BN264" s="473">
        <f t="shared" si="973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1600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10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69">IF(AI265,2*AI265,"")</f>
        <v>180000</v>
      </c>
      <c r="AL265" s="316">
        <f>VLOOKUP(D265&amp;E265,计算辅助页面!$V$5:$Y$18,3,0)</f>
        <v>5</v>
      </c>
      <c r="AM265" s="317">
        <f t="shared" ref="AM265:AM301" si="1070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71">IF(AI265,IF(AN265="×",4*(AI265*AJ265+AK265*AL265),4*(AI265*AJ265+AK265*AL265+AM265*AN265)),"")</f>
        <v>14760000</v>
      </c>
      <c r="AP265" s="318">
        <f t="shared" si="1016"/>
        <v>42486000</v>
      </c>
      <c r="AQ265" s="288" t="s">
        <v>994</v>
      </c>
      <c r="AR265" s="289" t="str">
        <f t="shared" ref="AR265:AR300" si="1072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70"/>
        <v/>
      </c>
      <c r="BL265" s="473" t="str">
        <f t="shared" si="971"/>
        <v/>
      </c>
      <c r="BM265" s="473" t="str">
        <f t="shared" si="972"/>
        <v/>
      </c>
      <c r="BN265" s="473" t="str">
        <f t="shared" si="973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10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69"/>
        <v>180000</v>
      </c>
      <c r="AL266" s="316">
        <f>VLOOKUP(D266&amp;E266,计算辅助页面!$V$5:$Y$18,3,0)</f>
        <v>5</v>
      </c>
      <c r="AM266" s="317">
        <f t="shared" si="1070"/>
        <v>540000</v>
      </c>
      <c r="AN266" s="317">
        <f>VLOOKUP(D266&amp;E266,计算辅助页面!$V$5:$Y$18,4,0)</f>
        <v>4</v>
      </c>
      <c r="AO266" s="304">
        <f t="shared" si="1071"/>
        <v>14760000</v>
      </c>
      <c r="AP266" s="318">
        <f t="shared" si="1016"/>
        <v>42486000</v>
      </c>
      <c r="AQ266" s="288" t="s">
        <v>1252</v>
      </c>
      <c r="AR266" s="289" t="str">
        <f t="shared" si="1072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73">BB266+P266</f>
        <v>407.1</v>
      </c>
      <c r="BH266" s="480">
        <f t="shared" ref="BH266" si="1074">BC266+Q266</f>
        <v>82.9</v>
      </c>
      <c r="BI266" s="480">
        <f t="shared" ref="BI266" si="1075">BD266+R266</f>
        <v>63.48</v>
      </c>
      <c r="BJ266" s="480">
        <f t="shared" ref="BJ266" si="1076">BE266+S266</f>
        <v>77.16</v>
      </c>
      <c r="BK266" s="473">
        <f t="shared" si="970"/>
        <v>1.8000000000000114</v>
      </c>
      <c r="BL266" s="473">
        <f t="shared" si="971"/>
        <v>0.62000000000000455</v>
      </c>
      <c r="BM266" s="473">
        <f t="shared" si="972"/>
        <v>1.1799999999999997</v>
      </c>
      <c r="BN266" s="473">
        <f t="shared" si="973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1782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1723</v>
      </c>
      <c r="D267" s="302" t="s">
        <v>42</v>
      </c>
      <c r="E267" s="303" t="s">
        <v>79</v>
      </c>
      <c r="F267" s="304">
        <f t="shared" ref="F267:F273" si="1077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10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69"/>
        <v>180000</v>
      </c>
      <c r="AL267" s="316">
        <f>VLOOKUP(D267&amp;E267,计算辅助页面!$V$5:$Y$18,3,0)</f>
        <v>5</v>
      </c>
      <c r="AM267" s="317">
        <f t="shared" si="1070"/>
        <v>540000</v>
      </c>
      <c r="AN267" s="317">
        <f>VLOOKUP(D267&amp;E267,计算辅助页面!$V$5:$Y$18,4,0)</f>
        <v>4</v>
      </c>
      <c r="AO267" s="304">
        <f t="shared" si="1071"/>
        <v>14760000</v>
      </c>
      <c r="AP267" s="318">
        <f t="shared" si="1016"/>
        <v>42486000</v>
      </c>
      <c r="AQ267" s="288" t="s">
        <v>712</v>
      </c>
      <c r="AR267" s="289" t="str">
        <f t="shared" si="1072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078">BB267+P267</f>
        <v>446</v>
      </c>
      <c r="BH267" s="480">
        <f t="shared" ref="BH267" si="1079">BC267+Q267</f>
        <v>85.15</v>
      </c>
      <c r="BI267" s="480">
        <f t="shared" ref="BI267" si="1080">BD267+R267</f>
        <v>46.37</v>
      </c>
      <c r="BJ267" s="480">
        <f t="shared" ref="BJ267" si="1081">BE267+S267</f>
        <v>64.760000000000005</v>
      </c>
      <c r="BK267" s="473">
        <f t="shared" si="970"/>
        <v>2.6000000000000227</v>
      </c>
      <c r="BL267" s="473">
        <f t="shared" si="971"/>
        <v>0.75</v>
      </c>
      <c r="BM267" s="473">
        <f t="shared" si="972"/>
        <v>0.75</v>
      </c>
      <c r="BN267" s="473">
        <f t="shared" si="973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082">P267-CR267</f>
        <v>23.399999999999977</v>
      </c>
      <c r="CW267" s="297">
        <f t="shared" si="1082"/>
        <v>6.9000000000000057</v>
      </c>
      <c r="CX267" s="297">
        <f t="shared" si="1082"/>
        <v>6.8699999999999974</v>
      </c>
      <c r="CY267" s="297">
        <f t="shared" si="1082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1782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077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10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69"/>
        <v>180000</v>
      </c>
      <c r="AL268" s="316">
        <f>VLOOKUP(D268&amp;E268,计算辅助页面!$V$5:$Y$18,3,0)</f>
        <v>5</v>
      </c>
      <c r="AM268" s="317">
        <f t="shared" si="1070"/>
        <v>540000</v>
      </c>
      <c r="AN268" s="317">
        <f>VLOOKUP(D268&amp;E268,计算辅助页面!$V$5:$Y$18,4,0)</f>
        <v>4</v>
      </c>
      <c r="AO268" s="304">
        <f t="shared" si="1071"/>
        <v>14760000</v>
      </c>
      <c r="AP268" s="318">
        <f t="shared" si="1016"/>
        <v>42486000</v>
      </c>
      <c r="AQ268" s="288" t="s">
        <v>804</v>
      </c>
      <c r="AR268" s="289" t="str">
        <f t="shared" si="1072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083">BL268</f>
        <v>0.61999999999999034</v>
      </c>
      <c r="BD268" s="472">
        <f t="shared" ref="BD268" si="1084">BM268</f>
        <v>0.71000000000000085</v>
      </c>
      <c r="BE268" s="472">
        <f t="shared" ref="BE268" si="1085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70"/>
        <v>1.6999999999999886</v>
      </c>
      <c r="BL268" s="473">
        <f t="shared" si="971"/>
        <v>0.61999999999999034</v>
      </c>
      <c r="BM268" s="473">
        <f t="shared" si="972"/>
        <v>0.71000000000000085</v>
      </c>
      <c r="BN268" s="473">
        <f t="shared" si="973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082"/>
        <v>15.5</v>
      </c>
      <c r="CW268" s="297">
        <f t="shared" si="1082"/>
        <v>5.6800000000000068</v>
      </c>
      <c r="CX268" s="297">
        <f t="shared" si="1082"/>
        <v>6.529999999999994</v>
      </c>
      <c r="CY268" s="297">
        <f t="shared" si="1082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077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10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69"/>
        <v>180000</v>
      </c>
      <c r="AL269" s="316">
        <f>VLOOKUP(D269&amp;E269,计算辅助页面!$V$5:$Y$18,3,0)</f>
        <v>5</v>
      </c>
      <c r="AM269" s="317">
        <f t="shared" si="1070"/>
        <v>540000</v>
      </c>
      <c r="AN269" s="317">
        <f>VLOOKUP(D269&amp;E269,计算辅助页面!$V$5:$Y$18,4,0)</f>
        <v>4</v>
      </c>
      <c r="AO269" s="304">
        <f t="shared" si="1071"/>
        <v>14760000</v>
      </c>
      <c r="AP269" s="318">
        <f t="shared" si="1016"/>
        <v>42486000</v>
      </c>
      <c r="AQ269" s="288" t="s">
        <v>712</v>
      </c>
      <c r="AR269" s="289" t="str">
        <f t="shared" si="1072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086">BB269+P269</f>
        <v>397.8</v>
      </c>
      <c r="BH269" s="480">
        <f t="shared" ref="BH269" si="1087">BC269+Q269</f>
        <v>86.5</v>
      </c>
      <c r="BI269" s="480">
        <f t="shared" ref="BI269" si="1088">BD269+R269</f>
        <v>62.5</v>
      </c>
      <c r="BJ269" s="480">
        <f t="shared" ref="BJ269" si="1089">BE269+S269</f>
        <v>75.839999999999989</v>
      </c>
      <c r="BK269" s="473">
        <f t="shared" si="970"/>
        <v>1.8000000000000114</v>
      </c>
      <c r="BL269" s="473">
        <f t="shared" si="971"/>
        <v>0.79999999999999716</v>
      </c>
      <c r="BM269" s="473">
        <f t="shared" si="972"/>
        <v>1.0200000000000031</v>
      </c>
      <c r="BN269" s="473">
        <f t="shared" si="973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082"/>
        <v>16</v>
      </c>
      <c r="CW269" s="297">
        <f t="shared" si="1082"/>
        <v>7.2999999999999972</v>
      </c>
      <c r="CX269" s="297">
        <f t="shared" si="1082"/>
        <v>9.279999999999994</v>
      </c>
      <c r="CY269" s="297">
        <f t="shared" si="1082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1782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077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10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69"/>
        <v>180000</v>
      </c>
      <c r="AL270" s="316">
        <f>VLOOKUP(D270&amp;E270,计算辅助页面!$V$5:$Y$18,3,0)</f>
        <v>5</v>
      </c>
      <c r="AM270" s="317">
        <f t="shared" si="1070"/>
        <v>540000</v>
      </c>
      <c r="AN270" s="317">
        <f>VLOOKUP(D270&amp;E270,计算辅助页面!$V$5:$Y$18,4,0)</f>
        <v>4</v>
      </c>
      <c r="AO270" s="304">
        <f t="shared" si="1071"/>
        <v>14760000</v>
      </c>
      <c r="AP270" s="318">
        <f t="shared" si="1016"/>
        <v>42486000</v>
      </c>
      <c r="AQ270" s="288" t="s">
        <v>1118</v>
      </c>
      <c r="AR270" s="289" t="str">
        <f t="shared" si="1072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090">BB270+P270</f>
        <v>396.9</v>
      </c>
      <c r="BH270" s="480">
        <f t="shared" ref="BH270" si="1091">BC270+Q270</f>
        <v>86.73</v>
      </c>
      <c r="BI270" s="480">
        <f t="shared" ref="BI270" si="1092">BD270+R270</f>
        <v>75.709999999999994</v>
      </c>
      <c r="BJ270" s="480">
        <f t="shared" ref="BJ270" si="1093">BE270+S270</f>
        <v>63.41</v>
      </c>
      <c r="BK270" s="473">
        <f t="shared" si="970"/>
        <v>1.6999999999999886</v>
      </c>
      <c r="BL270" s="473">
        <f t="shared" si="971"/>
        <v>0.73000000000000398</v>
      </c>
      <c r="BM270" s="473">
        <f t="shared" si="972"/>
        <v>2</v>
      </c>
      <c r="BN270" s="473">
        <f t="shared" si="973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1782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1938</v>
      </c>
      <c r="C271" s="301" t="s">
        <v>1939</v>
      </c>
      <c r="D271" s="302" t="s">
        <v>42</v>
      </c>
      <c r="E271" s="303" t="s">
        <v>79</v>
      </c>
      <c r="F271" s="327"/>
      <c r="G271" s="328"/>
      <c r="H271" s="330">
        <v>35</v>
      </c>
      <c r="I271" s="320" t="s">
        <v>1928</v>
      </c>
      <c r="J271" s="320" t="s">
        <v>1928</v>
      </c>
      <c r="K271" s="320" t="s">
        <v>1928</v>
      </c>
      <c r="L271" s="320" t="s">
        <v>1928</v>
      </c>
      <c r="M271" s="320" t="s">
        <v>1928</v>
      </c>
      <c r="N271" s="333"/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094">IF(AI271,2*AI271,"")</f>
        <v>180000</v>
      </c>
      <c r="AL271" s="316">
        <f>VLOOKUP(D271&amp;E271,计算辅助页面!$V$5:$Y$18,3,0)</f>
        <v>5</v>
      </c>
      <c r="AM271" s="317">
        <f t="shared" ref="AM271" si="1095">IF(AN271="×",AN271,IF(AI271,6*AI271,""))</f>
        <v>540000</v>
      </c>
      <c r="AN271" s="317">
        <f>VLOOKUP(D271&amp;E271,计算辅助页面!$V$5:$Y$18,4,0)</f>
        <v>4</v>
      </c>
      <c r="AO271" s="304">
        <f t="shared" ref="AO271" si="1096">IF(AI271,IF(AN271="×",4*(AI271*AJ271+AK271*AL271),4*(AI271*AJ271+AK271*AL271+AM271*AN271)),"")</f>
        <v>14760000</v>
      </c>
      <c r="AP271" s="318">
        <f t="shared" ref="AP271" si="1097">IF(AND(AH271,AO271),AO271+AH271,"")</f>
        <v>42486000</v>
      </c>
      <c r="AQ271" s="288" t="s">
        <v>1940</v>
      </c>
      <c r="AR271" s="289" t="str">
        <f t="shared" si="1072"/>
        <v>Ultimate Aero TT</v>
      </c>
      <c r="AS271" s="290" t="s">
        <v>1930</v>
      </c>
      <c r="AT271" s="291" t="s">
        <v>1941</v>
      </c>
      <c r="AU271" s="427" t="s">
        <v>703</v>
      </c>
      <c r="AZ271" s="292" t="s">
        <v>1957</v>
      </c>
      <c r="BA271" s="481">
        <f>BF271-O271</f>
        <v>132</v>
      </c>
      <c r="BB271" s="476">
        <f>BK271</f>
        <v>1.5999999999999659</v>
      </c>
      <c r="BC271" s="472">
        <f t="shared" ref="BC271" si="1098">BL271</f>
        <v>0.51000000000000512</v>
      </c>
      <c r="BD271" s="472">
        <f t="shared" ref="BD271" si="1099">BM271</f>
        <v>0.88999999999999346</v>
      </c>
      <c r="BE271" s="472">
        <f t="shared" ref="BE271" si="1100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01">IF(BG271="", "", BG271-P271)</f>
        <v>1.5999999999999659</v>
      </c>
      <c r="BL271" s="473">
        <f t="shared" ref="BL271" si="1102">IF(BH271="", "", BH271-Q271)</f>
        <v>0.51000000000000512</v>
      </c>
      <c r="BM271" s="473">
        <f t="shared" ref="BM271" si="1103">IF(BI271="", "", BI271-R271)</f>
        <v>0.88999999999999346</v>
      </c>
      <c r="BN271" s="473">
        <f t="shared" ref="BN271" si="1104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077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10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69"/>
        <v>180000</v>
      </c>
      <c r="AL272" s="316">
        <f>VLOOKUP(D272&amp;E272,计算辅助页面!$V$5:$Y$18,3,0)</f>
        <v>5</v>
      </c>
      <c r="AM272" s="317">
        <f t="shared" si="1070"/>
        <v>540000</v>
      </c>
      <c r="AN272" s="317">
        <f>VLOOKUP(D272&amp;E272,计算辅助页面!$V$5:$Y$18,4,0)</f>
        <v>4</v>
      </c>
      <c r="AO272" s="304">
        <f t="shared" si="1071"/>
        <v>14760000</v>
      </c>
      <c r="AP272" s="318">
        <f t="shared" si="1016"/>
        <v>42486000</v>
      </c>
      <c r="AQ272" s="288" t="s">
        <v>993</v>
      </c>
      <c r="AR272" s="289" t="str">
        <f t="shared" si="1072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70"/>
        <v/>
      </c>
      <c r="BL272" s="473" t="str">
        <f t="shared" si="971"/>
        <v/>
      </c>
      <c r="BM272" s="473" t="str">
        <f t="shared" si="972"/>
        <v/>
      </c>
      <c r="BN272" s="473" t="str">
        <f t="shared" si="973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077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10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69"/>
        <v>180000</v>
      </c>
      <c r="AL273" s="316">
        <f>VLOOKUP(D273&amp;E273,计算辅助页面!$V$5:$Y$18,3,0)</f>
        <v>5</v>
      </c>
      <c r="AM273" s="317">
        <f t="shared" si="1070"/>
        <v>540000</v>
      </c>
      <c r="AN273" s="317">
        <f>VLOOKUP(D273&amp;E273,计算辅助页面!$V$5:$Y$18,4,0)</f>
        <v>4</v>
      </c>
      <c r="AO273" s="304">
        <f t="shared" si="1071"/>
        <v>14760000</v>
      </c>
      <c r="AP273" s="318">
        <f t="shared" si="1016"/>
        <v>42486000</v>
      </c>
      <c r="AQ273" s="288" t="s">
        <v>1045</v>
      </c>
      <c r="AR273" s="289" t="str">
        <f t="shared" si="1072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70"/>
        <v/>
      </c>
      <c r="BL273" s="473" t="str">
        <f t="shared" si="971"/>
        <v/>
      </c>
      <c r="BM273" s="473" t="str">
        <f t="shared" si="972"/>
        <v/>
      </c>
      <c r="BN273" s="473" t="str">
        <f t="shared" si="973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10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69"/>
        <v>180000</v>
      </c>
      <c r="AL274" s="316">
        <f>VLOOKUP(D274&amp;E274,计算辅助页面!$V$5:$Y$18,3,0)</f>
        <v>5</v>
      </c>
      <c r="AM274" s="317">
        <f t="shared" si="1070"/>
        <v>540000</v>
      </c>
      <c r="AN274" s="317">
        <f>VLOOKUP(D274&amp;E274,计算辅助页面!$V$5:$Y$18,4,0)</f>
        <v>4</v>
      </c>
      <c r="AO274" s="304">
        <f t="shared" si="1071"/>
        <v>14760000</v>
      </c>
      <c r="AP274" s="318">
        <f t="shared" si="1016"/>
        <v>42486000</v>
      </c>
      <c r="AQ274" s="288" t="s">
        <v>994</v>
      </c>
      <c r="AR274" s="289" t="str">
        <f t="shared" si="1072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70"/>
        <v/>
      </c>
      <c r="BL274" s="473" t="str">
        <f t="shared" si="971"/>
        <v/>
      </c>
      <c r="BM274" s="473" t="str">
        <f t="shared" si="972"/>
        <v/>
      </c>
      <c r="BN274" s="473" t="str">
        <f t="shared" si="973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1689</v>
      </c>
      <c r="C275" s="301" t="s">
        <v>1690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05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06">IF(AI275,2*AI275,"")</f>
        <v>180000</v>
      </c>
      <c r="AL275" s="316">
        <f>VLOOKUP(D275&amp;E275,计算辅助页面!$V$5:$Y$18,3,0)</f>
        <v>5</v>
      </c>
      <c r="AM275" s="317">
        <f t="shared" ref="AM275" si="1107">IF(AN275="×",AN275,IF(AI275,6*AI275,""))</f>
        <v>540000</v>
      </c>
      <c r="AN275" s="317">
        <f>VLOOKUP(D275&amp;E275,计算辅助页面!$V$5:$Y$18,4,0)</f>
        <v>4</v>
      </c>
      <c r="AO275" s="304">
        <f t="shared" ref="AO275" si="1108">IF(AI275,IF(AN275="×",4*(AI275*AJ275+AK275*AL275),4*(AI275*AJ275+AK275*AL275+AM275*AN275)),"")</f>
        <v>14760000</v>
      </c>
      <c r="AP275" s="318">
        <f t="shared" ref="AP275" si="1109">IF(AND(AH275,AO275),AO275+AH275,"")</f>
        <v>42486000</v>
      </c>
      <c r="AQ275" s="288" t="s">
        <v>712</v>
      </c>
      <c r="AR275" s="289" t="str">
        <f t="shared" si="1072"/>
        <v>Chiron Pur Sport</v>
      </c>
      <c r="AS275" s="290" t="s">
        <v>1718</v>
      </c>
      <c r="AT275" s="291" t="s">
        <v>1691</v>
      </c>
      <c r="AU275" s="427" t="s">
        <v>703</v>
      </c>
      <c r="AZ275" s="292" t="s">
        <v>1696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10">BB275+P275</f>
        <v>399.7</v>
      </c>
      <c r="BH275" s="480">
        <f t="shared" ref="BH275" si="1111">BC275+Q275</f>
        <v>87.850000000000009</v>
      </c>
      <c r="BI275" s="480">
        <f t="shared" ref="BI275" si="1112">BD275+R275</f>
        <v>75.260000000000005</v>
      </c>
      <c r="BJ275" s="480">
        <f t="shared" ref="BJ275" si="1113">BE275+S275</f>
        <v>68.239999999999995</v>
      </c>
      <c r="BK275" s="473">
        <f t="shared" si="970"/>
        <v>1.8999999999999773</v>
      </c>
      <c r="BL275" s="473">
        <f t="shared" si="971"/>
        <v>0.84000000000000341</v>
      </c>
      <c r="BM275" s="473">
        <f t="shared" si="972"/>
        <v>1.6400000000000006</v>
      </c>
      <c r="BN275" s="473">
        <f t="shared" si="973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1782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10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69"/>
        <v>180000</v>
      </c>
      <c r="AL276" s="316">
        <f>VLOOKUP(D276&amp;E276,计算辅助页面!$V$5:$Y$18,3,0)</f>
        <v>5</v>
      </c>
      <c r="AM276" s="317">
        <f t="shared" si="1070"/>
        <v>540000</v>
      </c>
      <c r="AN276" s="317">
        <f>VLOOKUP(D276&amp;E276,计算辅助页面!$V$5:$Y$18,4,0)</f>
        <v>4</v>
      </c>
      <c r="AO276" s="304">
        <f t="shared" si="1071"/>
        <v>14760000</v>
      </c>
      <c r="AP276" s="318">
        <f t="shared" si="1016"/>
        <v>42486000</v>
      </c>
      <c r="AQ276" s="288" t="s">
        <v>570</v>
      </c>
      <c r="AR276" s="289" t="str">
        <f t="shared" si="1072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14">BB276+P276</f>
        <v>498</v>
      </c>
      <c r="BH276" s="480">
        <f t="shared" ref="BH276:BH278" si="1115">BC276+Q276</f>
        <v>80.649999999999991</v>
      </c>
      <c r="BI276" s="480">
        <f t="shared" ref="BI276:BI278" si="1116">BD276+R276</f>
        <v>48.879999999999995</v>
      </c>
      <c r="BJ276" s="480">
        <f t="shared" ref="BJ276:BJ278" si="1117">BE276+S276</f>
        <v>59.949999999999996</v>
      </c>
      <c r="BK276" s="473">
        <f t="shared" si="970"/>
        <v>1.3999999999999773</v>
      </c>
      <c r="BL276" s="473">
        <f t="shared" si="971"/>
        <v>0.57999999999999829</v>
      </c>
      <c r="BM276" s="473">
        <f t="shared" si="972"/>
        <v>0.68999999999999773</v>
      </c>
      <c r="BN276" s="473">
        <f t="shared" si="973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1795</v>
      </c>
      <c r="C277" s="301" t="s">
        <v>1788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18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19">IF(AI277,2*AI277,"")</f>
        <v>180000</v>
      </c>
      <c r="AL277" s="316">
        <f>VLOOKUP(D277&amp;E277,计算辅助页面!$V$5:$Y$18,3,0)</f>
        <v>5</v>
      </c>
      <c r="AM277" s="317">
        <f t="shared" ref="AM277" si="1120">IF(AN277="×",AN277,IF(AI277,6*AI277,""))</f>
        <v>540000</v>
      </c>
      <c r="AN277" s="317">
        <f>VLOOKUP(D277&amp;E277,计算辅助页面!$V$5:$Y$18,4,0)</f>
        <v>4</v>
      </c>
      <c r="AO277" s="304">
        <f t="shared" ref="AO277" si="1121">IF(AI277,IF(AN277="×",4*(AI277*AJ277+AK277*AL277),4*(AI277*AJ277+AK277*AL277+AM277*AN277)),"")</f>
        <v>14760000</v>
      </c>
      <c r="AP277" s="318">
        <f t="shared" ref="AP277" si="1122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1814</v>
      </c>
      <c r="AT277" s="291" t="s">
        <v>1793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23">BB277+P277</f>
        <v>410.8</v>
      </c>
      <c r="BH277" s="480">
        <f t="shared" ref="BH277" si="1124">BC277+Q277</f>
        <v>89.649999999999991</v>
      </c>
      <c r="BI277" s="480">
        <f t="shared" ref="BI277" si="1125">BD277+R277</f>
        <v>65.64</v>
      </c>
      <c r="BJ277" s="480">
        <f t="shared" ref="BJ277" si="1126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1789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1759</v>
      </c>
      <c r="C278" s="301" t="s">
        <v>1783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69"/>
        <v>180000</v>
      </c>
      <c r="AL278" s="316">
        <f>VLOOKUP(D278&amp;E278,计算辅助页面!$V$5:$Y$18,3,0)</f>
        <v>5</v>
      </c>
      <c r="AM278" s="317">
        <f t="shared" si="1070"/>
        <v>540000</v>
      </c>
      <c r="AN278" s="317">
        <f>VLOOKUP(D278&amp;E278,计算辅助页面!$V$5:$Y$18,4,0)</f>
        <v>4</v>
      </c>
      <c r="AO278" s="304">
        <f t="shared" si="1071"/>
        <v>14760000</v>
      </c>
      <c r="AP278" s="318">
        <f t="shared" si="1016"/>
        <v>42486000</v>
      </c>
      <c r="AQ278" s="288" t="s">
        <v>712</v>
      </c>
      <c r="AR278" s="289" t="str">
        <f t="shared" si="1072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14"/>
        <v>405.2</v>
      </c>
      <c r="BH278" s="480">
        <f t="shared" si="1115"/>
        <v>87.4</v>
      </c>
      <c r="BI278" s="480">
        <f t="shared" si="1116"/>
        <v>63.269999999999996</v>
      </c>
      <c r="BJ278" s="480">
        <f t="shared" si="1117"/>
        <v>79.16</v>
      </c>
      <c r="BK278" s="473">
        <f t="shared" si="970"/>
        <v>2.5</v>
      </c>
      <c r="BL278" s="473">
        <f t="shared" si="971"/>
        <v>0.89000000000000057</v>
      </c>
      <c r="BM278" s="473">
        <f t="shared" si="972"/>
        <v>0.68999999999999773</v>
      </c>
      <c r="BN278" s="473">
        <f t="shared" si="973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1782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1714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27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28">IF(AI279,2*AI279,"")</f>
        <v>180000</v>
      </c>
      <c r="AL279" s="443">
        <f>VLOOKUP(D279&amp;E279,计算辅助页面!$V$5:$Y$18,3,0)</f>
        <v>5</v>
      </c>
      <c r="AM279" s="444">
        <f t="shared" ref="AM279:AM280" si="1129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30">IF(AI279,IF(AN279="×",4*(AI279*AJ279+AK279*AL279),4*(AI279*AJ279+AK279*AL279+AM279*AN279)),"")</f>
        <v>14760000</v>
      </c>
      <c r="AP279" s="445">
        <f t="shared" ref="AP279:AP280" si="1131">IF(AND(AH279,AO279),AO279+AH279,"")</f>
        <v>42486000</v>
      </c>
      <c r="AQ279" s="288" t="s">
        <v>569</v>
      </c>
      <c r="AR279" s="289" t="str">
        <f t="shared" si="1072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32">BL279</f>
        <v>0.89000000000000057</v>
      </c>
      <c r="BD279" s="472">
        <f t="shared" si="1132"/>
        <v>1.6500000000000057</v>
      </c>
      <c r="BE279" s="472">
        <f t="shared" si="1132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33">IF(BG279="", "", BG279-P279)</f>
        <v>3.6999999999999886</v>
      </c>
      <c r="BL279" s="473">
        <f t="shared" si="1133"/>
        <v>0.89000000000000057</v>
      </c>
      <c r="BM279" s="473">
        <f t="shared" si="1133"/>
        <v>1.6500000000000057</v>
      </c>
      <c r="BN279" s="473">
        <f t="shared" si="1133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1782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1736</v>
      </c>
      <c r="C280" s="301" t="s">
        <v>1737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34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28"/>
        <v>180000</v>
      </c>
      <c r="AL280" s="316">
        <f>VLOOKUP(D280&amp;E280,计算辅助页面!$V$5:$Y$18,3,0)</f>
        <v>5</v>
      </c>
      <c r="AM280" s="317">
        <f t="shared" si="1129"/>
        <v>540000</v>
      </c>
      <c r="AN280" s="317">
        <f>VLOOKUP(D280&amp;E280,计算辅助页面!$V$5:$Y$18,4,0)</f>
        <v>4</v>
      </c>
      <c r="AO280" s="304">
        <f t="shared" si="1130"/>
        <v>14760000</v>
      </c>
      <c r="AP280" s="318">
        <f t="shared" si="1131"/>
        <v>42486000</v>
      </c>
      <c r="AQ280" s="288" t="s">
        <v>712</v>
      </c>
      <c r="AR280" s="289" t="str">
        <f t="shared" si="1072"/>
        <v>Mistral</v>
      </c>
      <c r="AS280" s="290" t="s">
        <v>1814</v>
      </c>
      <c r="AT280" s="291" t="s">
        <v>1738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35">BB280+P280</f>
        <v>464.2</v>
      </c>
      <c r="BH280" s="480">
        <f t="shared" ref="BH280" si="1136">BC280+Q280</f>
        <v>82</v>
      </c>
      <c r="BI280" s="480">
        <f t="shared" ref="BI280" si="1137">BD280+R280</f>
        <v>58.51</v>
      </c>
      <c r="BJ280" s="480">
        <f t="shared" ref="BJ280" si="1138">BE280+S280</f>
        <v>52.660000000000004</v>
      </c>
      <c r="BK280" s="473">
        <f t="shared" si="1133"/>
        <v>4.3999999999999773</v>
      </c>
      <c r="BL280" s="473">
        <f t="shared" si="1133"/>
        <v>0.43999999999999773</v>
      </c>
      <c r="BM280" s="473">
        <f t="shared" si="1133"/>
        <v>0.82999999999999829</v>
      </c>
      <c r="BN280" s="473">
        <f t="shared" si="1133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1758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39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69"/>
        <v>180000</v>
      </c>
      <c r="AL281" s="316">
        <f>VLOOKUP(D281&amp;E281,计算辅助页面!$V$5:$Y$18,3,0)</f>
        <v>5</v>
      </c>
      <c r="AM281" s="317">
        <f t="shared" si="1070"/>
        <v>540000</v>
      </c>
      <c r="AN281" s="317">
        <f>VLOOKUP(D281&amp;E281,计算辅助页面!$V$5:$Y$18,4,0)</f>
        <v>4</v>
      </c>
      <c r="AO281" s="304">
        <f t="shared" si="1071"/>
        <v>14760000</v>
      </c>
      <c r="AP281" s="318">
        <f t="shared" si="1016"/>
        <v>42486000</v>
      </c>
      <c r="AQ281" s="288" t="s">
        <v>992</v>
      </c>
      <c r="AR281" s="289" t="str">
        <f t="shared" si="1072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40">BB281+P281</f>
        <v>416.3</v>
      </c>
      <c r="BH281" s="480">
        <f t="shared" ref="BH281" si="1141">BC281+Q281</f>
        <v>90.100000000000009</v>
      </c>
      <c r="BI281" s="480">
        <f t="shared" ref="BI281" si="1142">BD281+R281</f>
        <v>52.4</v>
      </c>
      <c r="BJ281" s="480">
        <f t="shared" ref="BJ281" si="1143">BE281+S281</f>
        <v>52.980000000000004</v>
      </c>
      <c r="BK281" s="473">
        <f t="shared" si="970"/>
        <v>1.6000000000000227</v>
      </c>
      <c r="BL281" s="473">
        <f t="shared" si="971"/>
        <v>0.70000000000000284</v>
      </c>
      <c r="BM281" s="473">
        <f t="shared" si="972"/>
        <v>0.64999999999999858</v>
      </c>
      <c r="BN281" s="473">
        <f t="shared" si="973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44">P281-CR281</f>
        <v>14.699999999999989</v>
      </c>
      <c r="CW281" s="297">
        <f t="shared" si="1144"/>
        <v>6.4100000000000108</v>
      </c>
      <c r="CX281" s="297">
        <f t="shared" si="1144"/>
        <v>5.9600000000000009</v>
      </c>
      <c r="CY281" s="297">
        <f t="shared" si="1144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1787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39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69"/>
        <v>180000</v>
      </c>
      <c r="AL282" s="443">
        <f>VLOOKUP(D282&amp;E282,计算辅助页面!$V$5:$Y$18,3,0)</f>
        <v>5</v>
      </c>
      <c r="AM282" s="444">
        <f t="shared" si="1070"/>
        <v>540000</v>
      </c>
      <c r="AN282" s="444">
        <f>VLOOKUP(D282&amp;E282,计算辅助页面!$V$5:$Y$18,4,0)</f>
        <v>4</v>
      </c>
      <c r="AO282" s="440">
        <f t="shared" si="1071"/>
        <v>14760000</v>
      </c>
      <c r="AP282" s="445">
        <f t="shared" si="1016"/>
        <v>42486000</v>
      </c>
      <c r="AQ282" s="288" t="s">
        <v>991</v>
      </c>
      <c r="AR282" s="289" t="str">
        <f t="shared" si="1072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45">BB282+P282</f>
        <v>422.6</v>
      </c>
      <c r="BH282" s="480">
        <f t="shared" ref="BH282" si="1146">BC282+Q282</f>
        <v>88.3</v>
      </c>
      <c r="BI282" s="480">
        <f t="shared" ref="BI282" si="1147">BD282+R282</f>
        <v>52.39</v>
      </c>
      <c r="BJ282" s="480">
        <f t="shared" ref="BJ282" si="1148">BE282+S282</f>
        <v>58.58</v>
      </c>
      <c r="BK282" s="473">
        <f t="shared" si="970"/>
        <v>1</v>
      </c>
      <c r="BL282" s="473">
        <f t="shared" si="971"/>
        <v>0.59000000000000341</v>
      </c>
      <c r="BM282" s="473">
        <f t="shared" si="972"/>
        <v>1.0600000000000023</v>
      </c>
      <c r="BN282" s="473">
        <f t="shared" si="973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1790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44"/>
        <v>9.6000000000000227</v>
      </c>
      <c r="CW282" s="297">
        <f t="shared" si="1144"/>
        <v>5.4399999999999977</v>
      </c>
      <c r="CX282" s="297">
        <f t="shared" si="1144"/>
        <v>9.6899999999999977</v>
      </c>
      <c r="CY282" s="297">
        <f t="shared" si="1144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1782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39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69"/>
        <v>180000</v>
      </c>
      <c r="AL283" s="443">
        <f>VLOOKUP(D283&amp;E283,计算辅助页面!$V$5:$Y$18,3,0)</f>
        <v>5</v>
      </c>
      <c r="AM283" s="444">
        <f t="shared" si="1070"/>
        <v>540000</v>
      </c>
      <c r="AN283" s="444">
        <f>VLOOKUP(D283&amp;E283,计算辅助页面!$V$5:$Y$18,4,0)</f>
        <v>4</v>
      </c>
      <c r="AO283" s="440">
        <f t="shared" si="1071"/>
        <v>14760000</v>
      </c>
      <c r="AP283" s="445">
        <f t="shared" si="1016"/>
        <v>42486000</v>
      </c>
      <c r="AQ283" s="288" t="s">
        <v>570</v>
      </c>
      <c r="AR283" s="289" t="str">
        <f t="shared" si="1072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1621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49">BB283+P283</f>
        <v>488.90000000000003</v>
      </c>
      <c r="BH283" s="480">
        <f t="shared" ref="BH283:BH284" si="1150">BC283+Q283</f>
        <v>80.2</v>
      </c>
      <c r="BI283" s="480">
        <f t="shared" ref="BI283:BI284" si="1151">BD283+R283</f>
        <v>61.22</v>
      </c>
      <c r="BJ283" s="480">
        <f t="shared" ref="BJ283:BJ284" si="1152">BE283+S283</f>
        <v>60.58</v>
      </c>
      <c r="BK283" s="473">
        <f t="shared" si="970"/>
        <v>4.1000000000000227</v>
      </c>
      <c r="BL283" s="473">
        <f t="shared" si="971"/>
        <v>0.53000000000000114</v>
      </c>
      <c r="BM283" s="473">
        <f t="shared" si="972"/>
        <v>1.1899999999999977</v>
      </c>
      <c r="BN283" s="473">
        <f t="shared" si="973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1782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1849</v>
      </c>
      <c r="C284" s="301" t="s">
        <v>1850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53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54">IF(AI284,2*AI284,"")</f>
        <v>180000</v>
      </c>
      <c r="AL284" s="443">
        <f>VLOOKUP(D284&amp;E284,计算辅助页面!$V$5:$Y$18,3,0)</f>
        <v>5</v>
      </c>
      <c r="AM284" s="444">
        <f t="shared" ref="AM284" si="1155">IF(AN284="×",AN284,IF(AI284,6*AI284,""))</f>
        <v>540000</v>
      </c>
      <c r="AN284" s="444">
        <f>VLOOKUP(D284&amp;E284,计算辅助页面!$V$5:$Y$18,4,0)</f>
        <v>4</v>
      </c>
      <c r="AO284" s="440">
        <f t="shared" ref="AO284" si="1156">IF(AI284,IF(AN284="×",4*(AI284*AJ284+AK284*AL284),4*(AI284*AJ284+AK284*AL284+AM284*AN284)),"")</f>
        <v>14760000</v>
      </c>
      <c r="AP284" s="445">
        <f t="shared" ref="AP284" si="1157">IF(AND(AH284,AO284),AO284+AH284,"")</f>
        <v>42486000</v>
      </c>
      <c r="AQ284" s="288" t="s">
        <v>1850</v>
      </c>
      <c r="AR284" s="289" t="str">
        <f t="shared" si="1072"/>
        <v>Locus Plethore LC750</v>
      </c>
      <c r="AS284" s="290" t="s">
        <v>1836</v>
      </c>
      <c r="AT284" s="291" t="s">
        <v>1851</v>
      </c>
      <c r="AU284" s="427" t="s">
        <v>703</v>
      </c>
      <c r="AZ284" s="292" t="s">
        <v>1859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49"/>
        <v>416.3</v>
      </c>
      <c r="BH284" s="480">
        <f t="shared" si="1150"/>
        <v>78.400000000000006</v>
      </c>
      <c r="BI284" s="480">
        <f t="shared" si="1151"/>
        <v>77.599999999999994</v>
      </c>
      <c r="BJ284" s="480">
        <f t="shared" si="1152"/>
        <v>87.74</v>
      </c>
      <c r="BK284" s="473">
        <f t="shared" si="970"/>
        <v>1.8000000000000114</v>
      </c>
      <c r="BL284" s="473">
        <f t="shared" si="971"/>
        <v>0.35999999999999943</v>
      </c>
      <c r="BM284" s="473">
        <f t="shared" si="972"/>
        <v>1.7399999999999949</v>
      </c>
      <c r="BN284" s="473">
        <f t="shared" si="973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1858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39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69"/>
        <v>90000</v>
      </c>
      <c r="AL285" s="443">
        <f>VLOOKUP(D285&amp;E285,计算辅助页面!$V$5:$Y$18,3,0)</f>
        <v>5</v>
      </c>
      <c r="AM285" s="444">
        <f t="shared" si="1070"/>
        <v>270000</v>
      </c>
      <c r="AN285" s="444">
        <f>VLOOKUP(D285&amp;E285,计算辅助页面!$V$5:$Y$18,4,0)</f>
        <v>4</v>
      </c>
      <c r="AO285" s="440">
        <f t="shared" si="1071"/>
        <v>7380000</v>
      </c>
      <c r="AP285" s="445">
        <f t="shared" si="1016"/>
        <v>35106000</v>
      </c>
      <c r="AQ285" s="288" t="s">
        <v>990</v>
      </c>
      <c r="AR285" s="289" t="str">
        <f t="shared" si="1072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58">BL285</f>
        <v>0.8399999999999892</v>
      </c>
      <c r="BD285" s="472">
        <f t="shared" ref="BD285" si="1159">BM285</f>
        <v>0.69999999999999574</v>
      </c>
      <c r="BE285" s="472">
        <f t="shared" ref="BE285" si="1160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70"/>
        <v>0.89999999999997726</v>
      </c>
      <c r="BL285" s="473">
        <f t="shared" si="971"/>
        <v>0.8399999999999892</v>
      </c>
      <c r="BM285" s="473">
        <f t="shared" si="972"/>
        <v>0.69999999999999574</v>
      </c>
      <c r="BN285" s="473">
        <f t="shared" si="973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1782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1924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39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69"/>
        <v/>
      </c>
      <c r="AL286" s="443">
        <f>VLOOKUP(D286&amp;E286,计算辅助页面!$V$5:$Y$18,3,0)</f>
        <v>5</v>
      </c>
      <c r="AM286" s="444" t="str">
        <f t="shared" si="1070"/>
        <v/>
      </c>
      <c r="AN286" s="444">
        <f>VLOOKUP(D286&amp;E286,计算辅助页面!$V$5:$Y$18,4,0)</f>
        <v>4</v>
      </c>
      <c r="AO286" s="440" t="str">
        <f t="shared" si="1071"/>
        <v/>
      </c>
      <c r="AP286" s="445"/>
      <c r="AQ286" s="288" t="s">
        <v>569</v>
      </c>
      <c r="AR286" s="289" t="str">
        <f t="shared" si="1072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70"/>
        <v/>
      </c>
      <c r="BL286" s="473" t="str">
        <f t="shared" si="971"/>
        <v/>
      </c>
      <c r="BM286" s="473" t="str">
        <f t="shared" si="972"/>
        <v/>
      </c>
      <c r="BN286" s="473" t="str">
        <f t="shared" si="973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1701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39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69"/>
        <v>180000</v>
      </c>
      <c r="AL287" s="443">
        <f>VLOOKUP(D287&amp;E287,计算辅助页面!$V$5:$Y$18,3,0)</f>
        <v>5</v>
      </c>
      <c r="AM287" s="444">
        <f t="shared" si="1070"/>
        <v>540000</v>
      </c>
      <c r="AN287" s="444">
        <f>VLOOKUP(D287&amp;E287,计算辅助页面!$V$5:$Y$18,4,0)</f>
        <v>4</v>
      </c>
      <c r="AO287" s="440">
        <f t="shared" si="1071"/>
        <v>14760000</v>
      </c>
      <c r="AP287" s="445">
        <f t="shared" ref="AP287:AP301" si="1161">IF(AND(AH287,AO287),AO287+AH287,"")</f>
        <v>42486000</v>
      </c>
      <c r="AQ287" s="288" t="s">
        <v>712</v>
      </c>
      <c r="AR287" s="289" t="str">
        <f t="shared" si="1072"/>
        <v>Chiron Super Sport 300+🔑</v>
      </c>
      <c r="AS287" s="290" t="s">
        <v>1355</v>
      </c>
      <c r="AT287" s="291" t="s">
        <v>1654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62">BB287+P287</f>
        <v>455.1</v>
      </c>
      <c r="BH287" s="480">
        <f t="shared" ref="BH287" si="1163">BC287+Q287</f>
        <v>83.8</v>
      </c>
      <c r="BI287" s="480">
        <f t="shared" ref="BI287" si="1164">BD287+R287</f>
        <v>62.71</v>
      </c>
      <c r="BJ287" s="480">
        <f t="shared" ref="BJ287" si="1165">BE287+S287</f>
        <v>43.540000000000006</v>
      </c>
      <c r="BK287" s="473">
        <f t="shared" si="970"/>
        <v>1.5</v>
      </c>
      <c r="BL287" s="473">
        <f t="shared" si="971"/>
        <v>0.53000000000000114</v>
      </c>
      <c r="BM287" s="473">
        <f t="shared" si="972"/>
        <v>2.0799999999999983</v>
      </c>
      <c r="BN287" s="473">
        <f t="shared" si="973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1963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39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69"/>
        <v>180000</v>
      </c>
      <c r="AL288" s="443">
        <f>VLOOKUP(D288&amp;E288,计算辅助页面!$V$5:$Y$18,3,0)</f>
        <v>5</v>
      </c>
      <c r="AM288" s="444">
        <f t="shared" si="1070"/>
        <v>540000</v>
      </c>
      <c r="AN288" s="444">
        <f>VLOOKUP(D288&amp;E288,计算辅助页面!$V$5:$Y$18,4,0)</f>
        <v>4</v>
      </c>
      <c r="AO288" s="440">
        <f t="shared" si="1071"/>
        <v>14760000</v>
      </c>
      <c r="AP288" s="445">
        <f t="shared" si="1161"/>
        <v>42486000</v>
      </c>
      <c r="AQ288" s="288" t="s">
        <v>570</v>
      </c>
      <c r="AR288" s="289" t="str">
        <f t="shared" si="1072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66">BB288+P288</f>
        <v>413.5</v>
      </c>
      <c r="BH288" s="480">
        <f t="shared" ref="BH288" si="1167">BC288+Q288</f>
        <v>80.2</v>
      </c>
      <c r="BI288" s="480">
        <f t="shared" ref="BI288" si="1168">BD288+R288</f>
        <v>81.540000000000006</v>
      </c>
      <c r="BJ288" s="480">
        <f t="shared" ref="BJ288" si="1169">BE288+S288</f>
        <v>73.47</v>
      </c>
      <c r="BK288" s="473">
        <f t="shared" si="970"/>
        <v>1.3000000000000114</v>
      </c>
      <c r="BL288" s="473">
        <f t="shared" si="971"/>
        <v>0.79999999999999716</v>
      </c>
      <c r="BM288" s="473">
        <f t="shared" si="972"/>
        <v>2.4500000000000028</v>
      </c>
      <c r="BN288" s="473">
        <f t="shared" si="973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1782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39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69"/>
        <v>180000</v>
      </c>
      <c r="AL289" s="443">
        <f>VLOOKUP(D289&amp;E289,计算辅助页面!$V$5:$Y$18,3,0)</f>
        <v>5</v>
      </c>
      <c r="AM289" s="444">
        <f t="shared" si="1070"/>
        <v>540000</v>
      </c>
      <c r="AN289" s="444">
        <f>VLOOKUP(D289&amp;E289,计算辅助页面!$V$5:$Y$18,4,0)</f>
        <v>4</v>
      </c>
      <c r="AO289" s="440">
        <f t="shared" si="1071"/>
        <v>14760000</v>
      </c>
      <c r="AP289" s="445">
        <f t="shared" si="1161"/>
        <v>42486000</v>
      </c>
      <c r="AQ289" s="288" t="s">
        <v>712</v>
      </c>
      <c r="AR289" s="289" t="str">
        <f t="shared" si="1072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70">BL289</f>
        <v>0.70999999999999375</v>
      </c>
      <c r="BD289" s="472">
        <f t="shared" ref="BD289" si="1171">BM289</f>
        <v>0.77999999999999403</v>
      </c>
      <c r="BE289" s="472">
        <f t="shared" ref="BE289" si="1172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70"/>
        <v>2.6000000000000227</v>
      </c>
      <c r="BL289" s="473">
        <f t="shared" si="971"/>
        <v>0.70999999999999375</v>
      </c>
      <c r="BM289" s="473">
        <f t="shared" si="972"/>
        <v>0.77999999999999403</v>
      </c>
      <c r="BN289" s="473">
        <f t="shared" si="973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1962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1782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1739</v>
      </c>
      <c r="C290" s="301" t="s">
        <v>1740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73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74">IF(AI290,2*AI290,"")</f>
        <v>180000</v>
      </c>
      <c r="AL290" s="443">
        <f>VLOOKUP(D290&amp;E290,计算辅助页面!$V$5:$Y$18,3,0)</f>
        <v>5</v>
      </c>
      <c r="AM290" s="444">
        <f t="shared" ref="AM290" si="1175">IF(AN290="×",AN290,IF(AI290,6*AI290,""))</f>
        <v>540000</v>
      </c>
      <c r="AN290" s="444">
        <f>VLOOKUP(D290&amp;E290,计算辅助页面!$V$5:$Y$18,4,0)</f>
        <v>4</v>
      </c>
      <c r="AO290" s="440">
        <f t="shared" ref="AO290" si="1176">IF(AI290,IF(AN290="×",4*(AI290*AJ290+AK290*AL290),4*(AI290*AJ290+AK290*AL290+AM290*AN290)),"")</f>
        <v>14760000</v>
      </c>
      <c r="AP290" s="445">
        <f t="shared" ref="AP290" si="1177">IF(AND(AH290,AO290),AO290+AH290,"")</f>
        <v>42486000</v>
      </c>
      <c r="AQ290" s="288" t="s">
        <v>1741</v>
      </c>
      <c r="AR290" s="289" t="str">
        <f t="shared" si="1072"/>
        <v>21C</v>
      </c>
      <c r="AS290" s="290" t="s">
        <v>1728</v>
      </c>
      <c r="AT290" s="291" t="s">
        <v>1742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178">BB290+P290</f>
        <v>425.2</v>
      </c>
      <c r="BH290" s="480">
        <f t="shared" ref="BH290" si="1179">BC290+Q290</f>
        <v>89.649999999999991</v>
      </c>
      <c r="BI290" s="480">
        <f t="shared" ref="BI290" si="1180">BD290+R290</f>
        <v>50.46</v>
      </c>
      <c r="BJ290" s="480">
        <f t="shared" ref="BJ290" si="1181">BE290+S290</f>
        <v>53.69</v>
      </c>
      <c r="BK290" s="473">
        <f t="shared" si="970"/>
        <v>1.8000000000000114</v>
      </c>
      <c r="BL290" s="473">
        <f t="shared" si="971"/>
        <v>0.57999999999999829</v>
      </c>
      <c r="BM290" s="473">
        <f t="shared" si="972"/>
        <v>1.0799999999999983</v>
      </c>
      <c r="BN290" s="473">
        <f t="shared" si="973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1910</v>
      </c>
      <c r="C291" s="301" t="s">
        <v>1905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182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183">IF(AI291,2*AI291,"")</f>
        <v>180000</v>
      </c>
      <c r="AL291" s="443">
        <f>VLOOKUP(D291&amp;E291,计算辅助页面!$V$5:$Y$18,3,0)</f>
        <v>5</v>
      </c>
      <c r="AM291" s="444">
        <f t="shared" ref="AM291" si="1184">IF(AN291="×",AN291,IF(AI291,6*AI291,""))</f>
        <v>540000</v>
      </c>
      <c r="AN291" s="444">
        <f>VLOOKUP(D291&amp;E291,计算辅助页面!$V$5:$Y$18,4,0)</f>
        <v>4</v>
      </c>
      <c r="AO291" s="440">
        <f t="shared" ref="AO291" si="1185">IF(AI291,IF(AN291="×",4*(AI291*AJ291+AK291*AL291),4*(AI291*AJ291+AK291*AL291+AM291*AN291)),"")</f>
        <v>14760000</v>
      </c>
      <c r="AP291" s="445">
        <f t="shared" ref="AP291" si="1186">IF(AND(AH291,AO291),AO291+AH291,"")</f>
        <v>42486000</v>
      </c>
      <c r="AQ291" s="288" t="s">
        <v>1906</v>
      </c>
      <c r="AR291" s="289" t="str">
        <f t="shared" si="1072"/>
        <v>Tuarara Striker🔑</v>
      </c>
      <c r="AS291" s="290" t="s">
        <v>1886</v>
      </c>
      <c r="AT291" s="291" t="s">
        <v>1907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187">BL291</f>
        <v>0.45999999999999375</v>
      </c>
      <c r="BD291" s="472">
        <f t="shared" ref="BD291" si="1188">BM291</f>
        <v>0.63000000000000256</v>
      </c>
      <c r="BE291" s="472">
        <f t="shared" ref="BE291" si="1189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190">IF(BG291="", "", BG291-P291)</f>
        <v>2.6000000000000227</v>
      </c>
      <c r="BL291" s="473">
        <f t="shared" ref="BL291" si="1191">IF(BH291="", "", BH291-Q291)</f>
        <v>0.45999999999999375</v>
      </c>
      <c r="BM291" s="473">
        <f t="shared" ref="BM291" si="1192">IF(BI291="", "", BI291-R291)</f>
        <v>0.63000000000000256</v>
      </c>
      <c r="BN291" s="473">
        <f t="shared" ref="BN291" si="1193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1915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39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69"/>
        <v>180000</v>
      </c>
      <c r="AL292" s="443">
        <f>VLOOKUP(D292&amp;E292,计算辅助页面!$V$5:$Y$18,3,0)</f>
        <v>5</v>
      </c>
      <c r="AM292" s="444">
        <f t="shared" si="1070"/>
        <v>540000</v>
      </c>
      <c r="AN292" s="444">
        <f>VLOOKUP(D292&amp;E292,计算辅助页面!$V$5:$Y$18,4,0)</f>
        <v>4</v>
      </c>
      <c r="AO292" s="440">
        <f t="shared" si="1071"/>
        <v>14760000</v>
      </c>
      <c r="AP292" s="445">
        <f t="shared" si="1161"/>
        <v>42486000</v>
      </c>
      <c r="AQ292" s="288" t="s">
        <v>1354</v>
      </c>
      <c r="AR292" s="289" t="str">
        <f t="shared" si="1072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194">BB292+P292</f>
        <v>440.8</v>
      </c>
      <c r="BH292" s="480">
        <f t="shared" ref="BH292" si="1195">BC292+Q292</f>
        <v>86.95</v>
      </c>
      <c r="BI292" s="480">
        <f t="shared" ref="BI292" si="1196">BD292+R292</f>
        <v>48.769999999999996</v>
      </c>
      <c r="BJ292" s="480">
        <f t="shared" ref="BJ292" si="1197">BE292+S292</f>
        <v>49.96</v>
      </c>
      <c r="BK292" s="473">
        <f t="shared" si="970"/>
        <v>2.1000000000000227</v>
      </c>
      <c r="BL292" s="473">
        <f t="shared" si="971"/>
        <v>0.40000000000000568</v>
      </c>
      <c r="BM292" s="473">
        <f t="shared" si="972"/>
        <v>1.1599999999999966</v>
      </c>
      <c r="BN292" s="473">
        <f t="shared" si="973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1782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39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69"/>
        <v>180000</v>
      </c>
      <c r="AL293" s="443">
        <f>VLOOKUP(D293&amp;E293,计算辅助页面!$V$5:$Y$18,3,0)</f>
        <v>5</v>
      </c>
      <c r="AM293" s="444">
        <f t="shared" si="1070"/>
        <v>540000</v>
      </c>
      <c r="AN293" s="444">
        <f>VLOOKUP(D293&amp;E293,计算辅助页面!$V$5:$Y$18,4,0)</f>
        <v>4</v>
      </c>
      <c r="AO293" s="440">
        <f t="shared" si="1071"/>
        <v>14760000</v>
      </c>
      <c r="AP293" s="445">
        <f t="shared" si="1161"/>
        <v>42486000</v>
      </c>
      <c r="AQ293" s="288" t="s">
        <v>570</v>
      </c>
      <c r="AR293" s="289" t="str">
        <f t="shared" si="1072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198">BB293+P293</f>
        <v>414.5</v>
      </c>
      <c r="BH293" s="480">
        <f t="shared" ref="BH293" si="1199">BC293+Q293</f>
        <v>89.2</v>
      </c>
      <c r="BI293" s="480">
        <f t="shared" ref="BI293" si="1200">BD293+R293</f>
        <v>67.820000000000007</v>
      </c>
      <c r="BJ293" s="480">
        <f t="shared" ref="BJ293" si="1201">BE293+S293</f>
        <v>50.49</v>
      </c>
      <c r="BK293" s="473">
        <f t="shared" si="970"/>
        <v>1.3999999999999773</v>
      </c>
      <c r="BL293" s="473">
        <f t="shared" si="971"/>
        <v>0.62000000000000455</v>
      </c>
      <c r="BM293" s="473">
        <f t="shared" si="972"/>
        <v>1.7600000000000051</v>
      </c>
      <c r="BN293" s="473">
        <f t="shared" si="973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1624</v>
      </c>
      <c r="C294" s="301" t="s">
        <v>1625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02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03">IF(AI294,2*AI294,"")</f>
        <v>180000</v>
      </c>
      <c r="AL294" s="443">
        <f>VLOOKUP(D294&amp;E294,计算辅助页面!$V$5:$Y$18,3,0)</f>
        <v>5</v>
      </c>
      <c r="AM294" s="444">
        <f t="shared" ref="AM294" si="1204">IF(AN294="×",AN294,IF(AI294,6*AI294,""))</f>
        <v>540000</v>
      </c>
      <c r="AN294" s="444">
        <f>VLOOKUP(D294&amp;E294,计算辅助页面!$V$5:$Y$18,4,0)</f>
        <v>4</v>
      </c>
      <c r="AO294" s="440">
        <f t="shared" ref="AO294" si="1205">IF(AI294,IF(AN294="×",4*(AI294*AJ294+AK294*AL294),4*(AI294*AJ294+AK294*AL294+AM294*AN294)),"")</f>
        <v>14760000</v>
      </c>
      <c r="AP294" s="445">
        <f t="shared" ref="AP294" si="1206">IF(AND(AH294,AO294),AO294+AH294,"")</f>
        <v>42486000</v>
      </c>
      <c r="AQ294" s="288" t="s">
        <v>929</v>
      </c>
      <c r="AR294" s="289" t="str">
        <f t="shared" si="1072"/>
        <v>Aurora Tur</v>
      </c>
      <c r="AS294" s="290" t="s">
        <v>1626</v>
      </c>
      <c r="AT294" s="291" t="s">
        <v>1627</v>
      </c>
      <c r="AU294" s="427" t="s">
        <v>703</v>
      </c>
      <c r="AZ294" s="292" t="s">
        <v>1628</v>
      </c>
      <c r="BA294" s="481">
        <f>BF294-O294</f>
        <v>135</v>
      </c>
      <c r="BB294" s="476">
        <f>BK294</f>
        <v>1.8999999999999773</v>
      </c>
      <c r="BC294" s="472">
        <f t="shared" ref="BC294" si="1207">BL294</f>
        <v>0.26999999999999602</v>
      </c>
      <c r="BD294" s="472">
        <f t="shared" ref="BD294" si="1208">BM294</f>
        <v>0.49000000000000199</v>
      </c>
      <c r="BE294" s="472">
        <f t="shared" ref="BE294" si="1209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70"/>
        <v>1.8999999999999773</v>
      </c>
      <c r="BL294" s="473">
        <f t="shared" si="971"/>
        <v>0.26999999999999602</v>
      </c>
      <c r="BM294" s="473">
        <f t="shared" si="972"/>
        <v>0.49000000000000199</v>
      </c>
      <c r="BN294" s="473">
        <f t="shared" si="973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1700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1782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39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69"/>
        <v>180000</v>
      </c>
      <c r="AL295" s="443">
        <f>VLOOKUP(D295&amp;E295,计算辅助页面!$V$5:$Y$18,3,0)</f>
        <v>5</v>
      </c>
      <c r="AM295" s="444">
        <f t="shared" si="1070"/>
        <v>540000</v>
      </c>
      <c r="AN295" s="444">
        <f>VLOOKUP(D295&amp;E295,计算辅助页面!$V$5:$Y$18,4,0)</f>
        <v>4</v>
      </c>
      <c r="AO295" s="440">
        <f t="shared" si="1071"/>
        <v>14760000</v>
      </c>
      <c r="AP295" s="445">
        <f t="shared" si="1161"/>
        <v>42486000</v>
      </c>
      <c r="AQ295" s="288" t="s">
        <v>989</v>
      </c>
      <c r="AR295" s="289" t="str">
        <f t="shared" si="1072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10">BB295+P295</f>
        <v>513.59999999999991</v>
      </c>
      <c r="BH295" s="480">
        <f t="shared" ref="BH295:BH296" si="1211">BC295+Q295</f>
        <v>81.099999999999994</v>
      </c>
      <c r="BI295" s="480">
        <f t="shared" ref="BI295:BI296" si="1212">BD295+R295</f>
        <v>49.87</v>
      </c>
      <c r="BJ295" s="480">
        <f t="shared" ref="BJ295:BJ296" si="1213">BE295+S295</f>
        <v>47.97</v>
      </c>
      <c r="BK295" s="473">
        <f t="shared" si="970"/>
        <v>1.2999999999999545</v>
      </c>
      <c r="BL295" s="473">
        <f t="shared" si="971"/>
        <v>0.43999999999999773</v>
      </c>
      <c r="BM295" s="473">
        <f t="shared" si="972"/>
        <v>0.79999999999999716</v>
      </c>
      <c r="BN295" s="473">
        <f t="shared" si="973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1782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39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69"/>
        <v>180000</v>
      </c>
      <c r="AL296" s="443">
        <f>VLOOKUP(D296&amp;E296,计算辅助页面!$V$5:$Y$18,3,0)</f>
        <v>5</v>
      </c>
      <c r="AM296" s="444">
        <f t="shared" si="1070"/>
        <v>540000</v>
      </c>
      <c r="AN296" s="444">
        <f>VLOOKUP(D296&amp;E296,计算辅助页面!$V$5:$Y$18,4,0)</f>
        <v>4</v>
      </c>
      <c r="AO296" s="440">
        <f t="shared" si="1071"/>
        <v>14760000</v>
      </c>
      <c r="AP296" s="445">
        <f t="shared" si="1161"/>
        <v>42486000</v>
      </c>
      <c r="AQ296" s="288" t="s">
        <v>570</v>
      </c>
      <c r="AR296" s="289" t="str">
        <f t="shared" si="1072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10"/>
        <v>479.8</v>
      </c>
      <c r="BH296" s="480">
        <f t="shared" si="1211"/>
        <v>82.9</v>
      </c>
      <c r="BI296" s="480">
        <f t="shared" si="1212"/>
        <v>55.85</v>
      </c>
      <c r="BJ296" s="480">
        <f t="shared" si="1213"/>
        <v>42.35</v>
      </c>
      <c r="BK296" s="473">
        <f t="shared" si="970"/>
        <v>1.5</v>
      </c>
      <c r="BL296" s="473">
        <f t="shared" si="971"/>
        <v>0.53000000000000114</v>
      </c>
      <c r="BM296" s="473">
        <f t="shared" si="972"/>
        <v>1.4600000000000009</v>
      </c>
      <c r="BN296" s="473">
        <f t="shared" si="973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1782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1864</v>
      </c>
      <c r="C297" s="301" t="s">
        <v>1769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14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72"/>
        <v>Chiron Security</v>
      </c>
      <c r="AS297" s="290" t="s">
        <v>1718</v>
      </c>
      <c r="AT297" s="291" t="s">
        <v>1770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70"/>
        <v/>
      </c>
      <c r="BL297" s="473" t="str">
        <f t="shared" si="971"/>
        <v/>
      </c>
      <c r="BM297" s="473" t="str">
        <f t="shared" si="972"/>
        <v/>
      </c>
      <c r="BN297" s="473" t="str">
        <f t="shared" si="973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39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69"/>
        <v>180000</v>
      </c>
      <c r="AL298" s="316">
        <f>VLOOKUP(D298&amp;E298,计算辅助页面!$V$5:$Y$18,3,0)</f>
        <v>5</v>
      </c>
      <c r="AM298" s="317">
        <f t="shared" si="1070"/>
        <v>540000</v>
      </c>
      <c r="AN298" s="317">
        <f>VLOOKUP(D298&amp;E298,计算辅助页面!$V$5:$Y$18,4,0)</f>
        <v>4</v>
      </c>
      <c r="AO298" s="304">
        <f t="shared" si="1071"/>
        <v>14760000</v>
      </c>
      <c r="AP298" s="318">
        <f t="shared" si="1161"/>
        <v>42486000</v>
      </c>
      <c r="AQ298" s="288" t="s">
        <v>712</v>
      </c>
      <c r="AR298" s="289" t="str">
        <f t="shared" si="1072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70"/>
        <v/>
      </c>
      <c r="BL298" s="473" t="str">
        <f t="shared" si="971"/>
        <v/>
      </c>
      <c r="BM298" s="473" t="str">
        <f t="shared" si="972"/>
        <v/>
      </c>
      <c r="BN298" s="473" t="str">
        <f t="shared" si="973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1782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1713</v>
      </c>
      <c r="C299" s="301" t="s">
        <v>1692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15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16">IF(AI299,2*AI299,"")</f>
        <v>180000</v>
      </c>
      <c r="AL299" s="316">
        <f>VLOOKUP(D299&amp;E299,计算辅助页面!$V$5:$Y$18,3,0)</f>
        <v>5</v>
      </c>
      <c r="AM299" s="317">
        <f t="shared" ref="AM299" si="1217">IF(AN299="×",AN299,IF(AI299,6*AI299,""))</f>
        <v>540000</v>
      </c>
      <c r="AN299" s="317">
        <f>VLOOKUP(D299&amp;E299,计算辅助页面!$V$5:$Y$18,4,0)</f>
        <v>4</v>
      </c>
      <c r="AO299" s="304">
        <f t="shared" ref="AO299" si="1218">IF(AI299,IF(AN299="×",4*(AI299*AJ299+AK299*AL299),4*(AI299*AJ299+AK299*AL299+AM299*AN299)),"")</f>
        <v>14760000</v>
      </c>
      <c r="AP299" s="318">
        <f t="shared" ref="AP299" si="1219">IF(AND(AH299,AO299),AO299+AH299,"")</f>
        <v>42486000</v>
      </c>
      <c r="AQ299" s="288" t="s">
        <v>570</v>
      </c>
      <c r="AR299" s="289" t="str">
        <f t="shared" si="1072"/>
        <v>Jesko Absolut🔑</v>
      </c>
      <c r="AS299" s="290" t="s">
        <v>1718</v>
      </c>
      <c r="AT299" s="291" t="s">
        <v>1693</v>
      </c>
      <c r="AU299" s="427" t="s">
        <v>703</v>
      </c>
      <c r="AW299" s="292">
        <v>551</v>
      </c>
      <c r="AY299" s="292">
        <v>600</v>
      </c>
      <c r="AZ299" s="292" t="s">
        <v>1694</v>
      </c>
      <c r="BK299" s="473" t="str">
        <f t="shared" si="970"/>
        <v/>
      </c>
      <c r="BL299" s="473" t="str">
        <f t="shared" si="971"/>
        <v/>
      </c>
      <c r="BM299" s="473" t="str">
        <f t="shared" si="972"/>
        <v/>
      </c>
      <c r="BN299" s="473" t="str">
        <f t="shared" si="973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1699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1782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1771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39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69"/>
        <v>180000</v>
      </c>
      <c r="AL300" s="316">
        <f>VLOOKUP(D300&amp;E300,计算辅助页面!$V$5:$Y$18,3,0)</f>
        <v>5</v>
      </c>
      <c r="AM300" s="317">
        <f t="shared" si="1070"/>
        <v>540000</v>
      </c>
      <c r="AN300" s="317">
        <f>VLOOKUP(D300&amp;E300,计算辅助页面!$V$5:$Y$18,4,0)</f>
        <v>4</v>
      </c>
      <c r="AO300" s="304">
        <f t="shared" si="1071"/>
        <v>14760000</v>
      </c>
      <c r="AP300" s="318">
        <f t="shared" si="1161"/>
        <v>42486000</v>
      </c>
      <c r="AQ300" s="288" t="s">
        <v>1380</v>
      </c>
      <c r="AR300" s="289" t="str">
        <f t="shared" si="1072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20">BB300+P300</f>
        <v>557</v>
      </c>
      <c r="BH300" s="480">
        <f t="shared" ref="BH300" si="1221">BC300+Q300</f>
        <v>82</v>
      </c>
      <c r="BI300" s="480">
        <f t="shared" ref="BI300" si="1222">BD300+R300</f>
        <v>57.57</v>
      </c>
      <c r="BJ300" s="480">
        <f t="shared" ref="BJ300" si="1223">BE300+S300</f>
        <v>39.86</v>
      </c>
      <c r="BK300" s="473">
        <f t="shared" si="970"/>
        <v>0.5</v>
      </c>
      <c r="BL300" s="473">
        <f t="shared" si="971"/>
        <v>0.62000000000000455</v>
      </c>
      <c r="BM300" s="473">
        <f t="shared" si="972"/>
        <v>1.1899999999999977</v>
      </c>
      <c r="BN300" s="473">
        <f t="shared" si="973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1782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1813</v>
      </c>
      <c r="C301" s="301" t="s">
        <v>1817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39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69"/>
        <v>180000</v>
      </c>
      <c r="AL301" s="316">
        <f>VLOOKUP(D301&amp;E301,计算辅助页面!$V$5:$Y$18,3,0)</f>
        <v>5</v>
      </c>
      <c r="AM301" s="317">
        <f t="shared" si="1070"/>
        <v>540000</v>
      </c>
      <c r="AN301" s="317">
        <f>VLOOKUP(D301&amp;E301,计算辅助页面!$V$5:$Y$18,4,0)</f>
        <v>4</v>
      </c>
      <c r="AO301" s="304">
        <f t="shared" si="1071"/>
        <v>14760000</v>
      </c>
      <c r="AP301" s="318">
        <f t="shared" si="1161"/>
        <v>42486000</v>
      </c>
      <c r="AQ301" s="288" t="s">
        <v>1040</v>
      </c>
      <c r="AR301" s="289" t="str">
        <f t="shared" ref="AR301" si="1224">TRIM(RIGHT(B301,LEN(B301)-LEN(AQ301)-1))</f>
        <v>Tartarus🔑</v>
      </c>
      <c r="AS301" s="290" t="s">
        <v>1819</v>
      </c>
      <c r="AT301" s="291" t="s">
        <v>1815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25">IF(BG301="", "", BG301-P301)</f>
        <v/>
      </c>
      <c r="BL301" s="473" t="str">
        <f t="shared" ref="BL301" si="1226">IF(BH301="", "", BH301-Q301)</f>
        <v/>
      </c>
      <c r="BM301" s="473" t="str">
        <f t="shared" ref="BM301" si="1227">IF(BI301="", "", BI301-R301)</f>
        <v/>
      </c>
      <c r="BN301" s="473" t="str">
        <f t="shared" ref="BN301" si="1228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.600000000000001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30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8 L69:N69 H70:N83 L84:N84 H85:N91 M92:N93 H94:N94 M95:N95 H96:N128 M129:N129 H130:N130 M131:N132 H133:N172 H173:J173 L173:N173 H174:N175 L176:N176 H177:N301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0:BN214 BK3:BN15 BK37:BN37 BK75:BN80 BK85:BN86 BK123:BN124 BK166:BN168 BK171:BN180 BK66:BN66 BK100:BN107 BK187:BN187 BK242:BN243 BK229:BN230 BK298:BN298 BK201:BN208 BK109:BN111 BK54:BN59 BK285:BN289 BK82:BN83 BK142:BN145 BK160:BN162 BK295:BN296 BK133:BN140 BK227:BN227 BK276:BN276 BK189:BN195 BK272:BN274 BK39:BN41 BK45:BN52 BK114:BN121 BK197:BN199 BK245:BN250 BK217:BN224 BK43:BN43 BK61:BN64 BK68:BN73 BK126:BN126 BK149:BN153 BK281:BN283 BK17:BN19 BK21:BN22 BK147:BN147 BK164:BN164 BK232:BN238 BK155:BN158 BK24:BN35 BK88:BN98 BK128:BN131 BK252:BN270 BK240:BN240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1873</v>
      </c>
    </row>
    <row r="3" spans="1:3" ht="27" customHeight="1">
      <c r="A3" s="262">
        <v>2</v>
      </c>
      <c r="B3" s="260" t="s">
        <v>824</v>
      </c>
      <c r="C3" s="260" t="s">
        <v>1866</v>
      </c>
    </row>
    <row r="4" spans="1:3" ht="27" customHeight="1">
      <c r="A4" s="262">
        <v>3</v>
      </c>
      <c r="B4" s="260" t="s">
        <v>825</v>
      </c>
      <c r="C4" s="260" t="s">
        <v>1867</v>
      </c>
    </row>
    <row r="5" spans="1:3" ht="27" customHeight="1">
      <c r="A5" s="262">
        <v>4</v>
      </c>
      <c r="B5" s="260" t="s">
        <v>809</v>
      </c>
      <c r="C5" s="260" t="s">
        <v>1868</v>
      </c>
    </row>
    <row r="6" spans="1:3" ht="27" customHeight="1">
      <c r="A6" s="262">
        <v>5</v>
      </c>
      <c r="B6" s="260" t="s">
        <v>810</v>
      </c>
      <c r="C6" s="260" t="s">
        <v>1869</v>
      </c>
    </row>
    <row r="7" spans="1:3" ht="27" customHeight="1">
      <c r="A7" s="262">
        <v>6</v>
      </c>
      <c r="B7" s="260" t="s">
        <v>811</v>
      </c>
      <c r="C7" s="260" t="s">
        <v>1870</v>
      </c>
    </row>
    <row r="8" spans="1:3" ht="27" customHeight="1">
      <c r="A8" s="262">
        <v>7</v>
      </c>
      <c r="B8" s="260" t="s">
        <v>812</v>
      </c>
      <c r="C8" s="260" t="s">
        <v>1871</v>
      </c>
    </row>
    <row r="9" spans="1:3" ht="27" customHeight="1">
      <c r="A9" s="262">
        <v>8</v>
      </c>
      <c r="B9" s="260" t="s">
        <v>813</v>
      </c>
      <c r="C9" s="260" t="s">
        <v>1872</v>
      </c>
    </row>
    <row r="10" spans="1:3" ht="27" customHeight="1">
      <c r="A10" s="262">
        <v>9</v>
      </c>
      <c r="B10" s="260" t="s">
        <v>814</v>
      </c>
      <c r="C10" s="260" t="s">
        <v>1874</v>
      </c>
    </row>
    <row r="11" spans="1:3" ht="27" customHeight="1">
      <c r="A11" s="262">
        <v>10</v>
      </c>
      <c r="B11" s="260" t="s">
        <v>815</v>
      </c>
      <c r="C11" s="260" t="s">
        <v>1875</v>
      </c>
    </row>
    <row r="12" spans="1:3" ht="27" customHeight="1">
      <c r="A12" s="262">
        <v>11</v>
      </c>
      <c r="B12" s="260" t="s">
        <v>816</v>
      </c>
      <c r="C12" s="260" t="s">
        <v>1876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1878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1877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1606</v>
      </c>
    </row>
    <row r="38" spans="1:3" ht="27" customHeight="1">
      <c r="A38" s="261">
        <v>37</v>
      </c>
      <c r="B38" s="260" t="s">
        <v>1650</v>
      </c>
      <c r="C38" s="260" t="s">
        <v>1651</v>
      </c>
    </row>
    <row r="39" spans="1:3" ht="27" customHeight="1">
      <c r="A39" s="261">
        <v>38</v>
      </c>
      <c r="B39" s="260" t="s">
        <v>1660</v>
      </c>
      <c r="C39" s="260" t="s">
        <v>1673</v>
      </c>
    </row>
    <row r="40" spans="1:3" ht="27" customHeight="1">
      <c r="A40" s="261">
        <v>39</v>
      </c>
      <c r="B40" s="260" t="s">
        <v>1718</v>
      </c>
      <c r="C40" s="260" t="s">
        <v>1698</v>
      </c>
    </row>
    <row r="41" spans="1:3" ht="27" customHeight="1">
      <c r="A41" s="261">
        <v>40</v>
      </c>
      <c r="B41" s="260" t="s">
        <v>1728</v>
      </c>
      <c r="C41" s="260" t="s">
        <v>1743</v>
      </c>
    </row>
    <row r="42" spans="1:3" ht="27" customHeight="1">
      <c r="A42" s="261">
        <v>41</v>
      </c>
      <c r="B42" s="260" t="s">
        <v>1820</v>
      </c>
      <c r="C42" s="260" t="s">
        <v>1821</v>
      </c>
    </row>
    <row r="43" spans="1:3" ht="27" customHeight="1">
      <c r="A43" s="261">
        <v>42</v>
      </c>
      <c r="B43" s="260" t="s">
        <v>1823</v>
      </c>
      <c r="C43" s="260" t="s">
        <v>1824</v>
      </c>
    </row>
    <row r="44" spans="1:3" ht="27" customHeight="1">
      <c r="A44" s="261">
        <v>43</v>
      </c>
      <c r="B44" s="260" t="s">
        <v>1822</v>
      </c>
      <c r="C44" s="260" t="s">
        <v>1863</v>
      </c>
    </row>
    <row r="45" spans="1:3" ht="27" customHeight="1">
      <c r="A45" s="261">
        <v>44</v>
      </c>
      <c r="B45" s="260" t="s">
        <v>1881</v>
      </c>
      <c r="C45" s="260" t="s">
        <v>1882</v>
      </c>
    </row>
    <row r="46" spans="1:3" ht="27" customHeight="1">
      <c r="A46" s="261">
        <v>45</v>
      </c>
      <c r="B46" s="260" t="s">
        <v>1960</v>
      </c>
      <c r="C46" s="260" t="s">
        <v>1961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270" zoomScaleNormal="100" workbookViewId="0">
      <selection activeCell="F302" sqref="F302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1655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1616</v>
      </c>
      <c r="BD1" s="265" t="s">
        <v>1620</v>
      </c>
      <c r="BE1" s="265" t="s">
        <v>1619</v>
      </c>
      <c r="BF1" s="265" t="s">
        <v>1617</v>
      </c>
      <c r="BG1" s="265" t="s">
        <v>1618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 t="str">
        <f>IF(全车数据表!I36="×",0,全车数据表!I36)</f>
        <v>?</v>
      </c>
      <c r="K35" s="246" t="str">
        <f>IF(全车数据表!J36="×",0,全车数据表!J36)</f>
        <v>?</v>
      </c>
      <c r="L35" s="246" t="str">
        <f>IF(全车数据表!K36="×",0,全车数据表!K36)</f>
        <v>?</v>
      </c>
      <c r="M35" s="246" t="str">
        <f>IF(全车数据表!L36="×",0,全车数据表!L36)</f>
        <v>?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312.60000000000002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 t="str">
        <f>IF(全车数据表!BF65="","",全车数据表!BF65)</f>
        <v/>
      </c>
      <c r="BD64" s="246" t="str">
        <f>IF(全车数据表!BG65="","",全车数据表!BG65)</f>
        <v/>
      </c>
      <c r="BE64" s="246" t="str">
        <f>IF(全车数据表!BH65="","",全车数据表!BH65)</f>
        <v/>
      </c>
      <c r="BF64" s="246" t="str">
        <f>IF(全车数据表!BI65="","",全车数据表!BI65)</f>
        <v/>
      </c>
      <c r="BG64" s="246" t="str">
        <f>IF(全车数据表!BJ65="","",全车数据表!BJ65)</f>
        <v/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FE二代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 t="str">
        <f>IF(全车数据表!I99="×",0,全车数据表!I99)</f>
        <v>?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？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 xml:space="preserve">Formula E Gen3 Evo Championship Edition 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35</v>
      </c>
      <c r="J131" s="246" t="str">
        <f>IF(全车数据表!I132="×",0,全车数据表!I132)</f>
        <v>?</v>
      </c>
      <c r="K131" s="246" t="str">
        <f>IF(全车数据表!J132="×",0,全车数据表!J132)</f>
        <v>?</v>
      </c>
      <c r="L131" s="246" t="str">
        <f>IF(全车数据表!K132="×",0,全车数据表!K132)</f>
        <v>?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35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35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 t="str">
        <f>IF(全车数据表!I186="×",0,全车数据表!I186)</f>
        <v>？</v>
      </c>
      <c r="K185" s="246" t="str">
        <f>IF(全车数据表!J186="×",0,全车数据表!J186)</f>
        <v>？</v>
      </c>
      <c r="L185" s="246" t="str">
        <f>IF(全车数据表!K186="×",0,全车数据表!K186)</f>
        <v>？</v>
      </c>
      <c r="M185" s="246" t="str">
        <f>IF(全车数据表!L186="×",0,全车数据表!L186)</f>
        <v>？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 t="str">
        <f>IF(全车数据表!BF186="","",全车数据表!BF186)</f>
        <v/>
      </c>
      <c r="BD185" s="246" t="str">
        <f>IF(全车数据表!BG186="","",全车数据表!BG186)</f>
        <v/>
      </c>
      <c r="BE185" s="246" t="str">
        <f>IF(全车数据表!BH186="","",全车数据表!BH186)</f>
        <v/>
      </c>
      <c r="BF185" s="246" t="str">
        <f>IF(全车数据表!BI186="","",全车数据表!BI186)</f>
        <v/>
      </c>
      <c r="BG185" s="246" t="str">
        <f>IF(全车数据表!BJ186="","",全车数据表!BJ186)</f>
        <v/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Ferrari LaFerrari Aperta</v>
      </c>
      <c r="C209" s="246" t="str">
        <f>IF(全车数据表!AQ210="","",全车数据表!AQ210)</f>
        <v>Ferrari</v>
      </c>
      <c r="D209" s="248" t="str">
        <f>全车数据表!AT210</f>
        <v>aperta</v>
      </c>
      <c r="E209" s="248" t="str">
        <f>全车数据表!AS210</f>
        <v>1.6</v>
      </c>
      <c r="F209" s="248" t="str">
        <f>全车数据表!C210</f>
        <v>黑拉法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4291</v>
      </c>
      <c r="P209" s="246">
        <f>全车数据表!P210</f>
        <v>366.2</v>
      </c>
      <c r="Q209" s="246">
        <f>全车数据表!Q210</f>
        <v>81.03</v>
      </c>
      <c r="R209" s="246">
        <f>全车数据表!R210</f>
        <v>82.48</v>
      </c>
      <c r="S209" s="246">
        <f>全车数据表!S210</f>
        <v>70.099999999999994</v>
      </c>
      <c r="T209" s="246">
        <f>全车数据表!T210</f>
        <v>7.2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381</v>
      </c>
      <c r="AD209" s="246">
        <f>全车数据表!AX210</f>
        <v>0</v>
      </c>
      <c r="AE209" s="246">
        <f>全车数据表!AY210</f>
        <v>506</v>
      </c>
      <c r="AF209" s="246" t="str">
        <f>IF(全车数据表!AZ210="","",全车数据表!AZ210)</f>
        <v>传奇商店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>无顶</v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法拉利 黑拉法 敞篷拉法</v>
      </c>
      <c r="BB209" s="246">
        <f>IF(全车数据表!AV210="","",全车数据表!AV210)</f>
        <v>19</v>
      </c>
      <c r="BC209" s="246">
        <f>IF(全车数据表!BF210="","",全车数据表!BF210)</f>
        <v>4447</v>
      </c>
      <c r="BD209" s="246">
        <f>IF(全车数据表!BG210="","",全车数据表!BG210)</f>
        <v>368.2</v>
      </c>
      <c r="BE209" s="246">
        <f>IF(全车数据表!BH210="","",全车数据表!BH210)</f>
        <v>82</v>
      </c>
      <c r="BF209" s="246">
        <f>IF(全车数据表!BI210="","",全车数据表!BI210)</f>
        <v>85.11</v>
      </c>
      <c r="BG209" s="246">
        <f>IF(全车数据表!BJ210="","",全车数据表!BJ210)</f>
        <v>72.679999999999993</v>
      </c>
    </row>
    <row r="210" spans="1:59">
      <c r="A210" s="246">
        <f>全车数据表!A211</f>
        <v>209</v>
      </c>
      <c r="B210" s="246" t="str">
        <f>全车数据表!B211</f>
        <v>Ferrari F8 Tributo</v>
      </c>
      <c r="C210" s="246" t="str">
        <f>IF(全车数据表!AQ211="","",全车数据表!AQ211)</f>
        <v>Ferrari</v>
      </c>
      <c r="D210" s="248" t="str">
        <f>全车数据表!AT211</f>
        <v>f8</v>
      </c>
      <c r="E210" s="248" t="str">
        <f>全车数据表!AS211</f>
        <v>2.5</v>
      </c>
      <c r="F210" s="248" t="str">
        <f>全车数据表!C211</f>
        <v>F8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4305</v>
      </c>
      <c r="P210" s="246">
        <f>全车数据表!P211</f>
        <v>360.2</v>
      </c>
      <c r="Q210" s="246">
        <f>全车数据表!Q211</f>
        <v>83.14</v>
      </c>
      <c r="R210" s="246">
        <f>全车数据表!R211</f>
        <v>94.22</v>
      </c>
      <c r="S210" s="246">
        <f>全车数据表!S211</f>
        <v>69.790000000000006</v>
      </c>
      <c r="T210" s="246">
        <f>全车数据表!T211</f>
        <v>0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375</v>
      </c>
      <c r="AD210" s="246">
        <f>全车数据表!AX211</f>
        <v>0</v>
      </c>
      <c r="AE210" s="246">
        <f>全车数据表!AY211</f>
        <v>496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法拉利</v>
      </c>
      <c r="BB210" s="246">
        <f>IF(全车数据表!AV211="","",全车数据表!AV211)</f>
        <v>35</v>
      </c>
      <c r="BC210" s="246">
        <f>IF(全车数据表!BF211="","",全车数据表!BF211)</f>
        <v>4461</v>
      </c>
      <c r="BD210" s="246">
        <f>IF(全车数据表!BG211="","",全车数据表!BG211)</f>
        <v>362.6</v>
      </c>
      <c r="BE210" s="246">
        <f>IF(全车数据表!BH211="","",全车数据表!BH211)</f>
        <v>84.25</v>
      </c>
      <c r="BF210" s="246">
        <f>IF(全车数据表!BI211="","",全车数据表!BI211)</f>
        <v>97.51</v>
      </c>
      <c r="BG210" s="246">
        <f>IF(全车数据表!BJ211="","",全车数据表!BJ211)</f>
        <v>72.930000000000007</v>
      </c>
    </row>
    <row r="211" spans="1:59">
      <c r="A211" s="246">
        <f>全车数据表!A212</f>
        <v>210</v>
      </c>
      <c r="B211" s="246" t="str">
        <f>全车数据表!B212</f>
        <v>Lamborghini SC20🔑</v>
      </c>
      <c r="C211" s="246" t="str">
        <f>IF(全车数据表!AQ212="","",全车数据表!AQ212)</f>
        <v>Lamborghini</v>
      </c>
      <c r="D211" s="248" t="str">
        <f>全车数据表!AT212</f>
        <v>sc20</v>
      </c>
      <c r="E211" s="248" t="str">
        <f>全车数据表!AS212</f>
        <v>3.0</v>
      </c>
      <c r="F211" s="248" t="str">
        <f>全车数据表!C212</f>
        <v>SC20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28</v>
      </c>
      <c r="K211" s="246">
        <f>IF(全车数据表!J212="×",0,全车数据表!J212)</f>
        <v>32</v>
      </c>
      <c r="L211" s="246">
        <f>IF(全车数据表!K212="×",0,全车数据表!K212)</f>
        <v>44</v>
      </c>
      <c r="M211" s="246">
        <f>IF(全车数据表!L212="×",0,全车数据表!L212)</f>
        <v>59</v>
      </c>
      <c r="N211" s="246">
        <f>IF(全车数据表!M212="×",0,全车数据表!M212)</f>
        <v>86</v>
      </c>
      <c r="O211" s="246">
        <f>全车数据表!O212</f>
        <v>4307</v>
      </c>
      <c r="P211" s="246">
        <f>全车数据表!P212</f>
        <v>370.7</v>
      </c>
      <c r="Q211" s="246">
        <f>全车数据表!Q212</f>
        <v>81.900000000000006</v>
      </c>
      <c r="R211" s="246">
        <f>全车数据表!R212</f>
        <v>72.510000000000005</v>
      </c>
      <c r="S211" s="246">
        <f>全车数据表!S212</f>
        <v>68.900000000000006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385</v>
      </c>
      <c r="AD211" s="246">
        <f>全车数据表!AX212</f>
        <v>0</v>
      </c>
      <c r="AE211" s="246">
        <f>全车数据表!AY212</f>
        <v>514</v>
      </c>
      <c r="AF211" s="246" t="str">
        <f>IF(全车数据表!AZ212="","",全车数据表!AZ212)</f>
        <v>大奖赛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>
        <f>IF(全车数据表!CA212="","",全车数据表!CA212)</f>
        <v>1</v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>无顶</v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兰博基尼</v>
      </c>
      <c r="BB211" s="246" t="str">
        <f>IF(全车数据表!AV212="","",全车数据表!AV212)</f>
        <v/>
      </c>
      <c r="BC211" s="246">
        <f>IF(全车数据表!BF212="","",全车数据表!BF212)</f>
        <v>4460</v>
      </c>
      <c r="BD211" s="246">
        <f>IF(全车数据表!BG212="","",全车数据表!BG212)</f>
        <v>372.8</v>
      </c>
      <c r="BE211" s="246">
        <f>IF(全车数据表!BH212="","",全车数据表!BH212)</f>
        <v>82.9</v>
      </c>
      <c r="BF211" s="246">
        <f>IF(全车数据表!BI212="","",全车数据表!BI212)</f>
        <v>75.09</v>
      </c>
      <c r="BG211" s="246">
        <f>IF(全车数据表!BJ212="","",全车数据表!BJ212)</f>
        <v>72.28</v>
      </c>
    </row>
    <row r="212" spans="1:59">
      <c r="A212" s="246">
        <f>全车数据表!A213</f>
        <v>211</v>
      </c>
      <c r="B212" s="246" t="str">
        <f>全车数据表!B213</f>
        <v>Pagani Utopia Coupe🔑</v>
      </c>
      <c r="C212" s="246" t="str">
        <f>IF(全车数据表!AQ213="","",全车数据表!AQ213)</f>
        <v>Pagani</v>
      </c>
      <c r="D212" s="248" t="str">
        <f>全车数据表!AT213</f>
        <v>utopia</v>
      </c>
      <c r="E212" s="248" t="str">
        <f>全车数据表!AS213</f>
        <v>4.5</v>
      </c>
      <c r="F212" s="248" t="str">
        <f>全车数据表!C213</f>
        <v>乌托邦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4308</v>
      </c>
      <c r="P212" s="246">
        <f>全车数据表!P213</f>
        <v>367.9</v>
      </c>
      <c r="Q212" s="246">
        <f>全车数据表!Q213</f>
        <v>81.03</v>
      </c>
      <c r="R212" s="246">
        <f>全车数据表!R213</f>
        <v>80.63</v>
      </c>
      <c r="S212" s="246">
        <f>全车数据表!S213</f>
        <v>77.19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382</v>
      </c>
      <c r="AD212" s="246">
        <f>全车数据表!AX213</f>
        <v>0</v>
      </c>
      <c r="AE212" s="246">
        <f>全车数据表!AY213</f>
        <v>509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帕加尼</v>
      </c>
      <c r="BB212" s="246" t="str">
        <f>IF(全车数据表!AV213="","",全车数据表!AV213)</f>
        <v/>
      </c>
      <c r="BC212" s="246">
        <f>IF(全车数据表!BF213="","",全车数据表!BF213)</f>
        <v>4464</v>
      </c>
      <c r="BD212" s="246">
        <f>IF(全车数据表!BG213="","",全车数据表!BG213)</f>
        <v>370.1</v>
      </c>
      <c r="BE212" s="246">
        <f>IF(全车数据表!BH213="","",全车数据表!BH213)</f>
        <v>82</v>
      </c>
      <c r="BF212" s="246">
        <f>IF(全车数据表!BI213="","",全车数据表!BI213)</f>
        <v>83.04</v>
      </c>
      <c r="BG212" s="246">
        <f>IF(全车数据表!BJ213="","",全车数据表!BJ213)</f>
        <v>80.38</v>
      </c>
    </row>
    <row r="213" spans="1:59">
      <c r="A213" s="246">
        <f>全车数据表!A214</f>
        <v>212</v>
      </c>
      <c r="B213" s="246" t="str">
        <f>全车数据表!B214</f>
        <v>Genty Akylone</v>
      </c>
      <c r="C213" s="246" t="str">
        <f>IF(全车数据表!AQ214="","",全车数据表!AQ214)</f>
        <v>Genty</v>
      </c>
      <c r="D213" s="248" t="str">
        <f>全车数据表!AT214</f>
        <v>akylone</v>
      </c>
      <c r="E213" s="248" t="str">
        <f>全车数据表!AS214</f>
        <v>1.6</v>
      </c>
      <c r="F213" s="248" t="str">
        <f>全车数据表!C214</f>
        <v>AKL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50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62</v>
      </c>
      <c r="O213" s="246">
        <f>全车数据表!O214</f>
        <v>4310</v>
      </c>
      <c r="P213" s="246">
        <f>全车数据表!P214</f>
        <v>371.7</v>
      </c>
      <c r="Q213" s="246">
        <f>全车数据表!Q214</f>
        <v>82.93</v>
      </c>
      <c r="R213" s="246">
        <f>全车数据表!R214</f>
        <v>67.81</v>
      </c>
      <c r="S213" s="246">
        <f>全车数据表!S214</f>
        <v>70.349999999999994</v>
      </c>
      <c r="T213" s="246">
        <f>全车数据表!T214</f>
        <v>7.15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386</v>
      </c>
      <c r="AD213" s="246">
        <f>全车数据表!AX214</f>
        <v>0</v>
      </c>
      <c r="AE213" s="246">
        <f>全车数据表!AY214</f>
        <v>515</v>
      </c>
      <c r="AF213" s="246" t="str">
        <f>IF(全车数据表!AZ214="","",全车数据表!AZ214)</f>
        <v>传奇商店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>
        <f>IF(全车数据表!BS214="","",全车数据表!BS214)</f>
        <v>1</v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>
        <f>IF(全车数据表!CI214="","",全车数据表!CI214)</f>
        <v>1</v>
      </c>
      <c r="BA213" s="246" t="str">
        <f>IF(全车数据表!CJ214="","",全车数据表!CJ214)</f>
        <v>阿卡龙</v>
      </c>
      <c r="BB213" s="246">
        <f>IF(全车数据表!AV214="","",全车数据表!AV214)</f>
        <v>20</v>
      </c>
      <c r="BC213" s="246">
        <f>IF(全车数据表!BF214="","",全车数据表!BF214)</f>
        <v>4466</v>
      </c>
      <c r="BD213" s="246">
        <f>IF(全车数据表!BG214="","",全车数据表!BG214)</f>
        <v>373.8</v>
      </c>
      <c r="BE213" s="246">
        <f>IF(全车数据表!BH214="","",全车数据表!BH214)</f>
        <v>83.800000000000011</v>
      </c>
      <c r="BF213" s="246">
        <f>IF(全车数据表!BI214="","",全车数据表!BI214)</f>
        <v>70.010000000000005</v>
      </c>
      <c r="BG213" s="246">
        <f>IF(全车数据表!BJ214="","",全车数据表!BJ214)</f>
        <v>72.419999999999987</v>
      </c>
    </row>
    <row r="214" spans="1:59">
      <c r="A214" s="246">
        <f>全车数据表!A215</f>
        <v>213</v>
      </c>
      <c r="B214" s="246" t="str">
        <f>全车数据表!B215</f>
        <v>Ford Shelby Super Snake</v>
      </c>
      <c r="C214" s="246" t="str">
        <f>IF(全车数据表!AQ215="","",全车数据表!AQ215)</f>
        <v>Ford</v>
      </c>
      <c r="D214" s="248" t="str">
        <f>全车数据表!AT215</f>
        <v>supersnake</v>
      </c>
      <c r="E214" s="248" t="str">
        <f>全车数据表!AS215</f>
        <v>24.3</v>
      </c>
      <c r="F214" s="248" t="str">
        <f>全车数据表!C215</f>
        <v>超级蛇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4350</v>
      </c>
      <c r="P214" s="246">
        <f>全车数据表!P215</f>
        <v>363.4</v>
      </c>
      <c r="Q214" s="246">
        <f>全车数据表!Q215</f>
        <v>85.44</v>
      </c>
      <c r="R214" s="246">
        <f>全车数据表!R215</f>
        <v>75.98</v>
      </c>
      <c r="S214" s="246">
        <f>全车数据表!S215</f>
        <v>59.74</v>
      </c>
      <c r="T214" s="246">
        <f>全车数据表!T215</f>
        <v>0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谢尔比</v>
      </c>
      <c r="BB214" s="246" t="str">
        <f>IF(全车数据表!AV215="","",全车数据表!AV215)</f>
        <v/>
      </c>
      <c r="BC214" s="246">
        <f>IF(全车数据表!BF215="","",全车数据表!BF215)</f>
        <v>4507</v>
      </c>
      <c r="BD214" s="246">
        <f>IF(全车数据表!BG215="","",全车数据表!BG215)</f>
        <v>365.4</v>
      </c>
      <c r="BE214" s="246">
        <f>IF(全车数据表!BH215="","",全车数据表!BH215)</f>
        <v>86.5</v>
      </c>
      <c r="BF214" s="246">
        <f>IF(全车数据表!BI215="","",全车数据表!BI215)</f>
        <v>78.33</v>
      </c>
      <c r="BG214" s="246">
        <f>IF(全车数据表!BJ215="","",全车数据表!BJ215)</f>
        <v>62.82</v>
      </c>
    </row>
    <row r="215" spans="1:59">
      <c r="A215" s="246">
        <f>全车数据表!A216</f>
        <v>214</v>
      </c>
      <c r="B215" s="246" t="str">
        <f>全车数据表!B216</f>
        <v>FV Frangivento Asfane🔑</v>
      </c>
      <c r="C215" s="246" t="str">
        <f>IF(全车数据表!AQ216="","",全车数据表!AQ216)</f>
        <v>FV Frangivento</v>
      </c>
      <c r="D215" s="248" t="str">
        <f>全车数据表!AT216</f>
        <v>asfane</v>
      </c>
      <c r="E215" s="248" t="str">
        <f>全车数据表!AS216</f>
        <v>4.6</v>
      </c>
      <c r="F215" s="248" t="str">
        <f>全车数据表!C216</f>
        <v>Asfane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28</v>
      </c>
      <c r="K215" s="246">
        <f>IF(全车数据表!J216="×",0,全车数据表!J216)</f>
        <v>32</v>
      </c>
      <c r="L215" s="246">
        <f>IF(全车数据表!K216="×",0,全车数据表!K216)</f>
        <v>44</v>
      </c>
      <c r="M215" s="246">
        <f>IF(全车数据表!L216="×",0,全车数据表!L216)</f>
        <v>59</v>
      </c>
      <c r="N215" s="246">
        <f>IF(全车数据表!M216="×",0,全车数据表!M216)</f>
        <v>86</v>
      </c>
      <c r="O215" s="246">
        <f>全车数据表!O216</f>
        <v>4377</v>
      </c>
      <c r="P215" s="246">
        <f>全车数据表!P216</f>
        <v>373.9</v>
      </c>
      <c r="Q215" s="246">
        <f>全车数据表!Q216</f>
        <v>82.03</v>
      </c>
      <c r="R215" s="246">
        <f>全车数据表!R216</f>
        <v>69.13</v>
      </c>
      <c r="S215" s="246">
        <f>全车数据表!S216</f>
        <v>67.63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389</v>
      </c>
      <c r="AD215" s="246">
        <f>全车数据表!AX216</f>
        <v>0</v>
      </c>
      <c r="AE215" s="246">
        <f>全车数据表!AY216</f>
        <v>519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鼠标</v>
      </c>
      <c r="BB215" s="246" t="str">
        <f>IF(全车数据表!AV216="","",全车数据表!AV216)</f>
        <v/>
      </c>
      <c r="BC215" s="246">
        <f>IF(全车数据表!BF216="","",全车数据表!BF216)</f>
        <v>4534</v>
      </c>
      <c r="BD215" s="246">
        <f>IF(全车数据表!BG216="","",全车数据表!BG216)</f>
        <v>375.6</v>
      </c>
      <c r="BE215" s="246">
        <f>IF(全车数据表!BH216="","",全车数据表!BH216)</f>
        <v>82.9</v>
      </c>
      <c r="BF215" s="246">
        <f>IF(全车数据表!BI216="","",全车数据表!BI216)</f>
        <v>71.88</v>
      </c>
      <c r="BG215" s="246">
        <f>IF(全车数据表!BJ216="","",全车数据表!BJ216)</f>
        <v>70.53</v>
      </c>
    </row>
    <row r="216" spans="1:59">
      <c r="A216" s="246">
        <f>全车数据表!A217</f>
        <v>215</v>
      </c>
      <c r="B216" s="246" t="str">
        <f>全车数据表!B217</f>
        <v>TechRules AT96 Track Version🔑</v>
      </c>
      <c r="C216" s="246" t="str">
        <f>IF(全车数据表!AQ217="","",全车数据表!AQ217)</f>
        <v>TechRules</v>
      </c>
      <c r="D216" s="248" t="str">
        <f>全车数据表!AT217</f>
        <v>at96</v>
      </c>
      <c r="E216" s="248" t="str">
        <f>全车数据表!AS217</f>
        <v>2.0</v>
      </c>
      <c r="F216" s="248" t="str">
        <f>全车数据表!C217</f>
        <v>腾风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30</v>
      </c>
      <c r="K216" s="246">
        <f>IF(全车数据表!J217="×",0,全车数据表!J217)</f>
        <v>40</v>
      </c>
      <c r="L216" s="246">
        <f>IF(全车数据表!K217="×",0,全车数据表!K217)</f>
        <v>50</v>
      </c>
      <c r="M216" s="246">
        <f>IF(全车数据表!L217="×",0,全车数据表!L217)</f>
        <v>65</v>
      </c>
      <c r="N216" s="246">
        <f>IF(全车数据表!M217="×",0,全车数据表!M217)</f>
        <v>80</v>
      </c>
      <c r="O216" s="246">
        <f>全车数据表!O217</f>
        <v>4444</v>
      </c>
      <c r="P216" s="246">
        <f>全车数据表!P217</f>
        <v>364.6</v>
      </c>
      <c r="Q216" s="246">
        <f>全车数据表!Q217</f>
        <v>85.53</v>
      </c>
      <c r="R216" s="246">
        <f>全车数据表!R217</f>
        <v>75.739999999999995</v>
      </c>
      <c r="S216" s="246">
        <f>全车数据表!S217</f>
        <v>69.650000000000006</v>
      </c>
      <c r="T216" s="246">
        <f>全车数据表!T217</f>
        <v>7.13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379</v>
      </c>
      <c r="AD216" s="246">
        <f>全车数据表!AX217</f>
        <v>0</v>
      </c>
      <c r="AE216" s="246">
        <f>全车数据表!AY217</f>
        <v>503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泰克鲁斯</v>
      </c>
      <c r="BB216" s="246" t="str">
        <f>IF(全车数据表!AV217="","",全车数据表!AV217)</f>
        <v/>
      </c>
      <c r="BC216" s="246">
        <f>IF(全车数据表!BF217="","",全车数据表!BF217)</f>
        <v>4603</v>
      </c>
      <c r="BD216" s="246">
        <f>IF(全车数据表!BG217="","",全车数据表!BG217)</f>
        <v>366.40000000000003</v>
      </c>
      <c r="BE216" s="246">
        <f>IF(全车数据表!BH217="","",全车数据表!BH217)</f>
        <v>86.5</v>
      </c>
      <c r="BF216" s="246">
        <f>IF(全车数据表!BI217="","",全车数据表!BI217)</f>
        <v>78.47999999999999</v>
      </c>
      <c r="BG216" s="246">
        <f>IF(全车数据表!BJ217="","",全车数据表!BJ217)</f>
        <v>72.42</v>
      </c>
    </row>
    <row r="217" spans="1:59">
      <c r="A217" s="246">
        <f>全车数据表!A218</f>
        <v>216</v>
      </c>
      <c r="B217" s="246" t="str">
        <f>全车数据表!B218</f>
        <v>Noble M600 Speedster</v>
      </c>
      <c r="C217" s="246" t="str">
        <f>IF(全车数据表!AQ218="","",全车数据表!AQ218)</f>
        <v>Noble</v>
      </c>
      <c r="D217" s="248" t="str">
        <f>全车数据表!AT218</f>
        <v>m600</v>
      </c>
      <c r="E217" s="248" t="str">
        <f>全车数据表!AS218</f>
        <v>4.2</v>
      </c>
      <c r="F217" s="248" t="str">
        <f>全车数据表!C218</f>
        <v>M600</v>
      </c>
      <c r="G217" s="246" t="str">
        <f>全车数据表!D218</f>
        <v>A</v>
      </c>
      <c r="H217" s="246">
        <f>LEN(全车数据表!E218)</f>
        <v>6</v>
      </c>
      <c r="I217" s="246">
        <f>IF(全车数据表!H218="×",0,全车数据表!H218)</f>
        <v>70</v>
      </c>
      <c r="J217" s="246">
        <f>IF(全车数据表!I218="×",0,全车数据表!I218)</f>
        <v>23</v>
      </c>
      <c r="K217" s="246">
        <f>IF(全车数据表!J218="×",0,全车数据表!J218)</f>
        <v>27</v>
      </c>
      <c r="L217" s="246">
        <f>IF(全车数据表!K218="×",0,全车数据表!K218)</f>
        <v>36</v>
      </c>
      <c r="M217" s="246">
        <f>IF(全车数据表!L218="×",0,全车数据表!L218)</f>
        <v>52</v>
      </c>
      <c r="N217" s="246">
        <f>IF(全车数据表!M218="×",0,全车数据表!M218)</f>
        <v>59</v>
      </c>
      <c r="O217" s="246">
        <f>全车数据表!O218</f>
        <v>4464</v>
      </c>
      <c r="P217" s="246">
        <f>全车数据表!P218</f>
        <v>375.7</v>
      </c>
      <c r="Q217" s="246">
        <f>全车数据表!Q218</f>
        <v>81.3</v>
      </c>
      <c r="R217" s="246">
        <f>全车数据表!R218</f>
        <v>85.47</v>
      </c>
      <c r="S217" s="246">
        <f>全车数据表!S218</f>
        <v>61.71</v>
      </c>
      <c r="T217" s="246">
        <f>全车数据表!T218</f>
        <v>5.75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390</v>
      </c>
      <c r="AD217" s="246">
        <f>全车数据表!AX218</f>
        <v>0</v>
      </c>
      <c r="AE217" s="246">
        <f>全车数据表!AY218</f>
        <v>522</v>
      </c>
      <c r="AF217" s="246" t="str">
        <f>IF(全车数据表!AZ218="","",全车数据表!AZ218)</f>
        <v>联会赛事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>
        <f>IF(全车数据表!CB218="","",全车数据表!CB218)</f>
        <v>1</v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诺贝尔</v>
      </c>
      <c r="BB217" s="246" t="str">
        <f>IF(全车数据表!AV218="","",全车数据表!AV218)</f>
        <v/>
      </c>
      <c r="BC217" s="246">
        <f>IF(全车数据表!BF218="","",全车数据表!BF218)</f>
        <v>4622</v>
      </c>
      <c r="BD217" s="246">
        <f>IF(全车数据表!BG218="","",全车数据表!BG218)</f>
        <v>377.5</v>
      </c>
      <c r="BE217" s="246">
        <f>IF(全车数据表!BH218="","",全车数据表!BH218)</f>
        <v>82</v>
      </c>
      <c r="BF217" s="246">
        <f>IF(全车数据表!BI218="","",全车数据表!BI218)</f>
        <v>88.29</v>
      </c>
      <c r="BG217" s="246">
        <f>IF(全车数据表!BJ218="","",全车数据表!BJ218)</f>
        <v>65.400000000000006</v>
      </c>
    </row>
    <row r="218" spans="1:59">
      <c r="A218" s="246">
        <f>全车数据表!A219</f>
        <v>217</v>
      </c>
      <c r="B218" s="246" t="str">
        <f>全车数据表!B219</f>
        <v>Rimac Concept_One</v>
      </c>
      <c r="C218" s="246" t="str">
        <f>IF(全车数据表!AQ219="","",全车数据表!AQ219)</f>
        <v>Rimac</v>
      </c>
      <c r="D218" s="248" t="str">
        <f>全车数据表!AT219</f>
        <v>c1</v>
      </c>
      <c r="E218" s="248" t="str">
        <f>全车数据表!AS219</f>
        <v>3.1</v>
      </c>
      <c r="F218" s="248" t="str">
        <f>全车数据表!C219</f>
        <v>C_One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4480</v>
      </c>
      <c r="P218" s="246">
        <f>全车数据表!P219</f>
        <v>368.5</v>
      </c>
      <c r="Q218" s="246">
        <f>全车数据表!Q219</f>
        <v>86.34</v>
      </c>
      <c r="R218" s="246">
        <f>全车数据表!R219</f>
        <v>84.08</v>
      </c>
      <c r="S218" s="246">
        <f>全车数据表!S219</f>
        <v>54.53</v>
      </c>
      <c r="T218" s="246">
        <f>全车数据表!T219</f>
        <v>5.23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383</v>
      </c>
      <c r="AD218" s="246">
        <f>全车数据表!AX219</f>
        <v>0</v>
      </c>
      <c r="AE218" s="246">
        <f>全车数据表!AY219</f>
        <v>510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c1</v>
      </c>
      <c r="BB218" s="246">
        <f>IF(全车数据表!AV219="","",全车数据表!AV219)</f>
        <v>56</v>
      </c>
      <c r="BC218" s="246">
        <f>IF(全车数据表!BF219="","",全车数据表!BF219)</f>
        <v>4637</v>
      </c>
      <c r="BD218" s="246">
        <f>IF(全车数据表!BG219="","",全车数据表!BG219)</f>
        <v>370.1</v>
      </c>
      <c r="BE218" s="246">
        <f>IF(全车数据表!BH219="","",全车数据表!BH219)</f>
        <v>87.4</v>
      </c>
      <c r="BF218" s="246">
        <f>IF(全车数据表!BI219="","",全车数据表!BI219)</f>
        <v>87.02</v>
      </c>
      <c r="BG218" s="246">
        <f>IF(全车数据表!BJ219="","",全车数据表!BJ219)</f>
        <v>57.03</v>
      </c>
    </row>
    <row r="219" spans="1:59">
      <c r="A219" s="246">
        <f>全车数据表!A220</f>
        <v>218</v>
      </c>
      <c r="B219" s="246" t="str">
        <f>全车数据表!B220</f>
        <v>Aston Martin Valhalla Concept Car</v>
      </c>
      <c r="C219" s="246" t="str">
        <f>IF(全车数据表!AQ220="","",全车数据表!AQ220)</f>
        <v>Aston Martin</v>
      </c>
      <c r="D219" s="248" t="str">
        <f>全车数据表!AT220</f>
        <v>valhalla</v>
      </c>
      <c r="E219" s="248" t="str">
        <f>全车数据表!AS220</f>
        <v>2.4</v>
      </c>
      <c r="F219" s="248" t="str">
        <f>全车数据表!C220</f>
        <v>英灵殿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77</v>
      </c>
      <c r="O219" s="246">
        <f>全车数据表!O220</f>
        <v>4517</v>
      </c>
      <c r="P219" s="246">
        <f>全车数据表!P220</f>
        <v>377.4</v>
      </c>
      <c r="Q219" s="246">
        <f>全车数据表!Q220</f>
        <v>82.23</v>
      </c>
      <c r="R219" s="246">
        <f>全车数据表!R220</f>
        <v>81.760000000000005</v>
      </c>
      <c r="S219" s="246">
        <f>全车数据表!S220</f>
        <v>59.55</v>
      </c>
      <c r="T219" s="246">
        <f>全车数据表!T220</f>
        <v>5.68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392</v>
      </c>
      <c r="AD219" s="246">
        <f>全车数据表!AX220</f>
        <v>0</v>
      </c>
      <c r="AE219" s="246">
        <f>全车数据表!AY220</f>
        <v>525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阿斯顿马丁 英灵殿</v>
      </c>
      <c r="BB219" s="246">
        <f>IF(全车数据表!AV220="","",全车数据表!AV220)</f>
        <v>38</v>
      </c>
      <c r="BC219" s="246">
        <f>IF(全车数据表!BF220="","",全车数据表!BF220)</f>
        <v>4672</v>
      </c>
      <c r="BD219" s="246">
        <f>IF(全车数据表!BG220="","",全车数据表!BG220)</f>
        <v>380.2</v>
      </c>
      <c r="BE219" s="246">
        <f>IF(全车数据表!BH220="","",全车数据表!BH220)</f>
        <v>82.81</v>
      </c>
      <c r="BF219" s="246">
        <f>IF(全车数据表!BI220="","",全车数据表!BI220)</f>
        <v>84.710000000000008</v>
      </c>
      <c r="BG219" s="246">
        <f>IF(全车数据表!BJ220="","",全车数据表!BJ220)</f>
        <v>61.419999999999995</v>
      </c>
    </row>
    <row r="220" spans="1:59">
      <c r="A220" s="246">
        <f>全车数据表!A221</f>
        <v>219</v>
      </c>
      <c r="B220" s="246" t="str">
        <f>全车数据表!B221</f>
        <v>Pagani Imola</v>
      </c>
      <c r="C220" s="246" t="str">
        <f>IF(全车数据表!AQ221="","",全车数据表!AQ221)</f>
        <v>Pagani</v>
      </c>
      <c r="D220" s="248" t="str">
        <f>全车数据表!AT221</f>
        <v>imola</v>
      </c>
      <c r="E220" s="248" t="str">
        <f>全车数据表!AS221</f>
        <v>2.8</v>
      </c>
      <c r="F220" s="248" t="str">
        <f>全车数据表!C221</f>
        <v>伊莫拉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4545</v>
      </c>
      <c r="P220" s="246">
        <f>全车数据表!P221</f>
        <v>378.9</v>
      </c>
      <c r="Q220" s="246">
        <f>全车数据表!Q221</f>
        <v>80.23</v>
      </c>
      <c r="R220" s="246">
        <f>全车数据表!R221</f>
        <v>72.17</v>
      </c>
      <c r="S220" s="246">
        <f>全车数据表!S221</f>
        <v>71.14</v>
      </c>
      <c r="T220" s="246">
        <f>全车数据表!T221</f>
        <v>6.98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394</v>
      </c>
      <c r="AD220" s="246">
        <f>全车数据表!AX221</f>
        <v>0</v>
      </c>
      <c r="AE220" s="246">
        <f>全车数据表!AY221</f>
        <v>528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帕加尼</v>
      </c>
      <c r="BB220" s="246">
        <f>IF(全车数据表!AV221="","",全车数据表!AV221)</f>
        <v>54</v>
      </c>
      <c r="BC220" s="246">
        <f>IF(全车数据表!BF221="","",全车数据表!BF221)</f>
        <v>4700</v>
      </c>
      <c r="BD220" s="246">
        <f>IF(全车数据表!BG221="","",全车数据表!BG221)</f>
        <v>381.2</v>
      </c>
      <c r="BE220" s="246">
        <f>IF(全车数据表!BH221="","",全车数据表!BH221)</f>
        <v>81.099999999999994</v>
      </c>
      <c r="BF220" s="246">
        <f>IF(全车数据表!BI221="","",全车数据表!BI221)</f>
        <v>75.099999999999994</v>
      </c>
      <c r="BG220" s="246">
        <f>IF(全车数据表!BJ221="","",全车数据表!BJ221)</f>
        <v>73.47</v>
      </c>
    </row>
    <row r="221" spans="1:59">
      <c r="A221" s="246">
        <f>全车数据表!A222</f>
        <v>220</v>
      </c>
      <c r="B221" s="246" t="str">
        <f>全车数据表!B222</f>
        <v>Ford Team Fordzilla P1</v>
      </c>
      <c r="C221" s="246" t="str">
        <f>IF(全车数据表!AQ222="","",全车数据表!AQ222)</f>
        <v>Ford</v>
      </c>
      <c r="D221" s="248" t="str">
        <f>全车数据表!AT222</f>
        <v>fordp1</v>
      </c>
      <c r="E221" s="248" t="str">
        <f>全车数据表!AS222</f>
        <v>4.4</v>
      </c>
      <c r="F221" s="248" t="str">
        <f>全车数据表!C222</f>
        <v>福特P1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4548</v>
      </c>
      <c r="P221" s="246">
        <f>全车数据表!P222</f>
        <v>382</v>
      </c>
      <c r="Q221" s="246">
        <f>全车数据表!Q222</f>
        <v>87.72</v>
      </c>
      <c r="R221" s="246">
        <f>全车数据表!R222</f>
        <v>53.75</v>
      </c>
      <c r="S221" s="246">
        <f>全车数据表!S222</f>
        <v>60.72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397</v>
      </c>
      <c r="AD221" s="246">
        <f>全车数据表!AX222</f>
        <v>0</v>
      </c>
      <c r="AE221" s="246">
        <f>全车数据表!AY222</f>
        <v>533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福特</v>
      </c>
      <c r="BB221" s="246" t="str">
        <f>IF(全车数据表!AV222="","",全车数据表!AV222)</f>
        <v/>
      </c>
      <c r="BC221" s="246">
        <f>IF(全车数据表!BF222="","",全车数据表!BF222)</f>
        <v>4703</v>
      </c>
      <c r="BD221" s="246">
        <f>IF(全车数据表!BG222="","",全车数据表!BG222)</f>
        <v>384.9</v>
      </c>
      <c r="BE221" s="246">
        <f>IF(全车数据表!BH222="","",全车数据表!BH222)</f>
        <v>88.3</v>
      </c>
      <c r="BF221" s="246">
        <f>IF(全车数据表!BI222="","",全车数据表!BI222)</f>
        <v>55.15</v>
      </c>
      <c r="BG221" s="246">
        <f>IF(全车数据表!BJ222="","",全车数据表!BJ222)</f>
        <v>63.07</v>
      </c>
    </row>
    <row r="222" spans="1:59">
      <c r="A222" s="246">
        <f>全车数据表!A223</f>
        <v>221</v>
      </c>
      <c r="B222" s="246" t="str">
        <f>全车数据表!B223</f>
        <v>Jaguar XJR-9🔑</v>
      </c>
      <c r="C222" s="246" t="str">
        <f>IF(全车数据表!AQ223="","",全车数据表!AQ223)</f>
        <v>Jaguar</v>
      </c>
      <c r="D222" s="248" t="str">
        <f>全车数据表!AT223</f>
        <v>xjr</v>
      </c>
      <c r="E222" s="248" t="str">
        <f>全车数据表!AS223</f>
        <v>4.0</v>
      </c>
      <c r="F222" s="248" t="str">
        <f>全车数据表!C223</f>
        <v>XJR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4551</v>
      </c>
      <c r="P222" s="246">
        <f>全车数据表!P223</f>
        <v>412.3</v>
      </c>
      <c r="Q222" s="246">
        <f>全车数据表!Q223</f>
        <v>69.239999999999995</v>
      </c>
      <c r="R222" s="246">
        <f>全车数据表!R223</f>
        <v>59.33</v>
      </c>
      <c r="S222" s="246">
        <f>全车数据表!S223</f>
        <v>84.95</v>
      </c>
      <c r="T222" s="246">
        <f>全车数据表!T223</f>
        <v>8.4700000000000006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432</v>
      </c>
      <c r="AD222" s="246">
        <f>全车数据表!AX223</f>
        <v>0</v>
      </c>
      <c r="AE222" s="246">
        <f>全车数据表!AY223</f>
        <v>563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捷豹</v>
      </c>
      <c r="BB222" s="246" t="str">
        <f>IF(全车数据表!AV223="","",全车数据表!AV223)</f>
        <v/>
      </c>
      <c r="BC222" s="246">
        <f>IF(全车数据表!BF223="","",全车数据表!BF223)</f>
        <v>4706</v>
      </c>
      <c r="BD222" s="246">
        <f>IF(全车数据表!BG223="","",全车数据表!BG223)</f>
        <v>414.5</v>
      </c>
      <c r="BE222" s="246">
        <f>IF(全车数据表!BH223="","",全车数据表!BH223)</f>
        <v>70.3</v>
      </c>
      <c r="BF222" s="246">
        <f>IF(全车数据表!BI223="","",全车数据表!BI223)</f>
        <v>60.02</v>
      </c>
      <c r="BG222" s="246">
        <f>IF(全车数据表!BJ223="","",全车数据表!BJ223)</f>
        <v>87.45</v>
      </c>
    </row>
    <row r="223" spans="1:59">
      <c r="A223" s="246">
        <f>全车数据表!A224</f>
        <v>222</v>
      </c>
      <c r="B223" s="246" t="str">
        <f>全车数据表!B224</f>
        <v>Lamborghini Countach LPI 800-4🔑</v>
      </c>
      <c r="C223" s="246" t="str">
        <f>IF(全车数据表!AQ224="","",全车数据表!AQ224)</f>
        <v>Lamborghini</v>
      </c>
      <c r="D223" s="248" t="str">
        <f>全车数据表!AT224</f>
        <v>lpi800</v>
      </c>
      <c r="E223" s="248" t="str">
        <f>全车数据表!AS224</f>
        <v>3.5</v>
      </c>
      <c r="F223" s="248" t="str">
        <f>全车数据表!C224</f>
        <v>新康塔什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4559</v>
      </c>
      <c r="P223" s="246">
        <f>全车数据表!P224</f>
        <v>373.4</v>
      </c>
      <c r="Q223" s="246">
        <f>全车数据表!Q224</f>
        <v>81.23</v>
      </c>
      <c r="R223" s="246">
        <f>全车数据表!R224</f>
        <v>85.96</v>
      </c>
      <c r="S223" s="246">
        <f>全车数据表!S224</f>
        <v>72.400000000000006</v>
      </c>
      <c r="T223" s="246">
        <f>全车数据表!T224</f>
        <v>7.26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388</v>
      </c>
      <c r="AD223" s="246">
        <f>全车数据表!AX224</f>
        <v>0</v>
      </c>
      <c r="AE223" s="246">
        <f>全车数据表!AY224</f>
        <v>518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>
        <f>IF(全车数据表!CD224="","",全车数据表!CD224)</f>
        <v>1</v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兰博基尼</v>
      </c>
      <c r="BB223" s="246" t="str">
        <f>IF(全车数据表!AV224="","",全车数据表!AV224)</f>
        <v/>
      </c>
      <c r="BC223" s="246">
        <f>IF(全车数据表!BF224="","",全车数据表!BF224)</f>
        <v>4714</v>
      </c>
      <c r="BD223" s="246">
        <f>IF(全车数据表!BG224="","",全车数据表!BG224)</f>
        <v>375.59999999999997</v>
      </c>
      <c r="BE223" s="246">
        <f>IF(全车数据表!BH224="","",全车数据表!BH224)</f>
        <v>82</v>
      </c>
      <c r="BF223" s="246">
        <f>IF(全车数据表!BI224="","",全车数据表!BI224)</f>
        <v>89.58</v>
      </c>
      <c r="BG223" s="246">
        <f>IF(全车数据表!BJ224="","",全车数据表!BJ224)</f>
        <v>74.830000000000013</v>
      </c>
    </row>
    <row r="224" spans="1:59">
      <c r="A224" s="246">
        <f>全车数据表!A225</f>
        <v>223</v>
      </c>
      <c r="B224" s="246" t="str">
        <f>全车数据表!B225</f>
        <v>Lexus BEV Sport Concept</v>
      </c>
      <c r="C224" s="246" t="str">
        <f>IF(全车数据表!AQ225="","",全车数据表!AQ225)</f>
        <v>Lexus</v>
      </c>
      <c r="D224" s="248" t="str">
        <f>全车数据表!AT225</f>
        <v>bev</v>
      </c>
      <c r="E224" s="248" t="str">
        <f>全车数据表!AS225</f>
        <v>24.5</v>
      </c>
      <c r="F224" s="248" t="str">
        <f>全车数据表!C225</f>
        <v>BEV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4565</v>
      </c>
      <c r="P224" s="246">
        <f>全车数据表!P225</f>
        <v>379.2</v>
      </c>
      <c r="Q224" s="246">
        <f>全车数据表!Q225</f>
        <v>88.43</v>
      </c>
      <c r="R224" s="246">
        <f>全车数据表!R225</f>
        <v>50.26</v>
      </c>
      <c r="S224" s="246">
        <f>全车数据表!S225</f>
        <v>55.59</v>
      </c>
      <c r="T224" s="246">
        <f>全车数据表!T225</f>
        <v>0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0</v>
      </c>
      <c r="AD224" s="246">
        <f>全车数据表!AX225</f>
        <v>0</v>
      </c>
      <c r="AE224" s="246">
        <f>全车数据表!AY225</f>
        <v>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雷克萨斯</v>
      </c>
      <c r="BB224" s="246" t="str">
        <f>IF(全车数据表!AV225="","",全车数据表!AV225)</f>
        <v/>
      </c>
      <c r="BC224" s="246">
        <f>IF(全车数据表!BF225="","",全车数据表!BF225)</f>
        <v>4721</v>
      </c>
      <c r="BD224" s="246">
        <f>IF(全车数据表!BG225="","",全车数据表!BG225)</f>
        <v>381.2</v>
      </c>
      <c r="BE224" s="246">
        <f>IF(全车数据表!BH225="","",全车数据表!BH225)</f>
        <v>89.2</v>
      </c>
      <c r="BF224" s="246">
        <f>IF(全车数据表!BI225="","",全车数据表!BI225)</f>
        <v>52.31</v>
      </c>
      <c r="BG224" s="246">
        <f>IF(全车数据表!BJ225="","",全车数据表!BJ225)</f>
        <v>58.28</v>
      </c>
    </row>
    <row r="225" spans="1:59">
      <c r="A225" s="246">
        <f>全车数据表!A226</f>
        <v>224</v>
      </c>
      <c r="B225" s="246" t="str">
        <f>全车数据表!B226</f>
        <v>Ferrari 499P Modificata</v>
      </c>
      <c r="C225" s="246" t="str">
        <f>IF(全车数据表!AQ226="","",全车数据表!AQ226)</f>
        <v>Ferrari</v>
      </c>
      <c r="D225" s="248" t="str">
        <f>全车数据表!AT226</f>
        <v>499p</v>
      </c>
      <c r="E225" s="248" t="str">
        <f>全车数据表!AS226</f>
        <v>24.4</v>
      </c>
      <c r="F225" s="248" t="str">
        <f>全车数据表!C226</f>
        <v>499P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4572</v>
      </c>
      <c r="P225" s="246">
        <f>全车数据表!P226</f>
        <v>358.6</v>
      </c>
      <c r="Q225" s="246">
        <f>全车数据表!Q226</f>
        <v>84.54</v>
      </c>
      <c r="R225" s="246">
        <f>全车数据表!R226</f>
        <v>85.32</v>
      </c>
      <c r="S225" s="246">
        <f>全车数据表!S226</f>
        <v>77.849999999999994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法拉利</v>
      </c>
      <c r="BB225" s="246" t="str">
        <f>IF(全车数据表!AV226="","",全车数据表!AV226)</f>
        <v/>
      </c>
      <c r="BC225" s="246">
        <f>IF(全车数据表!BF226="","",全车数据表!BF226)</f>
        <v>4728</v>
      </c>
      <c r="BD225" s="246">
        <f>IF(全车数据表!BG226="","",全车数据表!BG226)</f>
        <v>360.8</v>
      </c>
      <c r="BE225" s="246">
        <f>IF(全车数据表!BH226="","",全车数据表!BH226)</f>
        <v>85.600000000000009</v>
      </c>
      <c r="BF225" s="246">
        <f>IF(全车数据表!BI226="","",全车数据表!BI226)</f>
        <v>89.33</v>
      </c>
      <c r="BG225" s="246">
        <f>IF(全车数据表!BJ226="","",全车数据表!BJ226)</f>
        <v>81</v>
      </c>
    </row>
    <row r="226" spans="1:59">
      <c r="A226" s="246">
        <f>全车数据表!A227</f>
        <v>225</v>
      </c>
      <c r="B226" s="246" t="str">
        <f>全车数据表!B227</f>
        <v>De Tomaso P72🔑</v>
      </c>
      <c r="C226" s="246" t="str">
        <f>IF(全车数据表!AQ227="","",全车数据表!AQ227)</f>
        <v>De Tomaso</v>
      </c>
      <c r="D226" s="248" t="str">
        <f>全车数据表!AT227</f>
        <v>p72</v>
      </c>
      <c r="E226" s="248" t="str">
        <f>全车数据表!AS227</f>
        <v>4.1</v>
      </c>
      <c r="F226" s="248" t="str">
        <f>全车数据表!C227</f>
        <v>P72</v>
      </c>
      <c r="G226" s="246" t="str">
        <f>全车数据表!D227</f>
        <v>A</v>
      </c>
      <c r="H226" s="246">
        <f>LEN(全车数据表!E227)</f>
        <v>6</v>
      </c>
      <c r="I226" s="246" t="str">
        <f>IF(全车数据表!H227="×",0,全车数据表!H227)</f>
        <v>🔑</v>
      </c>
      <c r="J226" s="246">
        <f>IF(全车数据表!I227="×",0,全车数据表!I227)</f>
        <v>30</v>
      </c>
      <c r="K226" s="246">
        <f>IF(全车数据表!J227="×",0,全车数据表!J227)</f>
        <v>40</v>
      </c>
      <c r="L226" s="246">
        <f>IF(全车数据表!K227="×",0,全车数据表!K227)</f>
        <v>50</v>
      </c>
      <c r="M226" s="246">
        <f>IF(全车数据表!L227="×",0,全车数据表!L227)</f>
        <v>65</v>
      </c>
      <c r="N226" s="246">
        <f>IF(全车数据表!M227="×",0,全车数据表!M227)</f>
        <v>80</v>
      </c>
      <c r="O226" s="246">
        <f>全车数据表!O227</f>
        <v>4586</v>
      </c>
      <c r="P226" s="246">
        <f>全车数据表!P227</f>
        <v>375.6</v>
      </c>
      <c r="Q226" s="246">
        <f>全车数据表!Q227</f>
        <v>82.74</v>
      </c>
      <c r="R226" s="246">
        <f>全车数据表!R227</f>
        <v>75.239999999999995</v>
      </c>
      <c r="S226" s="246">
        <f>全车数据表!S227</f>
        <v>71.180000000000007</v>
      </c>
      <c r="T226" s="246">
        <f>全车数据表!T227</f>
        <v>7.06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390</v>
      </c>
      <c r="AD226" s="246">
        <f>全车数据表!AX227</f>
        <v>0</v>
      </c>
      <c r="AE226" s="246">
        <f>全车数据表!AY227</f>
        <v>522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>
        <f>IF(全车数据表!CC227="","",全车数据表!CC227)</f>
        <v>1</v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德托马索</v>
      </c>
      <c r="BB226" s="246" t="str">
        <f>IF(全车数据表!AV227="","",全车数据表!AV227)</f>
        <v/>
      </c>
      <c r="BC226" s="246">
        <f>IF(全车数据表!BF227="","",全车数据表!BF227)</f>
        <v>4742</v>
      </c>
      <c r="BD226" s="246">
        <f>IF(全车数据表!BG227="","",全车数据表!BG227)</f>
        <v>377.5</v>
      </c>
      <c r="BE226" s="246">
        <f>IF(全车数据表!BH227="","",全车数据表!BH227)</f>
        <v>83.8</v>
      </c>
      <c r="BF226" s="246">
        <f>IF(全车数据表!BI227="","",全车数据表!BI227)</f>
        <v>77.789999999999992</v>
      </c>
      <c r="BG226" s="246">
        <f>IF(全车数据表!BJ227="","",全车数据表!BJ227)</f>
        <v>74.02000000000001</v>
      </c>
    </row>
    <row r="227" spans="1:59">
      <c r="A227" s="246">
        <f>全车数据表!A228</f>
        <v>226</v>
      </c>
      <c r="B227" s="246" t="str">
        <f>全车数据表!B228</f>
        <v>Mercedes-Benz Vision One-Eleven🔑</v>
      </c>
      <c r="C227" s="246" t="str">
        <f>IF(全车数据表!AQ228="","",全车数据表!AQ228)</f>
        <v>Mercedes-Benz</v>
      </c>
      <c r="D227" s="248" t="str">
        <f>全车数据表!AT228</f>
        <v>vision111</v>
      </c>
      <c r="E227" s="248" t="str">
        <f>全车数据表!AS228</f>
        <v>24.1</v>
      </c>
      <c r="F227" s="248" t="str">
        <f>全车数据表!C228</f>
        <v>Vision 111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4600</v>
      </c>
      <c r="P227" s="246">
        <f>全车数据表!P228</f>
        <v>381</v>
      </c>
      <c r="Q227" s="246">
        <f>全车数据表!Q228</f>
        <v>83.93</v>
      </c>
      <c r="R227" s="246">
        <f>全车数据表!R228</f>
        <v>76.349999999999994</v>
      </c>
      <c r="S227" s="246">
        <f>全车数据表!S228</f>
        <v>57.95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0</v>
      </c>
      <c r="AD227" s="246">
        <f>全车数据表!AX228</f>
        <v>0</v>
      </c>
      <c r="AE227" s="246">
        <f>全车数据表!AY228</f>
        <v>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梅赛德斯奔驰</v>
      </c>
      <c r="BB227" s="246" t="str">
        <f>IF(全车数据表!AV228="","",全车数据表!AV228)</f>
        <v/>
      </c>
      <c r="BC227" s="246">
        <f>IF(全车数据表!BF228="","",全车数据表!BF228)</f>
        <v>4756</v>
      </c>
      <c r="BD227" s="246">
        <f>IF(全车数据表!BG228="","",全车数据表!BG228)</f>
        <v>383</v>
      </c>
      <c r="BE227" s="246">
        <f>IF(全车数据表!BH228="","",全车数据表!BH228)</f>
        <v>84.7</v>
      </c>
      <c r="BF227" s="246">
        <f>IF(全车数据表!BI228="","",全车数据表!BI228)</f>
        <v>79.449999999999989</v>
      </c>
      <c r="BG227" s="246">
        <f>IF(全车数据表!BJ228="","",全车数据表!BJ228)</f>
        <v>60.67</v>
      </c>
    </row>
    <row r="228" spans="1:59">
      <c r="A228" s="246">
        <f>全车数据表!A229</f>
        <v>227</v>
      </c>
      <c r="B228" s="246" t="str">
        <f>全车数据表!B229</f>
        <v>Lamborghini Centenario</v>
      </c>
      <c r="C228" s="246" t="str">
        <f>IF(全车数据表!AQ229="","",全车数据表!AQ229)</f>
        <v>Lamborghini</v>
      </c>
      <c r="D228" s="248" t="str">
        <f>全车数据表!AT229</f>
        <v>centenario</v>
      </c>
      <c r="E228" s="248" t="str">
        <f>全车数据表!AS229</f>
        <v>1.0</v>
      </c>
      <c r="F228" s="248" t="str">
        <f>全车数据表!C229</f>
        <v>百年牛</v>
      </c>
      <c r="G228" s="246" t="str">
        <f>全车数据表!D229</f>
        <v>S</v>
      </c>
      <c r="H228" s="246">
        <f>LEN(全车数据表!E229)</f>
        <v>5</v>
      </c>
      <c r="I228" s="246">
        <f>IF(全车数据表!H229="×",0,全车数据表!H229)</f>
        <v>40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39</v>
      </c>
      <c r="N228" s="246">
        <f>IF(全车数据表!M229="×",0,全车数据表!M229)</f>
        <v>0</v>
      </c>
      <c r="O228" s="246">
        <f>全车数据表!O229</f>
        <v>3709</v>
      </c>
      <c r="P228" s="246">
        <f>全车数据表!P229</f>
        <v>363.9</v>
      </c>
      <c r="Q228" s="246">
        <f>全车数据表!Q229</f>
        <v>80.48</v>
      </c>
      <c r="R228" s="246">
        <f>全车数据表!R229</f>
        <v>47.46</v>
      </c>
      <c r="S228" s="246">
        <f>全车数据表!S229</f>
        <v>70.31</v>
      </c>
      <c r="T228" s="246">
        <f>全车数据表!T229</f>
        <v>7.25</v>
      </c>
      <c r="U228" s="246">
        <f>全车数据表!AH229</f>
        <v>3748400</v>
      </c>
      <c r="V228" s="246">
        <f>全车数据表!AI229</f>
        <v>35000</v>
      </c>
      <c r="W228" s="246">
        <f>全车数据表!AO229</f>
        <v>4900000</v>
      </c>
      <c r="X228" s="246">
        <f>全车数据表!AP229</f>
        <v>8648400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3</v>
      </c>
      <c r="AB228" s="248" t="str">
        <f>全车数据表!AU229</f>
        <v>epic</v>
      </c>
      <c r="AC228" s="246">
        <f>全车数据表!AW229</f>
        <v>378</v>
      </c>
      <c r="AD228" s="246">
        <f>全车数据表!AX229</f>
        <v>0</v>
      </c>
      <c r="AE228" s="246">
        <f>全车数据表!AY229</f>
        <v>502</v>
      </c>
      <c r="AF228" s="246" t="str">
        <f>IF(全车数据表!AZ229="","",全车数据表!AZ229)</f>
        <v>级别杯</v>
      </c>
      <c r="AG228" s="246">
        <f>IF(全车数据表!BP229="","",全车数据表!BP229)</f>
        <v>1</v>
      </c>
      <c r="AH228" s="246" t="str">
        <f>IF(全车数据表!BQ229="","",全车数据表!BQ229)</f>
        <v/>
      </c>
      <c r="AI228" s="246">
        <f>IF(全车数据表!BR229="","",全车数据表!BR229)</f>
        <v>1</v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>
        <f>IF(全车数据表!BU229="","",全车数据表!BU229)</f>
        <v>1</v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兰博基尼 百年牛 C霸</v>
      </c>
      <c r="BB228" s="246">
        <f>IF(全车数据表!AV229="","",全车数据表!AV229)</f>
        <v>11</v>
      </c>
      <c r="BC228" s="246">
        <f>IF(全车数据表!BF229="","",全车数据表!BF229)</f>
        <v>3819</v>
      </c>
      <c r="BD228" s="246">
        <f>IF(全车数据表!BG229="","",全车数据表!BG229)</f>
        <v>365.4</v>
      </c>
      <c r="BE228" s="246">
        <f>IF(全车数据表!BH229="","",全车数据表!BH229)</f>
        <v>81.100000000000009</v>
      </c>
      <c r="BF228" s="246">
        <f>IF(全车数据表!BI229="","",全车数据表!BI229)</f>
        <v>48.35</v>
      </c>
      <c r="BG228" s="246">
        <f>IF(全车数据表!BJ229="","",全车数据表!BJ229)</f>
        <v>71.23</v>
      </c>
    </row>
    <row r="229" spans="1:59">
      <c r="A229" s="246">
        <f>全车数据表!A230</f>
        <v>228</v>
      </c>
      <c r="B229" s="246" t="str">
        <f>全车数据表!B230</f>
        <v>Ferrari FXX K</v>
      </c>
      <c r="C229" s="246" t="str">
        <f>IF(全车数据表!AQ230="","",全车数据表!AQ230)</f>
        <v>Ferrari</v>
      </c>
      <c r="D229" s="248" t="str">
        <f>全车数据表!AT230</f>
        <v>fxxk</v>
      </c>
      <c r="E229" s="248" t="str">
        <f>全车数据表!AS230</f>
        <v>1.0</v>
      </c>
      <c r="F229" s="248" t="str">
        <f>全车数据表!C230</f>
        <v>FXXK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3832</v>
      </c>
      <c r="P229" s="246">
        <f>全车数据表!P230</f>
        <v>363.1</v>
      </c>
      <c r="Q229" s="246">
        <f>全车数据表!Q230</f>
        <v>83.9</v>
      </c>
      <c r="R229" s="246">
        <f>全车数据表!R230</f>
        <v>43.75</v>
      </c>
      <c r="S229" s="246">
        <f>全车数据表!S230</f>
        <v>72.39</v>
      </c>
      <c r="T229" s="246">
        <f>全车数据表!T230</f>
        <v>7.6670000000000007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501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法拉利 马王 fxxk</v>
      </c>
      <c r="BB229" s="246">
        <f>IF(全车数据表!AV230="","",全车数据表!AV230)</f>
        <v>12</v>
      </c>
      <c r="BC229" s="246">
        <f>IF(全车数据表!BF230="","",全车数据表!BF230)</f>
        <v>3944</v>
      </c>
      <c r="BD229" s="246">
        <f>IF(全车数据表!BG230="","",全车数据表!BG230)</f>
        <v>364.5</v>
      </c>
      <c r="BE229" s="246">
        <f>IF(全车数据表!BH230="","",全车数据表!BH230)</f>
        <v>84.7</v>
      </c>
      <c r="BF229" s="246">
        <f>IF(全车数据表!BI230="","",全车数据表!BI230)</f>
        <v>44.32</v>
      </c>
      <c r="BG229" s="246">
        <f>IF(全车数据表!BJ230="","",全车数据表!BJ230)</f>
        <v>73.2</v>
      </c>
    </row>
    <row r="230" spans="1:59">
      <c r="A230" s="246">
        <f>全车数据表!A231</f>
        <v>229</v>
      </c>
      <c r="B230" s="246" t="str">
        <f>全车数据表!B231</f>
        <v>Lamborghini Autentica🔑</v>
      </c>
      <c r="C230" s="246" t="str">
        <f>IF(全车数据表!AQ231="","",全车数据表!AQ231)</f>
        <v>Lamborghini</v>
      </c>
      <c r="D230" s="248" t="str">
        <f>全车数据表!AT231</f>
        <v>autentica</v>
      </c>
      <c r="E230" s="248" t="str">
        <f>全车数据表!AS231</f>
        <v>24.0</v>
      </c>
      <c r="F230" s="248" t="str">
        <f>全车数据表!C231</f>
        <v>Autentica</v>
      </c>
      <c r="G230" s="246" t="str">
        <f>全车数据表!D231</f>
        <v>S</v>
      </c>
      <c r="H230" s="246">
        <f>LEN(全车数据表!E231)</f>
        <v>5</v>
      </c>
      <c r="I230" s="246" t="str">
        <f>IF(全车数据表!H231="×",0,全车数据表!H231)</f>
        <v>🔑</v>
      </c>
      <c r="J230" s="246">
        <f>IF(全车数据表!I231="×",0,全车数据表!I231)</f>
        <v>35</v>
      </c>
      <c r="K230" s="246">
        <f>IF(全车数据表!J231="×",0,全车数据表!J231)</f>
        <v>36</v>
      </c>
      <c r="L230" s="246">
        <f>IF(全车数据表!K231="×",0,全车数据表!K231)</f>
        <v>46</v>
      </c>
      <c r="M230" s="246">
        <f>IF(全车数据表!L231="×",0,全车数据表!L231)</f>
        <v>85</v>
      </c>
      <c r="N230" s="246">
        <f>IF(全车数据表!M231="×",0,全车数据表!M231)</f>
        <v>0</v>
      </c>
      <c r="O230" s="246">
        <f>全车数据表!O231</f>
        <v>3894</v>
      </c>
      <c r="P230" s="246">
        <f>全车数据表!P231</f>
        <v>366.9</v>
      </c>
      <c r="Q230" s="246">
        <f>全车数据表!Q231</f>
        <v>78.86</v>
      </c>
      <c r="R230" s="246">
        <f>全车数据表!R231</f>
        <v>47.25</v>
      </c>
      <c r="S230" s="246">
        <f>全车数据表!S231</f>
        <v>68.87</v>
      </c>
      <c r="T230" s="246">
        <f>全车数据表!T231</f>
        <v>0</v>
      </c>
      <c r="U230" s="246">
        <f>全车数据表!AH231</f>
        <v>0</v>
      </c>
      <c r="V230" s="246">
        <f>全车数据表!AI231</f>
        <v>0</v>
      </c>
      <c r="W230" s="246">
        <f>全车数据表!AO231</f>
        <v>0</v>
      </c>
      <c r="X230" s="246">
        <f>全车数据表!AP231</f>
        <v>0</v>
      </c>
      <c r="Y230" s="246">
        <f>全车数据表!AJ231</f>
        <v>0</v>
      </c>
      <c r="Z230" s="246">
        <f>全车数据表!AL231</f>
        <v>0</v>
      </c>
      <c r="AA230" s="246">
        <f>IF(全车数据表!AN231="×",0,全车数据表!AN231)</f>
        <v>0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大奖赛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>
        <f>IF(全车数据表!CA231="","",全车数据表!CA231)</f>
        <v>1</v>
      </c>
      <c r="AS230" s="246" t="str">
        <f>IF(全车数据表!CB231="","",全车数据表!CB231)</f>
        <v/>
      </c>
      <c r="AT230" s="246">
        <f>IF(全车数据表!CC231="","",全车数据表!CC231)</f>
        <v>1</v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兰博基尼</v>
      </c>
      <c r="BB230" s="246" t="str">
        <f>IF(全车数据表!AV231="","",全车数据表!AV231)</f>
        <v/>
      </c>
      <c r="BC230" s="246">
        <f>IF(全车数据表!BF231="","",全车数据表!BF231)</f>
        <v>4007</v>
      </c>
      <c r="BD230" s="246">
        <f>IF(全车数据表!BG231="","",全车数据表!BG231)</f>
        <v>368.2</v>
      </c>
      <c r="BE230" s="246">
        <f>IF(全车数据表!BH231="","",全车数据表!BH231)</f>
        <v>79.3</v>
      </c>
      <c r="BF230" s="246">
        <f>IF(全车数据表!BI231="","",全车数据表!BI231)</f>
        <v>47.83</v>
      </c>
      <c r="BG230" s="246">
        <f>IF(全车数据表!BJ231="","",全车数据表!BJ231)</f>
        <v>70.570000000000007</v>
      </c>
    </row>
    <row r="231" spans="1:59">
      <c r="A231" s="246">
        <f>全车数据表!A232</f>
        <v>230</v>
      </c>
      <c r="B231" s="246" t="str">
        <f>全车数据表!B232</f>
        <v>Icona Vulcano Titanium</v>
      </c>
      <c r="C231" s="246" t="str">
        <f>IF(全车数据表!AQ232="","",全车数据表!AQ232)</f>
        <v>Icona</v>
      </c>
      <c r="D231" s="248" t="str">
        <f>全车数据表!AT232</f>
        <v>vulcano</v>
      </c>
      <c r="E231" s="248" t="str">
        <f>全车数据表!AS232</f>
        <v>1.0</v>
      </c>
      <c r="F231" s="248" t="str">
        <f>全车数据表!C232</f>
        <v>火山</v>
      </c>
      <c r="G231" s="246" t="str">
        <f>全车数据表!D232</f>
        <v>S</v>
      </c>
      <c r="H231" s="246">
        <f>LEN(全车数据表!E232)</f>
        <v>5</v>
      </c>
      <c r="I231" s="246">
        <f>IF(全车数据表!H232="×",0,全车数据表!H232)</f>
        <v>40</v>
      </c>
      <c r="J231" s="246">
        <f>IF(全车数据表!I232="×",0,全车数据表!I232)</f>
        <v>13</v>
      </c>
      <c r="K231" s="246">
        <f>IF(全车数据表!J232="×",0,全车数据表!J232)</f>
        <v>16</v>
      </c>
      <c r="L231" s="246">
        <f>IF(全车数据表!K232="×",0,全车数据表!K232)</f>
        <v>25</v>
      </c>
      <c r="M231" s="246">
        <f>IF(全车数据表!L232="×",0,全车数据表!L232)</f>
        <v>39</v>
      </c>
      <c r="N231" s="246">
        <f>IF(全车数据表!M232="×",0,全车数据表!M232)</f>
        <v>0</v>
      </c>
      <c r="O231" s="246">
        <f>全车数据表!O232</f>
        <v>3957</v>
      </c>
      <c r="P231" s="246">
        <f>全车数据表!P232</f>
        <v>381.7</v>
      </c>
      <c r="Q231" s="246">
        <f>全车数据表!Q232</f>
        <v>81.38</v>
      </c>
      <c r="R231" s="246">
        <f>全车数据表!R232</f>
        <v>43.38</v>
      </c>
      <c r="S231" s="246">
        <f>全车数据表!S232</f>
        <v>65.89</v>
      </c>
      <c r="T231" s="246">
        <f>全车数据表!T232</f>
        <v>6.3</v>
      </c>
      <c r="U231" s="246">
        <f>全车数据表!AH232</f>
        <v>3748400</v>
      </c>
      <c r="V231" s="246">
        <f>全车数据表!AI232</f>
        <v>35000</v>
      </c>
      <c r="W231" s="246">
        <f>全车数据表!AO232</f>
        <v>4900000</v>
      </c>
      <c r="X231" s="246">
        <f>全车数据表!AP232</f>
        <v>8648400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3</v>
      </c>
      <c r="AB231" s="248" t="str">
        <f>全车数据表!AU232</f>
        <v>epic</v>
      </c>
      <c r="AC231" s="246">
        <f>全车数据表!AW232</f>
        <v>397</v>
      </c>
      <c r="AD231" s="246">
        <f>全车数据表!AX232</f>
        <v>0</v>
      </c>
      <c r="AE231" s="246">
        <f>全车数据表!AY232</f>
        <v>533</v>
      </c>
      <c r="AF231" s="246" t="str">
        <f>IF(全车数据表!AZ232="","",全车数据表!AZ232)</f>
        <v>级别杯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>
        <f>IF(全车数据表!BR232="","",全车数据表!BR232)</f>
        <v>1</v>
      </c>
      <c r="AJ231" s="246">
        <f>IF(全车数据表!BS232="","",全车数据表!BS232)</f>
        <v>1</v>
      </c>
      <c r="AK231" s="246" t="str">
        <f>IF(全车数据表!BT232="","",全车数据表!BT232)</f>
        <v/>
      </c>
      <c r="AL231" s="246">
        <f>IF(全车数据表!BU232="","",全车数据表!BU232)</f>
        <v>1</v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>
        <f>IF(全车数据表!CF232="","",全车数据表!CF232)</f>
        <v>1</v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>
        <f>IF(全车数据表!CI232="","",全车数据表!CI232)</f>
        <v>1</v>
      </c>
      <c r="BA231" s="246" t="str">
        <f>IF(全车数据表!CJ232="","",全车数据表!CJ232)</f>
        <v>火山</v>
      </c>
      <c r="BB231" s="246">
        <f>IF(全车数据表!AV232="","",全车数据表!AV232)</f>
        <v>13</v>
      </c>
      <c r="BC231" s="246">
        <f>IF(全车数据表!BF232="","",全车数据表!BF232)</f>
        <v>4071</v>
      </c>
      <c r="BD231" s="246">
        <f>IF(全车数据表!BG232="","",全车数据表!BG232)</f>
        <v>383</v>
      </c>
      <c r="BE231" s="246">
        <f>IF(全车数据表!BH232="","",全车数据表!BH232)</f>
        <v>82</v>
      </c>
      <c r="BF231" s="246">
        <f>IF(全车数据表!BI232="","",全车数据表!BI232)</f>
        <v>44.260000000000005</v>
      </c>
      <c r="BG231" s="246">
        <f>IF(全车数据表!BJ232="","",全车数据表!BJ232)</f>
        <v>67.2</v>
      </c>
    </row>
    <row r="232" spans="1:59">
      <c r="A232" s="246">
        <f>全车数据表!A233</f>
        <v>231</v>
      </c>
      <c r="B232" s="246" t="str">
        <f>全车数据表!B233</f>
        <v>W Motors Lykan HyperSport</v>
      </c>
      <c r="C232" s="246" t="str">
        <f>IF(全车数据表!AQ233="","",全车数据表!AQ233)</f>
        <v>W Motors</v>
      </c>
      <c r="D232" s="248" t="str">
        <f>全车数据表!AT233</f>
        <v>lykan</v>
      </c>
      <c r="E232" s="248" t="str">
        <f>全车数据表!AS233</f>
        <v>1.0</v>
      </c>
      <c r="F232" s="248" t="str">
        <f>全车数据表!C233</f>
        <v>狼崽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4083</v>
      </c>
      <c r="P232" s="246">
        <f>全车数据表!P233</f>
        <v>407.5</v>
      </c>
      <c r="Q232" s="246">
        <f>全车数据表!Q233</f>
        <v>80.48</v>
      </c>
      <c r="R232" s="246">
        <f>全车数据表!R233</f>
        <v>40.97</v>
      </c>
      <c r="S232" s="246">
        <f>全车数据表!S233</f>
        <v>58.26</v>
      </c>
      <c r="T232" s="246">
        <f>全车数据表!T233</f>
        <v>5.25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425</v>
      </c>
      <c r="AD232" s="246">
        <f>全车数据表!AX233</f>
        <v>0</v>
      </c>
      <c r="AE232" s="246">
        <f>全车数据表!AY233</f>
        <v>560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狼崽 莱肯</v>
      </c>
      <c r="BB232" s="246">
        <f>IF(全车数据表!AV233="","",全车数据表!AV233)</f>
        <v>16</v>
      </c>
      <c r="BC232" s="246">
        <f>IF(全车数据表!BF233="","",全车数据表!BF233)</f>
        <v>4200</v>
      </c>
      <c r="BD232" s="246">
        <f>IF(全车数据表!BG233="","",全车数据表!BG233)</f>
        <v>408.9</v>
      </c>
      <c r="BE232" s="246">
        <f>IF(全车数据表!BH233="","",全车数据表!BH233)</f>
        <v>81.100000000000009</v>
      </c>
      <c r="BF232" s="246">
        <f>IF(全车数据表!BI233="","",全车数据表!BI233)</f>
        <v>41.4</v>
      </c>
      <c r="BG232" s="246">
        <f>IF(全车数据表!BJ233="","",全车数据表!BJ233)</f>
        <v>60.269999999999996</v>
      </c>
    </row>
    <row r="233" spans="1:59">
      <c r="A233" s="246">
        <f>全车数据表!A234</f>
        <v>232</v>
      </c>
      <c r="B233" s="246" t="str">
        <f>全车数据表!B234</f>
        <v>Raesr Tachyon Speed🔑</v>
      </c>
      <c r="C233" s="246" t="str">
        <f>IF(全车数据表!AQ234="","",全车数据表!AQ234)</f>
        <v>Raesr</v>
      </c>
      <c r="D233" s="248" t="str">
        <f>全车数据表!AT234</f>
        <v>tachyon</v>
      </c>
      <c r="E233" s="248" t="str">
        <f>全车数据表!AS234</f>
        <v>3.1</v>
      </c>
      <c r="F233" s="248" t="str">
        <f>全车数据表!C234</f>
        <v>超光速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4109</v>
      </c>
      <c r="P233" s="246">
        <f>全车数据表!P234</f>
        <v>400.3</v>
      </c>
      <c r="Q233" s="246">
        <f>全车数据表!Q234</f>
        <v>77.91</v>
      </c>
      <c r="R233" s="246">
        <f>全车数据表!R234</f>
        <v>53.44</v>
      </c>
      <c r="S233" s="246">
        <f>全车数据表!S234</f>
        <v>59.94</v>
      </c>
      <c r="T233" s="246">
        <f>全车数据表!T234</f>
        <v>5.4</v>
      </c>
      <c r="U233" s="246">
        <f>全车数据表!AH234</f>
        <v>27726000</v>
      </c>
      <c r="V233" s="246">
        <f>全车数据表!AI234</f>
        <v>45000</v>
      </c>
      <c r="W233" s="246">
        <f>全车数据表!AO234</f>
        <v>7380000</v>
      </c>
      <c r="X233" s="246">
        <f>全车数据表!AP234</f>
        <v>35106000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416</v>
      </c>
      <c r="AD233" s="246">
        <f>全车数据表!AX234</f>
        <v>0</v>
      </c>
      <c r="AE233" s="246">
        <f>全车数据表!AY234</f>
        <v>555</v>
      </c>
      <c r="AF233" s="246" t="str">
        <f>IF(全车数据表!AZ234="","",全车数据表!AZ234)</f>
        <v>大奖赛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>
        <f>IF(全车数据表!CA234="","",全车数据表!CA234)</f>
        <v>1</v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超光速</v>
      </c>
      <c r="BB233" s="246" t="str">
        <f>IF(全车数据表!AV234="","",全车数据表!AV234)</f>
        <v/>
      </c>
      <c r="BC233" s="246">
        <f>IF(全车数据表!BF234="","",全车数据表!BF234)</f>
        <v>4226</v>
      </c>
      <c r="BD233" s="246">
        <f>IF(全车数据表!BG234="","",全车数据表!BG234)</f>
        <v>401.5</v>
      </c>
      <c r="BE233" s="246">
        <f>IF(全车数据表!BH234="","",全车数据表!BH234)</f>
        <v>78.399999999999991</v>
      </c>
      <c r="BF233" s="246">
        <f>IF(全车数据表!BI234="","",全车数据表!BI234)</f>
        <v>54.379999999999995</v>
      </c>
      <c r="BG233" s="246">
        <f>IF(全车数据表!BJ234="","",全车数据表!BJ234)</f>
        <v>61.71</v>
      </c>
    </row>
    <row r="234" spans="1:59">
      <c r="A234" s="246">
        <f>全车数据表!A235</f>
        <v>233</v>
      </c>
      <c r="B234" s="246" t="str">
        <f>全车数据表!B235</f>
        <v>Lamborghini Veneno</v>
      </c>
      <c r="C234" s="246" t="str">
        <f>IF(全车数据表!AQ235="","",全车数据表!AQ235)</f>
        <v>Lamborghini</v>
      </c>
      <c r="D234" s="248" t="str">
        <f>全车数据表!AT235</f>
        <v>veneno</v>
      </c>
      <c r="E234" s="248" t="str">
        <f>全车数据表!AS235</f>
        <v>2.2</v>
      </c>
      <c r="F234" s="248" t="str">
        <f>全车数据表!C235</f>
        <v>毒药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60</v>
      </c>
      <c r="J234" s="246">
        <f>IF(全车数据表!I235="×",0,全车数据表!I235)</f>
        <v>13</v>
      </c>
      <c r="K234" s="246">
        <f>IF(全车数据表!J235="×",0,全车数据表!J235)</f>
        <v>16</v>
      </c>
      <c r="L234" s="246">
        <f>IF(全车数据表!K235="×",0,全车数据表!K235)</f>
        <v>25</v>
      </c>
      <c r="M234" s="246">
        <f>IF(全车数据表!L235="×",0,全车数据表!L235)</f>
        <v>38</v>
      </c>
      <c r="N234" s="246">
        <f>IF(全车数据表!M235="×",0,全车数据表!M235)</f>
        <v>48</v>
      </c>
      <c r="O234" s="246">
        <f>全车数据表!O235</f>
        <v>4148</v>
      </c>
      <c r="P234" s="246">
        <f>全车数据表!P235</f>
        <v>370.2</v>
      </c>
      <c r="Q234" s="246">
        <f>全车数据表!Q235</f>
        <v>81.2</v>
      </c>
      <c r="R234" s="246">
        <f>全车数据表!R235</f>
        <v>62.39</v>
      </c>
      <c r="S234" s="246">
        <f>全车数据表!S235</f>
        <v>78.790000000000006</v>
      </c>
      <c r="T234" s="246">
        <f>全车数据表!T235</f>
        <v>8.82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387</v>
      </c>
      <c r="AD234" s="246">
        <f>全车数据表!AX235</f>
        <v>0</v>
      </c>
      <c r="AE234" s="246">
        <f>全车数据表!AY235</f>
        <v>516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兰博基尼 毒药</v>
      </c>
      <c r="BB234" s="246">
        <f>IF(全车数据表!AV235="","",全车数据表!AV235)</f>
        <v>51</v>
      </c>
      <c r="BC234" s="246">
        <f>IF(全车数据表!BF235="","",全车数据表!BF235)</f>
        <v>4266</v>
      </c>
      <c r="BD234" s="246">
        <f>IF(全车数据表!BG235="","",全车数据表!BG235)</f>
        <v>371.9</v>
      </c>
      <c r="BE234" s="246">
        <f>IF(全车数据表!BH235="","",全车数据表!BH235)</f>
        <v>82</v>
      </c>
      <c r="BF234" s="246">
        <f>IF(全车数据表!BI235="","",全车数据表!BI235)</f>
        <v>63.36</v>
      </c>
      <c r="BG234" s="246">
        <f>IF(全车数据表!BJ235="","",全车数据表!BJ235)</f>
        <v>80.680000000000007</v>
      </c>
    </row>
    <row r="235" spans="1:59">
      <c r="A235" s="246">
        <f>全车数据表!A236</f>
        <v>234</v>
      </c>
      <c r="B235" s="246" t="str">
        <f>全车数据表!B236</f>
        <v>ATS Automobili GT</v>
      </c>
      <c r="C235" s="246" t="str">
        <f>IF(全车数据表!AQ236="","",全车数据表!AQ236)</f>
        <v>ATS Automobili</v>
      </c>
      <c r="D235" s="248" t="str">
        <f>全车数据表!AT236</f>
        <v>atsgt</v>
      </c>
      <c r="E235" s="248" t="str">
        <f>全车数据表!AS236</f>
        <v>4.5</v>
      </c>
      <c r="F235" s="248" t="str">
        <f>全车数据表!C236</f>
        <v>ATS GT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4161</v>
      </c>
      <c r="P235" s="246">
        <f>全车数据表!P236</f>
        <v>391.1</v>
      </c>
      <c r="Q235" s="246">
        <f>全车数据表!Q236</f>
        <v>81.47</v>
      </c>
      <c r="R235" s="246">
        <f>全车数据表!R236</f>
        <v>52.12</v>
      </c>
      <c r="S235" s="246">
        <f>全车数据表!S236</f>
        <v>46.85</v>
      </c>
      <c r="T235" s="246">
        <f>全车数据表!T236</f>
        <v>4.5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406</v>
      </c>
      <c r="AD235" s="246">
        <f>全车数据表!AX236</f>
        <v>0</v>
      </c>
      <c r="AE235" s="246">
        <f>全车数据表!AY236</f>
        <v>549</v>
      </c>
      <c r="AF235" s="246" t="str">
        <f>IF(全车数据表!AZ236="","",全车数据表!AZ236)</f>
        <v>特殊寻猎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/>
      </c>
      <c r="BB235" s="246" t="str">
        <f>IF(全车数据表!AV236="","",全车数据表!AV236)</f>
        <v/>
      </c>
      <c r="BC235" s="246">
        <f>IF(全车数据表!BF236="","",全车数据表!BF236)</f>
        <v>4279</v>
      </c>
      <c r="BD235" s="246">
        <f>IF(全车数据表!BG236="","",全车数据表!BG236)</f>
        <v>392.3</v>
      </c>
      <c r="BE235" s="246">
        <f>IF(全车数据表!BH236="","",全车数据表!BH236)</f>
        <v>82</v>
      </c>
      <c r="BF235" s="246">
        <f>IF(全车数据表!BI236="","",全车数据表!BI236)</f>
        <v>53.44</v>
      </c>
      <c r="BG235" s="246">
        <f>IF(全车数据表!BJ236="","",全车数据表!BJ236)</f>
        <v>48.45</v>
      </c>
    </row>
    <row r="236" spans="1:59">
      <c r="A236" s="246">
        <f>全车数据表!A237</f>
        <v>235</v>
      </c>
      <c r="B236" s="246" t="str">
        <f>全车数据表!B237</f>
        <v>Jaguar XJ220 TWR🔑</v>
      </c>
      <c r="C236" s="246" t="str">
        <f>IF(全车数据表!AQ237="","",全车数据表!AQ237)</f>
        <v>Jaguar</v>
      </c>
      <c r="D236" s="248" t="str">
        <f>全车数据表!AT237</f>
        <v>xj220</v>
      </c>
      <c r="E236" s="248" t="str">
        <f>全车数据表!AS237</f>
        <v>3.3</v>
      </c>
      <c r="F236" s="248" t="str">
        <f>全车数据表!C237</f>
        <v>XJ220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4173</v>
      </c>
      <c r="P236" s="246">
        <f>全车数据表!P237</f>
        <v>383.2</v>
      </c>
      <c r="Q236" s="246">
        <f>全车数据表!Q237</f>
        <v>75.17</v>
      </c>
      <c r="R236" s="246">
        <f>全车数据表!R237</f>
        <v>60.57</v>
      </c>
      <c r="S236" s="246">
        <f>全车数据表!S237</f>
        <v>82.21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398</v>
      </c>
      <c r="AD236" s="246">
        <f>全车数据表!AX237</f>
        <v>0</v>
      </c>
      <c r="AE236" s="246">
        <f>全车数据表!AY237</f>
        <v>535</v>
      </c>
      <c r="AF236" s="246" t="str">
        <f>IF(全车数据表!AZ237="","",全车数据表!AZ237)</f>
        <v>大奖赛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>
        <f>IF(全车数据表!CA237="","",全车数据表!CA237)</f>
        <v>1</v>
      </c>
      <c r="AS236" s="246" t="str">
        <f>IF(全车数据表!CB237="","",全车数据表!CB237)</f>
        <v/>
      </c>
      <c r="AT236" s="246">
        <f>IF(全车数据表!CC237="","",全车数据表!CC237)</f>
        <v>1</v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捷豹</v>
      </c>
      <c r="BB236" s="246" t="str">
        <f>IF(全车数据表!AV237="","",全车数据表!AV237)</f>
        <v/>
      </c>
      <c r="BC236" s="246">
        <f>IF(全车数据表!BF237="","",全车数据表!BF237)</f>
        <v>4292</v>
      </c>
      <c r="BD236" s="246">
        <f>IF(全车数据表!BG237="","",全车数据表!BG237)</f>
        <v>384.9</v>
      </c>
      <c r="BE236" s="246">
        <f>IF(全车数据表!BH237="","",全车数据表!BH237)</f>
        <v>75.7</v>
      </c>
      <c r="BF236" s="246">
        <f>IF(全车数据表!BI237="","",全车数据表!BI237)</f>
        <v>61.7</v>
      </c>
      <c r="BG236" s="246">
        <f>IF(全车数据表!BJ237="","",全车数据表!BJ237)</f>
        <v>83.83</v>
      </c>
    </row>
    <row r="237" spans="1:59">
      <c r="A237" s="246">
        <f>全车数据表!A238</f>
        <v>236</v>
      </c>
      <c r="B237" s="246" t="str">
        <f>全车数据表!B238</f>
        <v>Lamborghini Egoista</v>
      </c>
      <c r="C237" s="246" t="str">
        <f>IF(全车数据表!AQ238="","",全车数据表!AQ238)</f>
        <v>Lamborghini</v>
      </c>
      <c r="D237" s="248" t="str">
        <f>全车数据表!AT238</f>
        <v>egoista</v>
      </c>
      <c r="E237" s="248" t="str">
        <f>全车数据表!AS238</f>
        <v>1.0</v>
      </c>
      <c r="F237" s="248" t="str">
        <f>全车数据表!C238</f>
        <v>自私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4213</v>
      </c>
      <c r="P237" s="246">
        <f>全车数据表!P238</f>
        <v>366.4</v>
      </c>
      <c r="Q237" s="246">
        <f>全车数据表!Q238</f>
        <v>84.48</v>
      </c>
      <c r="R237" s="246">
        <f>全车数据表!R238</f>
        <v>61.54</v>
      </c>
      <c r="S237" s="246">
        <f>全车数据表!S238</f>
        <v>72.02</v>
      </c>
      <c r="T237" s="246">
        <f>全车数据表!T238</f>
        <v>7.516</v>
      </c>
      <c r="U237" s="246">
        <f>全车数据表!AH238</f>
        <v>6798160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14178160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381</v>
      </c>
      <c r="AD237" s="246">
        <f>全车数据表!AX238</f>
        <v>0</v>
      </c>
      <c r="AE237" s="246">
        <f>全车数据表!AY238</f>
        <v>506</v>
      </c>
      <c r="AF237" s="246" t="str">
        <f>IF(全车数据表!AZ238="","",全车数据表!AZ238)</f>
        <v>独家赛事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>
        <f>IF(全车数据表!BT238="","",全车数据表!BT238)</f>
        <v>1</v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 自私</v>
      </c>
      <c r="BB237" s="246" t="str">
        <f>IF(全车数据表!AV238="","",全车数据表!AV238)</f>
        <v/>
      </c>
      <c r="BC237" s="246">
        <f>IF(全车数据表!BF238="","",全车数据表!BF238)</f>
        <v>4332</v>
      </c>
      <c r="BD237" s="246">
        <f>IF(全车数据表!BG238="","",全车数据表!BG238)</f>
        <v>368.2</v>
      </c>
      <c r="BE237" s="246">
        <f>IF(全车数据表!BH238="","",全车数据表!BH238)</f>
        <v>85.15</v>
      </c>
      <c r="BF237" s="246">
        <f>IF(全车数据表!BI238="","",全车数据表!BI238)</f>
        <v>62.9</v>
      </c>
      <c r="BG237" s="246">
        <f>IF(全车数据表!BJ238="","",全车数据表!BJ238)</f>
        <v>72.679999999999993</v>
      </c>
    </row>
    <row r="238" spans="1:59">
      <c r="A238" s="246">
        <f>全车数据表!A239</f>
        <v>237</v>
      </c>
      <c r="B238" s="246" t="str">
        <f>全车数据表!B239</f>
        <v>Hyundai N Vision 74 Concept🔑</v>
      </c>
      <c r="C238" s="246" t="str">
        <f>IF(全车数据表!AQ239="","",全车数据表!AQ239)</f>
        <v>Hyundai</v>
      </c>
      <c r="D238" s="248" t="str">
        <f>全车数据表!AT239</f>
        <v>nvision74</v>
      </c>
      <c r="E238" s="248" t="str">
        <f>全车数据表!AS239</f>
        <v>24.5</v>
      </c>
      <c r="F238" s="248" t="str">
        <f>全车数据表!C239</f>
        <v>N Vision 74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4239</v>
      </c>
      <c r="P238" s="246">
        <f>全车数据表!P239</f>
        <v>404.5</v>
      </c>
      <c r="Q238" s="246">
        <f>全车数据表!Q239</f>
        <v>75.17</v>
      </c>
      <c r="R238" s="246">
        <f>全车数据表!R239</f>
        <v>51.92</v>
      </c>
      <c r="S238" s="246">
        <f>全车数据表!S239</f>
        <v>54.42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420</v>
      </c>
      <c r="AD238" s="246">
        <f>全车数据表!AX239</f>
        <v>0</v>
      </c>
      <c r="AE238" s="246">
        <f>全车数据表!AY239</f>
        <v>558</v>
      </c>
      <c r="AF238" s="246" t="str">
        <f>IF(全车数据表!AZ239="","",全车数据表!AZ239)</f>
        <v>大奖赛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现代</v>
      </c>
      <c r="BB238" s="246" t="str">
        <f>IF(全车数据表!AV239="","",全车数据表!AV239)</f>
        <v/>
      </c>
      <c r="BC238" s="246">
        <f>IF(全车数据表!BF239="","",全车数据表!BF239)</f>
        <v>4359</v>
      </c>
      <c r="BD238" s="246">
        <f>IF(全车数据表!BG239="","",全车数据表!BG239)</f>
        <v>406.1</v>
      </c>
      <c r="BE238" s="246">
        <f>IF(全车数据表!BH239="","",全车数据表!BH239)</f>
        <v>75.7</v>
      </c>
      <c r="BF238" s="246">
        <f>IF(全车数据表!BI239="","",全车数据表!BI239)</f>
        <v>53.14</v>
      </c>
      <c r="BG238" s="246">
        <f>IF(全车数据表!BJ239="","",全车数据表!BJ239)</f>
        <v>56.55</v>
      </c>
    </row>
    <row r="239" spans="1:59">
      <c r="A239" s="246">
        <f>全车数据表!A240</f>
        <v>238</v>
      </c>
      <c r="B239" s="246" t="str">
        <f>全车数据表!B240</f>
        <v>Chrysler ME412</v>
      </c>
      <c r="C239" s="246" t="str">
        <f>IF(全车数据表!AQ240="","",全车数据表!AQ240)</f>
        <v>Chrysler</v>
      </c>
      <c r="D239" s="248" t="str">
        <f>全车数据表!AT240</f>
        <v>me412</v>
      </c>
      <c r="E239" s="248" t="str">
        <f>全车数据表!AS240</f>
        <v>3.8</v>
      </c>
      <c r="F239" s="248" t="str">
        <f>全车数据表!C240</f>
        <v>ME412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4241</v>
      </c>
      <c r="P239" s="246">
        <f>全车数据表!P240</f>
        <v>399.1</v>
      </c>
      <c r="Q239" s="246">
        <f>全车数据表!Q240</f>
        <v>74.900000000000006</v>
      </c>
      <c r="R239" s="246">
        <f>全车数据表!R240</f>
        <v>66.52</v>
      </c>
      <c r="S239" s="246">
        <f>全车数据表!S240</f>
        <v>63.39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415</v>
      </c>
      <c r="AD239" s="246">
        <f>全车数据表!AX240</f>
        <v>0</v>
      </c>
      <c r="AE239" s="246">
        <f>全车数据表!AY240</f>
        <v>555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克莱斯勒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400.6</v>
      </c>
      <c r="BE239" s="246">
        <f>IF(全车数据表!BH240="","",全车数据表!BH240)</f>
        <v>75.7</v>
      </c>
      <c r="BF239" s="246">
        <f>IF(全车数据表!BI240="","",全车数据表!BI240)</f>
        <v>67.790000000000006</v>
      </c>
      <c r="BG239" s="246">
        <f>IF(全车数据表!BJ240="","",全车数据表!BJ240)</f>
        <v>64.98</v>
      </c>
    </row>
    <row r="240" spans="1:59">
      <c r="A240" s="246">
        <f>全车数据表!A241</f>
        <v>239</v>
      </c>
      <c r="B240" s="246" t="str">
        <f>全车数据表!B241</f>
        <v>Mercedes-Benz Mercedes-AMG ONE🔑</v>
      </c>
      <c r="C240" s="246" t="str">
        <f>IF(全车数据表!AQ241="","",全车数据表!AQ241)</f>
        <v>Mercedes-Benz</v>
      </c>
      <c r="D240" s="248" t="str">
        <f>全车数据表!AT241</f>
        <v>amgone</v>
      </c>
      <c r="E240" s="248" t="str">
        <f>全车数据表!AS241</f>
        <v>24.6</v>
      </c>
      <c r="F240" s="248" t="str">
        <f>全车数据表!C241</f>
        <v>AMG One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4287</v>
      </c>
      <c r="P240" s="246">
        <f>全车数据表!P241</f>
        <v>362.4</v>
      </c>
      <c r="Q240" s="246">
        <f>全车数据表!Q241</f>
        <v>81.53</v>
      </c>
      <c r="R240" s="246">
        <f>全车数据表!R241</f>
        <v>76.78</v>
      </c>
      <c r="S240" s="246">
        <f>全车数据表!S241</f>
        <v>77.12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0</v>
      </c>
      <c r="AD240" s="246">
        <f>全车数据表!AX241</f>
        <v>0</v>
      </c>
      <c r="AE240" s="246">
        <f>全车数据表!AY241</f>
        <v>0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梅赛德斯奔驰</v>
      </c>
      <c r="BB240" s="246" t="str">
        <f>IF(全车数据表!AV241="","",全车数据表!AV241)</f>
        <v/>
      </c>
      <c r="BC240" s="246" t="str">
        <f>IF(全车数据表!BF241="","",全车数据表!BF241)</f>
        <v/>
      </c>
      <c r="BD240" s="246" t="str">
        <f>IF(全车数据表!BG241="","",全车数据表!BG241)</f>
        <v/>
      </c>
      <c r="BE240" s="246" t="str">
        <f>IF(全车数据表!BH241="","",全车数据表!BH241)</f>
        <v/>
      </c>
      <c r="BF240" s="246" t="str">
        <f>IF(全车数据表!BI241="","",全车数据表!BI241)</f>
        <v/>
      </c>
      <c r="BG240" s="246" t="str">
        <f>IF(全车数据表!BJ241="","",全车数据表!BJ241)</f>
        <v/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 t="str">
        <f>IF(全车数据表!I271="×",0,全车数据表!I271)</f>
        <v>?</v>
      </c>
      <c r="K270" s="246" t="str">
        <f>IF(全车数据表!J271="×",0,全车数据表!J271)</f>
        <v>?</v>
      </c>
      <c r="L270" s="246" t="str">
        <f>IF(全车数据表!K271="×",0,全车数据表!K271)</f>
        <v>?</v>
      </c>
      <c r="M270" s="246" t="str">
        <f>IF(全车数据表!L271="×",0,全车数据表!L271)</f>
        <v>?</v>
      </c>
      <c r="N270" s="246" t="str">
        <f>IF(全车数据表!M271="×",0,全车数据表!M271)</f>
        <v>?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3" t="s">
        <v>359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09" t="s">
        <v>523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21" t="s">
        <v>319</v>
      </c>
      <c r="C5" s="522"/>
      <c r="D5" s="522"/>
      <c r="E5" s="522"/>
      <c r="F5" s="522"/>
      <c r="G5" s="522"/>
      <c r="H5" s="523"/>
      <c r="I5" s="37"/>
      <c r="J5" s="521" t="s">
        <v>320</v>
      </c>
      <c r="K5" s="522"/>
      <c r="L5" s="522"/>
      <c r="M5" s="522"/>
      <c r="N5" s="522"/>
      <c r="O5" s="522"/>
      <c r="P5" s="5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9" t="s">
        <v>432</v>
      </c>
      <c r="D6" s="499"/>
      <c r="E6" s="512" t="s">
        <v>97</v>
      </c>
      <c r="F6" s="512"/>
      <c r="G6" s="504" t="str">
        <f>IFERROR(IF(VLOOKUP($C$7,全车数据表!$B:$AP,4,0)&lt;&gt;0,VLOOKUP($C$7,全车数据表!$B:$AP,4,0),"暂无"),"")</f>
        <v/>
      </c>
      <c r="H6" s="505"/>
      <c r="I6" s="39"/>
      <c r="J6" s="38" t="s">
        <v>314</v>
      </c>
      <c r="K6" s="499" t="s">
        <v>432</v>
      </c>
      <c r="L6" s="499"/>
      <c r="M6" s="512" t="s">
        <v>97</v>
      </c>
      <c r="N6" s="512"/>
      <c r="O6" s="504" t="str">
        <f>IFERROR(IF(VLOOKUP($K$7,全车数据表!$C:$AP,3,0)&lt;&gt;0,VLOOKUP($K$7,全车数据表!$C:$AP,3,0),"暂无"),"")</f>
        <v/>
      </c>
      <c r="P6" s="50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6" t="s">
        <v>432</v>
      </c>
      <c r="D7" s="507"/>
      <c r="E7" s="507"/>
      <c r="F7" s="507"/>
      <c r="G7" s="507"/>
      <c r="H7" s="508"/>
      <c r="I7" s="39"/>
      <c r="J7" s="40" t="s">
        <v>316</v>
      </c>
      <c r="K7" s="507" t="s">
        <v>432</v>
      </c>
      <c r="L7" s="507"/>
      <c r="M7" s="507"/>
      <c r="N7" s="507"/>
      <c r="O7" s="507"/>
      <c r="P7" s="50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500" t="str">
        <f>IFERROR(IF(VLOOKUP($C$7,全车数据表!$B:$AP,14,0)&lt;&gt;0,VLOOKUP($C$7,全车数据表!$B:$AP,14,0),"暂无"),"")</f>
        <v/>
      </c>
      <c r="D9" s="500"/>
      <c r="E9" s="503" t="s">
        <v>318</v>
      </c>
      <c r="F9" s="503"/>
      <c r="G9" s="500" t="str">
        <f>IFERROR(IF(VLOOKUP($C$7,全车数据表!$B:$AP,41,0)&lt;&gt;0,VLOOKUP($C$7,全车数据表!$B:$AP,41,0),"暂无"),"")</f>
        <v/>
      </c>
      <c r="H9" s="502"/>
      <c r="I9" s="39"/>
      <c r="J9" s="40" t="s">
        <v>98</v>
      </c>
      <c r="K9" s="500" t="str">
        <f>IFERROR(IF(VLOOKUP($K$7,全车数据表!$C:$AP,13,0)&lt;&gt;0,VLOOKUP($K$7,全车数据表!$C:$AP,13,0),"暂无"),"")</f>
        <v/>
      </c>
      <c r="L9" s="500"/>
      <c r="M9" s="503" t="s">
        <v>318</v>
      </c>
      <c r="N9" s="503"/>
      <c r="O9" s="500" t="str">
        <f>IFERROR(IF(VLOOKUP($K$7,全车数据表!$C:$AP,40,0)&lt;&gt;0,VLOOKUP($K$7,全车数据表!$C:$AP,40,0),"暂无"),"")</f>
        <v/>
      </c>
      <c r="P9" s="50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1" t="str">
        <f>IFERROR(IF(VLOOKUP($C$7,全车数据表!$B:$AP,15,0)&lt;&gt;0,VLOOKUP($C$7,全车数据表!$B:$AP,15,0),"暂无"),"")</f>
        <v/>
      </c>
      <c r="D10" s="501"/>
      <c r="E10" s="503" t="s">
        <v>159</v>
      </c>
      <c r="F10" s="503"/>
      <c r="G10" s="500" t="str">
        <f>IFERROR(IF(VLOOKUP($C$7,全车数据表!$B:$AP,35,0)&lt;&gt;0,VLOOKUP($C$7,全车数据表!$B:$AP,35,0),"暂无"),"")</f>
        <v/>
      </c>
      <c r="H10" s="502"/>
      <c r="I10" s="39"/>
      <c r="J10" s="40" t="s">
        <v>99</v>
      </c>
      <c r="K10" s="501" t="str">
        <f>IFERROR(IF(VLOOKUP($K$7,全车数据表!$C:$AP,14,0)&lt;&gt;0,VLOOKUP($K$7,全车数据表!$C:$AP,14,0),"暂无"),"")</f>
        <v/>
      </c>
      <c r="L10" s="501"/>
      <c r="M10" s="503" t="s">
        <v>159</v>
      </c>
      <c r="N10" s="503"/>
      <c r="O10" s="500" t="str">
        <f>IFERROR(IF(VLOOKUP($K$7,全车数据表!$C:$AP,34,0)&lt;&gt;0,VLOOKUP($K$7,全车数据表!$C:$AP,34,0),"暂无"),"")</f>
        <v/>
      </c>
      <c r="P10" s="50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517" t="s">
        <v>160</v>
      </c>
      <c r="F11" s="517"/>
      <c r="G11" s="500" t="str">
        <f>IFERROR(IF(VLOOKUP($C$7,全车数据表!$B:$AP,37,0)&lt;&gt;0,VLOOKUP($C$7,全车数据表!$B:$AP,37,0),"暂无"),"")</f>
        <v/>
      </c>
      <c r="H11" s="502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517" t="s">
        <v>160</v>
      </c>
      <c r="N11" s="517"/>
      <c r="O11" s="500" t="str">
        <f>IFERROR(IF(VLOOKUP($K$7,全车数据表!$C:$AP,36,0)&lt;&gt;0,VLOOKUP($K$7,全车数据表!$C:$AP,36,0),"暂无"),"")</f>
        <v/>
      </c>
      <c r="P11" s="50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503" t="s">
        <v>161</v>
      </c>
      <c r="F12" s="503"/>
      <c r="G12" s="500" t="str">
        <f>IFERROR(IF(VLOOKUP($C$7,全车数据表!$B:$AP,39,0)&lt;&gt;0,VLOOKUP($C$7,全车数据表!$B:$AP,39,0),"暂无"),"")</f>
        <v/>
      </c>
      <c r="H12" s="502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503" t="s">
        <v>161</v>
      </c>
      <c r="N12" s="503"/>
      <c r="O12" s="500" t="str">
        <f>IFERROR(IF(VLOOKUP($K$7,全车数据表!$C:$AP,38,0)&lt;&gt;0,VLOOKUP($K$7,全车数据表!$C:$AP,38,0),"暂无"),"")</f>
        <v/>
      </c>
      <c r="P12" s="50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6" t="str">
        <f>IFERROR(IF(VLOOKUP($C$7,全车数据表!$B:$AP,18,0)&lt;&gt;0,VLOOKUP($C$7,全车数据表!$B:$AP,18,0),"暂无"),"")</f>
        <v/>
      </c>
      <c r="D13" s="516"/>
      <c r="E13" s="518" t="s">
        <v>156</v>
      </c>
      <c r="F13" s="518"/>
      <c r="G13" s="519" t="str">
        <f>IFERROR(IF(VLOOKUP($C$7,全车数据表!$B:$AP,19,0)&lt;&gt;0,VLOOKUP($C$7,全车数据表!$B:$AP,19,0),"暂无"),"")</f>
        <v/>
      </c>
      <c r="H13" s="520"/>
      <c r="I13" s="39"/>
      <c r="J13" s="198" t="s">
        <v>102</v>
      </c>
      <c r="K13" s="516" t="str">
        <f>IFERROR(IF(VLOOKUP($K$7,全车数据表!$C:$AP,17,0)&lt;&gt;0,VLOOKUP($K$7,全车数据表!$C:$AP,17,0),"暂无"),"")</f>
        <v/>
      </c>
      <c r="L13" s="516"/>
      <c r="M13" s="518" t="s">
        <v>156</v>
      </c>
      <c r="N13" s="518"/>
      <c r="O13" s="519" t="str">
        <f>IFERROR(IF(VLOOKUP($K$7,全车数据表!$C:$AP,18,0)&lt;&gt;0,VLOOKUP($K$7,全车数据表!$C:$AP,18,0),"暂无"),"")</f>
        <v/>
      </c>
      <c r="P13" s="5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全车数据表!N210</f>
        <v>250</v>
      </c>
      <c r="M77" s="219">
        <f>全车数据表!AJ210*4</f>
        <v>24</v>
      </c>
      <c r="N77" s="154">
        <f>全车数据表!AL210*4</f>
        <v>20</v>
      </c>
      <c r="O77" s="157">
        <f>IF(全车数据表!AN210="×",全车数据表!AN210,4*全车数据表!AN210)</f>
        <v>16</v>
      </c>
      <c r="P77" s="167">
        <f>全车数据表!AP210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全车数据表!N214</f>
        <v>250</v>
      </c>
      <c r="M78" s="220">
        <f>全车数据表!AJ214*4</f>
        <v>24</v>
      </c>
      <c r="N78" s="155">
        <f>全车数据表!AL214*4</f>
        <v>20</v>
      </c>
      <c r="O78" s="159">
        <f>IF(全车数据表!AN214="×",全车数据表!AN214,4*全车数据表!AN214)</f>
        <v>16</v>
      </c>
      <c r="P78" s="168">
        <f>全车数据表!AP214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全车数据表!N217</f>
        <v>265</v>
      </c>
      <c r="M79" s="221">
        <f>全车数据表!AJ217*4</f>
        <v>24</v>
      </c>
      <c r="N79" s="156">
        <f>全车数据表!AL217*4</f>
        <v>20</v>
      </c>
      <c r="O79" s="163">
        <f>IF(全车数据表!AN217="×",全车数据表!AN217,4*全车数据表!AN217)</f>
        <v>16</v>
      </c>
      <c r="P79" s="169">
        <f>全车数据表!AP217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全车数据表!N229</f>
        <v>133</v>
      </c>
      <c r="M80" s="218">
        <f>全车数据表!AJ229*4</f>
        <v>28</v>
      </c>
      <c r="N80" s="158">
        <f>全车数据表!AL229*4</f>
        <v>20</v>
      </c>
      <c r="O80" s="160">
        <f>IF(全车数据表!AN229="×",全车数据表!AN229,4*全车数据表!AN229)</f>
        <v>12</v>
      </c>
      <c r="P80" s="166">
        <f>全车数据表!AP229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全车数据表!N230</f>
        <v>133</v>
      </c>
      <c r="M81" s="219">
        <f>全车数据表!AJ230*4</f>
        <v>28</v>
      </c>
      <c r="N81" s="154">
        <f>全车数据表!AL230*4</f>
        <v>20</v>
      </c>
      <c r="O81" s="157">
        <f>IF(全车数据表!AN230="×",全车数据表!AN230,4*全车数据表!AN230)</f>
        <v>12</v>
      </c>
      <c r="P81" s="167">
        <f>全车数据表!AP230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全车数据表!N232</f>
        <v>133</v>
      </c>
      <c r="M82" s="219">
        <f>全车数据表!AJ232*4</f>
        <v>28</v>
      </c>
      <c r="N82" s="154">
        <f>全车数据表!AL232*4</f>
        <v>20</v>
      </c>
      <c r="O82" s="157">
        <f>IF(全车数据表!AN232="×",全车数据表!AN232,4*全车数据表!AN232)</f>
        <v>12</v>
      </c>
      <c r="P82" s="167">
        <f>全车数据表!AP232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全车数据表!N233</f>
        <v>133</v>
      </c>
      <c r="M83" s="219">
        <f>全车数据表!AJ233*4</f>
        <v>28</v>
      </c>
      <c r="N83" s="154">
        <f>全车数据表!AL233*4</f>
        <v>20</v>
      </c>
      <c r="O83" s="157">
        <f>IF(全车数据表!AN233="×",全车数据表!AN233,4*全车数据表!AN233)</f>
        <v>12</v>
      </c>
      <c r="P83" s="167">
        <f>全车数据表!AP233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全车数据表!N235</f>
        <v>200</v>
      </c>
      <c r="M84" s="219">
        <f>全车数据表!AJ235*4</f>
        <v>28</v>
      </c>
      <c r="N84" s="154">
        <f>全车数据表!AL235*4</f>
        <v>20</v>
      </c>
      <c r="O84" s="157">
        <f>IF(全车数据表!AN235="×",全车数据表!AN235,4*全车数据表!AN235)</f>
        <v>16</v>
      </c>
      <c r="P84" s="167">
        <f>全车数据表!AP235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全车数据表!N238</f>
        <v>200</v>
      </c>
      <c r="M85" s="219">
        <f>全车数据表!AJ238*4</f>
        <v>28</v>
      </c>
      <c r="N85" s="154">
        <f>全车数据表!AL238*4</f>
        <v>20</v>
      </c>
      <c r="O85" s="157">
        <f>IF(全车数据表!AN238="×",全车数据表!AN238,4*全车数据表!AN238)</f>
        <v>16</v>
      </c>
      <c r="P85" s="167">
        <f>全车数据表!AP238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全车数据表!A210</f>
        <v>208</v>
      </c>
      <c r="B87" t="str">
        <f>全车数据表!B210</f>
        <v>Ferrari LaFerrari Aperta</v>
      </c>
      <c r="C87" s="256">
        <f>全车数据表!P210</f>
        <v>366.2</v>
      </c>
      <c r="D87" s="256">
        <f>全车数据表!Q210</f>
        <v>81.03</v>
      </c>
      <c r="E87" s="256">
        <f>全车数据表!R210</f>
        <v>82.48</v>
      </c>
      <c r="F87" s="256">
        <f>全车数据表!S210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全车数据表!A211</f>
        <v>209</v>
      </c>
      <c r="B88" t="str">
        <f>全车数据表!B211</f>
        <v>Ferrari F8 Tributo</v>
      </c>
      <c r="C88" s="256">
        <f>全车数据表!P211</f>
        <v>360.2</v>
      </c>
      <c r="D88" s="256">
        <f>全车数据表!Q211</f>
        <v>83.14</v>
      </c>
      <c r="E88" s="256">
        <f>全车数据表!R211</f>
        <v>94.22</v>
      </c>
      <c r="F88" s="256">
        <f>全车数据表!S211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全车数据表!A214</f>
        <v>212</v>
      </c>
      <c r="B89" t="str">
        <f>全车数据表!B214</f>
        <v>Genty Akylone</v>
      </c>
      <c r="C89" s="256">
        <f>全车数据表!P214</f>
        <v>371.7</v>
      </c>
      <c r="D89" s="256">
        <f>全车数据表!Q214</f>
        <v>82.93</v>
      </c>
      <c r="E89" s="256">
        <f>全车数据表!R214</f>
        <v>67.81</v>
      </c>
      <c r="F89" s="256">
        <f>全车数据表!S214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全车数据表!A217</f>
        <v>215</v>
      </c>
      <c r="B90" t="str">
        <f>全车数据表!B217</f>
        <v>TechRules AT96 Track Version🔑</v>
      </c>
      <c r="C90" s="256">
        <f>全车数据表!P217</f>
        <v>364.6</v>
      </c>
      <c r="D90" s="256">
        <f>全车数据表!Q217</f>
        <v>85.53</v>
      </c>
      <c r="E90" s="256">
        <f>全车数据表!R217</f>
        <v>75.739999999999995</v>
      </c>
      <c r="F90" s="256">
        <f>全车数据表!S217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全车数据表!A220</f>
        <v>218</v>
      </c>
      <c r="B91" t="str">
        <f>全车数据表!B220</f>
        <v>Aston Martin Valhalla Concept Car</v>
      </c>
      <c r="C91" s="256">
        <f>全车数据表!P220</f>
        <v>377.4</v>
      </c>
      <c r="D91" s="256">
        <f>全车数据表!Q220</f>
        <v>82.23</v>
      </c>
      <c r="E91" s="256">
        <f>全车数据表!R220</f>
        <v>81.760000000000005</v>
      </c>
      <c r="F91" s="256">
        <f>全车数据表!S220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全车数据表!A229</f>
        <v>227</v>
      </c>
      <c r="B92" t="str">
        <f>全车数据表!B229</f>
        <v>Lamborghini Centenario</v>
      </c>
      <c r="C92" s="256">
        <f>全车数据表!P229</f>
        <v>363.9</v>
      </c>
      <c r="D92" s="256">
        <f>全车数据表!Q229</f>
        <v>80.48</v>
      </c>
      <c r="E92" s="256">
        <f>全车数据表!R229</f>
        <v>47.46</v>
      </c>
      <c r="F92" s="256">
        <f>全车数据表!S229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全车数据表!A230</f>
        <v>228</v>
      </c>
      <c r="B93" t="str">
        <f>全车数据表!B230</f>
        <v>Ferrari FXX K</v>
      </c>
      <c r="C93" s="256">
        <f>全车数据表!P230</f>
        <v>363.1</v>
      </c>
      <c r="D93" s="256">
        <f>全车数据表!Q230</f>
        <v>83.9</v>
      </c>
      <c r="E93" s="256">
        <f>全车数据表!R230</f>
        <v>43.75</v>
      </c>
      <c r="F93" s="256">
        <f>全车数据表!S230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全车数据表!A232</f>
        <v>230</v>
      </c>
      <c r="B94" t="str">
        <f>全车数据表!B232</f>
        <v>Icona Vulcano Titanium</v>
      </c>
      <c r="C94" s="256">
        <f>全车数据表!P232</f>
        <v>381.7</v>
      </c>
      <c r="D94" s="256">
        <f>全车数据表!Q232</f>
        <v>81.38</v>
      </c>
      <c r="E94" s="256">
        <f>全车数据表!R232</f>
        <v>43.38</v>
      </c>
      <c r="F94" s="256">
        <f>全车数据表!S232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全车数据表!A233</f>
        <v>231</v>
      </c>
      <c r="B95" t="str">
        <f>全车数据表!B233</f>
        <v>W Motors Lykan HyperSport</v>
      </c>
      <c r="C95" s="256">
        <f>全车数据表!P233</f>
        <v>407.5</v>
      </c>
      <c r="D95" s="256">
        <f>全车数据表!Q233</f>
        <v>80.48</v>
      </c>
      <c r="E95" s="256">
        <f>全车数据表!R233</f>
        <v>40.97</v>
      </c>
      <c r="F95" s="256">
        <f>全车数据表!S233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全车数据表!A235</f>
        <v>233</v>
      </c>
      <c r="B96" t="str">
        <f>全车数据表!B235</f>
        <v>Lamborghini Veneno</v>
      </c>
      <c r="C96" s="256">
        <f>全车数据表!P235</f>
        <v>370.2</v>
      </c>
      <c r="D96" s="256">
        <f>全车数据表!Q235</f>
        <v>81.2</v>
      </c>
      <c r="E96" s="256">
        <f>全车数据表!R235</f>
        <v>62.39</v>
      </c>
      <c r="F96" s="256">
        <f>全车数据表!S235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全车数据表!A238</f>
        <v>236</v>
      </c>
      <c r="B97" t="str">
        <f>全车数据表!B238</f>
        <v>Lamborghini Egoista</v>
      </c>
      <c r="C97" s="256">
        <f>全车数据表!P238</f>
        <v>366.4</v>
      </c>
      <c r="D97" s="256">
        <f>全车数据表!Q238</f>
        <v>84.48</v>
      </c>
      <c r="E97" s="256">
        <f>全车数据表!R238</f>
        <v>61.54</v>
      </c>
      <c r="F97" s="256">
        <f>全车数据表!S238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8" t="s">
        <v>355</v>
      </c>
      <c r="C2" s="539"/>
      <c r="D2" s="539"/>
      <c r="E2" s="540"/>
      <c r="F2" s="80"/>
      <c r="G2" s="553" t="s">
        <v>357</v>
      </c>
      <c r="H2" s="554"/>
      <c r="I2" s="554"/>
      <c r="J2" s="554"/>
      <c r="K2" s="555"/>
      <c r="L2" s="35"/>
    </row>
    <row r="3" spans="1:27" ht="25.4" customHeight="1" thickBot="1">
      <c r="A3" s="81"/>
      <c r="B3" s="544" t="s">
        <v>524</v>
      </c>
      <c r="C3" s="545"/>
      <c r="D3" s="545"/>
      <c r="E3" s="546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44"/>
      <c r="C4" s="545"/>
      <c r="D4" s="545"/>
      <c r="E4" s="546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44"/>
      <c r="C5" s="545"/>
      <c r="D5" s="545"/>
      <c r="E5" s="546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44"/>
      <c r="C6" s="545"/>
      <c r="D6" s="545"/>
      <c r="E6" s="546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44"/>
      <c r="C7" s="545"/>
      <c r="D7" s="545"/>
      <c r="E7" s="546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47"/>
      <c r="C8" s="548"/>
      <c r="D8" s="548"/>
      <c r="E8" s="549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3" t="s">
        <v>356</v>
      </c>
      <c r="C10" s="554"/>
      <c r="D10" s="554"/>
      <c r="E10" s="555"/>
      <c r="F10" s="80"/>
      <c r="G10" s="538" t="s">
        <v>358</v>
      </c>
      <c r="H10" s="539"/>
      <c r="I10" s="539"/>
      <c r="J10" s="539"/>
      <c r="K10" s="54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8" t="s">
        <v>374</v>
      </c>
      <c r="C17" s="539"/>
      <c r="D17" s="539"/>
      <c r="E17" s="539"/>
      <c r="F17" s="539"/>
      <c r="G17" s="539"/>
      <c r="H17" s="539"/>
      <c r="I17" s="539"/>
      <c r="J17" s="539"/>
      <c r="K17" s="54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5" t="s">
        <v>525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8" t="s">
        <v>360</v>
      </c>
      <c r="C20" s="539"/>
      <c r="D20" s="539"/>
      <c r="E20" s="540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44" t="s">
        <v>526</v>
      </c>
      <c r="C21" s="545"/>
      <c r="D21" s="545"/>
      <c r="E21" s="546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44"/>
      <c r="C22" s="545"/>
      <c r="D22" s="545"/>
      <c r="E22" s="546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44"/>
      <c r="C23" s="545"/>
      <c r="D23" s="545"/>
      <c r="E23" s="546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44"/>
      <c r="C24" s="545"/>
      <c r="D24" s="545"/>
      <c r="E24" s="546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44"/>
      <c r="C25" s="545"/>
      <c r="D25" s="545"/>
      <c r="E25" s="546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47"/>
      <c r="C26" s="548"/>
      <c r="D26" s="548"/>
      <c r="E26" s="549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2025-05-29T17:07:40Z</dcterms:modified>
</cp:coreProperties>
</file>