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2949B145-457E-4A56-BFE5-2CFE23D915F3}" xr6:coauthVersionLast="47" xr6:coauthVersionMax="47" xr10:uidLastSave="{00000000-0000-0000-0000-000000000000}"/>
  <bookViews>
    <workbookView xWindow="-108" yWindow="-108" windowWidth="30936" windowHeight="16776" activeTab="7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全车数据表!$A$2:$CL$231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" i="12" l="1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N36" i="6"/>
  <c r="AR102" i="6"/>
  <c r="AN93" i="6"/>
  <c r="AM93" i="6" s="1"/>
  <c r="AL93" i="6"/>
  <c r="AK93" i="6"/>
  <c r="AJ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AN102" i="6"/>
  <c r="AM102" i="6" s="1"/>
  <c r="AL102" i="6"/>
  <c r="AK102" i="6"/>
  <c r="AJ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N102" i="6"/>
  <c r="AR93" i="6"/>
  <c r="N93" i="6"/>
  <c r="AR36" i="6"/>
  <c r="AM36" i="6"/>
  <c r="AK36" i="6"/>
  <c r="AO36" i="6" s="1"/>
  <c r="AM35" i="6"/>
  <c r="AO35" i="6" s="1"/>
  <c r="AK35" i="6"/>
  <c r="AM34" i="6"/>
  <c r="AK34" i="6"/>
  <c r="AO34" i="6" s="1"/>
  <c r="AH36" i="6"/>
  <c r="AH35" i="6"/>
  <c r="AH34" i="6"/>
  <c r="AH33" i="6"/>
  <c r="AH32" i="6"/>
  <c r="AR198" i="6"/>
  <c r="AN198" i="6"/>
  <c r="AM198" i="6" s="1"/>
  <c r="AL198" i="6"/>
  <c r="AK198" i="6"/>
  <c r="AJ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224" i="6"/>
  <c r="AN224" i="6"/>
  <c r="AM224" i="6" s="1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227" i="6"/>
  <c r="AN227" i="6"/>
  <c r="AM227" i="6" s="1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AR230" i="6"/>
  <c r="AN230" i="6"/>
  <c r="AM230" i="6" s="1"/>
  <c r="AL230" i="6"/>
  <c r="AK230" i="6"/>
  <c r="AJ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F230" i="6"/>
  <c r="AR204" i="6"/>
  <c r="AN204" i="6"/>
  <c r="AL204" i="6"/>
  <c r="AK204" i="6"/>
  <c r="AJ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N204" i="6"/>
  <c r="AR171" i="6"/>
  <c r="AN171" i="6"/>
  <c r="AM171" i="6" s="1"/>
  <c r="AL171" i="6"/>
  <c r="AK171" i="6"/>
  <c r="AJ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R11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5" i="6"/>
  <c r="AN55" i="6"/>
  <c r="AL55" i="6"/>
  <c r="AK55" i="6"/>
  <c r="AJ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N55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J26" i="6"/>
  <c r="AK26" i="6"/>
  <c r="AL26" i="6"/>
  <c r="AN26" i="6"/>
  <c r="AM26" i="6" s="1"/>
  <c r="N26" i="6"/>
  <c r="N61" i="6"/>
  <c r="AR160" i="6"/>
  <c r="AR159" i="6"/>
  <c r="AN177" i="6"/>
  <c r="AL177" i="6"/>
  <c r="AK177" i="6"/>
  <c r="AJ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N160" i="6"/>
  <c r="AL160" i="6"/>
  <c r="AK160" i="6"/>
  <c r="AJ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30" i="6"/>
  <c r="AL130" i="6"/>
  <c r="AK130" i="6"/>
  <c r="AJ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0" i="6"/>
  <c r="AL90" i="6"/>
  <c r="AK90" i="6"/>
  <c r="AJ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AN61" i="6"/>
  <c r="AL61" i="6"/>
  <c r="AK61" i="6"/>
  <c r="AJ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N90" i="6"/>
  <c r="N75" i="6"/>
  <c r="N160" i="6"/>
  <c r="N127" i="6"/>
  <c r="N177" i="6"/>
  <c r="AR177" i="6"/>
  <c r="AR90" i="6"/>
  <c r="AR75" i="6"/>
  <c r="AR127" i="6"/>
  <c r="AR60" i="6"/>
  <c r="AR61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75" i="6"/>
  <c r="AL175" i="6"/>
  <c r="AK175" i="6"/>
  <c r="AJ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N225" i="6"/>
  <c r="AL225" i="6"/>
  <c r="AK225" i="6"/>
  <c r="AJ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R225" i="6"/>
  <c r="N225" i="6"/>
  <c r="AR190" i="6"/>
  <c r="N190" i="6"/>
  <c r="AR175" i="6"/>
  <c r="N175" i="6"/>
  <c r="AR96" i="6"/>
  <c r="N96" i="6"/>
  <c r="AR64" i="6"/>
  <c r="N64" i="6"/>
  <c r="N8" i="6"/>
  <c r="AR8" i="6"/>
  <c r="AR133" i="6"/>
  <c r="AN133" i="6"/>
  <c r="AL133" i="6"/>
  <c r="AK133" i="6"/>
  <c r="AJ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N133" i="6"/>
  <c r="AN231" i="6"/>
  <c r="AL231" i="6"/>
  <c r="AK231" i="6"/>
  <c r="AJ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213" i="6"/>
  <c r="AL213" i="6"/>
  <c r="AK213" i="6"/>
  <c r="AJ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188" i="6"/>
  <c r="AL188" i="6"/>
  <c r="AK188" i="6"/>
  <c r="AJ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N139" i="6"/>
  <c r="AL139" i="6"/>
  <c r="AK139" i="6"/>
  <c r="AJ139" i="6"/>
  <c r="AH139" i="6"/>
  <c r="AG139" i="6"/>
  <c r="AF139" i="6"/>
  <c r="AN132" i="6"/>
  <c r="AL132" i="6"/>
  <c r="AK132" i="6"/>
  <c r="AJ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17" i="6"/>
  <c r="AL117" i="6"/>
  <c r="AK117" i="6"/>
  <c r="AJ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2" i="6"/>
  <c r="AL82" i="6"/>
  <c r="AK82" i="6"/>
  <c r="AJ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N56" i="6"/>
  <c r="AL56" i="6"/>
  <c r="AK56" i="6"/>
  <c r="AJ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AN46" i="6"/>
  <c r="AL46" i="6"/>
  <c r="AK46" i="6"/>
  <c r="AJ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46" i="6"/>
  <c r="AR46" i="6"/>
  <c r="AR209" i="6"/>
  <c r="N209" i="6"/>
  <c r="AR188" i="6"/>
  <c r="N188" i="6"/>
  <c r="AR117" i="6"/>
  <c r="N117" i="6"/>
  <c r="AR82" i="6"/>
  <c r="N82" i="6"/>
  <c r="AR78" i="6"/>
  <c r="N78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J39" i="6"/>
  <c r="AK39" i="6"/>
  <c r="AL39" i="6"/>
  <c r="AN39" i="6"/>
  <c r="AR231" i="6"/>
  <c r="AL229" i="6"/>
  <c r="N231" i="6"/>
  <c r="AR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J202" i="6"/>
  <c r="AK202" i="6"/>
  <c r="AL202" i="6"/>
  <c r="AN202" i="6"/>
  <c r="F202" i="6"/>
  <c r="N202" i="6"/>
  <c r="AR186" i="6"/>
  <c r="AN186" i="6"/>
  <c r="AL186" i="6"/>
  <c r="AK186" i="6"/>
  <c r="AJ186" i="6"/>
  <c r="AN194" i="6"/>
  <c r="AL194" i="6"/>
  <c r="AK194" i="6"/>
  <c r="AJ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94" i="6"/>
  <c r="N186" i="6"/>
  <c r="AR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J164" i="6"/>
  <c r="AK164" i="6"/>
  <c r="AL164" i="6"/>
  <c r="AN164" i="6"/>
  <c r="N164" i="6"/>
  <c r="AR153" i="6"/>
  <c r="AN153" i="6"/>
  <c r="AL153" i="6"/>
  <c r="AK153" i="6"/>
  <c r="AJ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AR71" i="6"/>
  <c r="AJ71" i="6"/>
  <c r="AK71" i="6"/>
  <c r="AL71" i="6"/>
  <c r="AN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N71" i="6"/>
  <c r="F71" i="6"/>
  <c r="AR39" i="6"/>
  <c r="N39" i="6"/>
  <c r="AR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N23" i="6"/>
  <c r="AN58" i="6"/>
  <c r="AL58" i="6"/>
  <c r="AK58" i="6"/>
  <c r="AJ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AN207" i="6"/>
  <c r="AL207" i="6"/>
  <c r="AK207" i="6"/>
  <c r="AJ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R221" i="6"/>
  <c r="AN221" i="6"/>
  <c r="AL221" i="6"/>
  <c r="AK221" i="6"/>
  <c r="AJ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16" i="6"/>
  <c r="AN216" i="6"/>
  <c r="AL216" i="6"/>
  <c r="AK216" i="6"/>
  <c r="AJ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100" i="6"/>
  <c r="AN100" i="6"/>
  <c r="AL100" i="6"/>
  <c r="AK100" i="6"/>
  <c r="AJ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207" i="6"/>
  <c r="F207" i="6"/>
  <c r="N207" i="6"/>
  <c r="N100" i="6"/>
  <c r="AR58" i="6"/>
  <c r="N58" i="6"/>
  <c r="AR35" i="6"/>
  <c r="N35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23" i="6"/>
  <c r="AJ223" i="6"/>
  <c r="AK223" i="6"/>
  <c r="AL223" i="6"/>
  <c r="AN223" i="6"/>
  <c r="AO223" i="6"/>
  <c r="N223" i="6"/>
  <c r="AR130" i="6"/>
  <c r="N130" i="6"/>
  <c r="AR218" i="6"/>
  <c r="AR139" i="6"/>
  <c r="N139" i="6"/>
  <c r="AR132" i="6"/>
  <c r="N132" i="6"/>
  <c r="AR104" i="6"/>
  <c r="N104" i="6"/>
  <c r="AR74" i="6"/>
  <c r="AJ74" i="6"/>
  <c r="AK74" i="6"/>
  <c r="AL74" i="6"/>
  <c r="AN74" i="6"/>
  <c r="N74" i="6"/>
  <c r="AR56" i="6"/>
  <c r="N56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J19" i="6"/>
  <c r="AK19" i="6"/>
  <c r="AL19" i="6"/>
  <c r="AN19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J48" i="6"/>
  <c r="AK48" i="6"/>
  <c r="AL48" i="6"/>
  <c r="AN48" i="6"/>
  <c r="AJ66" i="6"/>
  <c r="AK66" i="6"/>
  <c r="AL66" i="6"/>
  <c r="AN66" i="6"/>
  <c r="AJ67" i="6"/>
  <c r="AK67" i="6"/>
  <c r="AL67" i="6"/>
  <c r="AN67" i="6"/>
  <c r="AJ68" i="6"/>
  <c r="AK68" i="6"/>
  <c r="AL68" i="6"/>
  <c r="AN68" i="6"/>
  <c r="AJ69" i="6"/>
  <c r="AK69" i="6"/>
  <c r="AL69" i="6"/>
  <c r="AN69" i="6"/>
  <c r="AJ70" i="6"/>
  <c r="AK70" i="6"/>
  <c r="AL70" i="6"/>
  <c r="AN70" i="6"/>
  <c r="AJ72" i="6"/>
  <c r="AK72" i="6"/>
  <c r="AL72" i="6"/>
  <c r="A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J110" i="6"/>
  <c r="AK110" i="6"/>
  <c r="AL110" i="6"/>
  <c r="AN110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J176" i="6"/>
  <c r="AK176" i="6"/>
  <c r="AL176" i="6"/>
  <c r="AN176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J124" i="6"/>
  <c r="AK124" i="6"/>
  <c r="AL124" i="6"/>
  <c r="AN124" i="6"/>
  <c r="N66" i="6"/>
  <c r="N176" i="6"/>
  <c r="N124" i="6"/>
  <c r="N110" i="6"/>
  <c r="N72" i="6"/>
  <c r="N19" i="6"/>
  <c r="AR176" i="6"/>
  <c r="AR124" i="6"/>
  <c r="AR110" i="6"/>
  <c r="AR72" i="6"/>
  <c r="AR66" i="6"/>
  <c r="AR19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J94" i="6"/>
  <c r="AK94" i="6"/>
  <c r="AL94" i="6"/>
  <c r="AN94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19" i="6"/>
  <c r="AK119" i="6"/>
  <c r="AL119" i="6"/>
  <c r="AN119" i="6"/>
  <c r="N94" i="6"/>
  <c r="AN145" i="6"/>
  <c r="AL145" i="6"/>
  <c r="AJ145" i="6"/>
  <c r="AR194" i="6"/>
  <c r="AR213" i="6"/>
  <c r="F213" i="6"/>
  <c r="N213" i="6"/>
  <c r="AR119" i="6"/>
  <c r="N119" i="6"/>
  <c r="AR94" i="6"/>
  <c r="AR69" i="6"/>
  <c r="N69" i="6"/>
  <c r="AR48" i="6"/>
  <c r="N48" i="6"/>
  <c r="AJ205" i="6"/>
  <c r="AK205" i="6"/>
  <c r="AL205" i="6"/>
  <c r="AN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J184" i="6"/>
  <c r="AK184" i="6"/>
  <c r="AL184" i="6"/>
  <c r="AN184" i="6"/>
  <c r="AJ149" i="6"/>
  <c r="AK149" i="6"/>
  <c r="AL149" i="6"/>
  <c r="AN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J228" i="6"/>
  <c r="AK228" i="6"/>
  <c r="AL228" i="6"/>
  <c r="AN228" i="6"/>
  <c r="AJ215" i="6"/>
  <c r="AK215" i="6"/>
  <c r="AL215" i="6"/>
  <c r="AN215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J200" i="6"/>
  <c r="AK200" i="6"/>
  <c r="AL200" i="6"/>
  <c r="AN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192" i="6"/>
  <c r="AK192" i="6"/>
  <c r="AL192" i="6"/>
  <c r="AN192" i="6"/>
  <c r="AH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J172" i="6"/>
  <c r="AK172" i="6"/>
  <c r="AL172" i="6"/>
  <c r="AN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J157" i="6"/>
  <c r="AK157" i="6"/>
  <c r="AL157" i="6"/>
  <c r="AN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J97" i="6"/>
  <c r="AK97" i="6"/>
  <c r="AL97" i="6"/>
  <c r="AN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J112" i="6"/>
  <c r="AK112" i="6"/>
  <c r="AL112" i="6"/>
  <c r="AN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J22" i="6"/>
  <c r="AK22" i="6"/>
  <c r="AL22" i="6"/>
  <c r="AN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K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J77" i="6"/>
  <c r="AL77" i="6"/>
  <c r="AN77" i="6"/>
  <c r="N200" i="6"/>
  <c r="N205" i="6"/>
  <c r="N184" i="6"/>
  <c r="N149" i="6"/>
  <c r="N112" i="6"/>
  <c r="N77" i="6"/>
  <c r="N22" i="6"/>
  <c r="N145" i="6"/>
  <c r="AR205" i="6"/>
  <c r="AR184" i="6"/>
  <c r="AR149" i="6"/>
  <c r="AR112" i="6"/>
  <c r="AR77" i="6"/>
  <c r="AR22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J158" i="6"/>
  <c r="AL158" i="6"/>
  <c r="AN158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J122" i="6"/>
  <c r="AK122" i="6"/>
  <c r="AL122" i="6"/>
  <c r="AN122" i="6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J52" i="6"/>
  <c r="AL52" i="6"/>
  <c r="AN52" i="6"/>
  <c r="AJ88" i="6"/>
  <c r="AK88" i="6"/>
  <c r="AL88" i="6"/>
  <c r="A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R228" i="6"/>
  <c r="F228" i="6"/>
  <c r="N228" i="6"/>
  <c r="AR200" i="6"/>
  <c r="AR158" i="6"/>
  <c r="N158" i="6"/>
  <c r="AR157" i="6"/>
  <c r="N157" i="6"/>
  <c r="AR122" i="6"/>
  <c r="N122" i="6"/>
  <c r="AR88" i="6"/>
  <c r="N88" i="6"/>
  <c r="AR52" i="6"/>
  <c r="N5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J182" i="6"/>
  <c r="AK182" i="6"/>
  <c r="AL182" i="6"/>
  <c r="AN182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N182" i="6"/>
  <c r="AR215" i="6"/>
  <c r="N215" i="6"/>
  <c r="F215" i="6"/>
  <c r="AR182" i="6"/>
  <c r="AR172" i="6"/>
  <c r="N172" i="6"/>
  <c r="AR97" i="6"/>
  <c r="N97" i="6"/>
  <c r="AR34" i="6"/>
  <c r="N34" i="6"/>
  <c r="F34" i="6"/>
  <c r="AR25" i="6"/>
  <c r="N25" i="6"/>
  <c r="BA2" i="12"/>
  <c r="AR17" i="6"/>
  <c r="AR106" i="6"/>
  <c r="AR136" i="6"/>
  <c r="AR145" i="6"/>
  <c r="AR156" i="6"/>
  <c r="AR214" i="6"/>
  <c r="AR219" i="6"/>
  <c r="AR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J229" i="6"/>
  <c r="AK229" i="6"/>
  <c r="AN229" i="6"/>
  <c r="AZ2" i="12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J150" i="6"/>
  <c r="AK150" i="6"/>
  <c r="AL150" i="6"/>
  <c r="AN150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J151" i="6"/>
  <c r="AK151" i="6"/>
  <c r="AL151" i="6"/>
  <c r="AN151" i="6"/>
  <c r="AJ142" i="6"/>
  <c r="AK142" i="6"/>
  <c r="AL142" i="6"/>
  <c r="AN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J168" i="6"/>
  <c r="AK168" i="6"/>
  <c r="AL168" i="6"/>
  <c r="AN168" i="6"/>
  <c r="AN45" i="6"/>
  <c r="AL45" i="6"/>
  <c r="AK45" i="6"/>
  <c r="AJ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AN99" i="6"/>
  <c r="AL99" i="6"/>
  <c r="AK99" i="6"/>
  <c r="AJ99" i="6"/>
  <c r="AJ101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N168" i="6"/>
  <c r="N150" i="6"/>
  <c r="N229" i="6"/>
  <c r="N45" i="6"/>
  <c r="AR45" i="6"/>
  <c r="AR150" i="6"/>
  <c r="AR192" i="6"/>
  <c r="N192" i="6"/>
  <c r="AR142" i="6"/>
  <c r="N142" i="6"/>
  <c r="AR168" i="6"/>
  <c r="F168" i="6"/>
  <c r="N99" i="6"/>
  <c r="AR99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7" i="6"/>
  <c r="CD37" i="6"/>
  <c r="CE37" i="6"/>
  <c r="CF37" i="6"/>
  <c r="CC38" i="6"/>
  <c r="CD38" i="6"/>
  <c r="CE38" i="6"/>
  <c r="CF38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4" i="6"/>
  <c r="CD44" i="6"/>
  <c r="CE44" i="6"/>
  <c r="CF44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1" i="6"/>
  <c r="CD51" i="6"/>
  <c r="CE51" i="6"/>
  <c r="CF51" i="6"/>
  <c r="CC53" i="6"/>
  <c r="CD53" i="6"/>
  <c r="CE53" i="6"/>
  <c r="CF53" i="6"/>
  <c r="CC54" i="6"/>
  <c r="CD54" i="6"/>
  <c r="CE54" i="6"/>
  <c r="CF54" i="6"/>
  <c r="CC57" i="6"/>
  <c r="CD57" i="6"/>
  <c r="CE57" i="6"/>
  <c r="CF57" i="6"/>
  <c r="CC63" i="6"/>
  <c r="CD63" i="6"/>
  <c r="CE63" i="6"/>
  <c r="CF63" i="6"/>
  <c r="CC59" i="6"/>
  <c r="CD59" i="6"/>
  <c r="CE59" i="6"/>
  <c r="CF59" i="6"/>
  <c r="CC60" i="6"/>
  <c r="CD60" i="6"/>
  <c r="CE60" i="6"/>
  <c r="CF60" i="6"/>
  <c r="CC62" i="6"/>
  <c r="CD62" i="6"/>
  <c r="CE62" i="6"/>
  <c r="CF62" i="6"/>
  <c r="CC65" i="6"/>
  <c r="CD65" i="6"/>
  <c r="CE65" i="6"/>
  <c r="CF65" i="6"/>
  <c r="CC67" i="6"/>
  <c r="CD67" i="6"/>
  <c r="CE67" i="6"/>
  <c r="CF67" i="6"/>
  <c r="CC68" i="6"/>
  <c r="CD68" i="6"/>
  <c r="CE68" i="6"/>
  <c r="CF68" i="6"/>
  <c r="CC70" i="6"/>
  <c r="CD70" i="6"/>
  <c r="CE70" i="6"/>
  <c r="CF70" i="6"/>
  <c r="CC73" i="6"/>
  <c r="CD73" i="6"/>
  <c r="CE73" i="6"/>
  <c r="CF73" i="6"/>
  <c r="CC76" i="6"/>
  <c r="CD76" i="6"/>
  <c r="CE76" i="6"/>
  <c r="CF76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7" i="6"/>
  <c r="CD87" i="6"/>
  <c r="CE87" i="6"/>
  <c r="CF87" i="6"/>
  <c r="CC89" i="6"/>
  <c r="CD89" i="6"/>
  <c r="CE89" i="6"/>
  <c r="CF89" i="6"/>
  <c r="CC91" i="6"/>
  <c r="CD91" i="6"/>
  <c r="CE91" i="6"/>
  <c r="CF91" i="6"/>
  <c r="CC92" i="6"/>
  <c r="CD92" i="6"/>
  <c r="CE92" i="6"/>
  <c r="CF92" i="6"/>
  <c r="CC95" i="6"/>
  <c r="CD95" i="6"/>
  <c r="CE95" i="6"/>
  <c r="CF95" i="6"/>
  <c r="CC98" i="6"/>
  <c r="CD98" i="6"/>
  <c r="CE98" i="6"/>
  <c r="CF98" i="6"/>
  <c r="CC101" i="6"/>
  <c r="CD101" i="6"/>
  <c r="CE101" i="6"/>
  <c r="CF101" i="6"/>
  <c r="CC105" i="6"/>
  <c r="CD105" i="6"/>
  <c r="CE105" i="6"/>
  <c r="CF105" i="6"/>
  <c r="CC103" i="6"/>
  <c r="CD103" i="6"/>
  <c r="CE103" i="6"/>
  <c r="CF103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09" i="6"/>
  <c r="CD109" i="6"/>
  <c r="CE109" i="6"/>
  <c r="CF109" i="6"/>
  <c r="CC111" i="6"/>
  <c r="CD111" i="6"/>
  <c r="CE111" i="6"/>
  <c r="CF111" i="6"/>
  <c r="CC113" i="6"/>
  <c r="CD113" i="6"/>
  <c r="CE113" i="6"/>
  <c r="CF113" i="6"/>
  <c r="CC114" i="6"/>
  <c r="CD114" i="6"/>
  <c r="CE114" i="6"/>
  <c r="CF114" i="6"/>
  <c r="CC115" i="6"/>
  <c r="CD115" i="6"/>
  <c r="CE115" i="6"/>
  <c r="CF115" i="6"/>
  <c r="CC116" i="6"/>
  <c r="CD116" i="6"/>
  <c r="CE116" i="6"/>
  <c r="CF116" i="6"/>
  <c r="CC120" i="6"/>
  <c r="CD120" i="6"/>
  <c r="CE120" i="6"/>
  <c r="CF120" i="6"/>
  <c r="CC121" i="6"/>
  <c r="CD121" i="6"/>
  <c r="CE121" i="6"/>
  <c r="CF121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1" i="6"/>
  <c r="CD131" i="6"/>
  <c r="CE131" i="6"/>
  <c r="CF131" i="6"/>
  <c r="CC134" i="6"/>
  <c r="CD134" i="6"/>
  <c r="CE134" i="6"/>
  <c r="CF134" i="6"/>
  <c r="CC135" i="6"/>
  <c r="CD135" i="6"/>
  <c r="CE135" i="6"/>
  <c r="CF135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1" i="6"/>
  <c r="CD151" i="6"/>
  <c r="CE151" i="6"/>
  <c r="CF151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0" i="6"/>
  <c r="CD170" i="6"/>
  <c r="CE170" i="6"/>
  <c r="CF170" i="6"/>
  <c r="CC173" i="6"/>
  <c r="CD173" i="6"/>
  <c r="CE173" i="6"/>
  <c r="CF173" i="6"/>
  <c r="CC174" i="6"/>
  <c r="CD174" i="6"/>
  <c r="CE174" i="6"/>
  <c r="CF174" i="6"/>
  <c r="CC178" i="6"/>
  <c r="CD178" i="6"/>
  <c r="CE178" i="6"/>
  <c r="CF178" i="6"/>
  <c r="CC179" i="6"/>
  <c r="CD179" i="6"/>
  <c r="CE179" i="6"/>
  <c r="CF179" i="6"/>
  <c r="CC180" i="6"/>
  <c r="CD180" i="6"/>
  <c r="CE180" i="6"/>
  <c r="CF180" i="6"/>
  <c r="CC181" i="6"/>
  <c r="CD181" i="6"/>
  <c r="CE181" i="6"/>
  <c r="CF181" i="6"/>
  <c r="CC183" i="6"/>
  <c r="CD183" i="6"/>
  <c r="CE183" i="6"/>
  <c r="CF183" i="6"/>
  <c r="CC185" i="6"/>
  <c r="CD185" i="6"/>
  <c r="CE185" i="6"/>
  <c r="CF185" i="6"/>
  <c r="CC187" i="6"/>
  <c r="CD187" i="6"/>
  <c r="CE187" i="6"/>
  <c r="CF187" i="6"/>
  <c r="CC189" i="6"/>
  <c r="CD189" i="6"/>
  <c r="CE189" i="6"/>
  <c r="CF189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6" i="6"/>
  <c r="CD196" i="6"/>
  <c r="CE196" i="6"/>
  <c r="CF196" i="6"/>
  <c r="CC197" i="6"/>
  <c r="CD197" i="6"/>
  <c r="CE197" i="6"/>
  <c r="CF197" i="6"/>
  <c r="CC199" i="6"/>
  <c r="CD199" i="6"/>
  <c r="CE199" i="6"/>
  <c r="CF199" i="6"/>
  <c r="CC201" i="6"/>
  <c r="CD201" i="6"/>
  <c r="CE201" i="6"/>
  <c r="CF201" i="6"/>
  <c r="CC203" i="6"/>
  <c r="CD203" i="6"/>
  <c r="CE203" i="6"/>
  <c r="CF203" i="6"/>
  <c r="CC206" i="6"/>
  <c r="CD206" i="6"/>
  <c r="CE206" i="6"/>
  <c r="CF206" i="6"/>
  <c r="CC208" i="6"/>
  <c r="CD208" i="6"/>
  <c r="CE208" i="6"/>
  <c r="CF208" i="6"/>
  <c r="CC210" i="6"/>
  <c r="CD210" i="6"/>
  <c r="CE210" i="6"/>
  <c r="CF210" i="6"/>
  <c r="CC211" i="6"/>
  <c r="CD211" i="6"/>
  <c r="CE211" i="6"/>
  <c r="CF211" i="6"/>
  <c r="CC212" i="6"/>
  <c r="CD212" i="6"/>
  <c r="CE212" i="6"/>
  <c r="CF212" i="6"/>
  <c r="CC214" i="6"/>
  <c r="CD214" i="6"/>
  <c r="CE214" i="6"/>
  <c r="CF214" i="6"/>
  <c r="CC217" i="6"/>
  <c r="CD217" i="6"/>
  <c r="CE217" i="6"/>
  <c r="CF217" i="6"/>
  <c r="CC219" i="6"/>
  <c r="CD219" i="6"/>
  <c r="CE219" i="6"/>
  <c r="CF219" i="6"/>
  <c r="CC220" i="6"/>
  <c r="CD220" i="6"/>
  <c r="CE220" i="6"/>
  <c r="CF220" i="6"/>
  <c r="CC222" i="6"/>
  <c r="CD222" i="6"/>
  <c r="CE222" i="6"/>
  <c r="CF222" i="6"/>
  <c r="CC226" i="6"/>
  <c r="CD226" i="6"/>
  <c r="CE226" i="6"/>
  <c r="CF226" i="6"/>
  <c r="CD3" i="6"/>
  <c r="CE3" i="6"/>
  <c r="CF3" i="6"/>
  <c r="CC3" i="6"/>
  <c r="CH57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7" i="6"/>
  <c r="CH28" i="6"/>
  <c r="CH29" i="6"/>
  <c r="CH30" i="6"/>
  <c r="CH31" i="6"/>
  <c r="CH32" i="6"/>
  <c r="CH33" i="6"/>
  <c r="CH37" i="6"/>
  <c r="CH38" i="6"/>
  <c r="CH40" i="6"/>
  <c r="CH41" i="6"/>
  <c r="CH42" i="6"/>
  <c r="CH43" i="6"/>
  <c r="CH44" i="6"/>
  <c r="CH47" i="6"/>
  <c r="CH49" i="6"/>
  <c r="CH50" i="6"/>
  <c r="CH51" i="6"/>
  <c r="CH53" i="6"/>
  <c r="CH54" i="6"/>
  <c r="CH63" i="6"/>
  <c r="CH59" i="6"/>
  <c r="CH60" i="6"/>
  <c r="CH62" i="6"/>
  <c r="CH65" i="6"/>
  <c r="CH67" i="6"/>
  <c r="CH68" i="6"/>
  <c r="CH70" i="6"/>
  <c r="CH73" i="6"/>
  <c r="CH76" i="6"/>
  <c r="CH79" i="6"/>
  <c r="CH80" i="6"/>
  <c r="CH81" i="6"/>
  <c r="CH83" i="6"/>
  <c r="CH84" i="6"/>
  <c r="CH85" i="6"/>
  <c r="CH86" i="6"/>
  <c r="CH87" i="6"/>
  <c r="CH89" i="6"/>
  <c r="CH91" i="6"/>
  <c r="CH92" i="6"/>
  <c r="CH95" i="6"/>
  <c r="CH98" i="6"/>
  <c r="CH101" i="6"/>
  <c r="CH105" i="6"/>
  <c r="CH103" i="6"/>
  <c r="CH106" i="6"/>
  <c r="CH107" i="6"/>
  <c r="CH108" i="6"/>
  <c r="CH109" i="6"/>
  <c r="CH111" i="6"/>
  <c r="CH113" i="6"/>
  <c r="CH114" i="6"/>
  <c r="CH115" i="6"/>
  <c r="CH116" i="6"/>
  <c r="CH120" i="6"/>
  <c r="CH121" i="6"/>
  <c r="CH123" i="6"/>
  <c r="CH125" i="6"/>
  <c r="CH126" i="6"/>
  <c r="CH128" i="6"/>
  <c r="CH129" i="6"/>
  <c r="CH131" i="6"/>
  <c r="CH134" i="6"/>
  <c r="CH135" i="6"/>
  <c r="CH136" i="6"/>
  <c r="CH137" i="6"/>
  <c r="CH138" i="6"/>
  <c r="CH140" i="6"/>
  <c r="CH141" i="6"/>
  <c r="CH143" i="6"/>
  <c r="CH144" i="6"/>
  <c r="CH146" i="6"/>
  <c r="CH147" i="6"/>
  <c r="CH148" i="6"/>
  <c r="CH151" i="6"/>
  <c r="CH152" i="6"/>
  <c r="CH154" i="6"/>
  <c r="CH155" i="6"/>
  <c r="CH156" i="6"/>
  <c r="CH159" i="6"/>
  <c r="CH161" i="6"/>
  <c r="CH162" i="6"/>
  <c r="CH163" i="6"/>
  <c r="CH165" i="6"/>
  <c r="CH166" i="6"/>
  <c r="CH167" i="6"/>
  <c r="CH169" i="6"/>
  <c r="CH170" i="6"/>
  <c r="CH173" i="6"/>
  <c r="CH174" i="6"/>
  <c r="CH178" i="6"/>
  <c r="CH179" i="6"/>
  <c r="CH180" i="6"/>
  <c r="CH181" i="6"/>
  <c r="CH183" i="6"/>
  <c r="CH185" i="6"/>
  <c r="CH187" i="6"/>
  <c r="CH189" i="6"/>
  <c r="CH191" i="6"/>
  <c r="CH193" i="6"/>
  <c r="CH195" i="6"/>
  <c r="CH196" i="6"/>
  <c r="CH197" i="6"/>
  <c r="CH199" i="6"/>
  <c r="CH201" i="6"/>
  <c r="CH203" i="6"/>
  <c r="CH206" i="6"/>
  <c r="CH210" i="6"/>
  <c r="CH211" i="6"/>
  <c r="CH208" i="6"/>
  <c r="CH212" i="6"/>
  <c r="CH214" i="6"/>
  <c r="CH217" i="6"/>
  <c r="CH219" i="6"/>
  <c r="CH220" i="6"/>
  <c r="CH222" i="6"/>
  <c r="CH226" i="6"/>
  <c r="CH3" i="6"/>
  <c r="AK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J123" i="6"/>
  <c r="AL123" i="6"/>
  <c r="AN123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J214" i="6"/>
  <c r="AK214" i="6"/>
  <c r="AL214" i="6"/>
  <c r="AN214" i="6"/>
  <c r="V212" i="6"/>
  <c r="AE212" i="6"/>
  <c r="AF212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J196" i="6"/>
  <c r="AK196" i="6"/>
  <c r="AL196" i="6"/>
  <c r="AN196" i="6"/>
  <c r="AJ131" i="6"/>
  <c r="AK131" i="6"/>
  <c r="AL131" i="6"/>
  <c r="AN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J60" i="6"/>
  <c r="AK60" i="6"/>
  <c r="AL60" i="6"/>
  <c r="AN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J161" i="6"/>
  <c r="AK161" i="6"/>
  <c r="AL161" i="6"/>
  <c r="AN161" i="6"/>
  <c r="N161" i="6"/>
  <c r="AR131" i="6"/>
  <c r="N131" i="6"/>
  <c r="N60" i="6"/>
  <c r="AR123" i="6"/>
  <c r="N123" i="6"/>
  <c r="AR161" i="6"/>
  <c r="AR196" i="6"/>
  <c r="N196" i="6"/>
  <c r="F196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J87" i="6"/>
  <c r="AK87" i="6"/>
  <c r="AL87" i="6"/>
  <c r="AN87" i="6"/>
  <c r="AK116" i="6"/>
  <c r="AH116" i="6"/>
  <c r="AG116" i="6"/>
  <c r="V116" i="6"/>
  <c r="W116" i="6"/>
  <c r="X116" i="6"/>
  <c r="Y116" i="6"/>
  <c r="Z116" i="6"/>
  <c r="AA116" i="6"/>
  <c r="AB116" i="6"/>
  <c r="AC116" i="6"/>
  <c r="AD116" i="6"/>
  <c r="AE116" i="6"/>
  <c r="AF11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74" i="6"/>
  <c r="AK174" i="6"/>
  <c r="AL174" i="6"/>
  <c r="AN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K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K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M25" i="9"/>
  <c r="AH136" i="6"/>
  <c r="AF136" i="6"/>
  <c r="AG136" i="6"/>
  <c r="AR105" i="6"/>
  <c r="AN116" i="6"/>
  <c r="AL116" i="6"/>
  <c r="AJ116" i="6"/>
  <c r="AN103" i="6"/>
  <c r="AL103" i="6"/>
  <c r="AJ103" i="6"/>
  <c r="AN57" i="6"/>
  <c r="AL57" i="6"/>
  <c r="AJ57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6" i="6"/>
  <c r="AN16" i="6"/>
  <c r="AJ16" i="6"/>
  <c r="AK16" i="6"/>
  <c r="AL16" i="6"/>
  <c r="AH17" i="6"/>
  <c r="AN17" i="6"/>
  <c r="AJ17" i="6"/>
  <c r="AK17" i="6"/>
  <c r="AL17" i="6"/>
  <c r="AH18" i="6"/>
  <c r="AN18" i="6"/>
  <c r="AJ18" i="6"/>
  <c r="AK18" i="6"/>
  <c r="AL18" i="6"/>
  <c r="AH20" i="6"/>
  <c r="AN20" i="6"/>
  <c r="AJ20" i="6"/>
  <c r="AK20" i="6"/>
  <c r="AL20" i="6"/>
  <c r="AH21" i="6"/>
  <c r="AN21" i="6"/>
  <c r="AJ21" i="6"/>
  <c r="AK21" i="6"/>
  <c r="AL21" i="6"/>
  <c r="AH24" i="6"/>
  <c r="AN24" i="6"/>
  <c r="AJ24" i="6"/>
  <c r="AK24" i="6"/>
  <c r="AL24" i="6"/>
  <c r="AH27" i="6"/>
  <c r="AN27" i="6"/>
  <c r="AJ27" i="6"/>
  <c r="AK27" i="6"/>
  <c r="AL27" i="6"/>
  <c r="AH28" i="6"/>
  <c r="AN28" i="6"/>
  <c r="AJ28" i="6"/>
  <c r="AK28" i="6"/>
  <c r="AL28" i="6"/>
  <c r="AH29" i="6"/>
  <c r="AN29" i="6"/>
  <c r="AJ29" i="6"/>
  <c r="AK29" i="6"/>
  <c r="AL29" i="6"/>
  <c r="AH30" i="6"/>
  <c r="AK30" i="6"/>
  <c r="AM30" i="6"/>
  <c r="AH31" i="6"/>
  <c r="AN31" i="6"/>
  <c r="AJ31" i="6"/>
  <c r="AK31" i="6"/>
  <c r="AL31" i="6"/>
  <c r="AK32" i="6"/>
  <c r="AM32" i="6"/>
  <c r="AK33" i="6"/>
  <c r="AM33" i="6"/>
  <c r="AM8" i="9"/>
  <c r="AH37" i="6"/>
  <c r="AN37" i="6"/>
  <c r="AJ37" i="6"/>
  <c r="AK37" i="6"/>
  <c r="AL37" i="6"/>
  <c r="AH38" i="6"/>
  <c r="AN38" i="6"/>
  <c r="AJ38" i="6"/>
  <c r="AK38" i="6"/>
  <c r="AL38" i="6"/>
  <c r="AH40" i="6"/>
  <c r="AN40" i="6"/>
  <c r="AJ40" i="6"/>
  <c r="AK40" i="6"/>
  <c r="AL40" i="6"/>
  <c r="AH41" i="6"/>
  <c r="AN41" i="6"/>
  <c r="AJ41" i="6"/>
  <c r="AK41" i="6"/>
  <c r="AL41" i="6"/>
  <c r="AH42" i="6"/>
  <c r="AN42" i="6"/>
  <c r="AJ42" i="6"/>
  <c r="AK42" i="6"/>
  <c r="AL42" i="6"/>
  <c r="AH43" i="6"/>
  <c r="AN43" i="6"/>
  <c r="AJ43" i="6"/>
  <c r="AK43" i="6"/>
  <c r="AL43" i="6"/>
  <c r="AM9" i="9"/>
  <c r="AH44" i="6"/>
  <c r="AN44" i="6"/>
  <c r="AJ44" i="6"/>
  <c r="AK44" i="6"/>
  <c r="AL44" i="6"/>
  <c r="AH47" i="6"/>
  <c r="AN47" i="6"/>
  <c r="AJ47" i="6"/>
  <c r="AK47" i="6"/>
  <c r="AL47" i="6"/>
  <c r="AM10" i="9"/>
  <c r="AH49" i="6"/>
  <c r="AN49" i="6"/>
  <c r="AJ49" i="6"/>
  <c r="AK49" i="6"/>
  <c r="AL49" i="6"/>
  <c r="AH50" i="6"/>
  <c r="AN50" i="6"/>
  <c r="AJ50" i="6"/>
  <c r="AK50" i="6"/>
  <c r="AL50" i="6"/>
  <c r="AH51" i="6"/>
  <c r="AN51" i="6"/>
  <c r="AJ51" i="6"/>
  <c r="AK51" i="6"/>
  <c r="AL51" i="6"/>
  <c r="AH53" i="6"/>
  <c r="AN53" i="6"/>
  <c r="AJ53" i="6"/>
  <c r="AK53" i="6"/>
  <c r="AL53" i="6"/>
  <c r="AH54" i="6"/>
  <c r="AN54" i="6"/>
  <c r="AJ54" i="6"/>
  <c r="AK54" i="6"/>
  <c r="AL54" i="6"/>
  <c r="AM11" i="9"/>
  <c r="AH63" i="6"/>
  <c r="AN63" i="6"/>
  <c r="AJ63" i="6"/>
  <c r="AK63" i="6"/>
  <c r="AL63" i="6"/>
  <c r="AH59" i="6"/>
  <c r="AN59" i="6"/>
  <c r="AJ59" i="6"/>
  <c r="AK59" i="6"/>
  <c r="AL59" i="6"/>
  <c r="AH62" i="6"/>
  <c r="AN62" i="6"/>
  <c r="AJ62" i="6"/>
  <c r="AK62" i="6"/>
  <c r="AL62" i="6"/>
  <c r="AH65" i="6"/>
  <c r="AN65" i="6"/>
  <c r="AJ65" i="6"/>
  <c r="AK65" i="6"/>
  <c r="AL65" i="6"/>
  <c r="AH67" i="6"/>
  <c r="AH68" i="6"/>
  <c r="AH70" i="6"/>
  <c r="AH73" i="6"/>
  <c r="AN73" i="6"/>
  <c r="AJ73" i="6"/>
  <c r="AK73" i="6"/>
  <c r="AL73" i="6"/>
  <c r="AH76" i="6"/>
  <c r="AN76" i="6"/>
  <c r="AJ76" i="6"/>
  <c r="AK76" i="6"/>
  <c r="AL76" i="6"/>
  <c r="AM12" i="9"/>
  <c r="AH79" i="6"/>
  <c r="AN79" i="6"/>
  <c r="AJ79" i="6"/>
  <c r="AK79" i="6"/>
  <c r="AL79" i="6"/>
  <c r="AH80" i="6"/>
  <c r="AN80" i="6"/>
  <c r="AJ80" i="6"/>
  <c r="AK80" i="6"/>
  <c r="AL80" i="6"/>
  <c r="AM13" i="9"/>
  <c r="AH81" i="6"/>
  <c r="AN81" i="6"/>
  <c r="AJ81" i="6"/>
  <c r="AK81" i="6"/>
  <c r="AL81" i="6"/>
  <c r="AH83" i="6"/>
  <c r="AN83" i="6"/>
  <c r="AJ83" i="6"/>
  <c r="AK83" i="6"/>
  <c r="AL83" i="6"/>
  <c r="AM14" i="9"/>
  <c r="AH84" i="6"/>
  <c r="AN84" i="6"/>
  <c r="AJ84" i="6"/>
  <c r="AK84" i="6"/>
  <c r="AL84" i="6"/>
  <c r="AH85" i="6"/>
  <c r="AN85" i="6"/>
  <c r="AJ85" i="6"/>
  <c r="AK85" i="6"/>
  <c r="AL85" i="6"/>
  <c r="AH86" i="6"/>
  <c r="AN86" i="6"/>
  <c r="AJ86" i="6"/>
  <c r="AK86" i="6"/>
  <c r="AL86" i="6"/>
  <c r="AH89" i="6"/>
  <c r="AN89" i="6"/>
  <c r="AJ89" i="6"/>
  <c r="AK89" i="6"/>
  <c r="AL89" i="6"/>
  <c r="AH91" i="6"/>
  <c r="AN91" i="6"/>
  <c r="AJ91" i="6"/>
  <c r="AK91" i="6"/>
  <c r="AL91" i="6"/>
  <c r="AH92" i="6"/>
  <c r="AN92" i="6"/>
  <c r="AJ92" i="6"/>
  <c r="AK92" i="6"/>
  <c r="AL92" i="6"/>
  <c r="AH95" i="6"/>
  <c r="AN95" i="6"/>
  <c r="AJ95" i="6"/>
  <c r="AK95" i="6"/>
  <c r="AL95" i="6"/>
  <c r="AH98" i="6"/>
  <c r="AN98" i="6"/>
  <c r="AJ98" i="6"/>
  <c r="AK98" i="6"/>
  <c r="AL98" i="6"/>
  <c r="AM15" i="9"/>
  <c r="AH101" i="6"/>
  <c r="AN101" i="6"/>
  <c r="AK101" i="6"/>
  <c r="AL101" i="6"/>
  <c r="AH105" i="6"/>
  <c r="AN105" i="6"/>
  <c r="AJ105" i="6"/>
  <c r="AK105" i="6"/>
  <c r="AL105" i="6"/>
  <c r="AM16" i="9"/>
  <c r="AH106" i="6"/>
  <c r="AN106" i="6"/>
  <c r="AJ106" i="6"/>
  <c r="AK106" i="6"/>
  <c r="AL106" i="6"/>
  <c r="AH107" i="6"/>
  <c r="AN107" i="6"/>
  <c r="AJ107" i="6"/>
  <c r="AK107" i="6"/>
  <c r="AL107" i="6"/>
  <c r="AH108" i="6"/>
  <c r="AN108" i="6"/>
  <c r="AJ108" i="6"/>
  <c r="AK108" i="6"/>
  <c r="AL108" i="6"/>
  <c r="AH109" i="6"/>
  <c r="AN109" i="6"/>
  <c r="AJ109" i="6"/>
  <c r="AK109" i="6"/>
  <c r="AL109" i="6"/>
  <c r="AH111" i="6"/>
  <c r="AN111" i="6"/>
  <c r="AJ111" i="6"/>
  <c r="AK111" i="6"/>
  <c r="AL111" i="6"/>
  <c r="AH113" i="6"/>
  <c r="AN113" i="6"/>
  <c r="AJ113" i="6"/>
  <c r="AK113" i="6"/>
  <c r="AL113" i="6"/>
  <c r="AH114" i="6"/>
  <c r="AN114" i="6"/>
  <c r="AJ114" i="6"/>
  <c r="AK114" i="6"/>
  <c r="AL114" i="6"/>
  <c r="AH115" i="6"/>
  <c r="AN115" i="6"/>
  <c r="AJ115" i="6"/>
  <c r="AK115" i="6"/>
  <c r="AL115" i="6"/>
  <c r="AH120" i="6"/>
  <c r="AN120" i="6"/>
  <c r="AJ120" i="6"/>
  <c r="AK120" i="6"/>
  <c r="AL120" i="6"/>
  <c r="AH121" i="6"/>
  <c r="AN121" i="6"/>
  <c r="AJ121" i="6"/>
  <c r="AK121" i="6"/>
  <c r="AL121" i="6"/>
  <c r="AM17" i="9"/>
  <c r="AH125" i="6"/>
  <c r="AN125" i="6"/>
  <c r="AJ125" i="6"/>
  <c r="AK125" i="6"/>
  <c r="AL125" i="6"/>
  <c r="AH126" i="6"/>
  <c r="AN126" i="6"/>
  <c r="AJ126" i="6"/>
  <c r="AK126" i="6"/>
  <c r="AL126" i="6"/>
  <c r="AH128" i="6"/>
  <c r="AN128" i="6"/>
  <c r="AJ128" i="6"/>
  <c r="AK128" i="6"/>
  <c r="AL128" i="6"/>
  <c r="AH129" i="6"/>
  <c r="AN129" i="6"/>
  <c r="AJ129" i="6"/>
  <c r="AK129" i="6"/>
  <c r="AL129" i="6"/>
  <c r="AM18" i="9"/>
  <c r="AH134" i="6"/>
  <c r="AN134" i="6"/>
  <c r="AJ134" i="6"/>
  <c r="AK134" i="6"/>
  <c r="AL134" i="6"/>
  <c r="AH135" i="6"/>
  <c r="AN135" i="6"/>
  <c r="AJ135" i="6"/>
  <c r="AK135" i="6"/>
  <c r="AL135" i="6"/>
  <c r="AJ136" i="6"/>
  <c r="AL136" i="6"/>
  <c r="AN136" i="6"/>
  <c r="AH137" i="6"/>
  <c r="AN137" i="6"/>
  <c r="AJ137" i="6"/>
  <c r="AK137" i="6"/>
  <c r="AL137" i="6"/>
  <c r="AH138" i="6"/>
  <c r="AN138" i="6"/>
  <c r="AJ138" i="6"/>
  <c r="AK138" i="6"/>
  <c r="AL138" i="6"/>
  <c r="AM19" i="9"/>
  <c r="AH140" i="6"/>
  <c r="AN140" i="6"/>
  <c r="AJ140" i="6"/>
  <c r="AK140" i="6"/>
  <c r="AL140" i="6"/>
  <c r="AH141" i="6"/>
  <c r="AN141" i="6"/>
  <c r="AJ141" i="6"/>
  <c r="AK141" i="6"/>
  <c r="AL141" i="6"/>
  <c r="AH143" i="6"/>
  <c r="AN143" i="6"/>
  <c r="AJ143" i="6"/>
  <c r="AK143" i="6"/>
  <c r="AL143" i="6"/>
  <c r="AM20" i="9"/>
  <c r="AH144" i="6"/>
  <c r="AN144" i="6"/>
  <c r="AJ144" i="6"/>
  <c r="AK144" i="6"/>
  <c r="AL144" i="6"/>
  <c r="AH146" i="6"/>
  <c r="AN146" i="6"/>
  <c r="AJ146" i="6"/>
  <c r="AK146" i="6"/>
  <c r="AL146" i="6"/>
  <c r="AH147" i="6"/>
  <c r="AN147" i="6"/>
  <c r="AJ147" i="6"/>
  <c r="AK147" i="6"/>
  <c r="AL147" i="6"/>
  <c r="AH148" i="6"/>
  <c r="AN148" i="6"/>
  <c r="AJ148" i="6"/>
  <c r="AK148" i="6"/>
  <c r="AL148" i="6"/>
  <c r="AM21" i="9"/>
  <c r="AH152" i="6"/>
  <c r="AN152" i="6"/>
  <c r="AJ152" i="6"/>
  <c r="AK152" i="6"/>
  <c r="AL152" i="6"/>
  <c r="AH154" i="6"/>
  <c r="AN154" i="6"/>
  <c r="AJ154" i="6"/>
  <c r="AK154" i="6"/>
  <c r="AL154" i="6"/>
  <c r="AH155" i="6"/>
  <c r="AN155" i="6"/>
  <c r="AJ155" i="6"/>
  <c r="AK155" i="6"/>
  <c r="AL155" i="6"/>
  <c r="AH156" i="6"/>
  <c r="AN156" i="6"/>
  <c r="AJ156" i="6"/>
  <c r="AK156" i="6"/>
  <c r="AL156" i="6"/>
  <c r="AH159" i="6"/>
  <c r="AN159" i="6"/>
  <c r="AJ159" i="6"/>
  <c r="AK159" i="6"/>
  <c r="AL159" i="6"/>
  <c r="AH162" i="6"/>
  <c r="AN162" i="6"/>
  <c r="AJ162" i="6"/>
  <c r="AK162" i="6"/>
  <c r="AL162" i="6"/>
  <c r="AM22" i="9"/>
  <c r="AH163" i="6"/>
  <c r="AN163" i="6"/>
  <c r="AJ163" i="6"/>
  <c r="AK163" i="6"/>
  <c r="AL163" i="6"/>
  <c r="AH165" i="6"/>
  <c r="AN165" i="6"/>
  <c r="AJ165" i="6"/>
  <c r="AK165" i="6"/>
  <c r="AL165" i="6"/>
  <c r="AH166" i="6"/>
  <c r="AN166" i="6"/>
  <c r="AJ166" i="6"/>
  <c r="AK166" i="6"/>
  <c r="AL166" i="6"/>
  <c r="AH167" i="6"/>
  <c r="AN167" i="6"/>
  <c r="AJ167" i="6"/>
  <c r="AK167" i="6"/>
  <c r="AL167" i="6"/>
  <c r="AH169" i="6"/>
  <c r="AN169" i="6"/>
  <c r="AJ169" i="6"/>
  <c r="AK169" i="6"/>
  <c r="AL169" i="6"/>
  <c r="AH170" i="6"/>
  <c r="AN170" i="6"/>
  <c r="AJ170" i="6"/>
  <c r="AK170" i="6"/>
  <c r="AL170" i="6"/>
  <c r="AH173" i="6"/>
  <c r="AN173" i="6"/>
  <c r="AJ173" i="6"/>
  <c r="AK173" i="6"/>
  <c r="AL173" i="6"/>
  <c r="AM23" i="9"/>
  <c r="AH178" i="6"/>
  <c r="AN178" i="6"/>
  <c r="AJ178" i="6"/>
  <c r="AK178" i="6"/>
  <c r="AL178" i="6"/>
  <c r="AH179" i="6"/>
  <c r="AN179" i="6"/>
  <c r="AJ179" i="6"/>
  <c r="AK179" i="6"/>
  <c r="AL179" i="6"/>
  <c r="AH180" i="6"/>
  <c r="AN180" i="6"/>
  <c r="AJ180" i="6"/>
  <c r="AK180" i="6"/>
  <c r="AL180" i="6"/>
  <c r="AH181" i="6"/>
  <c r="AN181" i="6"/>
  <c r="AJ181" i="6"/>
  <c r="AK181" i="6"/>
  <c r="AL181" i="6"/>
  <c r="AM26" i="9"/>
  <c r="AH183" i="6"/>
  <c r="AN183" i="6"/>
  <c r="AJ183" i="6"/>
  <c r="AK183" i="6"/>
  <c r="AL183" i="6"/>
  <c r="AM24" i="9"/>
  <c r="AH185" i="6"/>
  <c r="AN185" i="6"/>
  <c r="AJ185" i="6"/>
  <c r="AK185" i="6"/>
  <c r="AL185" i="6"/>
  <c r="AH187" i="6"/>
  <c r="AN187" i="6"/>
  <c r="AJ187" i="6"/>
  <c r="AK187" i="6"/>
  <c r="AL187" i="6"/>
  <c r="AH189" i="6"/>
  <c r="AN189" i="6"/>
  <c r="AJ189" i="6"/>
  <c r="AK189" i="6"/>
  <c r="AL189" i="6"/>
  <c r="AH191" i="6"/>
  <c r="AN191" i="6"/>
  <c r="AJ191" i="6"/>
  <c r="AK191" i="6"/>
  <c r="AL191" i="6"/>
  <c r="AH193" i="6"/>
  <c r="AN193" i="6"/>
  <c r="AJ193" i="6"/>
  <c r="AK193" i="6"/>
  <c r="AL193" i="6"/>
  <c r="AH195" i="6"/>
  <c r="AN195" i="6"/>
  <c r="AJ195" i="6"/>
  <c r="AK195" i="6"/>
  <c r="AL195" i="6"/>
  <c r="AH197" i="6"/>
  <c r="AN197" i="6"/>
  <c r="AJ197" i="6"/>
  <c r="AK197" i="6"/>
  <c r="AL197" i="6"/>
  <c r="AH199" i="6"/>
  <c r="AN199" i="6"/>
  <c r="AJ199" i="6"/>
  <c r="AK199" i="6"/>
  <c r="AL199" i="6"/>
  <c r="AH201" i="6"/>
  <c r="AN201" i="6"/>
  <c r="AJ201" i="6"/>
  <c r="AK201" i="6"/>
  <c r="AL201" i="6"/>
  <c r="AH203" i="6"/>
  <c r="AN203" i="6"/>
  <c r="AJ203" i="6"/>
  <c r="AK203" i="6"/>
  <c r="AL203" i="6"/>
  <c r="AH206" i="6"/>
  <c r="AN206" i="6"/>
  <c r="AJ206" i="6"/>
  <c r="AK206" i="6"/>
  <c r="AL206" i="6"/>
  <c r="AH210" i="6"/>
  <c r="AN210" i="6"/>
  <c r="AJ210" i="6"/>
  <c r="AK210" i="6"/>
  <c r="AL210" i="6"/>
  <c r="AH211" i="6"/>
  <c r="AN211" i="6"/>
  <c r="AJ211" i="6"/>
  <c r="AK211" i="6"/>
  <c r="AL211" i="6"/>
  <c r="AH208" i="6"/>
  <c r="AN208" i="6"/>
  <c r="AJ208" i="6"/>
  <c r="AK208" i="6"/>
  <c r="AL208" i="6"/>
  <c r="AH212" i="6"/>
  <c r="AN212" i="6"/>
  <c r="AJ212" i="6"/>
  <c r="AK212" i="6"/>
  <c r="AL212" i="6"/>
  <c r="AH217" i="6"/>
  <c r="AN217" i="6"/>
  <c r="AJ217" i="6"/>
  <c r="AK217" i="6"/>
  <c r="AL217" i="6"/>
  <c r="AH219" i="6"/>
  <c r="AN219" i="6"/>
  <c r="AJ219" i="6"/>
  <c r="AK219" i="6"/>
  <c r="AL219" i="6"/>
  <c r="AH220" i="6"/>
  <c r="AN220" i="6"/>
  <c r="AJ220" i="6"/>
  <c r="AK220" i="6"/>
  <c r="AL220" i="6"/>
  <c r="AH222" i="6"/>
  <c r="AN222" i="6"/>
  <c r="AJ222" i="6"/>
  <c r="AK222" i="6"/>
  <c r="AL222" i="6"/>
  <c r="AH226" i="6"/>
  <c r="AN226" i="6"/>
  <c r="AJ226" i="6"/>
  <c r="AK226" i="6"/>
  <c r="AL226" i="6"/>
  <c r="AR116" i="6"/>
  <c r="F214" i="6"/>
  <c r="N214" i="6"/>
  <c r="AR174" i="6"/>
  <c r="F174" i="6"/>
  <c r="N174" i="6"/>
  <c r="AR103" i="6"/>
  <c r="N116" i="6"/>
  <c r="AR87" i="6"/>
  <c r="N87" i="6"/>
  <c r="F103" i="6"/>
  <c r="N103" i="6"/>
  <c r="N57" i="6"/>
  <c r="AR57" i="6"/>
  <c r="N13" i="6"/>
  <c r="N14" i="6"/>
  <c r="AR13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V62" i="6"/>
  <c r="W62" i="6"/>
  <c r="X62" i="6"/>
  <c r="Y62" i="6"/>
  <c r="Z62" i="6"/>
  <c r="AA62" i="6"/>
  <c r="AB62" i="6"/>
  <c r="AC62" i="6"/>
  <c r="AD62" i="6"/>
  <c r="AE62" i="6"/>
  <c r="AF62" i="6"/>
  <c r="AG62" i="6"/>
  <c r="V65" i="6"/>
  <c r="W65" i="6"/>
  <c r="X65" i="6"/>
  <c r="Y65" i="6"/>
  <c r="Z65" i="6"/>
  <c r="AA65" i="6"/>
  <c r="AB65" i="6"/>
  <c r="AC65" i="6"/>
  <c r="AD65" i="6"/>
  <c r="AE65" i="6"/>
  <c r="AF6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K136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2" i="6"/>
  <c r="F189" i="6"/>
  <c r="F167" i="6"/>
  <c r="F126" i="6"/>
  <c r="F111" i="6"/>
  <c r="F59" i="6"/>
  <c r="F62" i="6"/>
  <c r="F65" i="6"/>
  <c r="F67" i="6"/>
  <c r="F68" i="6"/>
  <c r="F70" i="6"/>
  <c r="N17" i="6"/>
  <c r="F17" i="6"/>
  <c r="N136" i="6"/>
  <c r="F136" i="6"/>
  <c r="N62" i="6"/>
  <c r="N208" i="6"/>
  <c r="F208" i="6"/>
  <c r="AR208" i="6"/>
  <c r="N219" i="6"/>
  <c r="F219" i="6"/>
  <c r="A2" i="12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W212" i="6"/>
  <c r="X212" i="6"/>
  <c r="Y212" i="6"/>
  <c r="Z212" i="6"/>
  <c r="AA212" i="6"/>
  <c r="AB212" i="6"/>
  <c r="AC212" i="6"/>
  <c r="AD212" i="6"/>
  <c r="AG212" i="6"/>
  <c r="I4" i="11"/>
  <c r="AR6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V167" i="6"/>
  <c r="N147" i="6"/>
  <c r="AR108" i="6"/>
  <c r="N226" i="6"/>
  <c r="F226" i="6"/>
  <c r="AR226" i="6"/>
  <c r="N212" i="6"/>
  <c r="F212" i="6"/>
  <c r="AR212" i="6"/>
  <c r="N159" i="6"/>
  <c r="F159" i="6"/>
  <c r="N156" i="6"/>
  <c r="F156" i="6"/>
  <c r="N108" i="6"/>
  <c r="F108" i="6"/>
  <c r="AR33" i="6"/>
  <c r="N33" i="6"/>
  <c r="F33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9" i="6"/>
  <c r="AA2" i="12"/>
  <c r="N70" i="6"/>
  <c r="AR189" i="6"/>
  <c r="AR167" i="6"/>
  <c r="AR126" i="6"/>
  <c r="AR111" i="6"/>
  <c r="AR70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W167" i="6"/>
  <c r="X167" i="6"/>
  <c r="Y167" i="6"/>
  <c r="Z167" i="6"/>
  <c r="AA167" i="6"/>
  <c r="AB167" i="6"/>
  <c r="AC167" i="6"/>
  <c r="AD167" i="6"/>
  <c r="AE167" i="6"/>
  <c r="AF167" i="6"/>
  <c r="AG167" i="6"/>
  <c r="N167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11" i="6"/>
  <c r="AG59" i="6"/>
  <c r="V70" i="6"/>
  <c r="W70" i="6"/>
  <c r="X70" i="6"/>
  <c r="Y70" i="6"/>
  <c r="Z70" i="6"/>
  <c r="AA70" i="6"/>
  <c r="AB70" i="6"/>
  <c r="AC70" i="6"/>
  <c r="AD70" i="6"/>
  <c r="AE70" i="6"/>
  <c r="AF70" i="6"/>
  <c r="AG70" i="6"/>
  <c r="V59" i="6"/>
  <c r="W59" i="6"/>
  <c r="X59" i="6"/>
  <c r="Y59" i="6"/>
  <c r="Z59" i="6"/>
  <c r="AA59" i="6"/>
  <c r="AB59" i="6"/>
  <c r="AC59" i="6"/>
  <c r="AD59" i="6"/>
  <c r="AE59" i="6"/>
  <c r="AF59" i="6"/>
  <c r="N59" i="6"/>
  <c r="AR59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V91" i="6"/>
  <c r="W91" i="6"/>
  <c r="X91" i="6"/>
  <c r="Y91" i="6"/>
  <c r="Z91" i="6"/>
  <c r="AA91" i="6"/>
  <c r="AB91" i="6"/>
  <c r="AC91" i="6"/>
  <c r="AD91" i="6"/>
  <c r="AE91" i="6"/>
  <c r="AF91" i="6"/>
  <c r="AG91" i="6"/>
  <c r="V68" i="6"/>
  <c r="W68" i="6"/>
  <c r="X68" i="6"/>
  <c r="Y68" i="6"/>
  <c r="Z68" i="6"/>
  <c r="AA68" i="6"/>
  <c r="AB68" i="6"/>
  <c r="AC68" i="6"/>
  <c r="AD68" i="6"/>
  <c r="AE68" i="6"/>
  <c r="AF68" i="6"/>
  <c r="AG68" i="6"/>
  <c r="AG65" i="6"/>
  <c r="V67" i="6"/>
  <c r="AG106" i="6"/>
  <c r="X106" i="6"/>
  <c r="Y106" i="6"/>
  <c r="Z106" i="6"/>
  <c r="AA106" i="6"/>
  <c r="AB106" i="6"/>
  <c r="AC106" i="6"/>
  <c r="AD106" i="6"/>
  <c r="AE106" i="6"/>
  <c r="AF106" i="6"/>
  <c r="W106" i="6"/>
  <c r="V106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N30" i="6"/>
  <c r="N65" i="6"/>
  <c r="N67" i="6"/>
  <c r="N68" i="6"/>
  <c r="N32" i="6"/>
  <c r="N91" i="6"/>
  <c r="N201" i="6"/>
  <c r="N211" i="6"/>
  <c r="B2" i="12"/>
  <c r="F201" i="6"/>
  <c r="AR201" i="6"/>
  <c r="N173" i="6"/>
  <c r="F173" i="6"/>
  <c r="AR173" i="6"/>
  <c r="N106" i="6"/>
  <c r="F106" i="6"/>
  <c r="F147" i="6"/>
  <c r="AR65" i="6"/>
  <c r="F30" i="6"/>
  <c r="AR30" i="6"/>
  <c r="N222" i="6"/>
  <c r="F222" i="6"/>
  <c r="AR222" i="6"/>
  <c r="F211" i="6"/>
  <c r="AR211" i="6"/>
  <c r="F91" i="6"/>
  <c r="AR91" i="6"/>
  <c r="F32" i="6"/>
  <c r="AR32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7" i="6"/>
  <c r="AR38" i="6"/>
  <c r="AR40" i="6"/>
  <c r="AR41" i="6"/>
  <c r="AR42" i="6"/>
  <c r="AR43" i="6"/>
  <c r="AR44" i="6"/>
  <c r="AR47" i="6"/>
  <c r="AR49" i="6"/>
  <c r="AR50" i="6"/>
  <c r="AR51" i="6"/>
  <c r="AR53" i="6"/>
  <c r="AR54" i="6"/>
  <c r="AR63" i="6"/>
  <c r="AR67" i="6"/>
  <c r="AR73" i="6"/>
  <c r="AR76" i="6"/>
  <c r="AR79" i="6"/>
  <c r="AR80" i="6"/>
  <c r="AR81" i="6"/>
  <c r="AR83" i="6"/>
  <c r="AR84" i="6"/>
  <c r="AR85" i="6"/>
  <c r="AR86" i="6"/>
  <c r="AR89" i="6"/>
  <c r="AR92" i="6"/>
  <c r="AR95" i="6"/>
  <c r="AR98" i="6"/>
  <c r="AR101" i="6"/>
  <c r="AR107" i="6"/>
  <c r="AR109" i="6"/>
  <c r="AR113" i="6"/>
  <c r="AR114" i="6"/>
  <c r="AR115" i="6"/>
  <c r="AR120" i="6"/>
  <c r="AR121" i="6"/>
  <c r="AR125" i="6"/>
  <c r="AR128" i="6"/>
  <c r="AR129" i="6"/>
  <c r="AR134" i="6"/>
  <c r="AR135" i="6"/>
  <c r="AR137" i="6"/>
  <c r="AR138" i="6"/>
  <c r="AR140" i="6"/>
  <c r="AR141" i="6"/>
  <c r="AR143" i="6"/>
  <c r="AR144" i="6"/>
  <c r="AR146" i="6"/>
  <c r="AR148" i="6"/>
  <c r="AR151" i="6"/>
  <c r="AR152" i="6"/>
  <c r="AR154" i="6"/>
  <c r="AR155" i="6"/>
  <c r="AR162" i="6"/>
  <c r="AR163" i="6"/>
  <c r="AR165" i="6"/>
  <c r="AR166" i="6"/>
  <c r="AR169" i="6"/>
  <c r="AR170" i="6"/>
  <c r="AR178" i="6"/>
  <c r="AR179" i="6"/>
  <c r="AR180" i="6"/>
  <c r="AR181" i="6"/>
  <c r="AR183" i="6"/>
  <c r="AR185" i="6"/>
  <c r="AR187" i="6"/>
  <c r="AR191" i="6"/>
  <c r="AR193" i="6"/>
  <c r="AR195" i="6"/>
  <c r="AR197" i="6"/>
  <c r="AR199" i="6"/>
  <c r="AR203" i="6"/>
  <c r="AR206" i="6"/>
  <c r="AR210" i="6"/>
  <c r="AR217" i="6"/>
  <c r="AR22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9" i="6"/>
  <c r="N128" i="6"/>
  <c r="F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N165" i="6"/>
  <c r="N183" i="6"/>
  <c r="N206" i="6"/>
  <c r="N210" i="6"/>
  <c r="N185" i="6"/>
  <c r="N163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F206" i="6"/>
  <c r="F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F73" i="6"/>
  <c r="N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2" i="6"/>
  <c r="AF92" i="6"/>
  <c r="AE92" i="6"/>
  <c r="AD92" i="6"/>
  <c r="AC92" i="6"/>
  <c r="AB92" i="6"/>
  <c r="AA92" i="6"/>
  <c r="Z92" i="6"/>
  <c r="Y92" i="6"/>
  <c r="X92" i="6"/>
  <c r="W92" i="6"/>
  <c r="V92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67" i="6"/>
  <c r="AF67" i="6"/>
  <c r="AE67" i="6"/>
  <c r="AD67" i="6"/>
  <c r="AC67" i="6"/>
  <c r="AB67" i="6"/>
  <c r="AA67" i="6"/>
  <c r="Z67" i="6"/>
  <c r="Y67" i="6"/>
  <c r="X67" i="6"/>
  <c r="W6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7" i="6"/>
  <c r="F38" i="6"/>
  <c r="F40" i="6"/>
  <c r="F41" i="6"/>
  <c r="F42" i="6"/>
  <c r="F43" i="6"/>
  <c r="F44" i="6"/>
  <c r="F47" i="6"/>
  <c r="F49" i="6"/>
  <c r="F50" i="6"/>
  <c r="F51" i="6"/>
  <c r="F53" i="6"/>
  <c r="F54" i="6"/>
  <c r="F63" i="6"/>
  <c r="F76" i="6"/>
  <c r="F79" i="6"/>
  <c r="F80" i="6"/>
  <c r="F81" i="6"/>
  <c r="F83" i="6"/>
  <c r="F84" i="6"/>
  <c r="F85" i="6"/>
  <c r="F86" i="6"/>
  <c r="F89" i="6"/>
  <c r="F92" i="6"/>
  <c r="F95" i="6"/>
  <c r="F98" i="6"/>
  <c r="F101" i="6"/>
  <c r="F105" i="6"/>
  <c r="F107" i="6"/>
  <c r="F109" i="6"/>
  <c r="F113" i="6"/>
  <c r="F114" i="6"/>
  <c r="F115" i="6"/>
  <c r="F120" i="6"/>
  <c r="F121" i="6"/>
  <c r="F125" i="6"/>
  <c r="F129" i="6"/>
  <c r="F134" i="6"/>
  <c r="F135" i="6"/>
  <c r="F137" i="6"/>
  <c r="F138" i="6"/>
  <c r="F140" i="6"/>
  <c r="F141" i="6"/>
  <c r="F143" i="6"/>
  <c r="F144" i="6"/>
  <c r="F146" i="6"/>
  <c r="F148" i="6"/>
  <c r="F151" i="6"/>
  <c r="F152" i="6"/>
  <c r="F154" i="6"/>
  <c r="F155" i="6"/>
  <c r="F162" i="6"/>
  <c r="F163" i="6"/>
  <c r="F166" i="6"/>
  <c r="F169" i="6"/>
  <c r="F170" i="6"/>
  <c r="F178" i="6"/>
  <c r="F179" i="6"/>
  <c r="F180" i="6"/>
  <c r="F181" i="6"/>
  <c r="F185" i="6"/>
  <c r="F187" i="6"/>
  <c r="F191" i="6"/>
  <c r="F193" i="6"/>
  <c r="F195" i="6"/>
  <c r="F197" i="6"/>
  <c r="F199" i="6"/>
  <c r="F203" i="6"/>
  <c r="F210" i="6"/>
  <c r="F217" i="6"/>
  <c r="F220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7" i="6"/>
  <c r="N38" i="6"/>
  <c r="N40" i="6"/>
  <c r="N41" i="6"/>
  <c r="N42" i="6"/>
  <c r="N43" i="6"/>
  <c r="N44" i="6"/>
  <c r="N47" i="6"/>
  <c r="N49" i="6"/>
  <c r="N50" i="6"/>
  <c r="N51" i="6"/>
  <c r="N53" i="6"/>
  <c r="N54" i="6"/>
  <c r="N63" i="6"/>
  <c r="N76" i="6"/>
  <c r="N79" i="6"/>
  <c r="N80" i="6"/>
  <c r="N81" i="6"/>
  <c r="N83" i="6"/>
  <c r="N84" i="6"/>
  <c r="N85" i="6"/>
  <c r="N86" i="6"/>
  <c r="N89" i="6"/>
  <c r="N92" i="6"/>
  <c r="N95" i="6"/>
  <c r="N98" i="6"/>
  <c r="N101" i="6"/>
  <c r="N105" i="6"/>
  <c r="N107" i="6"/>
  <c r="N109" i="6"/>
  <c r="N113" i="6"/>
  <c r="N114" i="6"/>
  <c r="N115" i="6"/>
  <c r="N120" i="6"/>
  <c r="N121" i="6"/>
  <c r="N125" i="6"/>
  <c r="N134" i="6"/>
  <c r="N135" i="6"/>
  <c r="N137" i="6"/>
  <c r="N138" i="6"/>
  <c r="N140" i="6"/>
  <c r="N141" i="6"/>
  <c r="N143" i="6"/>
  <c r="N144" i="6"/>
  <c r="N146" i="6"/>
  <c r="N148" i="6"/>
  <c r="N151" i="6"/>
  <c r="N152" i="6"/>
  <c r="N154" i="6"/>
  <c r="N155" i="6"/>
  <c r="N162" i="6"/>
  <c r="N166" i="6"/>
  <c r="N169" i="6"/>
  <c r="N170" i="6"/>
  <c r="N178" i="6"/>
  <c r="N179" i="6"/>
  <c r="N180" i="6"/>
  <c r="N181" i="6"/>
  <c r="N187" i="6"/>
  <c r="N191" i="6"/>
  <c r="N193" i="6"/>
  <c r="N195" i="6"/>
  <c r="N197" i="6"/>
  <c r="N199" i="6"/>
  <c r="N203" i="6"/>
  <c r="N217" i="6"/>
  <c r="N22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102" i="6" l="1"/>
  <c r="AO93" i="6"/>
  <c r="AP93" i="6" s="1"/>
  <c r="AP102" i="6"/>
  <c r="AP34" i="6"/>
  <c r="AP35" i="6"/>
  <c r="AP36" i="6"/>
  <c r="AO198" i="6"/>
  <c r="AP198" i="6" s="1"/>
  <c r="AO224" i="6"/>
  <c r="AP224" i="6" s="1"/>
  <c r="AO227" i="6"/>
  <c r="AP227" i="6" s="1"/>
  <c r="AM175" i="6"/>
  <c r="AO175" i="6" s="1"/>
  <c r="AM118" i="6"/>
  <c r="AM204" i="6"/>
  <c r="AO204" i="6" s="1"/>
  <c r="AM55" i="6"/>
  <c r="AO55" i="6" s="1"/>
  <c r="AM188" i="6"/>
  <c r="AO188" i="6" s="1"/>
  <c r="AO230" i="6"/>
  <c r="AO171" i="6"/>
  <c r="AO118" i="6"/>
  <c r="AO26" i="6"/>
  <c r="AM127" i="6"/>
  <c r="AO127" i="6" s="1"/>
  <c r="AM75" i="6"/>
  <c r="AO75" i="6" s="1"/>
  <c r="AM64" i="6"/>
  <c r="AO64" i="6" s="1"/>
  <c r="AM160" i="6"/>
  <c r="AO160" i="6" s="1"/>
  <c r="AM177" i="6"/>
  <c r="AO177" i="6" s="1"/>
  <c r="AM78" i="6"/>
  <c r="AO78" i="6" s="1"/>
  <c r="AM215" i="6"/>
  <c r="AO215" i="6" s="1"/>
  <c r="AM71" i="6"/>
  <c r="AO71" i="6" s="1"/>
  <c r="AM130" i="6"/>
  <c r="AO130" i="6" s="1"/>
  <c r="AM90" i="6"/>
  <c r="AO90" i="6" s="1"/>
  <c r="AM61" i="6"/>
  <c r="AO61" i="6" s="1"/>
  <c r="AO8" i="6"/>
  <c r="AM96" i="6"/>
  <c r="AO96" i="6" s="1"/>
  <c r="AM8" i="6"/>
  <c r="AM190" i="6"/>
  <c r="AO190" i="6" s="1"/>
  <c r="AM225" i="6"/>
  <c r="AO225" i="6" s="1"/>
  <c r="AM12" i="6"/>
  <c r="AO12" i="6" s="1"/>
  <c r="AM56" i="6"/>
  <c r="AO56" i="6" s="1"/>
  <c r="AM164" i="6"/>
  <c r="AO164" i="6" s="1"/>
  <c r="AM133" i="6"/>
  <c r="AO133" i="6" s="1"/>
  <c r="AM132" i="6"/>
  <c r="AO132" i="6" s="1"/>
  <c r="AM46" i="6"/>
  <c r="AO46" i="6" s="1"/>
  <c r="AM231" i="6"/>
  <c r="AO231" i="6" s="1"/>
  <c r="AM117" i="6"/>
  <c r="AO117" i="6" s="1"/>
  <c r="AM139" i="6"/>
  <c r="AO139" i="6" s="1"/>
  <c r="AM104" i="6"/>
  <c r="AO104" i="6" s="1"/>
  <c r="AM201" i="6"/>
  <c r="AO201" i="6" s="1"/>
  <c r="AM214" i="6"/>
  <c r="AO214" i="6" s="1"/>
  <c r="AM212" i="6"/>
  <c r="AO212" i="6" s="1"/>
  <c r="AM82" i="6"/>
  <c r="AO82" i="6" s="1"/>
  <c r="AM218" i="6"/>
  <c r="AO218" i="6" s="1"/>
  <c r="AM213" i="6"/>
  <c r="AO213" i="6" s="1"/>
  <c r="AM209" i="6"/>
  <c r="AO209" i="6" s="1"/>
  <c r="AM23" i="6"/>
  <c r="AO23" i="6" s="1"/>
  <c r="AM202" i="6"/>
  <c r="AO202" i="6" s="1"/>
  <c r="AM39" i="6"/>
  <c r="AO39" i="6" s="1"/>
  <c r="AM186" i="6"/>
  <c r="AO186" i="6" s="1"/>
  <c r="AM194" i="6"/>
  <c r="AO194" i="6" s="1"/>
  <c r="AM153" i="6"/>
  <c r="AO153" i="6" s="1"/>
  <c r="AM223" i="6"/>
  <c r="AM58" i="6"/>
  <c r="AO58" i="6" s="1"/>
  <c r="AM15" i="6"/>
  <c r="AO15" i="6" s="1"/>
  <c r="AM207" i="6"/>
  <c r="AO207" i="6" s="1"/>
  <c r="AM221" i="6"/>
  <c r="AO221" i="6" s="1"/>
  <c r="AM216" i="6"/>
  <c r="AO216" i="6" s="1"/>
  <c r="AM100" i="6"/>
  <c r="AO100" i="6" s="1"/>
  <c r="AM158" i="6"/>
  <c r="AO158" i="6" s="1"/>
  <c r="AM200" i="6"/>
  <c r="AO200" i="6" s="1"/>
  <c r="AM205" i="6"/>
  <c r="AO205" i="6" s="1"/>
  <c r="AM176" i="6"/>
  <c r="AO176" i="6" s="1"/>
  <c r="AM192" i="6"/>
  <c r="AO192" i="6" s="1"/>
  <c r="AM184" i="6"/>
  <c r="AO184" i="6" s="1"/>
  <c r="AM68" i="6"/>
  <c r="AO68" i="6" s="1"/>
  <c r="AM48" i="6"/>
  <c r="AO48" i="6" s="1"/>
  <c r="AM110" i="6"/>
  <c r="AO110" i="6" s="1"/>
  <c r="AM67" i="6"/>
  <c r="AO67" i="6" s="1"/>
  <c r="AM19" i="6"/>
  <c r="AO19" i="6" s="1"/>
  <c r="AM124" i="6"/>
  <c r="AO124" i="6" s="1"/>
  <c r="AM172" i="6"/>
  <c r="AO172" i="6" s="1"/>
  <c r="AM196" i="6"/>
  <c r="AO196" i="6" s="1"/>
  <c r="AM69" i="6"/>
  <c r="AO69" i="6" s="1"/>
  <c r="AM66" i="6"/>
  <c r="AO66" i="6" s="1"/>
  <c r="AM74" i="6"/>
  <c r="AO74" i="6" s="1"/>
  <c r="AM70" i="6"/>
  <c r="AO70" i="6" s="1"/>
  <c r="AM72" i="6"/>
  <c r="AO72" i="6" s="1"/>
  <c r="AM112" i="6"/>
  <c r="AO112" i="6" s="1"/>
  <c r="AM94" i="6"/>
  <c r="AO94" i="6" s="1"/>
  <c r="AM189" i="6"/>
  <c r="AO189" i="6" s="1"/>
  <c r="AM182" i="6"/>
  <c r="AO182" i="6" s="1"/>
  <c r="AM119" i="6"/>
  <c r="AO119" i="6" s="1"/>
  <c r="AM157" i="6"/>
  <c r="AO157" i="6" s="1"/>
  <c r="AM197" i="6"/>
  <c r="AO197" i="6" s="1"/>
  <c r="AM88" i="6"/>
  <c r="AO88" i="6" s="1"/>
  <c r="AM150" i="6"/>
  <c r="AO150" i="6" s="1"/>
  <c r="AM77" i="6"/>
  <c r="AO77" i="6" s="1"/>
  <c r="AM97" i="6"/>
  <c r="AO97" i="6" s="1"/>
  <c r="AM22" i="6"/>
  <c r="AO22" i="6" s="1"/>
  <c r="AM228" i="6"/>
  <c r="AO228" i="6" s="1"/>
  <c r="AM52" i="6"/>
  <c r="AO52" i="6" s="1"/>
  <c r="AM149" i="6"/>
  <c r="AO149" i="6" s="1"/>
  <c r="AM122" i="6"/>
  <c r="AO122" i="6" s="1"/>
  <c r="AM25" i="6"/>
  <c r="AO25" i="6" s="1"/>
  <c r="AM217" i="6"/>
  <c r="AO217" i="6" s="1"/>
  <c r="O41" i="8"/>
  <c r="AM229" i="6"/>
  <c r="AO229" i="6" s="1"/>
  <c r="AM142" i="6"/>
  <c r="AO142" i="6" s="1"/>
  <c r="AM226" i="6"/>
  <c r="AO226" i="6" s="1"/>
  <c r="N53" i="8"/>
  <c r="AM99" i="6"/>
  <c r="AO99" i="6" s="1"/>
  <c r="AM151" i="6"/>
  <c r="AO151" i="6" s="1"/>
  <c r="AM220" i="6"/>
  <c r="AO220" i="6" s="1"/>
  <c r="AM168" i="6"/>
  <c r="AO168" i="6" s="1"/>
  <c r="M11" i="8"/>
  <c r="AM45" i="6"/>
  <c r="AO45" i="6" s="1"/>
  <c r="AM123" i="6"/>
  <c r="AO123" i="6" s="1"/>
  <c r="AM146" i="6"/>
  <c r="AO146" i="6" s="1"/>
  <c r="AM111" i="6"/>
  <c r="AO111" i="6" s="1"/>
  <c r="AM84" i="6"/>
  <c r="AO84" i="6" s="1"/>
  <c r="AM166" i="6"/>
  <c r="AO166" i="6" s="1"/>
  <c r="AM125" i="6"/>
  <c r="AO125" i="6" s="1"/>
  <c r="AM161" i="6"/>
  <c r="AO161" i="6" s="1"/>
  <c r="AM62" i="6"/>
  <c r="AO62" i="6" s="1"/>
  <c r="AM54" i="6"/>
  <c r="AO54" i="6" s="1"/>
  <c r="O4" i="8"/>
  <c r="AM156" i="6"/>
  <c r="AO156" i="6" s="1"/>
  <c r="N40" i="8"/>
  <c r="M30" i="8"/>
  <c r="AM185" i="6"/>
  <c r="AO185" i="6" s="1"/>
  <c r="AM42" i="6"/>
  <c r="AO42" i="6" s="1"/>
  <c r="AM60" i="6"/>
  <c r="AO60" i="6" s="1"/>
  <c r="AM154" i="6"/>
  <c r="AO154" i="6" s="1"/>
  <c r="AM148" i="6"/>
  <c r="AO148" i="6" s="1"/>
  <c r="AM17" i="6"/>
  <c r="AO17" i="6" s="1"/>
  <c r="AM131" i="6"/>
  <c r="AO131" i="6" s="1"/>
  <c r="U2" i="12"/>
  <c r="N16" i="8"/>
  <c r="AM4" i="6"/>
  <c r="CG187" i="6"/>
  <c r="CG183" i="6"/>
  <c r="CG180" i="6"/>
  <c r="CG166" i="6"/>
  <c r="CG115" i="6"/>
  <c r="CG103" i="6"/>
  <c r="CG193" i="6"/>
  <c r="CG181" i="6"/>
  <c r="CG179" i="6"/>
  <c r="CG105" i="6"/>
  <c r="CG98" i="6"/>
  <c r="CG217" i="6"/>
  <c r="CG169" i="6"/>
  <c r="CG161" i="6"/>
  <c r="CG154" i="6"/>
  <c r="CG144" i="6"/>
  <c r="CG107" i="6"/>
  <c r="CG101" i="6"/>
  <c r="CG21" i="6"/>
  <c r="CG212" i="6"/>
  <c r="CG195" i="6"/>
  <c r="CG178" i="6"/>
  <c r="CG147" i="6"/>
  <c r="CG141" i="6"/>
  <c r="CG134" i="6"/>
  <c r="CG126" i="6"/>
  <c r="CG113" i="6"/>
  <c r="CG95" i="6"/>
  <c r="CG87" i="6"/>
  <c r="CG85" i="6"/>
  <c r="CG83" i="6"/>
  <c r="CG67" i="6"/>
  <c r="CG59" i="6"/>
  <c r="CG47" i="6"/>
  <c r="CG38" i="6"/>
  <c r="CG33" i="6"/>
  <c r="CG170" i="6"/>
  <c r="CG159" i="6"/>
  <c r="CG148" i="6"/>
  <c r="CG128" i="6"/>
  <c r="CG125" i="6"/>
  <c r="CG114" i="6"/>
  <c r="CG214" i="6"/>
  <c r="CG211" i="6"/>
  <c r="CG203" i="6"/>
  <c r="CG199" i="6"/>
  <c r="CG167" i="6"/>
  <c r="CG155" i="6"/>
  <c r="CG152" i="6"/>
  <c r="CG143" i="6"/>
  <c r="CG137" i="6"/>
  <c r="CG135" i="6"/>
  <c r="CG131" i="6"/>
  <c r="CG121" i="6"/>
  <c r="CG111" i="6"/>
  <c r="CG108" i="6"/>
  <c r="CG106" i="6"/>
  <c r="CG89" i="6"/>
  <c r="CG81" i="6"/>
  <c r="CG79" i="6"/>
  <c r="CG68" i="6"/>
  <c r="CG60" i="6"/>
  <c r="CG63" i="6"/>
  <c r="CG54" i="6"/>
  <c r="CG51" i="6"/>
  <c r="CG49" i="6"/>
  <c r="CG40" i="6"/>
  <c r="CG37" i="6"/>
  <c r="CG28" i="6"/>
  <c r="CG20" i="6"/>
  <c r="CG11" i="6"/>
  <c r="CG9" i="6"/>
  <c r="CG4" i="6"/>
  <c r="CG151" i="6"/>
  <c r="CG129" i="6"/>
  <c r="CG80" i="6"/>
  <c r="CG76" i="6"/>
  <c r="CG70" i="6"/>
  <c r="CG57" i="6"/>
  <c r="CG50" i="6"/>
  <c r="CG41" i="6"/>
  <c r="CG7" i="6"/>
  <c r="CG226" i="6"/>
  <c r="CG201" i="6"/>
  <c r="CG197" i="6"/>
  <c r="CG163" i="6"/>
  <c r="CG138" i="6"/>
  <c r="CG136" i="6"/>
  <c r="CG120" i="6"/>
  <c r="CG109" i="6"/>
  <c r="CG91" i="6"/>
  <c r="CG62" i="6"/>
  <c r="CG53" i="6"/>
  <c r="CG43" i="6"/>
  <c r="CG31" i="6"/>
  <c r="CG18" i="6"/>
  <c r="CG13" i="6"/>
  <c r="CG220" i="6"/>
  <c r="CG210" i="6"/>
  <c r="CG206" i="6"/>
  <c r="CG191" i="6"/>
  <c r="CG173" i="6"/>
  <c r="CG156" i="6"/>
  <c r="CG123" i="6"/>
  <c r="CG29" i="6"/>
  <c r="CG27" i="6"/>
  <c r="CG16" i="6"/>
  <c r="CG10" i="6"/>
  <c r="CG5" i="6"/>
  <c r="CG92" i="6"/>
  <c r="CG84" i="6"/>
  <c r="CG73" i="6"/>
  <c r="CG65" i="6"/>
  <c r="CG30" i="6"/>
  <c r="CG14" i="6"/>
  <c r="CG3" i="6"/>
  <c r="CG208" i="6"/>
  <c r="CG162" i="6"/>
  <c r="CG146" i="6"/>
  <c r="CG140" i="6"/>
  <c r="CG116" i="6"/>
  <c r="CG86" i="6"/>
  <c r="CG44" i="6"/>
  <c r="CG42" i="6"/>
  <c r="CG32" i="6"/>
  <c r="CG24" i="6"/>
  <c r="CG17" i="6"/>
  <c r="CG6" i="6"/>
  <c r="CG222" i="6"/>
  <c r="CG219" i="6"/>
  <c r="CG196" i="6"/>
  <c r="CG189" i="6"/>
  <c r="CG185" i="6"/>
  <c r="CG174" i="6"/>
  <c r="CG16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9" i="6"/>
  <c r="AO109" i="6" s="1"/>
  <c r="O58" i="8"/>
  <c r="O56" i="8"/>
  <c r="AM92" i="6"/>
  <c r="AO92" i="6" s="1"/>
  <c r="AM28" i="6"/>
  <c r="AO28" i="6" s="1"/>
  <c r="AM14" i="6"/>
  <c r="AO14" i="6" s="1"/>
  <c r="AM87" i="6"/>
  <c r="AO87" i="6" s="1"/>
  <c r="O76" i="8"/>
  <c r="AM83" i="6"/>
  <c r="AO83" i="6" s="1"/>
  <c r="AM103" i="6"/>
  <c r="AO103" i="6" s="1"/>
  <c r="O88" i="8"/>
  <c r="O73" i="8"/>
  <c r="M57" i="8"/>
  <c r="AM37" i="6"/>
  <c r="AO37" i="6" s="1"/>
  <c r="AM9" i="6"/>
  <c r="O8" i="8"/>
  <c r="M48" i="8"/>
  <c r="AM73" i="6"/>
  <c r="AO73" i="6" s="1"/>
  <c r="AM41" i="6"/>
  <c r="AO41" i="6" s="1"/>
  <c r="AM24" i="6"/>
  <c r="AO24" i="6" s="1"/>
  <c r="O9" i="8"/>
  <c r="AM79" i="6"/>
  <c r="AO79" i="6" s="1"/>
  <c r="O14" i="8"/>
  <c r="N29" i="8"/>
  <c r="AM179" i="6"/>
  <c r="AO179" i="6" s="1"/>
  <c r="AM108" i="6"/>
  <c r="AO108" i="6" s="1"/>
  <c r="O49" i="8"/>
  <c r="O46" i="8"/>
  <c r="M7" i="8"/>
  <c r="AM49" i="6"/>
  <c r="AO49" i="6" s="1"/>
  <c r="AM163" i="6"/>
  <c r="AO163" i="6" s="1"/>
  <c r="O7" i="8"/>
  <c r="AM86" i="6"/>
  <c r="AO86" i="6" s="1"/>
  <c r="AM106" i="6"/>
  <c r="AO106" i="6" s="1"/>
  <c r="AM76" i="6"/>
  <c r="AO76" i="6" s="1"/>
  <c r="AM63" i="6"/>
  <c r="AO63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6" i="6"/>
  <c r="AO136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0" i="6"/>
  <c r="AO40" i="6" s="1"/>
  <c r="O89" i="8"/>
  <c r="M91" i="8"/>
  <c r="N85" i="8"/>
  <c r="M94" i="8"/>
  <c r="O86" i="8"/>
  <c r="N87" i="8"/>
  <c r="N71" i="8"/>
  <c r="M83" i="8"/>
  <c r="AM85" i="6"/>
  <c r="AO85" i="6" s="1"/>
  <c r="C2" i="16"/>
  <c r="AO30" i="6"/>
  <c r="AM53" i="6"/>
  <c r="AO53" i="6" s="1"/>
  <c r="AM173" i="6"/>
  <c r="AO173" i="6" s="1"/>
  <c r="AM143" i="6"/>
  <c r="AO143" i="6" s="1"/>
  <c r="AM80" i="6"/>
  <c r="AO80" i="6" s="1"/>
  <c r="AM181" i="6"/>
  <c r="AO181" i="6" s="1"/>
  <c r="AM101" i="6"/>
  <c r="AO101" i="6" s="1"/>
  <c r="AM51" i="6"/>
  <c r="AO51" i="6" s="1"/>
  <c r="AM31" i="6"/>
  <c r="AO31" i="6" s="1"/>
  <c r="AM113" i="6"/>
  <c r="AO113" i="6" s="1"/>
  <c r="AM91" i="6"/>
  <c r="AO91" i="6" s="1"/>
  <c r="N93" i="8"/>
  <c r="AM203" i="6"/>
  <c r="AO203" i="6" s="1"/>
  <c r="O79" i="8"/>
  <c r="AM121" i="6"/>
  <c r="AO121" i="6" s="1"/>
  <c r="AM95" i="6"/>
  <c r="AO95" i="6" s="1"/>
  <c r="M41" i="8"/>
  <c r="AM38" i="6"/>
  <c r="AO38" i="6" s="1"/>
  <c r="AO5" i="6"/>
  <c r="AM57" i="6"/>
  <c r="AO57" i="6" s="1"/>
  <c r="AM174" i="6"/>
  <c r="AO174" i="6" s="1"/>
  <c r="N78" i="8"/>
  <c r="N8" i="8"/>
  <c r="M70" i="8"/>
  <c r="M61" i="8"/>
  <c r="AM20" i="6"/>
  <c r="AO20" i="6" s="1"/>
  <c r="AM16" i="6"/>
  <c r="AO16" i="6" s="1"/>
  <c r="O11" i="8"/>
  <c r="N10" i="8"/>
  <c r="N83" i="8"/>
  <c r="AM165" i="6"/>
  <c r="AO165" i="6" s="1"/>
  <c r="N17" i="8"/>
  <c r="N80" i="8"/>
  <c r="O82" i="8"/>
  <c r="AM155" i="6"/>
  <c r="AO155" i="6" s="1"/>
  <c r="N52" i="8"/>
  <c r="N22" i="8"/>
  <c r="AM7" i="6"/>
  <c r="AO10" i="6"/>
  <c r="M3" i="8"/>
  <c r="AO3" i="6"/>
  <c r="X2" i="12"/>
  <c r="AM206" i="6"/>
  <c r="AO206" i="6" s="1"/>
  <c r="O93" i="8"/>
  <c r="AM10" i="6"/>
  <c r="AM141" i="6"/>
  <c r="AO141" i="6" s="1"/>
  <c r="O65" i="8"/>
  <c r="AM98" i="6"/>
  <c r="AO98" i="6" s="1"/>
  <c r="M31" i="8"/>
  <c r="AM47" i="6"/>
  <c r="AO47" i="6" s="1"/>
  <c r="AO7" i="6"/>
  <c r="AM44" i="6"/>
  <c r="AO44" i="6" s="1"/>
  <c r="AM18" i="6"/>
  <c r="AO18" i="6" s="1"/>
  <c r="C10" i="16"/>
  <c r="AM128" i="6"/>
  <c r="AO128" i="6" s="1"/>
  <c r="AM89" i="6"/>
  <c r="AO89" i="6" s="1"/>
  <c r="AO33" i="6"/>
  <c r="C8" i="16"/>
  <c r="AM219" i="6"/>
  <c r="AO219" i="6" s="1"/>
  <c r="AM187" i="6"/>
  <c r="AO187" i="6" s="1"/>
  <c r="AM147" i="6"/>
  <c r="AO147" i="6" s="1"/>
  <c r="AM129" i="6"/>
  <c r="AO129" i="6" s="1"/>
  <c r="AO32" i="6"/>
  <c r="AM21" i="6"/>
  <c r="AO21" i="6" s="1"/>
  <c r="C1" i="16"/>
  <c r="L35" i="8"/>
  <c r="L36" i="8"/>
  <c r="AM211" i="6"/>
  <c r="AO211" i="6" s="1"/>
  <c r="AM169" i="6"/>
  <c r="AO169" i="6" s="1"/>
  <c r="AM162" i="6"/>
  <c r="AO162" i="6" s="1"/>
  <c r="AM137" i="6"/>
  <c r="AO137" i="6" s="1"/>
  <c r="AM193" i="6"/>
  <c r="AO193" i="6" s="1"/>
  <c r="AM222" i="6"/>
  <c r="AO222" i="6" s="1"/>
  <c r="AM183" i="6"/>
  <c r="AO183" i="6" s="1"/>
  <c r="AM210" i="6"/>
  <c r="AO210" i="6" s="1"/>
  <c r="AM191" i="6"/>
  <c r="AO191" i="6" s="1"/>
  <c r="AM167" i="6"/>
  <c r="AO167" i="6" s="1"/>
  <c r="AM159" i="6"/>
  <c r="AO159" i="6" s="1"/>
  <c r="AM208" i="6"/>
  <c r="AO208" i="6" s="1"/>
  <c r="AM195" i="6"/>
  <c r="AO195" i="6" s="1"/>
  <c r="AM178" i="6"/>
  <c r="AO178" i="6" s="1"/>
  <c r="AM170" i="6"/>
  <c r="AO170" i="6" s="1"/>
  <c r="AM138" i="6"/>
  <c r="AO138" i="6" s="1"/>
  <c r="AM199" i="6"/>
  <c r="AO199" i="6" s="1"/>
  <c r="AM180" i="6"/>
  <c r="AO180" i="6" s="1"/>
  <c r="AM152" i="6"/>
  <c r="AO152" i="6" s="1"/>
  <c r="AM144" i="6"/>
  <c r="AO144" i="6" s="1"/>
  <c r="AM120" i="6"/>
  <c r="AO120" i="6" s="1"/>
  <c r="AM115" i="6"/>
  <c r="AO115" i="6" s="1"/>
  <c r="AM105" i="6"/>
  <c r="AO105" i="6" s="1"/>
  <c r="AM140" i="6"/>
  <c r="AO140" i="6" s="1"/>
  <c r="AM135" i="6"/>
  <c r="AO135" i="6" s="1"/>
  <c r="AM134" i="6"/>
  <c r="AO134" i="6" s="1"/>
  <c r="AM114" i="6"/>
  <c r="AO114" i="6" s="1"/>
  <c r="AM126" i="6"/>
  <c r="AO126" i="6" s="1"/>
  <c r="AM107" i="6"/>
  <c r="AO107" i="6" s="1"/>
  <c r="AM65" i="6"/>
  <c r="AO65" i="6" s="1"/>
  <c r="AM50" i="6"/>
  <c r="AO50" i="6" s="1"/>
  <c r="AM29" i="6"/>
  <c r="AO29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6" i="6"/>
  <c r="AO116" i="6" s="1"/>
  <c r="AO9" i="6"/>
  <c r="AO4" i="6"/>
  <c r="C107" i="16"/>
  <c r="C75" i="16"/>
  <c r="C63" i="16"/>
  <c r="C54" i="16"/>
  <c r="C44" i="16"/>
  <c r="C35" i="16"/>
  <c r="C27" i="16"/>
  <c r="C19" i="16"/>
  <c r="AM81" i="6"/>
  <c r="AO81" i="6" s="1"/>
  <c r="AM59" i="6"/>
  <c r="AO59" i="6" s="1"/>
  <c r="AM43" i="6"/>
  <c r="AO43" i="6" s="1"/>
  <c r="AM27" i="6"/>
  <c r="AO27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32" i="6" l="1"/>
  <c r="AP33" i="6"/>
  <c r="AP204" i="6"/>
  <c r="AP171" i="6"/>
  <c r="AP26" i="6"/>
  <c r="AP55" i="6"/>
  <c r="AP118" i="6"/>
  <c r="AP230" i="6"/>
  <c r="AP177" i="6"/>
  <c r="AP90" i="6"/>
  <c r="AP160" i="6"/>
  <c r="AP75" i="6"/>
  <c r="AP127" i="6"/>
  <c r="AP61" i="6"/>
  <c r="AP175" i="6"/>
  <c r="AP130" i="6"/>
  <c r="AP74" i="6"/>
  <c r="AP8" i="6"/>
  <c r="AP96" i="6"/>
  <c r="AP64" i="6"/>
  <c r="AP225" i="6"/>
  <c r="AP133" i="6"/>
  <c r="AP12" i="6"/>
  <c r="AP104" i="6"/>
  <c r="AP231" i="6"/>
  <c r="AP139" i="6"/>
  <c r="AP78" i="6"/>
  <c r="AP188" i="6"/>
  <c r="AP46" i="6"/>
  <c r="AP117" i="6"/>
  <c r="AP82" i="6"/>
  <c r="AP132" i="6"/>
  <c r="AP56" i="6"/>
  <c r="AP218" i="6"/>
  <c r="AP213" i="6"/>
  <c r="AP209" i="6"/>
  <c r="AP39" i="6"/>
  <c r="AP164" i="6"/>
  <c r="AP186" i="6"/>
  <c r="AP202" i="6"/>
  <c r="AP153" i="6"/>
  <c r="AP23" i="6"/>
  <c r="AP71" i="6"/>
  <c r="AP194" i="6"/>
  <c r="AP15" i="6"/>
  <c r="AP221" i="6"/>
  <c r="AP58" i="6"/>
  <c r="AP207" i="6"/>
  <c r="AP216" i="6"/>
  <c r="AP100" i="6"/>
  <c r="AP124" i="6"/>
  <c r="AP67" i="6"/>
  <c r="AP68" i="6"/>
  <c r="AP66" i="6"/>
  <c r="AP70" i="6"/>
  <c r="AP19" i="6"/>
  <c r="AP48" i="6"/>
  <c r="AP72" i="6"/>
  <c r="AP69" i="6"/>
  <c r="AP110" i="6"/>
  <c r="AP176" i="6"/>
  <c r="AP94" i="6"/>
  <c r="AP119" i="6"/>
  <c r="AP200" i="6"/>
  <c r="AP112" i="6"/>
  <c r="AP157" i="6"/>
  <c r="AP184" i="6"/>
  <c r="AP205" i="6"/>
  <c r="AP172" i="6"/>
  <c r="AP97" i="6"/>
  <c r="AP149" i="6"/>
  <c r="AP228" i="6"/>
  <c r="AP215" i="6"/>
  <c r="AP192" i="6"/>
  <c r="AP22" i="6"/>
  <c r="AP77" i="6"/>
  <c r="AP158" i="6"/>
  <c r="AP122" i="6"/>
  <c r="AP52" i="6"/>
  <c r="AP88" i="6"/>
  <c r="AP25" i="6"/>
  <c r="AP182" i="6"/>
  <c r="AP151" i="6"/>
  <c r="AP229" i="6"/>
  <c r="AP150" i="6"/>
  <c r="AP142" i="6"/>
  <c r="AP99" i="6"/>
  <c r="AP168" i="6"/>
  <c r="AP45" i="6"/>
  <c r="AP123" i="6"/>
  <c r="AP214" i="6"/>
  <c r="AP196" i="6"/>
  <c r="AP131" i="6"/>
  <c r="AP60" i="6"/>
  <c r="AP161" i="6"/>
  <c r="AP37" i="6"/>
  <c r="AP103" i="6"/>
  <c r="AP146" i="6"/>
  <c r="AP79" i="6"/>
  <c r="AP217" i="6"/>
  <c r="AP5" i="6"/>
  <c r="AP31" i="6"/>
  <c r="AP185" i="6"/>
  <c r="AP10" i="6"/>
  <c r="AP13" i="6"/>
  <c r="AP109" i="6"/>
  <c r="AP49" i="6"/>
  <c r="AP73" i="6"/>
  <c r="AP18" i="6"/>
  <c r="AP38" i="6"/>
  <c r="AP30" i="6"/>
  <c r="AP54" i="6"/>
  <c r="AP51" i="6"/>
  <c r="AP201" i="6"/>
  <c r="AP92" i="6"/>
  <c r="AP208" i="6"/>
  <c r="AP156" i="6"/>
  <c r="AP111" i="6"/>
  <c r="AP154" i="6"/>
  <c r="AP91" i="6"/>
  <c r="AP212" i="6"/>
  <c r="AP50" i="6"/>
  <c r="AP80" i="6"/>
  <c r="AP121" i="6"/>
  <c r="AP85" i="6"/>
  <c r="AP125" i="6"/>
  <c r="AP197" i="6"/>
  <c r="AP148" i="6"/>
  <c r="AP165" i="6"/>
  <c r="AP83" i="6"/>
  <c r="AP7" i="6"/>
  <c r="AP106" i="6"/>
  <c r="AP195" i="6"/>
  <c r="AP53" i="6"/>
  <c r="AP62" i="6"/>
  <c r="AP40" i="6"/>
  <c r="AP89" i="6"/>
  <c r="AP120" i="6"/>
  <c r="AP206" i="6"/>
  <c r="AP95" i="6"/>
  <c r="AP20" i="6"/>
  <c r="AP129" i="6"/>
  <c r="AP21" i="6"/>
  <c r="AP128" i="6"/>
  <c r="AP16" i="6"/>
  <c r="AP28" i="6"/>
  <c r="AP29" i="6"/>
  <c r="AP143" i="6"/>
  <c r="AP3" i="6"/>
  <c r="V2" i="12"/>
  <c r="AP47" i="6"/>
  <c r="AP203" i="6"/>
  <c r="AP189" i="6"/>
  <c r="F97" i="8"/>
  <c r="AP115" i="6"/>
  <c r="AP84" i="6"/>
  <c r="AP178" i="6"/>
  <c r="AP108" i="6"/>
  <c r="AP173" i="6"/>
  <c r="AP41" i="6"/>
  <c r="AP141" i="6"/>
  <c r="AP101" i="6"/>
  <c r="AP43" i="6"/>
  <c r="AP116" i="6"/>
  <c r="AP65" i="6"/>
  <c r="AP126" i="6"/>
  <c r="AP140" i="6"/>
  <c r="AP107" i="6"/>
  <c r="AP27" i="6"/>
  <c r="AP183" i="6"/>
  <c r="AP114" i="6"/>
  <c r="AP167" i="6"/>
  <c r="AP134" i="6"/>
  <c r="AP152" i="6"/>
  <c r="AP105" i="6"/>
  <c r="AP180" i="6"/>
  <c r="AP210" i="6"/>
  <c r="AP222" i="6"/>
  <c r="AP4" i="6"/>
  <c r="AP24" i="6"/>
  <c r="AP138" i="6"/>
  <c r="AP144" i="6"/>
  <c r="AP44" i="6"/>
  <c r="AP170" i="6"/>
  <c r="AP191" i="6"/>
  <c r="AP147" i="6"/>
  <c r="AP113" i="6"/>
  <c r="AP179" i="6"/>
  <c r="AP211" i="6"/>
  <c r="AP181" i="6"/>
  <c r="AP9" i="6"/>
  <c r="AP14" i="6"/>
  <c r="AP6" i="6"/>
  <c r="AP76" i="6"/>
  <c r="AP193" i="6"/>
  <c r="AP162" i="6"/>
  <c r="AP220" i="6"/>
  <c r="AP59" i="6"/>
  <c r="AP11" i="6"/>
  <c r="AP42" i="6"/>
  <c r="AP155" i="6"/>
  <c r="AP226" i="6"/>
  <c r="AP199" i="6"/>
  <c r="AP17" i="6"/>
  <c r="AP81" i="6"/>
  <c r="AP86" i="6"/>
  <c r="AP98" i="6"/>
  <c r="AP57" i="6"/>
  <c r="AP159" i="6"/>
  <c r="AP137" i="6"/>
  <c r="AP169" i="6"/>
  <c r="AP63" i="6"/>
  <c r="AP135" i="6"/>
  <c r="AP187" i="6"/>
  <c r="AP136" i="6"/>
  <c r="AP163" i="6"/>
  <c r="AP219" i="6"/>
  <c r="AP166" i="6"/>
  <c r="AP87" i="6"/>
  <c r="AP174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<sst xmlns="http://schemas.openxmlformats.org/spreadsheetml/2006/main" count="3978" uniqueCount="1640">
  <si>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</si>
  <si>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</si>
  <si>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</si>
  <si>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</si>
  <si>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</si>
  <si>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</si>
  <si>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</si>
  <si>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</si>
  <si>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</si>
  <si>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</si>
  <si>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</si>
  <si>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</si>
  <si>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</si>
  <si>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</si>
  <si>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</si>
  <si>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</si>
  <si>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</si>
  <si>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</si>
  <si>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</si>
  <si>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</si>
  <si>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</si>
  <si>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</si>
  <si>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</si>
  <si>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</si>
  <si>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</si>
  <si>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</si>
  <si>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</si>
  <si>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</si>
  <si>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</si>
  <si>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</si>
  <si>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</si>
  <si>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</si>
  <si>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</si>
  <si>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</si>
  <si>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</si>
  <si>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</si>
  <si>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</si>
  <si>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</si>
  <si>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</si>
  <si>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</si>
  <si>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</si>
  <si>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</si>
  <si>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</si>
  <si>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</si>
  <si>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</si>
  <si>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</si>
  <si>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</si>
  <si>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</si>
  <si>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</si>
  <si>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</si>
  <si>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</si>
  <si>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</si>
  <si>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</si>
  <si>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</si>
  <si>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</si>
  <si>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</si>
  <si>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</si>
  <si>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</si>
  <si>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</si>
  <si>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</si>
  <si>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</si>
  <si>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</si>
  <si>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</si>
  <si>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</si>
  <si>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</si>
  <si>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</si>
  <si>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</si>
  <si>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</si>
  <si>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</si>
  <si>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</si>
  <si>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</si>
  <si>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</si>
  <si>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</si>
  <si>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</si>
  <si>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</si>
  <si>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</si>
  <si>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</si>
  <si>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</si>
  <si>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</si>
  <si>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</si>
  <si>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</si>
  <si>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</si>
  <si>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</si>
  <si>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</si>
  <si>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</si>
  <si>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</si>
  <si>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</si>
  <si>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</si>
  <si>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</si>
  <si>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</si>
  <si>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</si>
  <si>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</si>
  <si>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</si>
  <si>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</si>
  <si>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</si>
  <si>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</si>
  <si>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</si>
  <si>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</si>
  <si>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</si>
  <si>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</si>
  <si>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</si>
  <si>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</si>
  <si>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</si>
  <si>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</si>
  <si>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</si>
  <si>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</si>
  <si>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</si>
  <si>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</si>
  <si>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</si>
  <si>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</si>
  <si>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</si>
  <si>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</si>
  <si>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</si>
  <si>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</si>
  <si>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</si>
  <si>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</si>
  <si>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</si>
  <si>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</si>
  <si>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</si>
  <si>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</si>
  <si>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</si>
  <si>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</si>
  <si>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</si>
  <si>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</si>
  <si>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</si>
  <si>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</si>
  <si>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</si>
  <si>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</si>
  <si>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</si>
  <si>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</si>
  <si>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</si>
  <si>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</si>
  <si>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</si>
  <si>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</si>
  <si>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</si>
  <si>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</si>
  <si>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</si>
  <si>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</si>
  <si>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</si>
  <si>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</si>
  <si>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</si>
  <si>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</si>
  <si>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</si>
  <si>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</si>
  <si>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</si>
  <si>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</si>
  <si>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</si>
  <si>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</si>
  <si>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</si>
  <si>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</si>
  <si>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</si>
  <si>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</si>
  <si>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</si>
  <si>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</si>
  <si>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</si>
  <si>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</si>
  <si>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</si>
  <si>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</si>
  <si>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</si>
  <si>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</si>
  <si>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</si>
  <si>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</si>
  <si>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</si>
  <si>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</si>
  <si>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</si>
  <si>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</si>
  <si>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</si>
  <si>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</si>
  <si>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</si>
  <si>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</si>
  <si>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</si>
  <si>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</si>
  <si>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</si>
  <si>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</si>
  <si>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</si>
  <si>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</si>
  <si>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</si>
  <si>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</si>
  <si>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</si>
  <si>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</si>
  <si>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</si>
  <si>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</si>
  <si>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</si>
  <si>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</si>
  <si>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</si>
  <si>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</si>
  <si>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</si>
  <si>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</si>
  <si>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</si>
  <si>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</si>
  <si>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</si>
  <si>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</si>
  <si>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</si>
  <si>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</si>
  <si>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</si>
  <si>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</si>
  <si>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</si>
  <si>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</si>
  <si>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</si>
  <si>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</si>
  <si>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</si>
  <si>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</si>
  <si>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</si>
  <si>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</si>
  <si>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</si>
  <si>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</si>
  <si>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</si>
  <si>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</si>
  <si>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</si>
  <si>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</si>
  <si>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</si>
  <si>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</si>
  <si>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</si>
  <si>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</si>
  <si>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</si>
  <si>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</si>
  <si>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</si>
  <si>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</si>
  <si>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</si>
  <si>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</si>
  <si>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</si>
  <si>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</si>
  <si>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</si>
  <si>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</si>
  <si>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</si>
  <si>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</si>
  <si>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</si>
  <si>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</si>
  <si>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</si>
  <si>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</si>
  <si>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</si>
  <si>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</si>
  <si>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</si>
  <si>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</si>
  <si>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</si>
  <si>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</si>
  <si>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</si>
  <si>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</si>
  <si>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</si>
  <si>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</si>
  <si>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</si>
  <si>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</si>
  <si>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</si>
  <si>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</si>
  <si>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</si>
  <si>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</si>
  <si>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</si>
  <si>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</si>
  <si>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</si>
  <si>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</si>
  <si>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</si>
  <si>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</si>
  <si>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</si>
  <si>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</si>
  <si>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</si>
  <si>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</si>
  <si>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</si>
  <si>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</si>
  <si>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</si>
  <si>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</si>
  <si>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</si>
  <si>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</si>
  <si>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</si>
  <si>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</si>
  <si>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</si>
  <si>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</si>
  <si>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</si>
  <si>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</si>
  <si>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</si>
  <si>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</si>
  <si>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</si>
  <si>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</si>
  <si>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</si>
  <si>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</si>
  <si>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</si>
  <si>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</si>
  <si>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</si>
  <si>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</si>
  <si>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</si>
  <si>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</si>
  <si>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</si>
  <si>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</si>
  <si>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</si>
  <si>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</si>
  <si>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</si>
  <si>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</si>
  <si>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</si>
  <si>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</si>
  <si>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</si>
  <si>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</si>
  <si>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</si>
  <si>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</si>
  <si>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</si>
  <si>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</si>
  <si>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</si>
  <si>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</si>
  <si>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</si>
  <si>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</si>
  <si>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</si>
  <si>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</si>
  <si>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</si>
  <si>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</si>
  <si>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</si>
  <si>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</si>
  <si>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</si>
  <si>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</si>
  <si>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</si>
  <si>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</si>
  <si>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</si>
  <si>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</si>
  <si>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</si>
  <si>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</si>
  <si>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</si>
  <si>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</si>
  <si>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</si>
  <si>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</si>
  <si>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</si>
  <si>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</si>
  <si>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</si>
  <si>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</si>
  <si>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</si>
  <si>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</si>
  <si>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</si>
  <si>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</si>
  <si>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</si>
  <si>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</si>
  <si>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</si>
  <si>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</si>
  <si>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</si>
  <si>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</si>
  <si>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</si>
  <si>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</si>
  <si>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</si>
  <si>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</si>
  <si>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</si>
  <si>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</si>
  <si>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</si>
  <si>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</si>
  <si>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</si>
  <si>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</si>
  <si>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</si>
  <si>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</si>
  <si>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</si>
  <si>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</si>
  <si>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</si>
  <si>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</si>
  <si>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</si>
  <si>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</si>
  <si>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</si>
  <si>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</si>
  <si>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</si>
  <si>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</si>
  <si>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</si>
  <si>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</si>
  <si>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</si>
  <si>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</si>
  <si>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</si>
  <si>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</si>
  <si>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</si>
  <si>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</si>
  <si>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</si>
  <si>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</si>
  <si>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</si>
  <si>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</si>
  <si>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</si>
  <si>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</si>
  <si>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</si>
  <si>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</si>
  <si>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</si>
  <si>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</si>
  <si>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</si>
  <si>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</si>
  <si>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</si>
  <si>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</si>
  <si>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</si>
  <si>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</si>
  <si>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</si>
  <si>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</si>
  <si>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</si>
  <si>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</si>
  <si>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</si>
  <si>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</si>
  <si>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</si>
  <si>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</si>
  <si>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</si>
  <si>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</si>
  <si>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</si>
  <si>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</si>
  <si>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</si>
  <si>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</si>
  <si>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</si>
  <si>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</si>
  <si>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</si>
  <si>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</si>
  <si>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</si>
  <si>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</si>
  <si>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</si>
  <si>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</si>
  <si>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</si>
  <si>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</si>
  <si>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</si>
  <si>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</si>
  <si>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</si>
  <si>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</si>
  <si>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</si>
  <si>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</si>
  <si>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</si>
  <si>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</si>
  <si>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</si>
  <si>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</si>
  <si>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</si>
  <si>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</si>
  <si>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</si>
  <si>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</si>
  <si>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</si>
  <si>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</si>
  <si>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</si>
  <si>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</si>
  <si>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</si>
  <si>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</si>
  <si>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</si>
  <si>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</si>
  <si>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</si>
  <si>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</si>
  <si>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</si>
  <si>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</si>
  <si>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</si>
  <si>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</si>
  <si>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</si>
  <si>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</si>
  <si>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</si>
  <si>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</si>
  <si>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</si>
  <si>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</si>
  <si>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</si>
  <si>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</si>
  <si>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</si>
  <si>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</si>
  <si>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</si>
  <si>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</si>
  <si>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</si>
  <si>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</si>
  <si>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</si>
  <si>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</si>
  <si>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</si>
  <si>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</si>
  <si>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</si>
  <si>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</si>
  <si>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</si>
  <si>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</si>
  <si>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</si>
  <si>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</si>
  <si>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</si>
  <si>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</si>
  <si>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</si>
  <si>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</si>
  <si>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</si>
  <si>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</si>
  <si>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</si>
  <si>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</si>
  <si>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</si>
  <si>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</si>
  <si>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</si>
  <si>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</si>
  <si>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</si>
  <si>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</si>
  <si>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</si>
  <si>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</si>
  <si>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</si>
  <si>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</si>
  <si>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</si>
  <si>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</si>
  <si>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</si>
  <si>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</si>
  <si>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</si>
  <si>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</si>
  <si>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</si>
  <si>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</si>
  <si>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</si>
  <si>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</si>
  <si>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</si>
  <si>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</si>
  <si>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</si>
  <si>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</si>
  <si>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</si>
  <si>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</si>
  <si>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</si>
  <si>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</si>
  <si>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</si>
  <si>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</si>
  <si>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</si>
  <si>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</si>
  <si>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</si>
  <si>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</si>
  <si>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</si>
  <si>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</si>
  <si>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</si>
  <si>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</si>
  <si>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</si>
  <si>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</si>
  <si>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</si>
  <si>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</si>
  <si>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</si>
  <si>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</si>
  <si>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</si>
  <si>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</si>
  <si>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</si>
  <si>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</si>
  <si>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</si>
  <si>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</si>
  <si>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</si>
  <si>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</si>
  <si>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</si>
  <si>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</si>
  <si>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</si>
  <si>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</si>
  <si>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</si>
  <si>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</si>
  <si>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</si>
  <si>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</si>
  <si>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</si>
  <si>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</si>
  <si>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</si>
  <si>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</si>
  <si>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</si>
  <si>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</si>
  <si>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</si>
  <si>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</si>
  <si>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</si>
  <si>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</si>
  <si>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</si>
  <si>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</si>
  <si>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</si>
  <si>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</si>
  <si>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</si>
  <si>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</si>
  <si>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</si>
  <si>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</si>
  <si>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</si>
  <si>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</si>
  <si>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</si>
  <si>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</si>
  <si>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</si>
  <si>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</si>
  <si>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</si>
  <si>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</si>
  <si>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</si>
  <si>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</si>
  <si>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</si>
  <si>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</si>
  <si>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</si>
  <si>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</si>
  <si>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</si>
  <si>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</si>
  <si>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</si>
  <si>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</si>
  <si>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</si>
  <si>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</si>
  <si>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</si>
  <si>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</si>
  <si>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</si>
  <si>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</si>
  <si>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</si>
  <si>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</si>
  <si>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</si>
  <si>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</si>
  <si>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</si>
  <si>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</si>
  <si>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</si>
  <si>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</si>
  <si>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</si>
  <si>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</si>
  <si>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</si>
  <si>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</si>
  <si>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</si>
  <si>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</si>
  <si>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</si>
  <si>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</si>
  <si>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</si>
  <si>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</si>
  <si>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</si>
  <si>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</si>
  <si>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</si>
  <si>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</si>
  <si>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</si>
  <si>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</si>
  <si>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</si>
  <si>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</si>
  <si>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</si>
  <si>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</si>
  <si>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</si>
  <si>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</si>
  <si>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</si>
  <si>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</si>
  <si>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</si>
  <si>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</si>
  <si>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</si>
  <si>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</si>
  <si>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</si>
  <si>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</si>
  <si>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</si>
  <si>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</si>
  <si>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</si>
  <si>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</si>
  <si>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</si>
  <si>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</si>
  <si>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</si>
  <si>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</si>
  <si>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</si>
  <si>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</si>
  <si>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</si>
  <si>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</si>
  <si>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</si>
  <si>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</si>
  <si>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</si>
  <si>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</si>
  <si>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</si>
  <si>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</si>
  <si>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</si>
  <si>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</si>
  <si>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</si>
  <si>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</si>
  <si>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</si>
  <si>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</si>
  <si>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</si>
  <si>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</si>
  <si>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</si>
  <si>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</si>
  <si>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</si>
  <si>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</si>
  <si>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</si>
  <si>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</si>
  <si>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</si>
  <si>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</si>
  <si>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</si>
  <si>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</si>
  <si>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</si>
  <si>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</si>
  <si>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</si>
  <si>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</si>
  <si>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</si>
  <si>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</si>
  <si>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</si>
  <si>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</si>
  <si>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</si>
  <si>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</si>
  <si>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</si>
  <si>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</si>
  <si>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</si>
  <si>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</si>
  <si>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</si>
  <si>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</si>
  <si>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</si>
  <si>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</si>
  <si>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</si>
  <si>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</si>
  <si>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</si>
  <si>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</si>
  <si>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</si>
  <si>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</si>
  <si>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</si>
  <si>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</si>
  <si>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</si>
  <si>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</si>
  <si>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</si>
  <si>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</si>
  <si>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</si>
  <si>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</si>
  <si>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</si>
  <si>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</si>
  <si>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</si>
  <si>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</si>
  <si>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</si>
  <si>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</si>
  <si>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</si>
  <si>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</si>
  <si>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</si>
  <si>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</si>
  <si>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</si>
  <si>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</si>
  <si>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</si>
  <si>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</si>
  <si>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</si>
  <si>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</si>
  <si>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</si>
  <si>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</si>
  <si>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</si>
  <si>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</si>
  <si>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</si>
  <si>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</si>
  <si>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</si>
  <si>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</si>
  <si>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</si>
  <si>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</si>
  <si>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</si>
  <si>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</si>
  <si>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</si>
  <si>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</si>
  <si>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</si>
  <si>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</si>
  <si>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</si>
  <si>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</si>
  <si>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</si>
  <si>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</si>
  <si>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</si>
  <si>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</si>
  <si>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</si>
  <si>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</si>
  <si>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</si>
  <si>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</si>
  <si>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</si>
  <si>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</si>
  <si>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</si>
  <si>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</si>
  <si>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</si>
  <si>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</si>
  <si>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</si>
  <si>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</si>
  <si>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</si>
  <si>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</si>
  <si>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</si>
  <si>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</si>
  <si>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</si>
  <si>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</si>
  <si>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</si>
  <si>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</si>
  <si>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</si>
  <si>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</si>
  <si>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</si>
  <si>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</si>
  <si>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</si>
  <si>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</si>
  <si>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</si>
  <si>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</si>
  <si>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</si>
  <si>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</si>
  <si>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</si>
  <si>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</si>
  <si>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</si>
  <si>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</si>
  <si>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</si>
  <si>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</si>
  <si>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</si>
  <si>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</si>
  <si>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</si>
  <si>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</si>
  <si>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</si>
  <si>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</si>
  <si>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</si>
  <si>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</si>
  <si>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</si>
  <si>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</si>
  <si>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</si>
  <si>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</si>
  <si>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</si>
  <si>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</si>
  <si>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</si>
  <si>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</si>
  <si>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</si>
  <si>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</si>
  <si>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</si>
  <si>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</si>
  <si>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</si>
  <si>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</si>
  <si>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</si>
  <si>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</si>
  <si>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</si>
  <si>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</si>
  <si>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</si>
  <si>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</si>
  <si>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</si>
  <si>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</si>
  <si>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</si>
  <si>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</si>
  <si>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</si>
  <si>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</si>
  <si>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</si>
  <si>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</si>
  <si>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</si>
  <si>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</si>
  <si>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</si>
  <si>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</si>
  <si>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</si>
  <si>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</si>
  <si>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</si>
  <si>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</si>
  <si>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</si>
  <si>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</si>
  <si>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</si>
  <si>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</si>
  <si>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</si>
  <si>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</si>
  <si>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</si>
  <si>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</si>
  <si>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</si>
  <si>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</si>
  <si>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</si>
  <si>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</si>
  <si>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</si>
  <si>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</si>
  <si>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</si>
  <si>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</si>
  <si>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</si>
  <si>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</si>
  <si>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</si>
  <si>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</si>
  <si>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</si>
  <si>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</si>
  <si>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</si>
  <si>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</si>
  <si>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</si>
  <si>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</si>
  <si>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</si>
  <si>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</si>
  <si>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</si>
  <si>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</si>
  <si>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</si>
  <si>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</si>
  <si>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</si>
  <si>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</si>
  <si>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</si>
  <si>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</si>
  <si>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</si>
  <si>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</si>
  <si>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</si>
  <si>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</si>
  <si>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</si>
  <si>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</si>
  <si>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</si>
  <si>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</si>
  <si>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</si>
  <si>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</si>
  <si>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</si>
  <si>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</si>
  <si>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</si>
  <si>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</si>
  <si>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</si>
  <si>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</si>
  <si>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</si>
  <si>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</si>
  <si>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</si>
  <si>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</si>
  <si>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</si>
  <si>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</si>
  <si>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</si>
  <si>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</si>
  <si>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</si>
  <si>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</si>
  <si>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</si>
  <si>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</si>
  <si>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</si>
  <si>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</si>
  <si>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</si>
  <si>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</si>
  <si>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</si>
  <si>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</si>
  <si>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</si>
  <si>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</si>
  <si>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</si>
  <si>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</si>
  <si>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</si>
  <si>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</si>
  <si>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</si>
  <si>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</si>
  <si>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</si>
  <si>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</si>
  <si>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</si>
  <si>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</si>
  <si>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</si>
  <si>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</si>
  <si>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</si>
  <si>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</si>
  <si>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</si>
  <si>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</si>
  <si>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</si>
  <si>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</si>
  <si>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</si>
  <si>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</si>
  <si>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</si>
  <si>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</si>
  <si>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</si>
  <si>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</si>
  <si>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</si>
  <si>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</si>
  <si>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</si>
  <si>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</si>
  <si>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</si>
  <si>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</si>
  <si>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</si>
  <si>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</si>
  <si>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</si>
  <si>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</si>
  <si>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</si>
  <si>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</si>
  <si>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</si>
  <si>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</si>
  <si>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</si>
  <si>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</si>
  <si>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</si>
  <si>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</si>
  <si>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</si>
  <si>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</si>
  <si>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</si>
  <si>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</si>
  <si>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</si>
  <si>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</si>
  <si>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</si>
  <si>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</si>
  <si>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</si>
  <si>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</si>
  <si>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</si>
  <si>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</si>
  <si>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</si>
  <si>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</si>
  <si>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</si>
  <si>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</si>
  <si>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</si>
  <si>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</si>
  <si>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</si>
  <si>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</si>
  <si>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</si>
  <si>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</si>
  <si>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</si>
  <si>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</si>
  <si>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</si>
  <si>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</si>
  <si>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</si>
  <si>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</si>
  <si>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</si>
  <si>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</si>
  <si>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</si>
  <si>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</si>
  <si>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</si>
  <si>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</si>
  <si>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</si>
  <si>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</si>
  <si>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</si>
  <si>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</si>
  <si>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</si>
  <si>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</si>
  <si>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</si>
  <si>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</si>
  <si>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</si>
  <si>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</si>
  <si>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</si>
  <si>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</si>
  <si>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</si>
  <si>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</si>
  <si>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</si>
  <si>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</si>
  <si>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</si>
  <si>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</si>
  <si>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</si>
  <si>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</si>
  <si>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</si>
  <si>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</si>
  <si>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</si>
  <si>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</si>
  <si>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</si>
  <si>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</si>
  <si>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</si>
  <si>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</si>
  <si>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</si>
  <si>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</si>
  <si>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</si>
  <si>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</si>
  <si>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</si>
  <si>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</si>
  <si>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</si>
  <si>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</si>
  <si>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</si>
  <si>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</si>
  <si>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</si>
  <si>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</si>
  <si>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</si>
  <si>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</si>
  <si>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</si>
  <si>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</si>
  <si>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</si>
  <si>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</si>
  <si>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</si>
  <si>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</si>
  <si>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</si>
  <si>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</si>
  <si>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</si>
  <si>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</si>
  <si>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</si>
  <si>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</si>
  <si>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</si>
  <si>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</si>
  <si>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</si>
  <si>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</si>
  <si>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</si>
  <si>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</si>
  <si>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</si>
  <si>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</si>
  <si>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</si>
  <si>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</si>
  <si>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</si>
  <si>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</si>
  <si>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</si>
  <si>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</si>
  <si>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</si>
  <si>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</si>
  <si>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</si>
  <si>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</si>
  <si>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</si>
  <si>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</si>
  <si>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</si>
  <si>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</si>
  <si>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</si>
  <si>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</si>
  <si>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</si>
  <si>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</si>
  <si>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</si>
  <si>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</si>
  <si>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</si>
  <si>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</si>
  <si>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</si>
  <si>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</si>
  <si>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</si>
  <si>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</si>
  <si>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</si>
  <si>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</si>
  <si>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</si>
  <si>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</si>
  <si>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</si>
  <si>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</si>
  <si>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</si>
  <si>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</si>
  <si>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</si>
  <si>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</si>
  <si>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</si>
  <si>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</si>
  <si>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</si>
  <si>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</si>
  <si>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</si>
  <si>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</si>
  <si>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</si>
  <si>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</si>
  <si>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</si>
  <si>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</si>
  <si>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</si>
  <si>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</si>
  <si>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</si>
  <si>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</si>
  <si>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</si>
  <si>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</si>
  <si>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</si>
  <si>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</si>
  <si>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</si>
  <si>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</si>
  <si>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</si>
  <si>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</si>
  <si>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</si>
  <si>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</si>
  <si>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</si>
  <si>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</si>
  <si>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</si>
  <si>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</si>
  <si>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</si>
  <si>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</si>
  <si>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</si>
  <si>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</si>
  <si>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</si>
  <si>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</si>
  <si>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</si>
  <si>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</si>
  <si>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</si>
  <si>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</si>
  <si>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</si>
  <si>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</si>
  <si>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</si>
  <si>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</si>
  <si>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</si>
  <si>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</si>
  <si>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</si>
  <si>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</si>
  <si>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</si>
  <si>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</si>
  <si>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</si>
  <si>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</si>
  <si>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</si>
  <si>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</si>
  <si>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</si>
  <si>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</si>
  <si>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</si>
  <si>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</si>
  <si>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</si>
  <si>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</si>
  <si>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</si>
  <si>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</si>
  <si>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</si>
  <si>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</si>
  <si>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</si>
  <si>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</si>
  <si>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</si>
  <si>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</si>
  <si>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</si>
  <si>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</si>
  <si>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</si>
  <si>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</si>
  <si>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</si>
  <si>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</si>
  <si>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</si>
  <si>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</si>
  <si>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</si>
  <si>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</si>
  <si>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</si>
  <si>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</si>
  <si>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</si>
  <si>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</si>
  <si>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</si>
  <si>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</si>
  <si>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</si>
  <si>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</si>
  <si>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</si>
  <si>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</si>
  <si>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</si>
  <si>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</si>
  <si>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</si>
  <si>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</si>
  <si>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</si>
  <si>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</si>
  <si>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</si>
  <si>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</si>
  <si>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</si>
  <si>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</si>
  <si>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</si>
  <si>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</si>
  <si>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</si>
  <si>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</si>
  <si>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</si>
  <si>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</si>
  <si>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</si>
  <si>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</si>
  <si>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</si>
  <si>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</si>
  <si>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</si>
  <si>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</si>
  <si>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</si>
  <si>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</si>
  <si>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</si>
  <si>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</si>
  <si>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</si>
  <si>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</si>
  <si>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</si>
  <si>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</si>
  <si>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</si>
  <si>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</si>
  <si>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</si>
  <si>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</si>
  <si>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</si>
  <si>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</si>
  <si>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</si>
  <si>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</si>
  <si>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</si>
  <si>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</si>
  <si>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</si>
  <si>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</si>
  <si>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</si>
  <si>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</si>
  <si>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</si>
  <si>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</si>
  <si>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</si>
  <si>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</si>
  <si>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</si>
  <si>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</si>
  <si>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</si>
  <si>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</si>
  <si>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</si>
  <si>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</si>
  <si>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</si>
  <si>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</si>
  <si>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</si>
  <si>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</si>
  <si>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</si>
  <si>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</si>
  <si>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</si>
  <si>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</si>
  <si>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</si>
  <si>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</si>
  <si>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</si>
  <si>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</si>
  <si>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</si>
  <si>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</si>
  <si>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</si>
  <si>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</si>
  <si>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</si>
  <si>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</si>
  <si>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</si>
  <si>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</si>
  <si>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</si>
  <si>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</si>
  <si>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</si>
  <si>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</si>
  <si>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</si>
  <si>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</si>
  <si>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</si>
  <si>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</si>
  <si>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</si>
  <si>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</si>
  <si>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</si>
  <si>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</si>
  <si>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</si>
  <si>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</si>
  <si>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</si>
  <si>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</si>
  <si>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</si>
  <si>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</si>
  <si>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</si>
  <si>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</si>
  <si>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</si>
  <si>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</si>
  <si>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</si>
  <si>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</si>
  <si>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</si>
  <si>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</si>
  <si>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</si>
  <si>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</si>
  <si>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</si>
  <si>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</si>
  <si>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</si>
  <si>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</si>
  <si>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</si>
  <si>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</si>
  <si>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</si>
  <si>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</si>
  <si>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</si>
  <si>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</si>
  <si>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</si>
  <si>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</si>
  <si>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</si>
  <si>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</si>
  <si>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</si>
  <si>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</si>
  <si>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</si>
  <si>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</si>
  <si>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</si>
  <si>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</si>
  <si>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</si>
  <si>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</si>
  <si>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</si>
  <si>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</si>
  <si>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</si>
  <si>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</si>
  <si>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</si>
  <si>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</si>
  <si>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</si>
  <si>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</si>
  <si>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</si>
  <si>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</si>
  <si>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</si>
  <si>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</si>
  <si>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</si>
  <si>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</si>
  <si>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</si>
  <si>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</si>
  <si>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</si>
  <si>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</si>
  <si>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</si>
  <si>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</si>
  <si>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</si>
  <si>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</si>
  <si>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</si>
  <si>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</si>
  <si>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</si>
  <si>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</si>
  <si>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</si>
  <si>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</si>
  <si>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</si>
  <si>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</si>
  <si>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</si>
  <si>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</si>
  <si>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</si>
  <si>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</si>
  <si>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</si>
  <si>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</si>
  <si>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</si>
  <si>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</si>
  <si>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</si>
  <si>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</si>
  <si>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</si>
  <si>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</si>
  <si>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</si>
  <si>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</si>
  <si>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</si>
  <si>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</si>
  <si>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</si>
  <si>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</si>
  <si>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</si>
  <si>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</si>
  <si>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</si>
  <si>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</si>
  <si>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</si>
  <si>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</si>
  <si>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</si>
  <si>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</si>
  <si>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</si>
  <si>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</si>
  <si>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</si>
  <si>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</si>
  <si>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</si>
  <si>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</si>
  <si>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</si>
  <si>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</si>
  <si>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</si>
  <si>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</si>
  <si>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</si>
  <si>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</si>
  <si>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</si>
  <si>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</si>
  <si>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</si>
  <si>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</si>
  <si>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</si>
  <si>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</si>
  <si>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</si>
  <si>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</si>
  <si>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</si>
  <si>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</si>
  <si>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</si>
  <si>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</si>
  <si>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</si>
  <si>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</si>
  <si>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</si>
  <si>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</si>
  <si>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</si>
  <si>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</si>
  <si>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</si>
  <si>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</si>
  <si>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</si>
  <si>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</si>
  <si>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</si>
  <si>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</si>
  <si>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</si>
  <si>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</si>
  <si>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</si>
  <si>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</si>
  <si>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</si>
  <si>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</si>
  <si>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</si>
  <si>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</si>
  <si>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</si>
  <si>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</si>
  <si>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</si>
  <si>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</si>
  <si>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</si>
  <si>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</si>
  <si>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</si>
  <si>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</si>
  <si>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</si>
  <si>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</si>
  <si>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</si>
  <si>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</si>
  <si>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</si>
  <si>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</si>
  <si>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</si>
  <si>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</si>
  <si>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</si>
  <si>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</si>
  <si>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</si>
  <si>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</si>
  <si>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</si>
  <si>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</si>
  <si>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</si>
  <si>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</si>
  <si>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</si>
  <si>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</si>
  <si>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</si>
  <si>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</si>
  <si>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</si>
  <si>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</si>
  <si>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</si>
  <si>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</si>
  <si>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</si>
  <si>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</si>
  <si>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</si>
  <si>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</si>
  <si>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</si>
  <si>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</si>
  <si>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</si>
  <si>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</si>
  <si>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</si>
  <si>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</si>
  <si>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</si>
  <si>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</si>
  <si>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</si>
  <si>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</si>
  <si>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</si>
  <si>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</si>
  <si>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</si>
  <si>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</si>
  <si>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</si>
  <si>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</si>
  <si>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</si>
  <si>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</si>
  <si>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</si>
  <si>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</si>
  <si>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</si>
  <si>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</si>
  <si>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</si>
  <si>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</si>
  <si>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</si>
  <si>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</si>
  <si>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</si>
  <si>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</si>
  <si>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</si>
  <si>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</si>
  <si>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</si>
  <si>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</si>
  <si>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</si>
  <si>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</si>
  <si>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</si>
  <si>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</si>
  <si>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</si>
  <si>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</si>
  <si>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</si>
  <si>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</si>
  <si>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</si>
  <si>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</si>
  <si>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</si>
  <si>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</si>
  <si>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</si>
  <si>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</si>
  <si>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</si>
  <si>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</si>
  <si>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</si>
  <si>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</si>
  <si>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</si>
  <si>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</si>
  <si>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</si>
  <si>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</si>
  <si>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</si>
  <si>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</si>
  <si>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</si>
  <si>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</si>
  <si>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</si>
  <si>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</si>
  <si>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</si>
  <si>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</si>
  <si>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</si>
  <si>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</si>
  <si>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</si>
  <si>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</si>
  <si>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</si>
  <si>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</si>
  <si>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</si>
  <si>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</si>
  <si>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</si>
  <si>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</si>
  <si>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</si>
  <si>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</si>
  <si>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</si>
  <si>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</si>
  <si>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</si>
  <si>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</si>
  <si>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</si>
  <si>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</si>
  <si>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</si>
  <si>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</si>
  <si>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</si>
  <si>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</si>
  <si>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</si>
  <si>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</si>
  <si>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</si>
  <si>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</si>
  <si>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</si>
  <si>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</si>
  <si>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</si>
  <si>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</si>
  <si>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</si>
  <si>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</si>
  <si>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</si>
  <si>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</si>
  <si>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</si>
  <si>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</si>
  <si>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</si>
  <si>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</si>
  <si>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</si>
  <si>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</si>
  <si>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</si>
  <si>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</si>
  <si>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</si>
  <si>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</si>
  <si>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</si>
  <si>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</si>
  <si>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</si>
  <si>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</si>
  <si>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</si>
  <si>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</si>
  <si>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</si>
  <si>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</si>
  <si>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</si>
  <si>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</si>
  <si>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</si>
  <si>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</si>
  <si>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</si>
  <si>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</si>
  <si>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</si>
  <si>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</si>
  <si>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</si>
  <si>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</si>
  <si>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</si>
  <si>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</si>
  <si>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</si>
  <si>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</si>
  <si>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</si>
  <si>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</si>
  <si>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</si>
  <si>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</si>
  <si>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</si>
  <si>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</si>
  <si>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</si>
  <si>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</si>
  <si>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</si>
  <si>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</si>
  <si>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</si>
  <si>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</si>
  <si>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</si>
  <si>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</si>
  <si>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</si>
  <si>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</si>
  <si>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</si>
  <si>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</si>
  <si>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</si>
  <si>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</si>
  <si>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</si>
  <si>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</si>
  <si>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</si>
  <si>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</si>
  <si>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</si>
  <si>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</si>
  <si>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</si>
  <si>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</si>
  <si>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</si>
  <si>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</si>
  <si>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</si>
  <si>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</si>
  <si>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</si>
  <si>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</si>
  <si>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</si>
  <si>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</si>
  <si>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</si>
  <si>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</si>
  <si>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</si>
  <si>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</si>
  <si>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</si>
  <si>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</si>
  <si>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</si>
  <si>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</si>
  <si>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</si>
  <si>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</si>
  <si>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</si>
  <si>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</si>
  <si>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</si>
  <si>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</si>
  <si>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</si>
  <si>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</si>
  <si>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</si>
  <si>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</si>
  <si>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</si>
  <si>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</si>
  <si>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</si>
  <si>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</si>
  <si>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</si>
  <si>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</si>
  <si>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</si>
  <si>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</si>
  <si>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</si>
  <si>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</si>
  <si>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</si>
  <si>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</si>
  <si>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</si>
  <si>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</si>
  <si>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</si>
  <si>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</si>
  <si>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</si>
  <si>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</si>
  <si>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</si>
  <si>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</si>
  <si>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</si>
  <si>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</si>
  <si>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</si>
  <si>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</si>
  <si>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</si>
  <si>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</si>
  <si>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</si>
  <si>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</si>
  <si>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</si>
  <si>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</si>
  <si>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</si>
  <si>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r>
      <t>McLaren Solus GT</t>
    </r>
    <r>
      <rPr>
        <b/>
        <sz val="12"/>
        <rFont val="Segoe UI Symbol"/>
        <family val="1"/>
      </rPr>
      <t>🔑</t>
    </r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</si>
  <si>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</si>
  <si>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</si>
  <si>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</si>
  <si>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</si>
  <si>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</si>
  <si>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</si>
  <si>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</si>
  <si>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</si>
  <si>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</si>
  <si>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r>
      <t>Saleen S7 Twin Turbo</t>
    </r>
    <r>
      <rPr>
        <b/>
        <sz val="12"/>
        <rFont val="Segoe UI Symbol"/>
        <family val="1"/>
      </rPr>
      <t>🔑</t>
    </r>
    <phoneticPr fontId="2" type="noConversion"/>
  </si>
  <si>
    <r>
      <t>Koenigsegg CC850</t>
    </r>
    <r>
      <rPr>
        <b/>
        <sz val="12"/>
        <rFont val="Segoe UI Symbol"/>
        <family val="1"/>
      </rPr>
      <t>🔑</t>
    </r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</si>
  <si>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</si>
  <si>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</si>
  <si>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</si>
  <si>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</si>
  <si>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</si>
  <si>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r>
      <rPr>
        <b/>
        <sz val="12"/>
        <color rgb="FF000000"/>
        <rFont val="宋体"/>
        <family val="1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哥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杰弟</t>
    </r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</si>
  <si>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</si>
  <si>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</si>
  <si>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</si>
  <si>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</si>
  <si>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</si>
  <si>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</si>
  <si>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Jaguar XV SE Project 8</t>
    <phoneticPr fontId="2" type="noConversion"/>
  </si>
  <si>
    <t>联会赛事</t>
    <phoneticPr fontId="2" type="noConversion"/>
  </si>
  <si>
    <r>
      <t>Lamborghini Revuelto</t>
    </r>
    <r>
      <rPr>
        <b/>
        <sz val="12"/>
        <rFont val="Segoe UI Symbol"/>
        <family val="1"/>
      </rPr>
      <t>🔑</t>
    </r>
    <phoneticPr fontId="2" type="noConversion"/>
  </si>
  <si>
    <t>Faraday FFZero1</t>
    <phoneticPr fontId="2" type="noConversion"/>
  </si>
  <si>
    <t>Deus Vayanne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</si>
  <si>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</si>
  <si>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</si>
  <si>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</si>
  <si>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</si>
  <si>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Bugatti Chiron Super Sport 300+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</si>
  <si>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</si>
  <si>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</si>
  <si>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</si>
  <si>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</si>
  <si>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Ford Mustang Mach-E1400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</si>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</sst>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3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3" xfId="0" applyFont="1" applyFill="1" applyBorder="1" applyAlignment="1">
      <alignment horizontal="center" vertical="center"/>
    </xf>
    <xf numFmtId="0" fontId="85" fillId="25" borderId="123" xfId="0" applyFont="1" applyFill="1" applyBorder="1" applyAlignment="1">
      <alignment horizontal="center" vertical="center"/>
    </xf>
    <xf numFmtId="0" fontId="85" fillId="29" borderId="123" xfId="0" applyFont="1" applyFill="1" applyBorder="1" applyAlignment="1">
      <alignment horizontal="center" vertical="center"/>
    </xf>
    <xf numFmtId="0" fontId="85" fillId="0" borderId="125" xfId="0" applyFont="1" applyBorder="1" applyAlignment="1">
      <alignment horizontal="center" vertical="center"/>
    </xf>
    <xf numFmtId="49" fontId="84" fillId="0" borderId="124" xfId="0" applyNumberFormat="1" applyFont="1" applyBorder="1" applyAlignment="1">
      <alignment horizontal="center" vertical="center"/>
    </xf>
    <xf numFmtId="0" fontId="85" fillId="25" borderId="125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6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177" fontId="59" fillId="0" borderId="10" xfId="0" applyNumberFormat="1" applyFont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97</xdr:row>
      <xdr:rowOff>0</xdr:rowOff>
    </xdr:from>
    <xdr:to>
      <xdr:col>47</xdr:col>
      <xdr:colOff>304800</xdr:colOff>
      <xdr:row>98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90</xdr:row>
      <xdr:rowOff>28575</xdr:rowOff>
    </xdr:from>
    <xdr:to>
      <xdr:col>73</xdr:col>
      <xdr:colOff>720090</xdr:colOff>
      <xdr:row>91</xdr:row>
      <xdr:rowOff>59057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全车数据表!AT27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全车数据表!AT28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全车数据表!AT29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全车数据表!AT30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全车数据表!AT31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全车数据表!AT32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全车数据表!AT33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全车数据表!AT37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全车数据表!AT38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全车数据表!AT40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全车数据表!AT41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全车数据表!AT42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全车数据表!AT43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全车数据表!AT44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全车数据表!AT47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全车数据表!AT49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全车数据表!AT50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全车数据表!AT51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全车数据表!AT53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全车数据表!AT54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全车数据表!AT57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全车数据表!AT63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全车数据表!AT59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全车数据表!AT62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全车数据表!AT65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全车数据表!AT67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全车数据表!AT68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全车数据表!AT70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全车数据表!AT73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全车数据表!AT76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全车数据表!AT79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全车数据表!AT80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全车数据表!AT81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全车数据表!AT83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全车数据表!AT84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全车数据表!AT85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全车数据表!AT86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全车数据表!AT87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全车数据表!AT89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全车数据表!AT91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全车数据表!AT92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全车数据表!AT95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全车数据表!AT98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全车数据表!AT101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全车数据表!AT105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全车数据表!AT103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全车数据表!AT106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全车数据表!AT107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全车数据表!AT108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全车数据表!AT109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全车数据表!AT111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全车数据表!AT113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全车数据表!AT114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全车数据表!AT115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全车数据表!AT116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全车数据表!AT120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全车数据表!AT121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全车数据表!AT125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全车数据表!AT126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全车数据表!AT128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全车数据表!AT129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全车数据表!AT134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全车数据表!AT135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全车数据表!AT136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全车数据表!AT137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全车数据表!AT138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全车数据表!AT140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全车数据表!AT141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全车数据表!AT143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全车数据表!AT144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全车数据表!AT146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全车数据表!AT147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全车数据表!AT148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全车数据表!AT151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全车数据表!AT152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全车数据表!AT154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全车数据表!AT155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全车数据表!AT156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全车数据表!AT159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全车数据表!AT162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全车数据表!AT163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全车数据表!AT165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全车数据表!AT166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全车数据表!AT167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全车数据表!AT169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全车数据表!AT170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全车数据表!AT173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全车数据表!AT174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全车数据表!AT178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全车数据表!AT179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全车数据表!AT180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全车数据表!AT181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全车数据表!AT183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全车数据表!AT185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全车数据表!AT187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全车数据表!AT189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全车数据表!AT191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全车数据表!AT193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全车数据表!AT195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全车数据表!AT197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全车数据表!AT199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全车数据表!AT201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全车数据表!AT203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全车数据表!AT206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全车数据表!AT210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全车数据表!AT211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全车数据表!AT208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全车数据表!AT212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全车数据表!AT214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全车数据表!AT217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全车数据表!AT219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全车数据表!AT220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全车数据表!AT222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全车数据表!AT226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23" t="s">
        <v>360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31" t="s">
        <v>320</v>
      </c>
      <c r="C5" s="432"/>
      <c r="D5" s="432"/>
      <c r="E5" s="432"/>
      <c r="F5" s="432"/>
      <c r="G5" s="432"/>
      <c r="H5" s="433"/>
      <c r="I5" s="37"/>
      <c r="J5" s="431" t="s">
        <v>321</v>
      </c>
      <c r="K5" s="432"/>
      <c r="L5" s="432"/>
      <c r="M5" s="432"/>
      <c r="N5" s="432"/>
      <c r="O5" s="432"/>
      <c r="P5" s="43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09" t="s">
        <v>433</v>
      </c>
      <c r="D6" s="409"/>
      <c r="E6" s="422" t="s">
        <v>97</v>
      </c>
      <c r="F6" s="422"/>
      <c r="G6" s="414" t="str">
        <f>IFERROR(IF(VLOOKUP($C$7,全车数据表!$B:$AP,4,0)&lt;&gt;0,VLOOKUP($C$7,全车数据表!$B:$AP,4,0),"暂无"),"")</f>
        <v/>
      </c>
      <c r="H6" s="415"/>
      <c r="I6" s="39"/>
      <c r="J6" s="38" t="s">
        <v>315</v>
      </c>
      <c r="K6" s="409" t="s">
        <v>433</v>
      </c>
      <c r="L6" s="409"/>
      <c r="M6" s="422" t="s">
        <v>97</v>
      </c>
      <c r="N6" s="422"/>
      <c r="O6" s="414" t="str">
        <f>IFERROR(IF(VLOOKUP($K$7,全车数据表!$C:$AP,3,0)&lt;&gt;0,VLOOKUP($K$7,全车数据表!$C:$AP,3,0),"暂无"),"")</f>
        <v/>
      </c>
      <c r="P6" s="41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16" t="s">
        <v>433</v>
      </c>
      <c r="D7" s="417"/>
      <c r="E7" s="417"/>
      <c r="F7" s="417"/>
      <c r="G7" s="417"/>
      <c r="H7" s="418"/>
      <c r="I7" s="39"/>
      <c r="J7" s="40" t="s">
        <v>317</v>
      </c>
      <c r="K7" s="417" t="s">
        <v>433</v>
      </c>
      <c r="L7" s="417"/>
      <c r="M7" s="417"/>
      <c r="N7" s="417"/>
      <c r="O7" s="417"/>
      <c r="P7" s="41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10" t="str">
        <f>IFERROR(IF(VLOOKUP($C$7,全车数据表!$B:$AP,14,0)&lt;&gt;0,VLOOKUP($C$7,全车数据表!$B:$AP,14,0),"暂无"),"")</f>
        <v/>
      </c>
      <c r="D9" s="410"/>
      <c r="E9" s="413" t="s">
        <v>319</v>
      </c>
      <c r="F9" s="413"/>
      <c r="G9" s="410" t="str">
        <f>IFERROR(IF(VLOOKUP($C$7,全车数据表!$B:$AP,41,0)&lt;&gt;0,VLOOKUP($C$7,全车数据表!$B:$AP,41,0),"暂无"),"")</f>
        <v/>
      </c>
      <c r="H9" s="412"/>
      <c r="I9" s="39"/>
      <c r="J9" s="40" t="s">
        <v>98</v>
      </c>
      <c r="K9" s="410" t="str">
        <f>IFERROR(IF(VLOOKUP($K$7,全车数据表!$C:$AP,13,0)&lt;&gt;0,VLOOKUP($K$7,全车数据表!$C:$AP,13,0),"暂无"),"")</f>
        <v/>
      </c>
      <c r="L9" s="410"/>
      <c r="M9" s="413" t="s">
        <v>319</v>
      </c>
      <c r="N9" s="413"/>
      <c r="O9" s="410" t="str">
        <f>IFERROR(IF(VLOOKUP($K$7,全车数据表!$C:$AP,40,0)&lt;&gt;0,VLOOKUP($K$7,全车数据表!$C:$AP,40,0),"暂无"),"")</f>
        <v/>
      </c>
      <c r="P9" s="41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11" t="str">
        <f>IFERROR(IF(VLOOKUP($C$7,全车数据表!$B:$AP,15,0)&lt;&gt;0,VLOOKUP($C$7,全车数据表!$B:$AP,15,0),"暂无"),"")</f>
        <v/>
      </c>
      <c r="D10" s="411"/>
      <c r="E10" s="413" t="s">
        <v>160</v>
      </c>
      <c r="F10" s="413"/>
      <c r="G10" s="410" t="str">
        <f>IFERROR(IF(VLOOKUP($C$7,全车数据表!$B:$AP,35,0)&lt;&gt;0,VLOOKUP($C$7,全车数据表!$B:$AP,35,0),"暂无"),"")</f>
        <v/>
      </c>
      <c r="H10" s="412"/>
      <c r="I10" s="39"/>
      <c r="J10" s="40" t="s">
        <v>99</v>
      </c>
      <c r="K10" s="411" t="str">
        <f>IFERROR(IF(VLOOKUP($K$7,全车数据表!$C:$AP,14,0)&lt;&gt;0,VLOOKUP($K$7,全车数据表!$C:$AP,14,0),"暂无"),"")</f>
        <v/>
      </c>
      <c r="L10" s="411"/>
      <c r="M10" s="413" t="s">
        <v>160</v>
      </c>
      <c r="N10" s="413"/>
      <c r="O10" s="410" t="str">
        <f>IFERROR(IF(VLOOKUP($K$7,全车数据表!$C:$AP,34,0)&lt;&gt;0,VLOOKUP($K$7,全车数据表!$C:$AP,34,0),"暂无"),"")</f>
        <v/>
      </c>
      <c r="P10" s="41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8" t="str">
        <f>IFERROR(IF(VLOOKUP($C$7,全车数据表!$B:$AP,16,0)&lt;&gt;0,VLOOKUP($C$7,全车数据表!$B:$AP,16,0),"暂无"),"")</f>
        <v/>
      </c>
      <c r="D11" s="408"/>
      <c r="E11" s="427" t="s">
        <v>161</v>
      </c>
      <c r="F11" s="427"/>
      <c r="G11" s="410" t="str">
        <f>IFERROR(IF(VLOOKUP($C$7,全车数据表!$B:$AP,37,0)&lt;&gt;0,VLOOKUP($C$7,全车数据表!$B:$AP,37,0),"暂无"),"")</f>
        <v/>
      </c>
      <c r="H11" s="412"/>
      <c r="I11" s="39"/>
      <c r="J11" s="40" t="s">
        <v>100</v>
      </c>
      <c r="K11" s="408" t="str">
        <f>IFERROR(IF(VLOOKUP($K$7,全车数据表!$C:$AP,15,0)&lt;&gt;0,VLOOKUP($K$7,全车数据表!$C:$AP,15,0),"暂无"),"")</f>
        <v/>
      </c>
      <c r="L11" s="408"/>
      <c r="M11" s="427" t="s">
        <v>161</v>
      </c>
      <c r="N11" s="427"/>
      <c r="O11" s="410" t="str">
        <f>IFERROR(IF(VLOOKUP($K$7,全车数据表!$C:$AP,36,0)&lt;&gt;0,VLOOKUP($K$7,全车数据表!$C:$AP,36,0),"暂无"),"")</f>
        <v/>
      </c>
      <c r="P11" s="41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8" t="str">
        <f>IFERROR(IF(VLOOKUP($C$7,全车数据表!$B:$AP,17,0)&lt;&gt;0,VLOOKUP($C$7,全车数据表!$B:$AP,17,0),"暂无"),"")</f>
        <v/>
      </c>
      <c r="D12" s="408"/>
      <c r="E12" s="413" t="s">
        <v>162</v>
      </c>
      <c r="F12" s="413"/>
      <c r="G12" s="410" t="str">
        <f>IFERROR(IF(VLOOKUP($C$7,全车数据表!$B:$AP,39,0)&lt;&gt;0,VLOOKUP($C$7,全车数据表!$B:$AP,39,0),"暂无"),"")</f>
        <v/>
      </c>
      <c r="H12" s="412"/>
      <c r="I12" s="39"/>
      <c r="J12" s="40" t="s">
        <v>101</v>
      </c>
      <c r="K12" s="408" t="str">
        <f>IFERROR(IF(VLOOKUP($K$7,全车数据表!$C:$AP,16,0)&lt;&gt;0,VLOOKUP($K$7,全车数据表!$C:$AP,16,0),"暂无"),"")</f>
        <v/>
      </c>
      <c r="L12" s="408"/>
      <c r="M12" s="413" t="s">
        <v>162</v>
      </c>
      <c r="N12" s="413"/>
      <c r="O12" s="410" t="str">
        <f>IFERROR(IF(VLOOKUP($K$7,全车数据表!$C:$AP,38,0)&lt;&gt;0,VLOOKUP($K$7,全车数据表!$C:$AP,38,0),"暂无"),"")</f>
        <v/>
      </c>
      <c r="P12" s="41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26" t="str">
        <f>IFERROR(IF(VLOOKUP($C$7,全车数据表!$B:$AP,18,0)&lt;&gt;0,VLOOKUP($C$7,全车数据表!$B:$AP,18,0),"暂无"),"")</f>
        <v/>
      </c>
      <c r="D13" s="426"/>
      <c r="E13" s="428" t="s">
        <v>157</v>
      </c>
      <c r="F13" s="428"/>
      <c r="G13" s="429" t="str">
        <f>IFERROR(IF(VLOOKUP($C$7,全车数据表!$B:$AP,19,0)&lt;&gt;0,VLOOKUP($C$7,全车数据表!$B:$AP,19,0),"暂无"),"")</f>
        <v/>
      </c>
      <c r="H13" s="430"/>
      <c r="I13" s="39"/>
      <c r="J13" s="227" t="s">
        <v>102</v>
      </c>
      <c r="K13" s="426" t="str">
        <f>IFERROR(IF(VLOOKUP($K$7,全车数据表!$C:$AP,17,0)&lt;&gt;0,VLOOKUP($K$7,全车数据表!$C:$AP,17,0),"暂无"),"")</f>
        <v/>
      </c>
      <c r="L13" s="426"/>
      <c r="M13" s="428" t="s">
        <v>157</v>
      </c>
      <c r="N13" s="428"/>
      <c r="O13" s="429" t="str">
        <f>IFERROR(IF(VLOOKUP($K$7,全车数据表!$C:$AP,18,0)&lt;&gt;0,VLOOKUP($K$7,全车数据表!$C:$AP,18,0),"暂无"),"")</f>
        <v/>
      </c>
      <c r="P13" s="43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73" priority="24">
      <formula>$C$6="A"</formula>
    </cfRule>
    <cfRule type="expression" dxfId="72" priority="27">
      <formula>$C$6="D"</formula>
    </cfRule>
    <cfRule type="expression" dxfId="71" priority="26">
      <formula>$C$6="C"</formula>
    </cfRule>
    <cfRule type="expression" dxfId="70" priority="25">
      <formula>$C$6="B"</formula>
    </cfRule>
    <cfRule type="expression" dxfId="69" priority="23">
      <formula>$C$6="S"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2">
      <formula>$G$6="★★★★"</formula>
    </cfRule>
    <cfRule type="expression" dxfId="63" priority="43">
      <formula>$G$6="★★★"</formula>
    </cfRule>
    <cfRule type="expression" dxfId="62" priority="40">
      <formula>$G$6="★★★★★★"</formula>
    </cfRule>
    <cfRule type="expression" dxfId="61" priority="41">
      <formula>$G$6="★★★★★"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22">
      <formula>$K$6="D"</formula>
    </cfRule>
    <cfRule type="expression" dxfId="55" priority="21">
      <formula>$K$6="C"</formula>
    </cfRule>
    <cfRule type="expression" dxfId="54" priority="20">
      <formula>$K$6="B"</formula>
    </cfRule>
    <cfRule type="expression" dxfId="53" priority="18">
      <formula>$K$6="S"</formula>
    </cfRule>
    <cfRule type="expression" dxfId="52" priority="19">
      <formula>$K$6="A"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7">
      <formula>$O$6="★★★"</formula>
    </cfRule>
    <cfRule type="expression" dxfId="49" priority="16">
      <formula>$O$6="★★★★"</formula>
    </cfRule>
    <cfRule type="expression" dxfId="48" priority="15">
      <formula>OR($O$6="★★★★★",$O$6="★★★★★★")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42" t="s">
        <v>92</v>
      </c>
      <c r="B1" s="440" t="s">
        <v>93</v>
      </c>
      <c r="C1" s="440"/>
      <c r="D1" s="440"/>
      <c r="E1" s="440"/>
      <c r="F1" s="440" t="s">
        <v>94</v>
      </c>
      <c r="G1" s="444"/>
      <c r="H1" s="444"/>
      <c r="I1" s="444"/>
      <c r="J1" s="444"/>
      <c r="K1" s="203" t="s">
        <v>157</v>
      </c>
      <c r="L1" s="440" t="s">
        <v>188</v>
      </c>
      <c r="M1" s="440"/>
      <c r="N1" s="440"/>
      <c r="O1" s="440"/>
      <c r="P1" s="441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全车数据表!N27</f>
        <v>128</v>
      </c>
      <c r="M16" s="261">
        <f>全车数据表!AJ27*4</f>
        <v>28</v>
      </c>
      <c r="N16" s="176">
        <f>全车数据表!AL27*4</f>
        <v>8</v>
      </c>
      <c r="O16" s="182">
        <f>IF(全车数据表!AN27="×",全车数据表!AN27,4*全车数据表!AN27)</f>
        <v>4</v>
      </c>
      <c r="P16" s="196">
        <f>全车数据表!AP27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全车数据表!N28</f>
        <v>128</v>
      </c>
      <c r="M17" s="261">
        <f>全车数据表!AJ28*4</f>
        <v>28</v>
      </c>
      <c r="N17" s="176">
        <f>全车数据表!AL28*4</f>
        <v>8</v>
      </c>
      <c r="O17" s="182">
        <f>IF(全车数据表!AN28="×",全车数据表!AN28,4*全车数据表!AN28)</f>
        <v>4</v>
      </c>
      <c r="P17" s="196">
        <f>全车数据表!AP28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全车数据表!N29</f>
        <v>128</v>
      </c>
      <c r="M18" s="261">
        <f>全车数据表!AJ29*4</f>
        <v>28</v>
      </c>
      <c r="N18" s="176">
        <f>全车数据表!AL29*4</f>
        <v>8</v>
      </c>
      <c r="O18" s="182">
        <f>IF(全车数据表!AN29="×",全车数据表!AN29,4*全车数据表!AN29)</f>
        <v>4</v>
      </c>
      <c r="P18" s="196">
        <f>全车数据表!AP29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全车数据表!N31</f>
        <v>128</v>
      </c>
      <c r="M19" s="262">
        <f>全车数据表!AJ31*4</f>
        <v>28</v>
      </c>
      <c r="N19" s="177">
        <f>全车数据表!AL31*4</f>
        <v>8</v>
      </c>
      <c r="O19" s="191">
        <f>IF(全车数据表!AN31="×",全车数据表!AN31,4*全车数据表!AN31)</f>
        <v>4</v>
      </c>
      <c r="P19" s="197">
        <f>全车数据表!AP31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全车数据表!N37</f>
        <v>85</v>
      </c>
      <c r="M20" s="263">
        <f>全车数据表!AJ37*4</f>
        <v>16</v>
      </c>
      <c r="N20" s="188">
        <f>全车数据表!AL37*4</f>
        <v>4</v>
      </c>
      <c r="O20" s="192">
        <f>IF(全车数据表!AN37="×",全车数据表!AN37,4*全车数据表!AN37)</f>
        <v>4</v>
      </c>
      <c r="P20" s="198">
        <f>全车数据表!AP37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全车数据表!N38</f>
        <v>90</v>
      </c>
      <c r="M21" s="260">
        <f>全车数据表!AJ38*4</f>
        <v>16</v>
      </c>
      <c r="N21" s="174">
        <f>全车数据表!AL38*4</f>
        <v>4</v>
      </c>
      <c r="O21" s="179">
        <f>IF(全车数据表!AN38="×",全车数据表!AN38,4*全车数据表!AN38)</f>
        <v>4</v>
      </c>
      <c r="P21" s="195">
        <f>全车数据表!AP38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全车数据表!N40</f>
        <v>95</v>
      </c>
      <c r="M22" s="260">
        <f>全车数据表!AJ40*4</f>
        <v>16</v>
      </c>
      <c r="N22" s="174">
        <f>全车数据表!AL40*4</f>
        <v>4</v>
      </c>
      <c r="O22" s="179">
        <f>IF(全车数据表!AN40="×",全车数据表!AN40,4*全车数据表!AN40)</f>
        <v>4</v>
      </c>
      <c r="P22" s="195">
        <f>全车数据表!AP40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全车数据表!N41</f>
        <v>90</v>
      </c>
      <c r="M23" s="260">
        <f>全车数据表!AJ41*4</f>
        <v>16</v>
      </c>
      <c r="N23" s="174">
        <f>全车数据表!AL41*4</f>
        <v>4</v>
      </c>
      <c r="O23" s="179">
        <f>IF(全车数据表!AN41="×",全车数据表!AN41,4*全车数据表!AN41)</f>
        <v>4</v>
      </c>
      <c r="P23" s="195">
        <f>全车数据表!AP41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全车数据表!N42</f>
        <v>100</v>
      </c>
      <c r="M24" s="260">
        <f>全车数据表!AJ42*4</f>
        <v>16</v>
      </c>
      <c r="N24" s="174">
        <f>全车数据表!AL42*4</f>
        <v>4</v>
      </c>
      <c r="O24" s="179">
        <f>IF(全车数据表!AN42="×",全车数据表!AN42,4*全车数据表!AN42)</f>
        <v>4</v>
      </c>
      <c r="P24" s="195">
        <f>全车数据表!AP42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全车数据表!N43</f>
        <v>110</v>
      </c>
      <c r="M25" s="260">
        <f>全车数据表!AJ43*4</f>
        <v>16</v>
      </c>
      <c r="N25" s="174">
        <f>全车数据表!AL43*4</f>
        <v>4</v>
      </c>
      <c r="O25" s="179">
        <f>IF(全车数据表!AN43="×",全车数据表!AN43,4*全车数据表!AN43)</f>
        <v>4</v>
      </c>
      <c r="P25" s="195">
        <f>全车数据表!AP43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全车数据表!N44</f>
        <v>103</v>
      </c>
      <c r="M26" s="260">
        <f>全车数据表!AJ44*4</f>
        <v>24</v>
      </c>
      <c r="N26" s="174">
        <f>全车数据表!AL44*4</f>
        <v>12</v>
      </c>
      <c r="O26" s="179">
        <f>IF(全车数据表!AN44="×",全车数据表!AN44,4*全车数据表!AN44)</f>
        <v>4</v>
      </c>
      <c r="P26" s="195">
        <f>全车数据表!AP44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全车数据表!N47</f>
        <v>103</v>
      </c>
      <c r="M27" s="260">
        <f>全车数据表!AJ47*4</f>
        <v>24</v>
      </c>
      <c r="N27" s="174">
        <f>全车数据表!AL47*4</f>
        <v>12</v>
      </c>
      <c r="O27" s="179">
        <f>IF(全车数据表!AN47="×",全车数据表!AN47,4*全车数据表!AN47)</f>
        <v>4</v>
      </c>
      <c r="P27" s="195">
        <f>全车数据表!AP47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全车数据表!N49</f>
        <v>165</v>
      </c>
      <c r="M28" s="264">
        <f>全车数据表!AJ49*4</f>
        <v>24</v>
      </c>
      <c r="N28" s="189">
        <f>全车数据表!AL49*4</f>
        <v>12</v>
      </c>
      <c r="O28" s="193">
        <f>IF(全车数据表!AN49="×",全车数据表!AN49,4*全车数据表!AN49)</f>
        <v>4</v>
      </c>
      <c r="P28" s="195">
        <f>全车数据表!AP49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全车数据表!N50</f>
        <v>103</v>
      </c>
      <c r="M29" s="260">
        <f>全车数据表!AJ50*4</f>
        <v>24</v>
      </c>
      <c r="N29" s="174">
        <f>全车数据表!AL50*4</f>
        <v>12</v>
      </c>
      <c r="O29" s="179">
        <f>IF(全车数据表!AN50="×",全车数据表!AN50,4*全车数据表!AN50)</f>
        <v>4</v>
      </c>
      <c r="P29" s="195">
        <f>全车数据表!AP50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全车数据表!N51</f>
        <v>165</v>
      </c>
      <c r="M30" s="260">
        <f>全车数据表!AJ51*4</f>
        <v>24</v>
      </c>
      <c r="N30" s="174">
        <f>全车数据表!AL51*4</f>
        <v>12</v>
      </c>
      <c r="O30" s="179">
        <f>IF(全车数据表!AN51="×",全车数据表!AN51,4*全车数据表!AN51)</f>
        <v>4</v>
      </c>
      <c r="P30" s="195">
        <f>全车数据表!AP51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全车数据表!N53</f>
        <v>103</v>
      </c>
      <c r="M31" s="260">
        <f>全车数据表!AJ53*4</f>
        <v>24</v>
      </c>
      <c r="N31" s="174">
        <f>全车数据表!AL53*4</f>
        <v>12</v>
      </c>
      <c r="O31" s="179">
        <f>IF(全车数据表!AN53="×",全车数据表!AN53,4*全车数据表!AN53)</f>
        <v>4</v>
      </c>
      <c r="P31" s="195">
        <f>全车数据表!AP53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全车数据表!N54</f>
        <v>103</v>
      </c>
      <c r="M32" s="260">
        <f>全车数据表!AJ54*4</f>
        <v>24</v>
      </c>
      <c r="N32" s="174">
        <f>全车数据表!AL54*4</f>
        <v>12</v>
      </c>
      <c r="O32" s="179">
        <f>IF(全车数据表!AN54="×",全车数据表!AN54,4*全车数据表!AN54)</f>
        <v>4</v>
      </c>
      <c r="P32" s="195">
        <f>全车数据表!AP54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全车数据表!N63</f>
        <v>134</v>
      </c>
      <c r="M33" s="260">
        <f>全车数据表!AJ63*4</f>
        <v>36</v>
      </c>
      <c r="N33" s="174">
        <f>全车数据表!AL63*4</f>
        <v>16</v>
      </c>
      <c r="O33" s="179">
        <f>IF(全车数据表!AN63="×",全车数据表!AN63,4*全车数据表!AN63)</f>
        <v>8</v>
      </c>
      <c r="P33" s="195">
        <f>全车数据表!AP63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全车数据表!N67</f>
        <v>133</v>
      </c>
      <c r="M34" s="260">
        <f>全车数据表!AJ67*4</f>
        <v>36</v>
      </c>
      <c r="N34" s="174">
        <f>全车数据表!AL67*4</f>
        <v>16</v>
      </c>
      <c r="O34" s="179">
        <f>IF(全车数据表!AN67="×",全车数据表!AN67,4*全车数据表!AN67)</f>
        <v>8</v>
      </c>
      <c r="P34" s="195">
        <f>全车数据表!AP67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全车数据表!N76</f>
        <v>134</v>
      </c>
      <c r="M35" s="260">
        <f>全车数据表!AJ76*4</f>
        <v>36</v>
      </c>
      <c r="N35" s="174">
        <f>全车数据表!AL76*4</f>
        <v>16</v>
      </c>
      <c r="O35" s="179">
        <f>IF(全车数据表!AN76="×",全车数据表!AN76,4*全车数据表!AN76)</f>
        <v>8</v>
      </c>
      <c r="P35" s="195">
        <f>全车数据表!AP76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全车数据表!N76</f>
        <v>134</v>
      </c>
      <c r="M36" s="260">
        <f>全车数据表!AJ76*4</f>
        <v>36</v>
      </c>
      <c r="N36" s="174">
        <f>全车数据表!AL76*4</f>
        <v>16</v>
      </c>
      <c r="O36" s="179">
        <f>IF(全车数据表!AN76="×",全车数据表!AN76,4*全车数据表!AN76)</f>
        <v>8</v>
      </c>
      <c r="P36" s="195">
        <f>全车数据表!AP76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全车数据表!N79</f>
        <v>130</v>
      </c>
      <c r="M37" s="259">
        <f>全车数据表!AJ79*4</f>
        <v>24</v>
      </c>
      <c r="N37" s="181">
        <f>全车数据表!AL79*4</f>
        <v>4</v>
      </c>
      <c r="O37" s="183">
        <f>IF(全车数据表!AN79="×",全车数据表!AN79,4*全车数据表!AN79)</f>
        <v>4</v>
      </c>
      <c r="P37" s="194">
        <f>全车数据表!AP79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全车数据表!N80</f>
        <v>130</v>
      </c>
      <c r="M38" s="260">
        <f>全车数据表!AJ80*4</f>
        <v>24</v>
      </c>
      <c r="N38" s="174">
        <f>全车数据表!AL80*4</f>
        <v>4</v>
      </c>
      <c r="O38" s="179">
        <f>IF(全车数据表!AN80="×",全车数据表!AN80,4*全车数据表!AN80)</f>
        <v>4</v>
      </c>
      <c r="P38" s="195">
        <f>全车数据表!AP80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全车数据表!N81</f>
        <v>108</v>
      </c>
      <c r="M39" s="260">
        <f>全车数据表!AJ81*4</f>
        <v>24</v>
      </c>
      <c r="N39" s="174">
        <f>全车数据表!AL81*4</f>
        <v>16</v>
      </c>
      <c r="O39" s="179">
        <f>IF(全车数据表!AN81="×",全车数据表!AN81,4*全车数据表!AN81)</f>
        <v>8</v>
      </c>
      <c r="P39" s="195">
        <f>全车数据表!AP81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全车数据表!N83</f>
        <v>140</v>
      </c>
      <c r="M40" s="260">
        <f>全车数据表!AJ83*4</f>
        <v>24</v>
      </c>
      <c r="N40" s="174">
        <f>全车数据表!AL83*4</f>
        <v>4</v>
      </c>
      <c r="O40" s="179">
        <f>IF(全车数据表!AN83="×",全车数据表!AN83,4*全车数据表!AN83)</f>
        <v>4</v>
      </c>
      <c r="P40" s="195">
        <f>全车数据表!AP83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全车数据表!N84</f>
        <v>188</v>
      </c>
      <c r="M41" s="260">
        <f>全车数据表!AJ84*4</f>
        <v>24</v>
      </c>
      <c r="N41" s="174">
        <f>全车数据表!AL84*4</f>
        <v>16</v>
      </c>
      <c r="O41" s="179">
        <f>IF(全车数据表!AN84="×",全车数据表!AN84,4*全车数据表!AN84)</f>
        <v>8</v>
      </c>
      <c r="P41" s="195">
        <f>全车数据表!AP84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全车数据表!N85</f>
        <v>113</v>
      </c>
      <c r="M42" s="260">
        <f>全车数据表!AJ85*4</f>
        <v>24</v>
      </c>
      <c r="N42" s="174">
        <f>全车数据表!AL85*4</f>
        <v>16</v>
      </c>
      <c r="O42" s="179">
        <f>IF(全车数据表!AN85="×",全车数据表!AN85,4*全车数据表!AN85)</f>
        <v>8</v>
      </c>
      <c r="P42" s="195">
        <f>全车数据表!AP85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全车数据表!N86</f>
        <v>118</v>
      </c>
      <c r="M43" s="260">
        <f>全车数据表!AJ86*4</f>
        <v>24</v>
      </c>
      <c r="N43" s="174">
        <f>全车数据表!AL86*4</f>
        <v>16</v>
      </c>
      <c r="O43" s="179">
        <f>IF(全车数据表!AN86="×",全车数据表!AN86,4*全车数据表!AN86)</f>
        <v>8</v>
      </c>
      <c r="P43" s="195">
        <f>全车数据表!AP86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全车数据表!N89</f>
        <v>118</v>
      </c>
      <c r="M44" s="260">
        <f>全车数据表!AJ89*4</f>
        <v>24</v>
      </c>
      <c r="N44" s="174">
        <f>全车数据表!AL89*4</f>
        <v>16</v>
      </c>
      <c r="O44" s="179">
        <f>IF(全车数据表!AN89="×",全车数据表!AN89,4*全车数据表!AN89)</f>
        <v>8</v>
      </c>
      <c r="P44" s="195">
        <f>全车数据表!AP89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全车数据表!N92</f>
        <v>173</v>
      </c>
      <c r="M45" s="264">
        <f>全车数据表!AJ92*4</f>
        <v>24</v>
      </c>
      <c r="N45" s="189">
        <f>全车数据表!AL92*4</f>
        <v>16</v>
      </c>
      <c r="O45" s="193">
        <f>IF(全车数据表!AN92="×",全车数据表!AN92,4*全车数据表!AN92)</f>
        <v>8</v>
      </c>
      <c r="P45" s="195">
        <f>全车数据表!AP92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全车数据表!N95</f>
        <v>118</v>
      </c>
      <c r="M46" s="260">
        <f>全车数据表!AJ95*4</f>
        <v>24</v>
      </c>
      <c r="N46" s="174">
        <f>全车数据表!AL95*4</f>
        <v>16</v>
      </c>
      <c r="O46" s="179">
        <f>IF(全车数据表!AN95="×",全车数据表!AN95,4*全车数据表!AN95)</f>
        <v>8</v>
      </c>
      <c r="P46" s="195">
        <f>全车数据表!AP95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全车数据表!N98</f>
        <v>118</v>
      </c>
      <c r="M47" s="260">
        <f>全车数据表!AJ98*4</f>
        <v>24</v>
      </c>
      <c r="N47" s="174">
        <f>全车数据表!AL98*4</f>
        <v>16</v>
      </c>
      <c r="O47" s="179">
        <f>IF(全车数据表!AN98="×",全车数据表!AN98,4*全车数据表!AN98)</f>
        <v>8</v>
      </c>
      <c r="P47" s="195">
        <f>全车数据表!AP98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全车数据表!N101</f>
        <v>105</v>
      </c>
      <c r="M48" s="260">
        <f>全车数据表!AJ101*4</f>
        <v>32</v>
      </c>
      <c r="N48" s="174">
        <f>全车数据表!AL101*4</f>
        <v>20</v>
      </c>
      <c r="O48" s="179">
        <f>IF(全车数据表!AN101="×",全车数据表!AN101,4*全车数据表!AN101)</f>
        <v>8</v>
      </c>
      <c r="P48" s="195">
        <f>全车数据表!AP101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全车数据表!N105</f>
        <v>105</v>
      </c>
      <c r="M49" s="260">
        <f>全车数据表!AJ105*4</f>
        <v>32</v>
      </c>
      <c r="N49" s="174">
        <f>全车数据表!AL105*4</f>
        <v>20</v>
      </c>
      <c r="O49" s="179">
        <f>IF(全车数据表!AN105="×",全车数据表!AN105,4*全车数据表!AN105)</f>
        <v>8</v>
      </c>
      <c r="P49" s="195">
        <f>全车数据表!AP105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全车数据表!N107</f>
        <v>162</v>
      </c>
      <c r="M50" s="260">
        <f>全车数据表!AJ107*4</f>
        <v>32</v>
      </c>
      <c r="N50" s="174">
        <f>全车数据表!AL107*4</f>
        <v>20</v>
      </c>
      <c r="O50" s="179">
        <f>IF(全车数据表!AN107="×",全车数据表!AN107,4*全车数据表!AN107)</f>
        <v>8</v>
      </c>
      <c r="P50" s="195">
        <f>全车数据表!AP107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全车数据表!N109</f>
        <v>105</v>
      </c>
      <c r="M51" s="260">
        <f>全车数据表!AJ109*4</f>
        <v>32</v>
      </c>
      <c r="N51" s="174">
        <f>全车数据表!AL109*4</f>
        <v>20</v>
      </c>
      <c r="O51" s="179">
        <f>IF(全车数据表!AN109="×",全车数据表!AN109,4*全车数据表!AN109)</f>
        <v>8</v>
      </c>
      <c r="P51" s="195">
        <f>全车数据表!AP109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全车数据表!N113</f>
        <v>105</v>
      </c>
      <c r="M52" s="260">
        <f>全车数据表!AJ113*4</f>
        <v>32</v>
      </c>
      <c r="N52" s="174">
        <f>全车数据表!AL113*4</f>
        <v>20</v>
      </c>
      <c r="O52" s="179">
        <f>IF(全车数据表!AN113="×",全车数据表!AN113,4*全车数据表!AN113)</f>
        <v>8</v>
      </c>
      <c r="P52" s="195">
        <f>全车数据表!AP113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全车数据表!N114</f>
        <v>162</v>
      </c>
      <c r="M53" s="260">
        <f>全车数据表!AJ114*4</f>
        <v>32</v>
      </c>
      <c r="N53" s="174">
        <f>全车数据表!AL114*4</f>
        <v>20</v>
      </c>
      <c r="O53" s="179">
        <f>IF(全车数据表!AN114="×",全车数据表!AN114,4*全车数据表!AN114)</f>
        <v>8</v>
      </c>
      <c r="P53" s="195">
        <f>全车数据表!AP114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全车数据表!N115</f>
        <v>162</v>
      </c>
      <c r="M54" s="260">
        <f>全车数据表!AJ115*4</f>
        <v>32</v>
      </c>
      <c r="N54" s="174">
        <f>全车数据表!AL115*4</f>
        <v>20</v>
      </c>
      <c r="O54" s="179">
        <f>IF(全车数据表!AN115="×",全车数据表!AN115,4*全车数据表!AN115)</f>
        <v>8</v>
      </c>
      <c r="P54" s="195">
        <f>全车数据表!AP115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全车数据表!N120</f>
        <v>162</v>
      </c>
      <c r="M55" s="263">
        <f>全车数据表!AJ120*4</f>
        <v>32</v>
      </c>
      <c r="N55" s="188">
        <f>全车数据表!AL120*4</f>
        <v>20</v>
      </c>
      <c r="O55" s="192">
        <f>IF(全车数据表!AN120="×",全车数据表!AN120,4*全车数据表!AN120)</f>
        <v>8</v>
      </c>
      <c r="P55" s="195">
        <f>全车数据表!AP120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全车数据表!N121</f>
        <v>162</v>
      </c>
      <c r="M56" s="263">
        <f>全车数据表!AJ121*4</f>
        <v>32</v>
      </c>
      <c r="N56" s="188">
        <f>全车数据表!AL121*4</f>
        <v>20</v>
      </c>
      <c r="O56" s="192">
        <f>IF(全车数据表!AN121="×",全车数据表!AN121,4*全车数据表!AN121)</f>
        <v>8</v>
      </c>
      <c r="P56" s="195">
        <f>全车数据表!AP121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全车数据表!N125</f>
        <v>226</v>
      </c>
      <c r="M57" s="263">
        <f>全车数据表!AJ125*4</f>
        <v>32</v>
      </c>
      <c r="N57" s="188">
        <f>全车数据表!AL125*4</f>
        <v>20</v>
      </c>
      <c r="O57" s="192">
        <f>IF(全车数据表!AN125="×",全车数据表!AN125,4*全车数据表!AN125)</f>
        <v>12</v>
      </c>
      <c r="P57" s="195">
        <f>全车数据表!AP125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全车数据表!N128</f>
        <v>240</v>
      </c>
      <c r="M58" s="263">
        <f>全车数据表!AJ128*4</f>
        <v>32</v>
      </c>
      <c r="N58" s="188">
        <f>全车数据表!AL128*4</f>
        <v>20</v>
      </c>
      <c r="O58" s="192">
        <f>IF(全车数据表!AN128="×",全车数据表!AN128,4*全车数据表!AN128)</f>
        <v>12</v>
      </c>
      <c r="P58" s="195">
        <f>全车数据表!AP128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全车数据表!N129</f>
        <v>245</v>
      </c>
      <c r="M59" s="263">
        <f>全车数据表!AJ129*4</f>
        <v>32</v>
      </c>
      <c r="N59" s="188">
        <f>全车数据表!AL129*4</f>
        <v>20</v>
      </c>
      <c r="O59" s="192">
        <f>IF(全车数据表!AN129="×",全车数据表!AN129,4*全车数据表!AN129)</f>
        <v>12</v>
      </c>
      <c r="P59" s="195">
        <f>全车数据表!AP129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全车数据表!N134</f>
        <v>136</v>
      </c>
      <c r="M60" s="259">
        <f>全车数据表!AJ134*4</f>
        <v>20</v>
      </c>
      <c r="N60" s="181">
        <f>全车数据表!AL134*4</f>
        <v>20</v>
      </c>
      <c r="O60" s="183">
        <f>IF(全车数据表!AN134="×",全车数据表!AN134,4*全车数据表!AN134)</f>
        <v>8</v>
      </c>
      <c r="P60" s="194">
        <f>全车数据表!AP134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全车数据表!N135</f>
        <v>136</v>
      </c>
      <c r="M61" s="260">
        <f>全车数据表!AJ135*4</f>
        <v>20</v>
      </c>
      <c r="N61" s="174">
        <f>全车数据表!AL135*4</f>
        <v>20</v>
      </c>
      <c r="O61" s="179">
        <f>IF(全车数据表!AN135="×",全车数据表!AN135,4*全车数据表!AN135)</f>
        <v>8</v>
      </c>
      <c r="P61" s="195">
        <f>全车数据表!AP135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全车数据表!N137</f>
        <v>136</v>
      </c>
      <c r="M62" s="260">
        <f>全车数据表!AJ137*4</f>
        <v>20</v>
      </c>
      <c r="N62" s="174">
        <f>全车数据表!AL137*4</f>
        <v>20</v>
      </c>
      <c r="O62" s="179">
        <f>IF(全车数据表!AN137="×",全车数据表!AN137,4*全车数据表!AN137)</f>
        <v>8</v>
      </c>
      <c r="P62" s="195">
        <f>全车数据表!AP137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全车数据表!N138</f>
        <v>136</v>
      </c>
      <c r="M63" s="260">
        <f>全车数据表!AJ138*4</f>
        <v>20</v>
      </c>
      <c r="N63" s="174">
        <f>全车数据表!AL138*4</f>
        <v>20</v>
      </c>
      <c r="O63" s="179">
        <f>IF(全车数据表!AN138="×",全车数据表!AN138,4*全车数据表!AN138)</f>
        <v>8</v>
      </c>
      <c r="P63" s="195">
        <f>全车数据表!AP138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全车数据表!N140</f>
        <v>122</v>
      </c>
      <c r="M64" s="260">
        <f>全车数据表!AJ140*4</f>
        <v>24</v>
      </c>
      <c r="N64" s="174">
        <f>全车数据表!AL140*4</f>
        <v>20</v>
      </c>
      <c r="O64" s="179">
        <f>IF(全车数据表!AN140="×",全车数据表!AN140,4*全车数据表!AN140)</f>
        <v>12</v>
      </c>
      <c r="P64" s="195">
        <f>全车数据表!AP140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全车数据表!N141</f>
        <v>122</v>
      </c>
      <c r="M65" s="260">
        <f>全车数据表!AJ141*4</f>
        <v>24</v>
      </c>
      <c r="N65" s="174">
        <f>全车数据表!AL141*4</f>
        <v>20</v>
      </c>
      <c r="O65" s="179">
        <f>IF(全车数据表!AN141="×",全车数据表!AN141,4*全车数据表!AN141)</f>
        <v>12</v>
      </c>
      <c r="P65" s="195">
        <f>全车数据表!AP141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全车数据表!N143</f>
        <v>122</v>
      </c>
      <c r="M66" s="260">
        <f>全车数据表!AJ143*4</f>
        <v>24</v>
      </c>
      <c r="N66" s="174">
        <f>全车数据表!AL143*4</f>
        <v>20</v>
      </c>
      <c r="O66" s="179">
        <f>IF(全车数据表!AN143="×",全车数据表!AN143,4*全车数据表!AN143)</f>
        <v>12</v>
      </c>
      <c r="P66" s="195">
        <f>全车数据表!AP143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全车数据表!N144</f>
        <v>187</v>
      </c>
      <c r="M67" s="260">
        <f>全车数据表!AJ144*4</f>
        <v>24</v>
      </c>
      <c r="N67" s="174">
        <f>全车数据表!AL144*4</f>
        <v>20</v>
      </c>
      <c r="O67" s="179">
        <f>IF(全车数据表!AN144="×",全车数据表!AN144,4*全车数据表!AN144)</f>
        <v>12</v>
      </c>
      <c r="P67" s="195">
        <f>全车数据表!AP144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全车数据表!N146</f>
        <v>187</v>
      </c>
      <c r="M68" s="264">
        <f>全车数据表!AJ146*4</f>
        <v>24</v>
      </c>
      <c r="N68" s="189">
        <f>全车数据表!AL146*4</f>
        <v>20</v>
      </c>
      <c r="O68" s="193">
        <f>IF(全车数据表!AN146="×",全车数据表!AN146,4*全车数据表!AN146)</f>
        <v>12</v>
      </c>
      <c r="P68" s="195">
        <f>全车数据表!AP146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全车数据表!N148</f>
        <v>132</v>
      </c>
      <c r="M69" s="260">
        <f>全车数据表!AJ148*4</f>
        <v>24</v>
      </c>
      <c r="N69" s="174">
        <f>全车数据表!AL148*4</f>
        <v>20</v>
      </c>
      <c r="O69" s="179">
        <f>IF(全车数据表!AN148="×",全车数据表!AN148,4*全车数据表!AN148)</f>
        <v>12</v>
      </c>
      <c r="P69" s="195">
        <f>全车数据表!AP148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全车数据表!N151</f>
        <v>122</v>
      </c>
      <c r="M70" s="260">
        <f>全车数据表!AJ151*4</f>
        <v>24</v>
      </c>
      <c r="N70" s="174">
        <f>全车数据表!AL151*4</f>
        <v>20</v>
      </c>
      <c r="O70" s="179">
        <f>IF(全车数据表!AN151="×",全车数据表!AN151,4*全车数据表!AN151)</f>
        <v>12</v>
      </c>
      <c r="P70" s="195">
        <f>全车数据表!AP151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全车数据表!N152</f>
        <v>250</v>
      </c>
      <c r="M71" s="260">
        <f>全车数据表!AJ152*4</f>
        <v>24</v>
      </c>
      <c r="N71" s="174">
        <f>全车数据表!AL152*4</f>
        <v>20</v>
      </c>
      <c r="O71" s="179">
        <f>IF(全车数据表!AN152="×",全车数据表!AN152,4*全车数据表!AN152)</f>
        <v>16</v>
      </c>
      <c r="P71" s="195">
        <f>全车数据表!AP152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全车数据表!N154</f>
        <v>183</v>
      </c>
      <c r="M72" s="260">
        <f>全车数据表!AJ154*4</f>
        <v>24</v>
      </c>
      <c r="N72" s="174">
        <f>全车数据表!AL154*4</f>
        <v>20</v>
      </c>
      <c r="O72" s="179">
        <f>IF(全车数据表!AN154="×",全车数据表!AN154,4*全车数据表!AN154)</f>
        <v>16</v>
      </c>
      <c r="P72" s="195">
        <f>全车数据表!AP154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全车数据表!N155</f>
        <v>187</v>
      </c>
      <c r="M73" s="260">
        <f>全车数据表!AJ155*4</f>
        <v>24</v>
      </c>
      <c r="N73" s="174">
        <f>全车数据表!AL155*4</f>
        <v>20</v>
      </c>
      <c r="O73" s="179">
        <f>IF(全车数据表!AN155="×",全车数据表!AN155,4*全车数据表!AN155)</f>
        <v>12</v>
      </c>
      <c r="P73" s="195">
        <f>全车数据表!AP155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全车数据表!N162</f>
        <v>249</v>
      </c>
      <c r="M74" s="260">
        <f>全车数据表!AJ162*4</f>
        <v>24</v>
      </c>
      <c r="N74" s="174">
        <f>全车数据表!AL162*4</f>
        <v>20</v>
      </c>
      <c r="O74" s="179">
        <f>IF(全车数据表!AN162="×",全车数据表!AN162,4*全车数据表!AN162)</f>
        <v>16</v>
      </c>
      <c r="P74" s="195">
        <f>全车数据表!AP162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全车数据表!N163</f>
        <v>183</v>
      </c>
      <c r="M75" s="260">
        <f>全车数据表!AJ163*4</f>
        <v>24</v>
      </c>
      <c r="N75" s="174">
        <f>全车数据表!AL163*4</f>
        <v>20</v>
      </c>
      <c r="O75" s="179">
        <f>IF(全车数据表!AN163="×",全车数据表!AN163,4*全车数据表!AN163)</f>
        <v>16</v>
      </c>
      <c r="P75" s="195">
        <f>全车数据表!AP163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全车数据表!N165</f>
        <v>249</v>
      </c>
      <c r="M76" s="260">
        <f>全车数据表!AJ165*4</f>
        <v>24</v>
      </c>
      <c r="N76" s="174">
        <f>全车数据表!AL165*4</f>
        <v>20</v>
      </c>
      <c r="O76" s="179">
        <f>IF(全车数据表!AN165="×",全车数据表!AN165,4*全车数据表!AN165)</f>
        <v>16</v>
      </c>
      <c r="P76" s="195">
        <f>全车数据表!AP165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全车数据表!N166</f>
        <v>250</v>
      </c>
      <c r="M77" s="260">
        <f>全车数据表!AJ166*4</f>
        <v>24</v>
      </c>
      <c r="N77" s="174">
        <f>全车数据表!AL166*4</f>
        <v>20</v>
      </c>
      <c r="O77" s="179">
        <f>IF(全车数据表!AN166="×",全车数据表!AN166,4*全车数据表!AN166)</f>
        <v>16</v>
      </c>
      <c r="P77" s="195">
        <f>全车数据表!AP166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全车数据表!N169</f>
        <v>250</v>
      </c>
      <c r="M78" s="261">
        <f>全车数据表!AJ169*4</f>
        <v>24</v>
      </c>
      <c r="N78" s="176">
        <f>全车数据表!AL169*4</f>
        <v>20</v>
      </c>
      <c r="O78" s="182">
        <f>IF(全车数据表!AN169="×",全车数据表!AN169,4*全车数据表!AN169)</f>
        <v>16</v>
      </c>
      <c r="P78" s="196">
        <f>全车数据表!AP169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全车数据表!N170</f>
        <v>265</v>
      </c>
      <c r="M79" s="262">
        <f>全车数据表!AJ170*4</f>
        <v>24</v>
      </c>
      <c r="N79" s="177">
        <f>全车数据表!AL170*4</f>
        <v>20</v>
      </c>
      <c r="O79" s="191">
        <f>IF(全车数据表!AN170="×",全车数据表!AN170,4*全车数据表!AN170)</f>
        <v>16</v>
      </c>
      <c r="P79" s="197">
        <f>全车数据表!AP170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全车数据表!N178</f>
        <v>133</v>
      </c>
      <c r="M80" s="259">
        <f>全车数据表!AJ178*4</f>
        <v>28</v>
      </c>
      <c r="N80" s="181">
        <f>全车数据表!AL178*4</f>
        <v>20</v>
      </c>
      <c r="O80" s="183">
        <f>IF(全车数据表!AN178="×",全车数据表!AN178,4*全车数据表!AN178)</f>
        <v>12</v>
      </c>
      <c r="P80" s="194">
        <f>全车数据表!AP178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全车数据表!N179</f>
        <v>133</v>
      </c>
      <c r="M81" s="260">
        <f>全车数据表!AJ179*4</f>
        <v>28</v>
      </c>
      <c r="N81" s="174">
        <f>全车数据表!AL179*4</f>
        <v>20</v>
      </c>
      <c r="O81" s="179">
        <f>IF(全车数据表!AN179="×",全车数据表!AN179,4*全车数据表!AN179)</f>
        <v>12</v>
      </c>
      <c r="P81" s="195">
        <f>全车数据表!AP179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全车数据表!N180</f>
        <v>133</v>
      </c>
      <c r="M82" s="260">
        <f>全车数据表!AJ180*4</f>
        <v>28</v>
      </c>
      <c r="N82" s="174">
        <f>全车数据表!AL180*4</f>
        <v>20</v>
      </c>
      <c r="O82" s="179">
        <f>IF(全车数据表!AN180="×",全车数据表!AN180,4*全车数据表!AN180)</f>
        <v>12</v>
      </c>
      <c r="P82" s="195">
        <f>全车数据表!AP180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全车数据表!N181</f>
        <v>133</v>
      </c>
      <c r="M83" s="260">
        <f>全车数据表!AJ181*4</f>
        <v>28</v>
      </c>
      <c r="N83" s="174">
        <f>全车数据表!AL181*4</f>
        <v>20</v>
      </c>
      <c r="O83" s="179">
        <f>IF(全车数据表!AN181="×",全车数据表!AN181,4*全车数据表!AN181)</f>
        <v>12</v>
      </c>
      <c r="P83" s="195">
        <f>全车数据表!AP181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全车数据表!N183</f>
        <v>200</v>
      </c>
      <c r="M84" s="260">
        <f>全车数据表!AJ183*4</f>
        <v>28</v>
      </c>
      <c r="N84" s="174">
        <f>全车数据表!AL183*4</f>
        <v>20</v>
      </c>
      <c r="O84" s="179">
        <f>IF(全车数据表!AN183="×",全车数据表!AN183,4*全车数据表!AN183)</f>
        <v>16</v>
      </c>
      <c r="P84" s="195">
        <f>全车数据表!AP183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全车数据表!N185</f>
        <v>200</v>
      </c>
      <c r="M85" s="260">
        <f>全车数据表!AJ185*4</f>
        <v>28</v>
      </c>
      <c r="N85" s="174">
        <f>全车数据表!AL185*4</f>
        <v>20</v>
      </c>
      <c r="O85" s="179">
        <f>IF(全车数据表!AN185="×",全车数据表!AN185,4*全车数据表!AN185)</f>
        <v>16</v>
      </c>
      <c r="P85" s="195">
        <f>全车数据表!AP185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全车数据表!N187</f>
        <v>200</v>
      </c>
      <c r="M86" s="260">
        <f>全车数据表!AJ187*4</f>
        <v>28</v>
      </c>
      <c r="N86" s="174">
        <f>全车数据表!AL187*4</f>
        <v>20</v>
      </c>
      <c r="O86" s="179">
        <f>IF(全车数据表!AN187="×",全车数据表!AN187,4*全车数据表!AN187)</f>
        <v>16</v>
      </c>
      <c r="P86" s="195">
        <f>全车数据表!AP187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全车数据表!N191</f>
        <v>200</v>
      </c>
      <c r="M87" s="260">
        <f>全车数据表!AJ191*4</f>
        <v>28</v>
      </c>
      <c r="N87" s="174">
        <f>全车数据表!AL191*4</f>
        <v>20</v>
      </c>
      <c r="O87" s="179">
        <f>IF(全车数据表!AN191="×",全车数据表!AN191,4*全车数据表!AN191)</f>
        <v>16</v>
      </c>
      <c r="P87" s="195">
        <f>全车数据表!AP191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全车数据表!N193</f>
        <v>200</v>
      </c>
      <c r="M88" s="260">
        <f>全车数据表!AJ193*4</f>
        <v>28</v>
      </c>
      <c r="N88" s="174">
        <f>全车数据表!AL193*4</f>
        <v>20</v>
      </c>
      <c r="O88" s="179">
        <f>IF(全车数据表!AN193="×",全车数据表!AN193,4*全车数据表!AN193)</f>
        <v>16</v>
      </c>
      <c r="P88" s="195">
        <f>全车数据表!AP193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全车数据表!N195</f>
        <v>200</v>
      </c>
      <c r="M89" s="260">
        <f>全车数据表!AJ195*4</f>
        <v>28</v>
      </c>
      <c r="N89" s="174">
        <f>全车数据表!AL195*4</f>
        <v>20</v>
      </c>
      <c r="O89" s="179">
        <f>IF(全车数据表!AN195="×",全车数据表!AN195,4*全车数据表!AN195)</f>
        <v>16</v>
      </c>
      <c r="P89" s="195">
        <f>全车数据表!AP195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全车数据表!N197</f>
        <v>200</v>
      </c>
      <c r="M90" s="260">
        <f>全车数据表!AJ197*4</f>
        <v>28</v>
      </c>
      <c r="N90" s="174">
        <f>全车数据表!AL197*4</f>
        <v>20</v>
      </c>
      <c r="O90" s="179">
        <f>IF(全车数据表!AN197="×",全车数据表!AN197,4*全车数据表!AN197)</f>
        <v>16</v>
      </c>
      <c r="P90" s="195">
        <f>全车数据表!AP197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全车数据表!N199</f>
        <v>300</v>
      </c>
      <c r="M91" s="260">
        <f>全车数据表!AJ199*4</f>
        <v>28</v>
      </c>
      <c r="N91" s="174">
        <f>全车数据表!AL199*4</f>
        <v>20</v>
      </c>
      <c r="O91" s="179">
        <f>IF(全车数据表!AN199="×",全车数据表!AN199,4*全车数据表!AN199)</f>
        <v>16</v>
      </c>
      <c r="P91" s="195">
        <f>全车数据表!AP199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全车数据表!N203</f>
        <v>200</v>
      </c>
      <c r="M92" s="260">
        <f>全车数据表!AJ203*4</f>
        <v>28</v>
      </c>
      <c r="N92" s="174">
        <f>全车数据表!AL203*4</f>
        <v>20</v>
      </c>
      <c r="O92" s="179">
        <f>IF(全车数据表!AN203="×",全车数据表!AN203,4*全车数据表!AN203)</f>
        <v>16</v>
      </c>
      <c r="P92" s="195">
        <f>全车数据表!AP203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全车数据表!N206</f>
        <v>300</v>
      </c>
      <c r="M93" s="260">
        <f>全车数据表!AJ206*4</f>
        <v>28</v>
      </c>
      <c r="N93" s="174">
        <f>全车数据表!AL206*4</f>
        <v>20</v>
      </c>
      <c r="O93" s="179">
        <f>IF(全车数据表!AN206="×",全车数据表!AN206,4*全车数据表!AN206)</f>
        <v>16</v>
      </c>
      <c r="P93" s="195">
        <f>全车数据表!AP206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全车数据表!N210</f>
        <v>200</v>
      </c>
      <c r="M94" s="260">
        <f>全车数据表!AJ210*4</f>
        <v>28</v>
      </c>
      <c r="N94" s="174">
        <f>全车数据表!AL210*4</f>
        <v>20</v>
      </c>
      <c r="O94" s="179">
        <f>IF(全车数据表!AN210="×",全车数据表!AN210,4*全车数据表!AN210)</f>
        <v>16</v>
      </c>
      <c r="P94" s="195">
        <f>全车数据表!AP210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全车数据表!N217</f>
        <v>300</v>
      </c>
      <c r="M95" s="261">
        <f>全车数据表!AJ217*4</f>
        <v>28</v>
      </c>
      <c r="N95" s="176">
        <f>全车数据表!AL217*4</f>
        <v>20</v>
      </c>
      <c r="O95" s="182">
        <f>IF(全车数据表!AN217="×",全车数据表!AN217,4*全车数据表!AN217)</f>
        <v>16</v>
      </c>
      <c r="P95" s="196">
        <f>全车数据表!AP217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全车数据表!N220</f>
        <v>300</v>
      </c>
      <c r="M96" s="265">
        <f>全车数据表!AJ220*4</f>
        <v>28</v>
      </c>
      <c r="N96" s="200">
        <f>全车数据表!AL220*4</f>
        <v>20</v>
      </c>
      <c r="O96" s="201">
        <f>IF(全车数据表!AN220="×",全车数据表!AN220,4*全车数据表!AN220)</f>
        <v>16</v>
      </c>
      <c r="P96" s="202">
        <f>全车数据表!AP220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6" t="s">
        <v>170</v>
      </c>
      <c r="B97" s="437"/>
      <c r="C97" s="437"/>
      <c r="D97" s="439" t="str">
        <f>"金币："&amp;SUMIF(P:P,"&lt;&gt;0",P:P)</f>
        <v>金币：1151423120</v>
      </c>
      <c r="E97" s="439"/>
      <c r="F97" s="438" t="str">
        <f>"蓝色零件：4 × "&amp;SUMIF(M:M,"&lt;&gt;0",M:M)/4</f>
        <v>蓝色零件：4 × 602</v>
      </c>
      <c r="G97" s="438"/>
      <c r="H97" s="43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4"/>
      <c r="J97" s="434"/>
      <c r="K97" s="434"/>
      <c r="L97" s="434"/>
      <c r="M97" s="434"/>
      <c r="N97" s="434"/>
      <c r="O97" s="434"/>
      <c r="P97" s="43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4"/>
  <sheetViews>
    <sheetView showGridLines="0" zoomScale="90" zoomScaleNormal="90" workbookViewId="0">
      <pane xSplit="2" ySplit="2" topLeftCell="C218" activePane="bottomRight" state="frozen"/>
      <selection pane="topRight" activeCell="C1" sqref="C1"/>
      <selection pane="bottomLeft" activeCell="A3" sqref="A3"/>
      <selection pane="bottomRight" activeCell="O242" sqref="O242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4" customWidth="1"/>
    <col min="44" max="44" width="34.19921875" style="364" customWidth="1"/>
    <col min="45" max="45" width="13.19921875" style="351" customWidth="1"/>
    <col min="46" max="46" width="15.296875" style="351" customWidth="1"/>
    <col min="47" max="47" width="10.69921875" style="364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4" customWidth="1"/>
    <col min="76" max="76" width="8.69921875" style="364"/>
    <col min="77" max="77" width="8.69921875" style="371"/>
    <col min="78" max="85" width="8.69921875" style="370"/>
    <col min="86" max="86" width="10.69921875" style="370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4" customFormat="1" ht="25.2" customHeight="1" thickTop="1" thickBot="1">
      <c r="A1" s="332" t="s">
        <v>92</v>
      </c>
      <c r="B1" s="440" t="s">
        <v>93</v>
      </c>
      <c r="C1" s="440"/>
      <c r="D1" s="444"/>
      <c r="E1" s="444"/>
      <c r="F1" s="440" t="s">
        <v>51</v>
      </c>
      <c r="G1" s="440"/>
      <c r="H1" s="440" t="s">
        <v>82</v>
      </c>
      <c r="I1" s="440"/>
      <c r="J1" s="440"/>
      <c r="K1" s="440"/>
      <c r="L1" s="440"/>
      <c r="M1" s="440"/>
      <c r="N1" s="440"/>
      <c r="O1" s="440" t="s">
        <v>57</v>
      </c>
      <c r="P1" s="444"/>
      <c r="Q1" s="444"/>
      <c r="R1" s="444"/>
      <c r="S1" s="444"/>
      <c r="T1" s="203" t="s">
        <v>158</v>
      </c>
      <c r="U1" s="440" t="s">
        <v>80</v>
      </c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40" t="s">
        <v>81</v>
      </c>
      <c r="AJ1" s="444"/>
      <c r="AK1" s="444"/>
      <c r="AL1" s="444"/>
      <c r="AM1" s="444"/>
      <c r="AN1" s="444"/>
      <c r="AO1" s="444"/>
      <c r="AP1" s="372" t="s">
        <v>156</v>
      </c>
      <c r="AQ1" s="375"/>
      <c r="AR1" s="375"/>
      <c r="AS1" s="376"/>
      <c r="AT1" s="376"/>
      <c r="AU1" s="377" t="s">
        <v>1105</v>
      </c>
      <c r="AV1" s="375" t="s">
        <v>1228</v>
      </c>
      <c r="AW1" s="378" t="s">
        <v>1106</v>
      </c>
      <c r="AX1" s="378" t="s">
        <v>1107</v>
      </c>
      <c r="AY1" s="378" t="s">
        <v>1108</v>
      </c>
      <c r="AZ1" s="379" t="s">
        <v>1109</v>
      </c>
      <c r="BA1" s="448" t="s">
        <v>1229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48" t="s">
        <v>1230</v>
      </c>
      <c r="BO1" s="448"/>
      <c r="BP1" s="448"/>
      <c r="BQ1" s="448"/>
      <c r="BR1" s="448"/>
      <c r="BS1" s="448"/>
      <c r="BT1" s="448"/>
      <c r="BU1" s="380"/>
      <c r="BV1" s="375"/>
      <c r="BW1" s="375"/>
      <c r="BX1" s="375"/>
      <c r="BY1" s="381" t="s">
        <v>1231</v>
      </c>
      <c r="BZ1" s="382"/>
      <c r="CA1" s="382"/>
      <c r="CB1" s="382"/>
      <c r="CC1" s="445" t="s">
        <v>1232</v>
      </c>
      <c r="CD1" s="445"/>
      <c r="CE1" s="445"/>
      <c r="CF1" s="445"/>
      <c r="CG1" s="382"/>
      <c r="CH1" s="382"/>
      <c r="CI1" s="373"/>
      <c r="CJ1" s="373"/>
      <c r="CK1" s="373"/>
      <c r="CL1" s="373"/>
    </row>
    <row r="2" spans="1:90" s="374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6" t="s">
        <v>160</v>
      </c>
      <c r="AJ2" s="447"/>
      <c r="AK2" s="446" t="s">
        <v>161</v>
      </c>
      <c r="AL2" s="447"/>
      <c r="AM2" s="446" t="s">
        <v>162</v>
      </c>
      <c r="AN2" s="447"/>
      <c r="AO2" s="204" t="s">
        <v>83</v>
      </c>
      <c r="AP2" s="334"/>
      <c r="AQ2" s="375" t="s">
        <v>1233</v>
      </c>
      <c r="AR2" s="375" t="s">
        <v>1234</v>
      </c>
      <c r="AS2" s="383" t="s">
        <v>954</v>
      </c>
      <c r="AT2" s="376"/>
      <c r="AU2" s="383"/>
      <c r="AV2" s="375" t="s">
        <v>1228</v>
      </c>
      <c r="AW2" s="378" t="s">
        <v>1106</v>
      </c>
      <c r="AX2" s="378" t="s">
        <v>1107</v>
      </c>
      <c r="AY2" s="378" t="s">
        <v>1108</v>
      </c>
      <c r="AZ2" s="379"/>
      <c r="BA2" s="380" t="s">
        <v>1235</v>
      </c>
      <c r="BB2" s="380" t="s">
        <v>1236</v>
      </c>
      <c r="BC2" s="380" t="s">
        <v>1237</v>
      </c>
      <c r="BD2" s="380" t="s">
        <v>1238</v>
      </c>
      <c r="BE2" s="380" t="s">
        <v>1239</v>
      </c>
      <c r="BF2" s="380" t="s">
        <v>1240</v>
      </c>
      <c r="BG2" s="380" t="s">
        <v>1241</v>
      </c>
      <c r="BH2" s="380" t="s">
        <v>1242</v>
      </c>
      <c r="BI2" s="380" t="s">
        <v>1243</v>
      </c>
      <c r="BJ2" s="380" t="s">
        <v>1244</v>
      </c>
      <c r="BK2" s="380" t="s">
        <v>1245</v>
      </c>
      <c r="BL2" s="380" t="s">
        <v>1246</v>
      </c>
      <c r="BM2" s="380" t="s">
        <v>1247</v>
      </c>
      <c r="BN2" s="380" t="s">
        <v>1248</v>
      </c>
      <c r="BO2" s="380" t="s">
        <v>1249</v>
      </c>
      <c r="BP2" s="380" t="s">
        <v>1250</v>
      </c>
      <c r="BQ2" s="380" t="s">
        <v>1251</v>
      </c>
      <c r="BR2" s="380" t="s">
        <v>1252</v>
      </c>
      <c r="BS2" s="380" t="s">
        <v>1253</v>
      </c>
      <c r="BT2" s="380" t="s">
        <v>1254</v>
      </c>
      <c r="BU2" s="380" t="s">
        <v>1255</v>
      </c>
      <c r="BV2" s="375" t="s">
        <v>1256</v>
      </c>
      <c r="BW2" s="375" t="s">
        <v>1257</v>
      </c>
      <c r="BX2" s="375" t="s">
        <v>1258</v>
      </c>
      <c r="BY2" s="381" t="s">
        <v>1259</v>
      </c>
      <c r="BZ2" s="382" t="s">
        <v>1260</v>
      </c>
      <c r="CA2" s="382" t="s">
        <v>1261</v>
      </c>
      <c r="CB2" s="382" t="s">
        <v>1262</v>
      </c>
      <c r="CC2" s="382" t="s">
        <v>1259</v>
      </c>
      <c r="CD2" s="382" t="s">
        <v>1260</v>
      </c>
      <c r="CE2" s="382" t="s">
        <v>1261</v>
      </c>
      <c r="CF2" s="382" t="s">
        <v>1262</v>
      </c>
      <c r="CG2" s="382" t="s">
        <v>1263</v>
      </c>
      <c r="CH2" s="382" t="s">
        <v>1264</v>
      </c>
      <c r="CI2" s="373"/>
      <c r="CJ2" s="373"/>
      <c r="CK2" s="373"/>
      <c r="CL2" s="373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9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9" si="2">IF(AI3,2*AI3,"")</f>
        <v>10000</v>
      </c>
      <c r="AL3" s="181">
        <f>VLOOKUP(D3&amp;E3,计算辅助页面!$V$5:$Y$18,3,0)</f>
        <v>1</v>
      </c>
      <c r="AM3" s="183" t="str">
        <f t="shared" ref="AM3:AM49" si="3">IF(AN3="×",AN3,IF(AI3,6*AI3,""))</f>
        <v>×</v>
      </c>
      <c r="AN3" s="183" t="str">
        <f>VLOOKUP(D3&amp;E3,计算辅助页面!$V$5:$Y$18,4,0)</f>
        <v>×</v>
      </c>
      <c r="AO3" s="172">
        <f t="shared" ref="AO3:AO49" si="4">IF(AI3,IF(AN3="×",4*(AI3*AJ3+AK3*AL3),4*(AI3*AJ3+AK3*AL3+AM3*AN3)),"")</f>
        <v>140000</v>
      </c>
      <c r="AP3" s="194">
        <f t="shared" ref="AP3:AP36" si="5">IF(AND(AH3,AO3),AO3+AH3,"")</f>
        <v>606200</v>
      </c>
      <c r="AQ3" s="365" t="s">
        <v>1076</v>
      </c>
      <c r="AR3" s="366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69"/>
      <c r="BB3" s="369"/>
      <c r="BC3" s="369">
        <v>1</v>
      </c>
      <c r="BD3" s="369">
        <v>1</v>
      </c>
      <c r="BE3" s="369"/>
      <c r="BF3" s="369"/>
      <c r="BG3" s="369"/>
      <c r="BH3" s="369"/>
      <c r="BI3" s="369"/>
      <c r="BJ3" s="369"/>
      <c r="BK3" s="369"/>
      <c r="BL3" s="369"/>
      <c r="BM3" s="369"/>
      <c r="BN3" s="369"/>
      <c r="BO3" s="369"/>
      <c r="BP3" s="369"/>
      <c r="BQ3" s="369">
        <v>1</v>
      </c>
      <c r="BR3" s="369"/>
      <c r="BS3" s="369"/>
      <c r="BT3" s="369"/>
      <c r="BU3" s="387" t="s">
        <v>1123</v>
      </c>
      <c r="BV3" s="326"/>
      <c r="BW3" s="326"/>
      <c r="BX3" s="326"/>
      <c r="BY3" s="367">
        <v>250</v>
      </c>
      <c r="BZ3" s="368">
        <v>42.4</v>
      </c>
      <c r="CA3" s="368">
        <v>46.3</v>
      </c>
      <c r="CB3" s="368">
        <v>54.8</v>
      </c>
      <c r="CC3" s="368">
        <f t="shared" ref="CC3:CC49" si="7">P3-BY3</f>
        <v>20.100000000000023</v>
      </c>
      <c r="CD3" s="368">
        <f t="shared" ref="CD3:CD49" si="8">Q3-BZ3</f>
        <v>12.630000000000003</v>
      </c>
      <c r="CE3" s="368">
        <f t="shared" ref="CE3:CE49" si="9">R3-CA3</f>
        <v>7.490000000000002</v>
      </c>
      <c r="CF3" s="368">
        <f t="shared" ref="CF3:CF49" si="10">S3-CB3</f>
        <v>13.39</v>
      </c>
      <c r="CG3" s="368">
        <f t="shared" ref="CG3:CG49" si="11">SUM(CC3:CF3)</f>
        <v>53.610000000000028</v>
      </c>
      <c r="CH3" s="368">
        <f t="shared" ref="CH3:CH49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5" t="s">
        <v>558</v>
      </c>
      <c r="AR4" s="366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69"/>
      <c r="BB4" s="369"/>
      <c r="BC4" s="369">
        <v>1</v>
      </c>
      <c r="BD4" s="369">
        <v>1</v>
      </c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 t="s">
        <v>1386</v>
      </c>
      <c r="BQ4" s="369"/>
      <c r="BR4" s="369" t="s">
        <v>1124</v>
      </c>
      <c r="BS4" s="369"/>
      <c r="BT4" s="369"/>
      <c r="BU4" s="387" t="s">
        <v>1125</v>
      </c>
      <c r="BV4" s="326"/>
      <c r="BW4" s="326"/>
      <c r="BX4" s="326"/>
      <c r="BY4" s="367">
        <v>250</v>
      </c>
      <c r="BZ4" s="368">
        <v>58.6</v>
      </c>
      <c r="CA4" s="368">
        <v>39.020000000000003</v>
      </c>
      <c r="CB4" s="368">
        <v>45.09</v>
      </c>
      <c r="CC4" s="368">
        <f t="shared" si="7"/>
        <v>16.800000000000011</v>
      </c>
      <c r="CD4" s="368">
        <f t="shared" si="8"/>
        <v>10.259999999999998</v>
      </c>
      <c r="CE4" s="368">
        <f t="shared" si="9"/>
        <v>8.4099999999999966</v>
      </c>
      <c r="CF4" s="368">
        <f t="shared" si="10"/>
        <v>12.399999999999999</v>
      </c>
      <c r="CG4" s="368">
        <f t="shared" si="11"/>
        <v>47.870000000000005</v>
      </c>
      <c r="CH4" s="368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5" t="s">
        <v>559</v>
      </c>
      <c r="AR5" s="366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69">
        <v>1</v>
      </c>
      <c r="BB5" s="369"/>
      <c r="BC5" s="369">
        <v>1</v>
      </c>
      <c r="BD5" s="369">
        <v>1</v>
      </c>
      <c r="BE5" s="369"/>
      <c r="BF5" s="369"/>
      <c r="BG5" s="369"/>
      <c r="BH5" s="369"/>
      <c r="BI5" s="369"/>
      <c r="BJ5" s="369"/>
      <c r="BK5" s="369"/>
      <c r="BL5" s="369"/>
      <c r="BM5" s="369"/>
      <c r="BN5" s="369"/>
      <c r="BO5" s="369"/>
      <c r="BP5" s="369"/>
      <c r="BQ5" s="369"/>
      <c r="BR5" s="369"/>
      <c r="BS5" s="369"/>
      <c r="BT5" s="369"/>
      <c r="BU5" s="387" t="s">
        <v>1126</v>
      </c>
      <c r="BV5" s="326"/>
      <c r="BW5" s="326"/>
      <c r="BX5" s="326"/>
      <c r="BY5" s="367">
        <v>265</v>
      </c>
      <c r="BZ5" s="368">
        <v>51.4</v>
      </c>
      <c r="CA5" s="368">
        <v>41.17</v>
      </c>
      <c r="CB5" s="368">
        <v>48.53</v>
      </c>
      <c r="CC5" s="368">
        <f t="shared" si="7"/>
        <v>19.100000000000023</v>
      </c>
      <c r="CD5" s="368">
        <f t="shared" si="8"/>
        <v>13.410000000000004</v>
      </c>
      <c r="CE5" s="368">
        <f t="shared" si="9"/>
        <v>7.2199999999999989</v>
      </c>
      <c r="CF5" s="368">
        <f t="shared" si="10"/>
        <v>14.759999999999998</v>
      </c>
      <c r="CG5" s="368">
        <f t="shared" si="11"/>
        <v>54.490000000000023</v>
      </c>
      <c r="CH5" s="368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5" t="s">
        <v>560</v>
      </c>
      <c r="AR6" s="366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69"/>
      <c r="BB6" s="369"/>
      <c r="BC6" s="369"/>
      <c r="BD6" s="369">
        <v>1</v>
      </c>
      <c r="BE6" s="369"/>
      <c r="BF6" s="369">
        <v>1</v>
      </c>
      <c r="BG6" s="369"/>
      <c r="BH6" s="369"/>
      <c r="BI6" s="369"/>
      <c r="BJ6" s="369"/>
      <c r="BK6" s="369"/>
      <c r="BL6" s="369"/>
      <c r="BM6" s="369"/>
      <c r="BN6" s="369"/>
      <c r="BO6" s="369"/>
      <c r="BP6" s="369"/>
      <c r="BQ6" s="369"/>
      <c r="BR6" s="369"/>
      <c r="BS6" s="369"/>
      <c r="BT6" s="369"/>
      <c r="BU6" s="388" t="s">
        <v>1297</v>
      </c>
      <c r="BV6" s="326">
        <v>1</v>
      </c>
      <c r="BW6" s="326"/>
      <c r="BX6" s="326"/>
      <c r="BY6" s="367">
        <v>220</v>
      </c>
      <c r="BZ6" s="368">
        <v>69.400000000000006</v>
      </c>
      <c r="CA6" s="368">
        <v>38.17</v>
      </c>
      <c r="CB6" s="368">
        <v>48.27</v>
      </c>
      <c r="CC6" s="368">
        <f t="shared" si="7"/>
        <v>24.5</v>
      </c>
      <c r="CD6" s="368">
        <f t="shared" si="8"/>
        <v>9.4699999999999989</v>
      </c>
      <c r="CE6" s="368">
        <f t="shared" si="9"/>
        <v>21.739999999999995</v>
      </c>
      <c r="CF6" s="368">
        <f t="shared" si="10"/>
        <v>16.759999999999998</v>
      </c>
      <c r="CG6" s="368">
        <f t="shared" si="11"/>
        <v>72.47</v>
      </c>
      <c r="CH6" s="368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5" t="s">
        <v>560</v>
      </c>
      <c r="AR7" s="366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69">
        <v>1</v>
      </c>
      <c r="BB7" s="369"/>
      <c r="BC7" s="369">
        <v>1</v>
      </c>
      <c r="BD7" s="369">
        <v>1</v>
      </c>
      <c r="BE7" s="369"/>
      <c r="BF7" s="369"/>
      <c r="BG7" s="369"/>
      <c r="BH7" s="369"/>
      <c r="BI7" s="369"/>
      <c r="BJ7" s="369"/>
      <c r="BK7" s="369"/>
      <c r="BL7" s="369"/>
      <c r="BM7" s="369"/>
      <c r="BN7" s="369"/>
      <c r="BO7" s="369"/>
      <c r="BP7" s="369"/>
      <c r="BQ7" s="369"/>
      <c r="BR7" s="369"/>
      <c r="BS7" s="369"/>
      <c r="BT7" s="369"/>
      <c r="BU7" s="387" t="s">
        <v>1127</v>
      </c>
      <c r="BV7" s="326"/>
      <c r="BW7" s="326"/>
      <c r="BX7" s="326"/>
      <c r="BY7" s="367">
        <v>250</v>
      </c>
      <c r="BZ7" s="368">
        <v>53.2</v>
      </c>
      <c r="CA7" s="368">
        <v>52.37</v>
      </c>
      <c r="CB7" s="368">
        <v>41.85</v>
      </c>
      <c r="CC7" s="368">
        <f t="shared" si="7"/>
        <v>18.5</v>
      </c>
      <c r="CD7" s="368">
        <f t="shared" si="8"/>
        <v>13.409999999999997</v>
      </c>
      <c r="CE7" s="368">
        <f t="shared" si="9"/>
        <v>29.46</v>
      </c>
      <c r="CF7" s="368">
        <f t="shared" si="10"/>
        <v>25.219999999999992</v>
      </c>
      <c r="CG7" s="368">
        <f t="shared" si="11"/>
        <v>86.589999999999989</v>
      </c>
      <c r="CH7" s="368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1516</v>
      </c>
      <c r="C8" s="68" t="s">
        <v>1517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5" t="s">
        <v>1518</v>
      </c>
      <c r="AR8" s="366" t="str">
        <f t="shared" si="6"/>
        <v>X-BOW GTX</v>
      </c>
      <c r="AS8" s="352" t="s">
        <v>1514</v>
      </c>
      <c r="AT8" s="353" t="s">
        <v>1519</v>
      </c>
      <c r="AU8" s="81" t="s">
        <v>710</v>
      </c>
      <c r="AW8" s="357">
        <v>258</v>
      </c>
      <c r="AX8" s="357">
        <v>274</v>
      </c>
      <c r="AY8" s="357">
        <v>350</v>
      </c>
      <c r="AZ8" s="384" t="s">
        <v>1539</v>
      </c>
      <c r="BA8" s="369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69"/>
      <c r="BN8" s="369"/>
      <c r="BO8" s="369"/>
      <c r="BP8" s="369"/>
      <c r="BQ8" s="369"/>
      <c r="BR8" s="369"/>
      <c r="BS8" s="369"/>
      <c r="BT8" s="369"/>
      <c r="BU8" s="387"/>
      <c r="BV8" s="326"/>
      <c r="BW8" s="326"/>
      <c r="BX8" s="326"/>
      <c r="BY8" s="367"/>
      <c r="BZ8" s="368"/>
      <c r="CA8" s="368"/>
      <c r="CB8" s="368"/>
      <c r="CC8" s="368"/>
      <c r="CD8" s="368"/>
      <c r="CE8" s="368"/>
      <c r="CF8" s="368"/>
      <c r="CG8" s="368"/>
      <c r="CH8" s="368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5" t="s">
        <v>982</v>
      </c>
      <c r="AR9" s="366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69"/>
      <c r="BB9" s="369"/>
      <c r="BC9" s="369">
        <v>1</v>
      </c>
      <c r="BD9" s="369">
        <v>1</v>
      </c>
      <c r="BE9" s="369"/>
      <c r="BF9" s="369">
        <v>1</v>
      </c>
      <c r="BG9" s="369"/>
      <c r="BH9" s="369"/>
      <c r="BI9" s="369"/>
      <c r="BJ9" s="369"/>
      <c r="BK9" s="369"/>
      <c r="BL9" s="369"/>
      <c r="BM9" s="369"/>
      <c r="BN9" s="369"/>
      <c r="BO9" s="369"/>
      <c r="BP9" s="369"/>
      <c r="BQ9" s="369"/>
      <c r="BR9" s="369"/>
      <c r="BS9" s="369"/>
      <c r="BT9" s="369"/>
      <c r="BU9" s="387" t="s">
        <v>1128</v>
      </c>
      <c r="BV9" s="326"/>
      <c r="BW9" s="326"/>
      <c r="BX9" s="326"/>
      <c r="BY9" s="367">
        <v>270</v>
      </c>
      <c r="BZ9" s="368">
        <v>46.9</v>
      </c>
      <c r="CA9" s="368">
        <v>49.35</v>
      </c>
      <c r="CB9" s="368">
        <v>42.32</v>
      </c>
      <c r="CC9" s="368">
        <f t="shared" si="7"/>
        <v>21.199999999999989</v>
      </c>
      <c r="CD9" s="368">
        <f t="shared" si="8"/>
        <v>13.410000000000004</v>
      </c>
      <c r="CE9" s="368">
        <f t="shared" si="9"/>
        <v>12.670000000000002</v>
      </c>
      <c r="CF9" s="368">
        <f t="shared" si="10"/>
        <v>19.619999999999997</v>
      </c>
      <c r="CG9" s="368">
        <f t="shared" si="11"/>
        <v>66.899999999999991</v>
      </c>
      <c r="CH9" s="368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5" t="s">
        <v>1077</v>
      </c>
      <c r="AR10" s="366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69"/>
      <c r="BB10" s="369"/>
      <c r="BC10" s="369">
        <v>1</v>
      </c>
      <c r="BD10" s="369">
        <v>1</v>
      </c>
      <c r="BE10" s="369"/>
      <c r="BF10" s="369"/>
      <c r="BG10" s="369"/>
      <c r="BH10" s="369"/>
      <c r="BI10" s="369"/>
      <c r="BJ10" s="369"/>
      <c r="BK10" s="369"/>
      <c r="BL10" s="369"/>
      <c r="BM10" s="369"/>
      <c r="BN10" s="369"/>
      <c r="BO10" s="369"/>
      <c r="BP10" s="369"/>
      <c r="BQ10" s="369"/>
      <c r="BR10" s="369"/>
      <c r="BS10" s="369"/>
      <c r="BT10" s="369"/>
      <c r="BU10" s="387" t="s">
        <v>1129</v>
      </c>
      <c r="BV10" s="326"/>
      <c r="BW10" s="326"/>
      <c r="BX10" s="326"/>
      <c r="BY10" s="367">
        <v>250</v>
      </c>
      <c r="BZ10" s="368">
        <v>59.5</v>
      </c>
      <c r="CA10" s="368">
        <v>45.09</v>
      </c>
      <c r="CB10" s="368">
        <v>51.56</v>
      </c>
      <c r="CC10" s="368">
        <f t="shared" si="7"/>
        <v>20.100000000000023</v>
      </c>
      <c r="CD10" s="368">
        <f t="shared" si="8"/>
        <v>16.569999999999993</v>
      </c>
      <c r="CE10" s="368">
        <f t="shared" si="9"/>
        <v>36.179999999999993</v>
      </c>
      <c r="CF10" s="368">
        <f t="shared" si="10"/>
        <v>20.739999999999995</v>
      </c>
      <c r="CG10" s="368">
        <f t="shared" si="11"/>
        <v>93.59</v>
      </c>
      <c r="CH10" s="368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5" t="s">
        <v>561</v>
      </c>
      <c r="AR11" s="366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69"/>
      <c r="BB11" s="369"/>
      <c r="BC11" s="369">
        <v>1</v>
      </c>
      <c r="BD11" s="369">
        <v>1</v>
      </c>
      <c r="BE11" s="369"/>
      <c r="BF11" s="369"/>
      <c r="BG11" s="369"/>
      <c r="BH11" s="369"/>
      <c r="BI11" s="369"/>
      <c r="BJ11" s="369"/>
      <c r="BK11" s="369"/>
      <c r="BL11" s="369"/>
      <c r="BM11" s="369"/>
      <c r="BN11" s="369"/>
      <c r="BO11" s="369">
        <v>1</v>
      </c>
      <c r="BP11" s="369"/>
      <c r="BQ11" s="369"/>
      <c r="BR11" s="369"/>
      <c r="BS11" s="369"/>
      <c r="BT11" s="369">
        <v>1</v>
      </c>
      <c r="BU11" s="387" t="s">
        <v>1130</v>
      </c>
      <c r="BV11" s="326"/>
      <c r="BW11" s="326"/>
      <c r="BX11" s="326"/>
      <c r="BY11" s="367">
        <v>283</v>
      </c>
      <c r="BZ11" s="368">
        <v>62.2</v>
      </c>
      <c r="CA11" s="368">
        <v>36.1</v>
      </c>
      <c r="CB11" s="368">
        <v>50.71</v>
      </c>
      <c r="CC11" s="368">
        <f t="shared" si="7"/>
        <v>16.300000000000011</v>
      </c>
      <c r="CD11" s="368">
        <f t="shared" si="8"/>
        <v>10.259999999999991</v>
      </c>
      <c r="CE11" s="368">
        <f t="shared" si="9"/>
        <v>7.1400000000000006</v>
      </c>
      <c r="CF11" s="368">
        <f t="shared" si="10"/>
        <v>11.630000000000003</v>
      </c>
      <c r="CG11" s="368">
        <f t="shared" si="11"/>
        <v>45.330000000000005</v>
      </c>
      <c r="CH11" s="368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1390</v>
      </c>
      <c r="C12" s="68" t="s">
        <v>1391</v>
      </c>
      <c r="D12" s="255" t="s">
        <v>197</v>
      </c>
      <c r="E12" s="394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6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5" t="s">
        <v>1064</v>
      </c>
      <c r="AR12" s="366" t="str">
        <f t="shared" si="6"/>
        <v>Dezir</v>
      </c>
      <c r="AS12" s="352" t="s">
        <v>1392</v>
      </c>
      <c r="AT12" s="353" t="s">
        <v>1393</v>
      </c>
      <c r="AU12" s="92" t="s">
        <v>711</v>
      </c>
      <c r="AW12" s="357">
        <v>307</v>
      </c>
      <c r="AY12" s="357">
        <v>393</v>
      </c>
      <c r="AZ12" s="384" t="s">
        <v>1412</v>
      </c>
      <c r="BA12" s="369"/>
      <c r="BB12" s="369"/>
      <c r="BC12" s="369"/>
      <c r="BD12" s="369"/>
      <c r="BE12" s="369"/>
      <c r="BF12" s="369"/>
      <c r="BG12" s="369">
        <v>1</v>
      </c>
      <c r="BH12" s="369"/>
      <c r="BI12" s="369"/>
      <c r="BJ12" s="369"/>
      <c r="BK12" s="369"/>
      <c r="BL12" s="369"/>
      <c r="BM12" s="369"/>
      <c r="BN12" s="369"/>
      <c r="BO12" s="369"/>
      <c r="BP12" s="369"/>
      <c r="BQ12" s="369"/>
      <c r="BR12" s="369"/>
      <c r="BS12" s="369"/>
      <c r="BT12" s="369"/>
      <c r="BU12" s="389" t="s">
        <v>1416</v>
      </c>
      <c r="BV12" s="326"/>
      <c r="BW12" s="326"/>
      <c r="BX12" s="326"/>
      <c r="BY12" s="367"/>
      <c r="BZ12" s="368"/>
      <c r="CA12" s="368"/>
      <c r="CB12" s="368"/>
      <c r="CC12" s="368"/>
      <c r="CD12" s="368"/>
      <c r="CE12" s="368"/>
      <c r="CF12" s="368"/>
      <c r="CG12" s="368"/>
      <c r="CH12" s="368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5" t="s">
        <v>888</v>
      </c>
      <c r="AR13" s="366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69"/>
      <c r="BB13" s="369"/>
      <c r="BC13" s="369"/>
      <c r="BD13" s="369"/>
      <c r="BE13" s="369"/>
      <c r="BF13" s="369"/>
      <c r="BG13" s="369"/>
      <c r="BH13" s="369"/>
      <c r="BI13" s="369"/>
      <c r="BJ13" s="369">
        <v>1</v>
      </c>
      <c r="BK13" s="369"/>
      <c r="BL13" s="369"/>
      <c r="BM13" s="369"/>
      <c r="BN13" s="369"/>
      <c r="BO13" s="369"/>
      <c r="BP13" s="369"/>
      <c r="BQ13" s="369"/>
      <c r="BR13" s="369"/>
      <c r="BS13" s="369"/>
      <c r="BT13" s="369"/>
      <c r="BU13" s="387" t="s">
        <v>1131</v>
      </c>
      <c r="BV13" s="326">
        <v>1</v>
      </c>
      <c r="BW13" s="326"/>
      <c r="BX13" s="326"/>
      <c r="BY13" s="367">
        <v>250</v>
      </c>
      <c r="BZ13" s="368">
        <v>68.5</v>
      </c>
      <c r="CA13" s="368">
        <v>45.09</v>
      </c>
      <c r="CB13" s="368">
        <v>35.380000000000003</v>
      </c>
      <c r="CC13" s="368">
        <f t="shared" si="7"/>
        <v>28.300000000000011</v>
      </c>
      <c r="CD13" s="368">
        <f t="shared" si="8"/>
        <v>15.030000000000001</v>
      </c>
      <c r="CE13" s="368">
        <f t="shared" si="9"/>
        <v>28.47999999999999</v>
      </c>
      <c r="CF13" s="368">
        <f t="shared" si="10"/>
        <v>19.97</v>
      </c>
      <c r="CG13" s="368">
        <f t="shared" si="11"/>
        <v>91.78</v>
      </c>
      <c r="CH13" s="368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4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5" t="s">
        <v>558</v>
      </c>
      <c r="AR14" s="366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69"/>
      <c r="BN14" s="369"/>
      <c r="BO14" s="369"/>
      <c r="BP14" s="369"/>
      <c r="BQ14" s="369"/>
      <c r="BR14" s="369" t="s">
        <v>1124</v>
      </c>
      <c r="BS14" s="369"/>
      <c r="BT14" s="369"/>
      <c r="BU14" s="387" t="s">
        <v>1125</v>
      </c>
      <c r="BV14" s="326"/>
      <c r="BW14" s="326"/>
      <c r="BX14" s="326"/>
      <c r="BY14" s="367">
        <v>250</v>
      </c>
      <c r="BZ14" s="368">
        <v>58.6</v>
      </c>
      <c r="CA14" s="368">
        <v>51.16</v>
      </c>
      <c r="CB14" s="368">
        <v>48.33</v>
      </c>
      <c r="CC14" s="368">
        <f t="shared" si="7"/>
        <v>28.300000000000011</v>
      </c>
      <c r="CD14" s="368">
        <f t="shared" si="8"/>
        <v>21.119999999999997</v>
      </c>
      <c r="CE14" s="368">
        <f t="shared" si="9"/>
        <v>27.450000000000003</v>
      </c>
      <c r="CF14" s="368">
        <f t="shared" si="10"/>
        <v>18.549999999999997</v>
      </c>
      <c r="CG14" s="368">
        <f t="shared" si="11"/>
        <v>95.42</v>
      </c>
      <c r="CH14" s="368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1425</v>
      </c>
      <c r="C15" s="68" t="s">
        <v>1426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5" t="s">
        <v>1053</v>
      </c>
      <c r="AR15" s="366" t="str">
        <f t="shared" si="6"/>
        <v>SR1</v>
      </c>
      <c r="AS15" s="352" t="s">
        <v>1427</v>
      </c>
      <c r="AT15" s="353" t="s">
        <v>1428</v>
      </c>
      <c r="AU15" s="229" t="s">
        <v>711</v>
      </c>
      <c r="AW15" s="357">
        <v>323</v>
      </c>
      <c r="AY15" s="357">
        <v>412</v>
      </c>
      <c r="AZ15" s="384" t="s">
        <v>1274</v>
      </c>
      <c r="BA15" s="369"/>
      <c r="BB15" s="369"/>
      <c r="BC15" s="369"/>
      <c r="BD15" s="369"/>
      <c r="BE15" s="369"/>
      <c r="BF15" s="369"/>
      <c r="BG15" s="369">
        <v>1</v>
      </c>
      <c r="BH15" s="369"/>
      <c r="BI15" s="369"/>
      <c r="BJ15" s="369"/>
      <c r="BK15" s="369"/>
      <c r="BL15" s="369"/>
      <c r="BM15" s="369"/>
      <c r="BN15" s="369"/>
      <c r="BO15" s="369"/>
      <c r="BP15" s="369"/>
      <c r="BQ15" s="369"/>
      <c r="BR15" s="369"/>
      <c r="BS15" s="369"/>
      <c r="BT15" s="369"/>
      <c r="BU15" s="389" t="s">
        <v>805</v>
      </c>
      <c r="BV15" s="326"/>
      <c r="BW15" s="326"/>
      <c r="BX15" s="326"/>
      <c r="BY15" s="367"/>
      <c r="BZ15" s="368"/>
      <c r="CA15" s="368"/>
      <c r="CB15" s="368"/>
      <c r="CC15" s="368"/>
      <c r="CD15" s="368"/>
      <c r="CE15" s="368"/>
      <c r="CF15" s="368"/>
      <c r="CG15" s="368"/>
      <c r="CH15" s="368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5" t="s">
        <v>562</v>
      </c>
      <c r="AR16" s="366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69"/>
      <c r="BB16" s="369"/>
      <c r="BC16" s="369">
        <v>1</v>
      </c>
      <c r="BD16" s="369">
        <v>1</v>
      </c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>
        <v>1</v>
      </c>
      <c r="BR16" s="369"/>
      <c r="BS16" s="369"/>
      <c r="BT16" s="369">
        <v>1</v>
      </c>
      <c r="BU16" s="387" t="s">
        <v>1132</v>
      </c>
      <c r="BV16" s="326"/>
      <c r="BW16" s="326"/>
      <c r="BX16" s="326"/>
      <c r="BY16" s="367">
        <v>275</v>
      </c>
      <c r="BZ16" s="368">
        <v>55.9</v>
      </c>
      <c r="CA16" s="368">
        <v>51.9</v>
      </c>
      <c r="CB16" s="368">
        <v>39.4</v>
      </c>
      <c r="CC16" s="368">
        <f t="shared" si="7"/>
        <v>20.699999999999989</v>
      </c>
      <c r="CD16" s="368">
        <f t="shared" si="8"/>
        <v>14.619999999999997</v>
      </c>
      <c r="CE16" s="368">
        <f t="shared" si="9"/>
        <v>10.009999999999998</v>
      </c>
      <c r="CF16" s="368">
        <f t="shared" si="10"/>
        <v>20.880000000000003</v>
      </c>
      <c r="CG16" s="368">
        <f t="shared" si="11"/>
        <v>66.20999999999998</v>
      </c>
      <c r="CH16" s="368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5" t="s">
        <v>1075</v>
      </c>
      <c r="AR17" s="366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69"/>
      <c r="BB17" s="369"/>
      <c r="BC17" s="369"/>
      <c r="BD17" s="369"/>
      <c r="BE17" s="369"/>
      <c r="BF17" s="369">
        <v>1</v>
      </c>
      <c r="BG17" s="369"/>
      <c r="BH17" s="369"/>
      <c r="BI17" s="369"/>
      <c r="BJ17" s="369"/>
      <c r="BK17" s="369"/>
      <c r="BL17" s="369"/>
      <c r="BM17" s="369"/>
      <c r="BN17" s="369"/>
      <c r="BO17" s="369"/>
      <c r="BP17" s="369"/>
      <c r="BQ17" s="369"/>
      <c r="BR17" s="369"/>
      <c r="BS17" s="369"/>
      <c r="BT17" s="369"/>
      <c r="BU17" s="387" t="s">
        <v>1133</v>
      </c>
      <c r="BV17" s="326"/>
      <c r="BW17" s="326"/>
      <c r="BX17" s="326"/>
      <c r="BY17" s="367">
        <v>246.2</v>
      </c>
      <c r="BZ17" s="368">
        <v>64</v>
      </c>
      <c r="CA17" s="368">
        <v>47.65</v>
      </c>
      <c r="CB17" s="368">
        <v>44.65</v>
      </c>
      <c r="CC17" s="368">
        <f t="shared" si="7"/>
        <v>35</v>
      </c>
      <c r="CD17" s="368">
        <f t="shared" si="8"/>
        <v>12.189999999999998</v>
      </c>
      <c r="CE17" s="368">
        <f t="shared" si="9"/>
        <v>19.32</v>
      </c>
      <c r="CF17" s="368">
        <f t="shared" si="10"/>
        <v>20.030000000000008</v>
      </c>
      <c r="CG17" s="368">
        <f t="shared" si="11"/>
        <v>86.539999999999992</v>
      </c>
      <c r="CH17" s="368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5" t="s">
        <v>563</v>
      </c>
      <c r="AR18" s="366" t="str">
        <f t="shared" ref="AR18:AR61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69"/>
      <c r="BB18" s="369"/>
      <c r="BC18" s="369">
        <v>1</v>
      </c>
      <c r="BD18" s="369">
        <v>1</v>
      </c>
      <c r="BE18" s="369"/>
      <c r="BF18" s="369">
        <v>1</v>
      </c>
      <c r="BG18" s="369"/>
      <c r="BH18" s="369"/>
      <c r="BI18" s="369"/>
      <c r="BJ18" s="369"/>
      <c r="BK18" s="369"/>
      <c r="BL18" s="369"/>
      <c r="BM18" s="369"/>
      <c r="BN18" s="369"/>
      <c r="BO18" s="369"/>
      <c r="BP18" s="369"/>
      <c r="BQ18" s="369"/>
      <c r="BR18" s="369"/>
      <c r="BS18" s="369"/>
      <c r="BT18" s="369">
        <v>1</v>
      </c>
      <c r="BU18" s="387" t="s">
        <v>1134</v>
      </c>
      <c r="BV18" s="326"/>
      <c r="BW18" s="326"/>
      <c r="BX18" s="326"/>
      <c r="BY18" s="367">
        <v>234</v>
      </c>
      <c r="BZ18" s="368">
        <v>59.5</v>
      </c>
      <c r="CA18" s="368">
        <v>54.8</v>
      </c>
      <c r="CB18" s="368">
        <v>47.82</v>
      </c>
      <c r="CC18" s="368">
        <f t="shared" si="7"/>
        <v>36</v>
      </c>
      <c r="CD18" s="368">
        <f t="shared" si="8"/>
        <v>22.75</v>
      </c>
      <c r="CE18" s="368">
        <f t="shared" si="9"/>
        <v>28.67</v>
      </c>
      <c r="CF18" s="368">
        <f t="shared" si="10"/>
        <v>24.889999999999993</v>
      </c>
      <c r="CG18" s="368">
        <f t="shared" si="11"/>
        <v>112.31</v>
      </c>
      <c r="CH18" s="368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1365</v>
      </c>
      <c r="C19" s="86" t="s">
        <v>1362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5" t="s">
        <v>566</v>
      </c>
      <c r="AR19" s="366" t="str">
        <f t="shared" si="27"/>
        <v>Countach 25th Anniversary</v>
      </c>
      <c r="AS19" s="352" t="s">
        <v>1363</v>
      </c>
      <c r="AT19" s="353" t="s">
        <v>1364</v>
      </c>
      <c r="AU19" s="229" t="s">
        <v>711</v>
      </c>
      <c r="AW19" s="357">
        <v>318</v>
      </c>
      <c r="AY19" s="357">
        <v>406</v>
      </c>
      <c r="AZ19" s="384" t="s">
        <v>1274</v>
      </c>
      <c r="BA19" s="369"/>
      <c r="BB19" s="369"/>
      <c r="BC19" s="369"/>
      <c r="BD19" s="369"/>
      <c r="BE19" s="369"/>
      <c r="BF19" s="369"/>
      <c r="BG19" s="369">
        <v>1</v>
      </c>
      <c r="BH19" s="369"/>
      <c r="BI19" s="369"/>
      <c r="BJ19" s="369"/>
      <c r="BK19" s="369"/>
      <c r="BL19" s="369"/>
      <c r="BM19" s="369"/>
      <c r="BN19" s="369"/>
      <c r="BO19" s="369"/>
      <c r="BP19" s="369"/>
      <c r="BQ19" s="369"/>
      <c r="BR19" s="369"/>
      <c r="BS19" s="369"/>
      <c r="BT19" s="369"/>
      <c r="BU19" s="389" t="s">
        <v>1382</v>
      </c>
      <c r="BV19" s="326"/>
      <c r="BW19" s="326"/>
      <c r="BX19" s="326"/>
      <c r="BY19" s="367"/>
      <c r="BZ19" s="368"/>
      <c r="CA19" s="368"/>
      <c r="CB19" s="368"/>
      <c r="CC19" s="368"/>
      <c r="CD19" s="368"/>
      <c r="CE19" s="368"/>
      <c r="CF19" s="368"/>
      <c r="CG19" s="368"/>
      <c r="CH19" s="368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5" t="s">
        <v>564</v>
      </c>
      <c r="AR20" s="366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69"/>
      <c r="BB20" s="369"/>
      <c r="BC20" s="369">
        <v>1</v>
      </c>
      <c r="BD20" s="369">
        <v>1</v>
      </c>
      <c r="BE20" s="369"/>
      <c r="BF20" s="369"/>
      <c r="BG20" s="369"/>
      <c r="BH20" s="369"/>
      <c r="BI20" s="369"/>
      <c r="BJ20" s="369"/>
      <c r="BK20" s="369"/>
      <c r="BL20" s="369"/>
      <c r="BM20" s="369"/>
      <c r="BN20" s="369"/>
      <c r="BO20" s="369"/>
      <c r="BP20" s="369"/>
      <c r="BQ20" s="369"/>
      <c r="BR20" s="369"/>
      <c r="BS20" s="369"/>
      <c r="BT20" s="369">
        <v>1</v>
      </c>
      <c r="BU20" s="387" t="s">
        <v>1135</v>
      </c>
      <c r="BV20" s="326"/>
      <c r="BW20" s="326"/>
      <c r="BX20" s="326"/>
      <c r="BY20" s="367">
        <v>276</v>
      </c>
      <c r="BZ20" s="368">
        <v>64.900000000000006</v>
      </c>
      <c r="CA20" s="368">
        <v>47.58</v>
      </c>
      <c r="CB20" s="368">
        <v>34.380000000000003</v>
      </c>
      <c r="CC20" s="368">
        <f t="shared" si="7"/>
        <v>23.899999999999977</v>
      </c>
      <c r="CD20" s="368">
        <f t="shared" si="8"/>
        <v>10.159999999999997</v>
      </c>
      <c r="CE20" s="368">
        <f t="shared" si="9"/>
        <v>11.39</v>
      </c>
      <c r="CF20" s="368">
        <f t="shared" si="10"/>
        <v>18.549999999999997</v>
      </c>
      <c r="CG20" s="368">
        <f t="shared" si="11"/>
        <v>63.999999999999972</v>
      </c>
      <c r="CH20" s="368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5" t="s">
        <v>562</v>
      </c>
      <c r="AR21" s="366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69"/>
      <c r="BB21" s="369"/>
      <c r="BC21" s="369"/>
      <c r="BD21" s="369">
        <v>1</v>
      </c>
      <c r="BE21" s="369"/>
      <c r="BF21" s="369">
        <v>1</v>
      </c>
      <c r="BG21" s="369"/>
      <c r="BH21" s="369"/>
      <c r="BI21" s="369">
        <v>1</v>
      </c>
      <c r="BJ21" s="369"/>
      <c r="BK21" s="369"/>
      <c r="BL21" s="369"/>
      <c r="BM21" s="369"/>
      <c r="BN21" s="369"/>
      <c r="BO21" s="369"/>
      <c r="BP21" s="369"/>
      <c r="BQ21" s="369"/>
      <c r="BR21" s="369" t="s">
        <v>1124</v>
      </c>
      <c r="BS21" s="369"/>
      <c r="BT21" s="369">
        <v>1</v>
      </c>
      <c r="BU21" s="387" t="s">
        <v>1132</v>
      </c>
      <c r="BV21" s="326"/>
      <c r="BW21" s="326"/>
      <c r="BX21" s="326"/>
      <c r="BY21" s="367">
        <v>303</v>
      </c>
      <c r="BZ21" s="368">
        <v>64</v>
      </c>
      <c r="CA21" s="368">
        <v>29.2</v>
      </c>
      <c r="CB21" s="368">
        <v>18.149999999999999</v>
      </c>
      <c r="CC21" s="368">
        <f t="shared" si="7"/>
        <v>12.100000000000023</v>
      </c>
      <c r="CD21" s="368">
        <f t="shared" si="8"/>
        <v>11.370000000000005</v>
      </c>
      <c r="CE21" s="368">
        <f t="shared" si="9"/>
        <v>12.370000000000001</v>
      </c>
      <c r="CF21" s="368">
        <f t="shared" si="10"/>
        <v>20.200000000000003</v>
      </c>
      <c r="CG21" s="368">
        <f t="shared" si="11"/>
        <v>56.040000000000035</v>
      </c>
      <c r="CH21" s="368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1306</v>
      </c>
      <c r="C22" s="86" t="s">
        <v>1307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5" t="s">
        <v>563</v>
      </c>
      <c r="AR22" s="366" t="str">
        <f t="shared" si="27"/>
        <v>Emira</v>
      </c>
      <c r="AS22" s="352" t="s">
        <v>1308</v>
      </c>
      <c r="AT22" s="353" t="s">
        <v>1309</v>
      </c>
      <c r="AU22" s="229" t="s">
        <v>711</v>
      </c>
      <c r="AW22" s="357">
        <v>320</v>
      </c>
      <c r="AY22" s="357">
        <v>408</v>
      </c>
      <c r="AZ22" s="384" t="s">
        <v>1328</v>
      </c>
      <c r="BA22" s="369"/>
      <c r="BB22" s="369"/>
      <c r="BC22" s="369"/>
      <c r="BD22" s="369"/>
      <c r="BE22" s="369"/>
      <c r="BF22" s="369">
        <v>1</v>
      </c>
      <c r="BG22" s="369"/>
      <c r="BH22" s="369"/>
      <c r="BI22" s="369"/>
      <c r="BJ22" s="369"/>
      <c r="BK22" s="369"/>
      <c r="BL22" s="369"/>
      <c r="BM22" s="369"/>
      <c r="BN22" s="369"/>
      <c r="BO22" s="369"/>
      <c r="BP22" s="369"/>
      <c r="BQ22" s="369"/>
      <c r="BR22" s="369"/>
      <c r="BS22" s="369"/>
      <c r="BT22" s="369"/>
      <c r="BU22" s="389" t="s">
        <v>1355</v>
      </c>
      <c r="BV22" s="326"/>
      <c r="BW22" s="326"/>
      <c r="BX22" s="326"/>
      <c r="BY22" s="367"/>
      <c r="BZ22" s="368"/>
      <c r="CA22" s="368"/>
      <c r="CB22" s="368"/>
      <c r="CC22" s="368"/>
      <c r="CD22" s="368"/>
      <c r="CE22" s="368"/>
      <c r="CF22" s="368"/>
      <c r="CG22" s="368"/>
      <c r="CH22" s="368"/>
      <c r="CI22" s="42"/>
      <c r="CJ22" s="42"/>
      <c r="CK22" s="42"/>
      <c r="CL22" s="42"/>
    </row>
    <row r="23" spans="1:90" ht="21" customHeight="1">
      <c r="A23" s="80">
        <v>21</v>
      </c>
      <c r="B23" s="55" t="s">
        <v>1455</v>
      </c>
      <c r="C23" s="86" t="s">
        <v>1456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5" t="s">
        <v>1456</v>
      </c>
      <c r="AR23" s="366" t="str">
        <f t="shared" si="27"/>
        <v>R1</v>
      </c>
      <c r="AS23" s="352" t="s">
        <v>1457</v>
      </c>
      <c r="AT23" s="353" t="s">
        <v>1458</v>
      </c>
      <c r="AU23" s="229" t="s">
        <v>711</v>
      </c>
      <c r="AW23" s="357">
        <v>295</v>
      </c>
      <c r="AY23" s="357">
        <v>379</v>
      </c>
      <c r="AZ23" s="384" t="s">
        <v>1412</v>
      </c>
      <c r="BA23" s="369"/>
      <c r="BB23" s="369"/>
      <c r="BC23" s="369"/>
      <c r="BD23" s="369"/>
      <c r="BE23" s="369"/>
      <c r="BF23" s="369"/>
      <c r="BG23" s="369"/>
      <c r="BH23" s="369"/>
      <c r="BI23" s="369"/>
      <c r="BJ23" s="369"/>
      <c r="BK23" s="369"/>
      <c r="BL23" s="369"/>
      <c r="BM23" s="369"/>
      <c r="BN23" s="369"/>
      <c r="BO23" s="369"/>
      <c r="BP23" s="369"/>
      <c r="BQ23" s="369"/>
      <c r="BR23" s="369"/>
      <c r="BS23" s="369"/>
      <c r="BT23" s="369"/>
      <c r="BU23" s="389"/>
      <c r="BV23" s="326"/>
      <c r="BW23" s="326"/>
      <c r="BX23" s="326"/>
      <c r="BY23" s="367"/>
      <c r="BZ23" s="368"/>
      <c r="CA23" s="368"/>
      <c r="CB23" s="368"/>
      <c r="CC23" s="368"/>
      <c r="CD23" s="368"/>
      <c r="CE23" s="368"/>
      <c r="CF23" s="368"/>
      <c r="CG23" s="368"/>
      <c r="CH23" s="368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5" t="s">
        <v>1074</v>
      </c>
      <c r="AR24" s="366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69"/>
      <c r="BB24" s="369"/>
      <c r="BC24" s="369"/>
      <c r="BD24" s="369">
        <v>1</v>
      </c>
      <c r="BE24" s="369"/>
      <c r="BF24" s="369">
        <v>1</v>
      </c>
      <c r="BG24" s="369"/>
      <c r="BH24" s="369"/>
      <c r="BI24" s="369"/>
      <c r="BJ24" s="369"/>
      <c r="BK24" s="369"/>
      <c r="BL24" s="369"/>
      <c r="BM24" s="369"/>
      <c r="BN24" s="369"/>
      <c r="BO24" s="369"/>
      <c r="BP24" s="369"/>
      <c r="BQ24" s="369"/>
      <c r="BR24" s="369"/>
      <c r="BS24" s="369"/>
      <c r="BT24" s="369">
        <v>1</v>
      </c>
      <c r="BU24" s="387"/>
      <c r="BV24" s="326"/>
      <c r="BW24" s="326"/>
      <c r="BX24" s="326"/>
      <c r="BY24" s="367">
        <v>275</v>
      </c>
      <c r="BZ24" s="368">
        <v>57.7</v>
      </c>
      <c r="CA24" s="368">
        <v>54.48</v>
      </c>
      <c r="CB24" s="368">
        <v>46.29</v>
      </c>
      <c r="CC24" s="368">
        <f t="shared" si="7"/>
        <v>15.699999999999989</v>
      </c>
      <c r="CD24" s="368">
        <f t="shared" si="8"/>
        <v>13.810000000000002</v>
      </c>
      <c r="CE24" s="368">
        <f t="shared" si="9"/>
        <v>20.330000000000005</v>
      </c>
      <c r="CF24" s="368">
        <f t="shared" si="10"/>
        <v>16.369999999999997</v>
      </c>
      <c r="CG24" s="368">
        <f t="shared" si="11"/>
        <v>66.209999999999994</v>
      </c>
      <c r="CH24" s="368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1582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5" t="s">
        <v>1064</v>
      </c>
      <c r="AR25" s="366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69"/>
      <c r="BB25" s="369"/>
      <c r="BC25" s="369"/>
      <c r="BD25" s="369"/>
      <c r="BE25" s="369"/>
      <c r="BF25" s="369"/>
      <c r="BG25" s="369">
        <v>1</v>
      </c>
      <c r="BH25" s="369"/>
      <c r="BI25" s="369"/>
      <c r="BJ25" s="369"/>
      <c r="BK25" s="369"/>
      <c r="BL25" s="369"/>
      <c r="BM25" s="369"/>
      <c r="BN25" s="369"/>
      <c r="BO25" s="369"/>
      <c r="BP25" s="369"/>
      <c r="BQ25" s="369"/>
      <c r="BR25" s="369"/>
      <c r="BS25" s="369"/>
      <c r="BT25" s="369"/>
      <c r="BU25" s="387" t="s">
        <v>1136</v>
      </c>
      <c r="BV25" s="326"/>
      <c r="BW25" s="326"/>
      <c r="BX25" s="326"/>
      <c r="BY25" s="367"/>
      <c r="BZ25" s="368"/>
      <c r="CA25" s="368"/>
      <c r="CB25" s="368"/>
      <c r="CC25" s="368"/>
      <c r="CD25" s="368"/>
      <c r="CE25" s="368"/>
      <c r="CF25" s="368"/>
      <c r="CG25" s="368"/>
      <c r="CH25" s="368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1580</v>
      </c>
      <c r="C26" s="86" t="s">
        <v>1581</v>
      </c>
      <c r="D26" s="256" t="s">
        <v>197</v>
      </c>
      <c r="E26" s="248" t="s">
        <v>176</v>
      </c>
      <c r="F26" s="175"/>
      <c r="G26" s="88"/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ref="N26" si="43">IF(COUNTBLANK(H26:M26),"",SUM(H26:M26))</f>
        <v>128</v>
      </c>
      <c r="O26" s="57">
        <v>2675</v>
      </c>
      <c r="P26" s="211">
        <v>271.10000000000002</v>
      </c>
      <c r="Q26" s="218">
        <v>83.26</v>
      </c>
      <c r="R26" s="218">
        <v>82.91</v>
      </c>
      <c r="S26" s="218">
        <v>65.22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ref="AK26" si="44">IF(AI26,2*AI26,"")</f>
        <v>40000</v>
      </c>
      <c r="AL26" s="176">
        <f>VLOOKUP(D26&amp;E26,计算辅助页面!$V$5:$Y$18,3,0)</f>
        <v>2</v>
      </c>
      <c r="AM26" s="182">
        <f t="shared" ref="AM26" si="45">IF(AN26="×",AN26,IF(AI26,6*AI26,""))</f>
        <v>120000</v>
      </c>
      <c r="AN26" s="182">
        <f>VLOOKUP(D26&amp;E26,计算辅助页面!$V$5:$Y$18,4,0)</f>
        <v>1</v>
      </c>
      <c r="AO26" s="175">
        <f t="shared" ref="AO26" si="46">IF(AI26,IF(AN26="×",4*(AI26*AJ26+AK26*AL26),4*(AI26*AJ26+AK26*AL26+AM26*AN26)),"")</f>
        <v>1360000</v>
      </c>
      <c r="AP26" s="196">
        <f t="shared" ref="AP26" si="47">IF(AND(AH26,AO26),AO26+AH26,"")</f>
        <v>3878680</v>
      </c>
      <c r="AQ26" s="365" t="s">
        <v>560</v>
      </c>
      <c r="AR26" s="366" t="str">
        <f t="shared" si="27"/>
        <v>370Z Neon Edition</v>
      </c>
      <c r="AS26" s="352" t="s">
        <v>1585</v>
      </c>
      <c r="AT26" s="353" t="s">
        <v>1583</v>
      </c>
      <c r="AU26" s="229" t="s">
        <v>1584</v>
      </c>
      <c r="AW26" s="357">
        <v>283</v>
      </c>
      <c r="AX26" s="357">
        <v>295</v>
      </c>
      <c r="AY26" s="357">
        <v>376</v>
      </c>
      <c r="AZ26" s="384" t="s">
        <v>1612</v>
      </c>
      <c r="BA26" s="369"/>
      <c r="BB26" s="369"/>
      <c r="BC26" s="369"/>
      <c r="BD26" s="369"/>
      <c r="BE26" s="369"/>
      <c r="BF26" s="369"/>
      <c r="BG26" s="369"/>
      <c r="BH26" s="369"/>
      <c r="BI26" s="369"/>
      <c r="BJ26" s="369"/>
      <c r="BK26" s="369"/>
      <c r="BL26" s="369"/>
      <c r="BM26" s="369"/>
      <c r="BN26" s="369"/>
      <c r="BO26" s="369"/>
      <c r="BP26" s="369"/>
      <c r="BQ26" s="369"/>
      <c r="BR26" s="369"/>
      <c r="BS26" s="369"/>
      <c r="BT26" s="369"/>
      <c r="BU26" s="389" t="s">
        <v>1603</v>
      </c>
      <c r="BV26" s="326"/>
      <c r="BW26" s="326"/>
      <c r="BX26" s="326"/>
      <c r="BY26" s="367"/>
      <c r="BZ26" s="368"/>
      <c r="CA26" s="368"/>
      <c r="CB26" s="368"/>
      <c r="CC26" s="368"/>
      <c r="CD26" s="368"/>
      <c r="CE26" s="368"/>
      <c r="CF26" s="368"/>
      <c r="CG26" s="368"/>
      <c r="CH26" s="368"/>
      <c r="CI26" s="42"/>
      <c r="CJ26" s="42"/>
      <c r="CK26" s="42"/>
      <c r="CL26" s="42"/>
    </row>
    <row r="27" spans="1:90" ht="21" customHeight="1">
      <c r="A27" s="80">
        <v>25</v>
      </c>
      <c r="B27" s="55" t="s">
        <v>439</v>
      </c>
      <c r="C27" s="86" t="s">
        <v>741</v>
      </c>
      <c r="D27" s="256" t="s">
        <v>197</v>
      </c>
      <c r="E27" s="248" t="s">
        <v>176</v>
      </c>
      <c r="F27" s="175">
        <f t="shared" si="21"/>
        <v>5</v>
      </c>
      <c r="G27" s="83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2698</v>
      </c>
      <c r="P27" s="211">
        <v>285.3</v>
      </c>
      <c r="Q27" s="218">
        <v>82.09</v>
      </c>
      <c r="R27" s="218">
        <v>68.41</v>
      </c>
      <c r="S27" s="218">
        <v>62.55</v>
      </c>
      <c r="T27" s="218">
        <v>7.98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5" t="s">
        <v>1014</v>
      </c>
      <c r="AR27" s="366" t="str">
        <f t="shared" si="27"/>
        <v>Civic Type-R</v>
      </c>
      <c r="AS27" s="352" t="s">
        <v>956</v>
      </c>
      <c r="AT27" s="353" t="s">
        <v>611</v>
      </c>
      <c r="AU27" s="229" t="s">
        <v>711</v>
      </c>
      <c r="AW27" s="357">
        <v>297</v>
      </c>
      <c r="AY27" s="357">
        <v>381</v>
      </c>
      <c r="AZ27" s="357" t="s">
        <v>1113</v>
      </c>
      <c r="BA27" s="369"/>
      <c r="BB27" s="369"/>
      <c r="BC27" s="369"/>
      <c r="BD27" s="369"/>
      <c r="BE27" s="369"/>
      <c r="BF27" s="369">
        <v>1</v>
      </c>
      <c r="BG27" s="369"/>
      <c r="BH27" s="369"/>
      <c r="BI27" s="369"/>
      <c r="BJ27" s="369"/>
      <c r="BK27" s="369"/>
      <c r="BL27" s="369"/>
      <c r="BM27" s="369"/>
      <c r="BN27" s="369"/>
      <c r="BO27" s="369"/>
      <c r="BP27" s="369"/>
      <c r="BQ27" s="369"/>
      <c r="BR27" s="369"/>
      <c r="BS27" s="369"/>
      <c r="BT27" s="369"/>
      <c r="BU27" s="387" t="s">
        <v>1137</v>
      </c>
      <c r="BV27" s="326"/>
      <c r="BW27" s="326"/>
      <c r="BX27" s="326"/>
      <c r="BY27" s="367">
        <v>271</v>
      </c>
      <c r="BZ27" s="368">
        <v>72.099999999999994</v>
      </c>
      <c r="CA27" s="368">
        <v>41.15</v>
      </c>
      <c r="CB27" s="368">
        <v>36.450000000000003</v>
      </c>
      <c r="CC27" s="368">
        <f t="shared" si="7"/>
        <v>14.300000000000011</v>
      </c>
      <c r="CD27" s="368">
        <f t="shared" si="8"/>
        <v>9.9900000000000091</v>
      </c>
      <c r="CE27" s="368">
        <f t="shared" si="9"/>
        <v>27.259999999999998</v>
      </c>
      <c r="CF27" s="368">
        <f t="shared" si="10"/>
        <v>26.099999999999994</v>
      </c>
      <c r="CG27" s="368">
        <f t="shared" si="11"/>
        <v>77.650000000000006</v>
      </c>
      <c r="CH27" s="368">
        <f t="shared" si="12"/>
        <v>86.27030000000002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440</v>
      </c>
      <c r="C28" s="86" t="s">
        <v>742</v>
      </c>
      <c r="D28" s="256" t="s">
        <v>197</v>
      </c>
      <c r="E28" s="248" t="s">
        <v>176</v>
      </c>
      <c r="F28" s="175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2724</v>
      </c>
      <c r="P28" s="211">
        <v>279.2</v>
      </c>
      <c r="Q28" s="218">
        <v>83.74</v>
      </c>
      <c r="R28" s="218">
        <v>75.77</v>
      </c>
      <c r="S28" s="218">
        <v>57.18</v>
      </c>
      <c r="T28" s="218"/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5" t="s">
        <v>562</v>
      </c>
      <c r="AR28" s="366" t="str">
        <f t="shared" si="27"/>
        <v>Taycan Turbo S</v>
      </c>
      <c r="AS28" s="352" t="s">
        <v>957</v>
      </c>
      <c r="AT28" s="353" t="s">
        <v>609</v>
      </c>
      <c r="AU28" s="229" t="s">
        <v>711</v>
      </c>
      <c r="AW28" s="357">
        <v>291</v>
      </c>
      <c r="AX28" s="357">
        <v>304</v>
      </c>
      <c r="AY28" s="357">
        <v>386</v>
      </c>
      <c r="AZ28" s="357" t="s">
        <v>1114</v>
      </c>
      <c r="BA28" s="369"/>
      <c r="BB28" s="369"/>
      <c r="BC28" s="369"/>
      <c r="BD28" s="369"/>
      <c r="BE28" s="369"/>
      <c r="BF28" s="369"/>
      <c r="BG28" s="369">
        <v>1</v>
      </c>
      <c r="BH28" s="369"/>
      <c r="BI28" s="369"/>
      <c r="BJ28" s="369"/>
      <c r="BK28" s="369"/>
      <c r="BL28" s="369"/>
      <c r="BM28" s="369"/>
      <c r="BN28" s="369"/>
      <c r="BO28" s="369">
        <v>1</v>
      </c>
      <c r="BP28" s="369"/>
      <c r="BQ28" s="369"/>
      <c r="BR28" s="369"/>
      <c r="BS28" s="369"/>
      <c r="BT28" s="369"/>
      <c r="BU28" s="387" t="s">
        <v>1132</v>
      </c>
      <c r="BW28" s="326">
        <v>1</v>
      </c>
      <c r="BX28" s="326"/>
      <c r="BY28" s="367">
        <v>260</v>
      </c>
      <c r="BZ28" s="368">
        <v>74.8</v>
      </c>
      <c r="CA28" s="368">
        <v>52.49</v>
      </c>
      <c r="CB28" s="368">
        <v>37.96</v>
      </c>
      <c r="CC28" s="368">
        <f t="shared" si="7"/>
        <v>19.199999999999989</v>
      </c>
      <c r="CD28" s="368">
        <f t="shared" si="8"/>
        <v>8.9399999999999977</v>
      </c>
      <c r="CE28" s="368">
        <f t="shared" si="9"/>
        <v>23.279999999999994</v>
      </c>
      <c r="CF28" s="368">
        <f t="shared" si="10"/>
        <v>19.22</v>
      </c>
      <c r="CG28" s="368">
        <f t="shared" si="11"/>
        <v>70.639999999999986</v>
      </c>
      <c r="CH28" s="368">
        <f t="shared" si="12"/>
        <v>72.696999999999974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1072</v>
      </c>
      <c r="C29" s="86" t="s">
        <v>743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>
        <v>30</v>
      </c>
      <c r="I29" s="232">
        <v>23</v>
      </c>
      <c r="J29" s="232">
        <v>33</v>
      </c>
      <c r="K29" s="232">
        <v>42</v>
      </c>
      <c r="L29" s="232" t="s">
        <v>59</v>
      </c>
      <c r="M29" s="232" t="s">
        <v>59</v>
      </c>
      <c r="N29" s="239">
        <f t="shared" si="1"/>
        <v>128</v>
      </c>
      <c r="O29" s="57">
        <v>2751</v>
      </c>
      <c r="P29" s="211">
        <v>338.7</v>
      </c>
      <c r="Q29" s="218">
        <v>69.28</v>
      </c>
      <c r="R29" s="218">
        <v>47.31</v>
      </c>
      <c r="S29" s="218">
        <v>37.49</v>
      </c>
      <c r="T29" s="218">
        <v>4.3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f>VLOOKUP(D29&amp;E29,计算辅助页面!$V$5:$Y$18,2,0)</f>
        <v>7</v>
      </c>
      <c r="AK29" s="176">
        <f t="shared" si="2"/>
        <v>40000</v>
      </c>
      <c r="AL29" s="176">
        <f>VLOOKUP(D29&amp;E29,计算辅助页面!$V$5:$Y$18,3,0)</f>
        <v>2</v>
      </c>
      <c r="AM29" s="182">
        <f t="shared" si="3"/>
        <v>120000</v>
      </c>
      <c r="AN29" s="182">
        <f>VLOOKUP(D29&amp;E29,计算辅助页面!$V$5:$Y$18,4,0)</f>
        <v>1</v>
      </c>
      <c r="AO29" s="175">
        <f t="shared" si="4"/>
        <v>1360000</v>
      </c>
      <c r="AP29" s="196">
        <f t="shared" si="5"/>
        <v>3878680</v>
      </c>
      <c r="AQ29" s="365" t="s">
        <v>389</v>
      </c>
      <c r="AR29" s="366" t="str">
        <f t="shared" si="27"/>
        <v>Griffith</v>
      </c>
      <c r="AS29" s="352" t="s">
        <v>958</v>
      </c>
      <c r="AT29" s="353" t="s">
        <v>633</v>
      </c>
      <c r="AU29" s="229" t="s">
        <v>711</v>
      </c>
      <c r="AV29" s="357">
        <v>5</v>
      </c>
      <c r="AW29" s="357">
        <v>352</v>
      </c>
      <c r="AY29" s="357">
        <v>458</v>
      </c>
      <c r="AZ29" s="357" t="s">
        <v>1113</v>
      </c>
      <c r="BA29" s="369"/>
      <c r="BB29" s="369"/>
      <c r="BC29" s="369"/>
      <c r="BD29" s="369">
        <v>1</v>
      </c>
      <c r="BE29" s="369"/>
      <c r="BF29" s="369">
        <v>1</v>
      </c>
      <c r="BG29" s="369"/>
      <c r="BH29" s="369"/>
      <c r="BI29" s="369"/>
      <c r="BJ29" s="369"/>
      <c r="BK29" s="369"/>
      <c r="BL29" s="369"/>
      <c r="BM29" s="369"/>
      <c r="BN29" s="369"/>
      <c r="BO29" s="369"/>
      <c r="BP29" s="369"/>
      <c r="BQ29" s="369"/>
      <c r="BR29" s="369"/>
      <c r="BS29" s="369"/>
      <c r="BT29" s="369">
        <v>1</v>
      </c>
      <c r="BU29" s="387"/>
      <c r="BV29" s="326"/>
      <c r="BW29" s="326"/>
      <c r="BX29" s="326"/>
      <c r="BY29" s="367">
        <v>322</v>
      </c>
      <c r="BZ29" s="368">
        <v>64</v>
      </c>
      <c r="CA29" s="368">
        <v>39.11</v>
      </c>
      <c r="CB29" s="368">
        <v>17.02</v>
      </c>
      <c r="CC29" s="368">
        <f t="shared" si="7"/>
        <v>16.699999999999989</v>
      </c>
      <c r="CD29" s="368">
        <f t="shared" si="8"/>
        <v>5.2800000000000011</v>
      </c>
      <c r="CE29" s="368">
        <f t="shared" si="9"/>
        <v>8.2000000000000028</v>
      </c>
      <c r="CF29" s="368">
        <f t="shared" si="10"/>
        <v>20.470000000000002</v>
      </c>
      <c r="CG29" s="368">
        <f t="shared" si="11"/>
        <v>50.649999999999991</v>
      </c>
      <c r="CH29" s="368">
        <f t="shared" si="12"/>
        <v>50.051600000000008</v>
      </c>
      <c r="CI29" s="42"/>
      <c r="CJ29" s="42"/>
      <c r="CK29" s="42"/>
      <c r="CL29" s="42"/>
    </row>
    <row r="30" spans="1:90" ht="21" customHeight="1" thickBot="1">
      <c r="A30" s="48">
        <v>28</v>
      </c>
      <c r="B30" s="55" t="s">
        <v>590</v>
      </c>
      <c r="C30" s="86" t="s">
        <v>744</v>
      </c>
      <c r="D30" s="255" t="s">
        <v>6</v>
      </c>
      <c r="E30" s="247" t="s">
        <v>45</v>
      </c>
      <c r="F30" s="173">
        <f t="shared" si="21"/>
        <v>5</v>
      </c>
      <c r="G30" s="88" t="s">
        <v>60</v>
      </c>
      <c r="H30" s="232" t="s">
        <v>449</v>
      </c>
      <c r="I30" s="232">
        <v>26</v>
      </c>
      <c r="J30" s="232">
        <v>38</v>
      </c>
      <c r="K30" s="232">
        <v>64</v>
      </c>
      <c r="L30" s="232" t="s">
        <v>59</v>
      </c>
      <c r="M30" s="232" t="s">
        <v>59</v>
      </c>
      <c r="N30" s="239">
        <f t="shared" si="1"/>
        <v>128</v>
      </c>
      <c r="O30" s="57">
        <v>2783</v>
      </c>
      <c r="P30" s="211">
        <v>300.8</v>
      </c>
      <c r="Q30" s="218">
        <v>74.739999999999995</v>
      </c>
      <c r="R30" s="218">
        <v>72.52</v>
      </c>
      <c r="S30" s="218">
        <v>50.79</v>
      </c>
      <c r="T30" s="218">
        <v>4.9000000000000004</v>
      </c>
      <c r="U30" s="87">
        <v>4370</v>
      </c>
      <c r="V30" s="295">
        <f>VLOOKUP($U30,计算辅助页面!$Z$5:$AM$26,COLUMN()-20,0)</f>
        <v>7100</v>
      </c>
      <c r="W30" s="295">
        <f>VLOOKUP($U30,计算辅助页面!$Z$5:$AM$26,COLUMN()-20,0)</f>
        <v>11400</v>
      </c>
      <c r="X30" s="239">
        <f>VLOOKUP($U30,计算辅助页面!$Z$5:$AM$26,COLUMN()-20,0)</f>
        <v>17100</v>
      </c>
      <c r="Y30" s="239">
        <f>VLOOKUP($U30,计算辅助页面!$Z$5:$AM$26,COLUMN()-20,0)</f>
        <v>24700</v>
      </c>
      <c r="Z30" s="296">
        <f>VLOOKUP($U30,计算辅助页面!$Z$5:$AM$26,COLUMN()-20,0)</f>
        <v>34500</v>
      </c>
      <c r="AA30" s="239">
        <f>VLOOKUP($U30,计算辅助页面!$Z$5:$AM$26,COLUMN()-20,0)</f>
        <v>48500</v>
      </c>
      <c r="AB30" s="239">
        <f>VLOOKUP($U30,计算辅助页面!$Z$5:$AM$26,COLUMN()-20,0)</f>
        <v>68000</v>
      </c>
      <c r="AC30" s="239">
        <f>VLOOKUP($U30,计算辅助页面!$Z$5:$AM$26,COLUMN()-20,0)</f>
        <v>95000</v>
      </c>
      <c r="AD30" s="354">
        <f>VLOOKUP($U30,计算辅助页面!$Z$5:$AM$26,COLUMN()-20,0)</f>
        <v>133000</v>
      </c>
      <c r="AE30" s="354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5">
        <f>VLOOKUP($U30,计算辅助页面!$Z$5:$AM$26,COLUMN()-20,0)</f>
        <v>2518680</v>
      </c>
      <c r="AI30" s="269">
        <v>20000</v>
      </c>
      <c r="AJ30" s="261">
        <v>7</v>
      </c>
      <c r="AK30" s="176">
        <f t="shared" si="2"/>
        <v>40000</v>
      </c>
      <c r="AL30" s="176">
        <v>2</v>
      </c>
      <c r="AM30" s="182">
        <f t="shared" si="3"/>
        <v>120000</v>
      </c>
      <c r="AN30" s="182">
        <v>1</v>
      </c>
      <c r="AO30" s="175">
        <f t="shared" si="4"/>
        <v>1360000</v>
      </c>
      <c r="AP30" s="196">
        <f t="shared" si="5"/>
        <v>3878680</v>
      </c>
      <c r="AQ30" s="365" t="s">
        <v>597</v>
      </c>
      <c r="AR30" s="366" t="str">
        <f t="shared" si="27"/>
        <v>Continental GT3🔑</v>
      </c>
      <c r="AS30" s="352" t="s">
        <v>959</v>
      </c>
      <c r="AT30" s="353" t="s">
        <v>692</v>
      </c>
      <c r="AU30" s="229" t="s">
        <v>711</v>
      </c>
      <c r="AW30" s="357">
        <v>313</v>
      </c>
      <c r="AY30" s="357">
        <v>401</v>
      </c>
      <c r="AZ30" s="357" t="s">
        <v>1115</v>
      </c>
      <c r="BA30" s="369"/>
      <c r="BB30" s="369"/>
      <c r="BC30" s="369"/>
      <c r="BD30" s="369"/>
      <c r="BE30" s="369"/>
      <c r="BF30" s="369"/>
      <c r="BG30" s="369"/>
      <c r="BH30" s="369"/>
      <c r="BI30" s="369"/>
      <c r="BJ30" s="369"/>
      <c r="BK30" s="369"/>
      <c r="BL30" s="369">
        <v>1</v>
      </c>
      <c r="BM30" s="369"/>
      <c r="BN30" s="369">
        <v>1</v>
      </c>
      <c r="BO30" s="369">
        <v>1</v>
      </c>
      <c r="BP30" s="369"/>
      <c r="BQ30" s="369"/>
      <c r="BR30" s="369"/>
      <c r="BS30" s="369"/>
      <c r="BT30" s="369"/>
      <c r="BU30" s="388" t="s">
        <v>1298</v>
      </c>
      <c r="BV30" s="326">
        <v>1</v>
      </c>
      <c r="BW30" s="326"/>
      <c r="BX30" s="326"/>
      <c r="BY30" s="367">
        <v>285</v>
      </c>
      <c r="BZ30" s="368">
        <v>65.8</v>
      </c>
      <c r="CA30" s="368">
        <v>45.88</v>
      </c>
      <c r="CB30" s="368">
        <v>20.94</v>
      </c>
      <c r="CC30" s="368">
        <f t="shared" si="7"/>
        <v>15.800000000000011</v>
      </c>
      <c r="CD30" s="368">
        <f t="shared" si="8"/>
        <v>8.9399999999999977</v>
      </c>
      <c r="CE30" s="368">
        <f t="shared" si="9"/>
        <v>26.639999999999993</v>
      </c>
      <c r="CF30" s="368">
        <f t="shared" si="10"/>
        <v>29.849999999999998</v>
      </c>
      <c r="CG30" s="368">
        <f t="shared" si="11"/>
        <v>81.23</v>
      </c>
      <c r="CH30" s="368">
        <f t="shared" si="12"/>
        <v>89.012199999999993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60" t="s">
        <v>403</v>
      </c>
      <c r="C31" s="86" t="s">
        <v>745</v>
      </c>
      <c r="D31" s="256" t="s">
        <v>197</v>
      </c>
      <c r="E31" s="249" t="s">
        <v>176</v>
      </c>
      <c r="F31" s="178">
        <f t="shared" si="21"/>
        <v>5</v>
      </c>
      <c r="G31" s="89" t="s">
        <v>60</v>
      </c>
      <c r="H31" s="233">
        <v>30</v>
      </c>
      <c r="I31" s="233">
        <v>23</v>
      </c>
      <c r="J31" s="233">
        <v>33</v>
      </c>
      <c r="K31" s="233">
        <v>42</v>
      </c>
      <c r="L31" s="233" t="s">
        <v>59</v>
      </c>
      <c r="M31" s="233" t="s">
        <v>59</v>
      </c>
      <c r="N31" s="240">
        <f t="shared" si="1"/>
        <v>128</v>
      </c>
      <c r="O31" s="62">
        <v>2853</v>
      </c>
      <c r="P31" s="212">
        <v>305.5</v>
      </c>
      <c r="Q31" s="219">
        <v>80.95</v>
      </c>
      <c r="R31" s="219">
        <v>57.23</v>
      </c>
      <c r="S31" s="219">
        <v>49.67</v>
      </c>
      <c r="T31" s="219">
        <v>5.5</v>
      </c>
      <c r="U31" s="90">
        <v>4370</v>
      </c>
      <c r="V31" s="297">
        <f>VLOOKUP($U31,计算辅助页面!$Z$5:$AM$26,COLUMN()-20,0)</f>
        <v>7100</v>
      </c>
      <c r="W31" s="297">
        <f>VLOOKUP($U31,计算辅助页面!$Z$5:$AM$26,COLUMN()-20,0)</f>
        <v>11400</v>
      </c>
      <c r="X31" s="240">
        <f>VLOOKUP($U31,计算辅助页面!$Z$5:$AM$26,COLUMN()-20,0)</f>
        <v>17100</v>
      </c>
      <c r="Y31" s="240">
        <f>VLOOKUP($U31,计算辅助页面!$Z$5:$AM$26,COLUMN()-20,0)</f>
        <v>24700</v>
      </c>
      <c r="Z31" s="298">
        <f>VLOOKUP($U31,计算辅助页面!$Z$5:$AM$26,COLUMN()-20,0)</f>
        <v>34500</v>
      </c>
      <c r="AA31" s="240">
        <f>VLOOKUP($U31,计算辅助页面!$Z$5:$AM$26,COLUMN()-20,0)</f>
        <v>48500</v>
      </c>
      <c r="AB31" s="240">
        <f>VLOOKUP($U31,计算辅助页面!$Z$5:$AM$26,COLUMN()-20,0)</f>
        <v>68000</v>
      </c>
      <c r="AC31" s="240">
        <f>VLOOKUP($U31,计算辅助页面!$Z$5:$AM$26,COLUMN()-20,0)</f>
        <v>95000</v>
      </c>
      <c r="AD31" s="355">
        <f>VLOOKUP($U31,计算辅助页面!$Z$5:$AM$26,COLUMN()-20,0)</f>
        <v>133000</v>
      </c>
      <c r="AE31" s="355">
        <f>VLOOKUP($U31,计算辅助页面!$Z$5:$AM$26,COLUMN()-20,0)</f>
        <v>186000</v>
      </c>
      <c r="AF31" s="239" t="str">
        <f>VLOOKUP($U31,计算辅助页面!$Z$5:$AM$26,COLUMN()-20,0)</f>
        <v>×</v>
      </c>
      <c r="AG31" s="239" t="str">
        <f>VLOOKUP($U31,计算辅助页面!$Z$5:$AM$26,COLUMN()-20,0)</f>
        <v>×</v>
      </c>
      <c r="AH31" s="178">
        <f>VLOOKUP($U31,计算辅助页面!$Z$5:$AM$26,COLUMN()-20,0)</f>
        <v>2518680</v>
      </c>
      <c r="AI31" s="270">
        <v>20000</v>
      </c>
      <c r="AJ31" s="262">
        <f>VLOOKUP(D31&amp;E31,计算辅助页面!$V$5:$Y$18,2,0)</f>
        <v>7</v>
      </c>
      <c r="AK31" s="177">
        <f t="shared" si="2"/>
        <v>40000</v>
      </c>
      <c r="AL31" s="177">
        <f>VLOOKUP(D31&amp;E31,计算辅助页面!$V$5:$Y$18,3,0)</f>
        <v>2</v>
      </c>
      <c r="AM31" s="191">
        <f t="shared" si="3"/>
        <v>120000</v>
      </c>
      <c r="AN31" s="191">
        <f>VLOOKUP(D31&amp;E31,计算辅助页面!$V$5:$Y$18,4,0)</f>
        <v>1</v>
      </c>
      <c r="AO31" s="178">
        <f t="shared" si="4"/>
        <v>1360000</v>
      </c>
      <c r="AP31" s="197">
        <f t="shared" si="5"/>
        <v>3878680</v>
      </c>
      <c r="AQ31" s="365" t="s">
        <v>1071</v>
      </c>
      <c r="AR31" s="366" t="str">
        <f t="shared" si="27"/>
        <v>Furai</v>
      </c>
      <c r="AS31" s="352" t="s">
        <v>960</v>
      </c>
      <c r="AT31" s="353" t="s">
        <v>617</v>
      </c>
      <c r="AU31" s="229" t="s">
        <v>711</v>
      </c>
      <c r="AV31" s="357">
        <v>6</v>
      </c>
      <c r="AW31" s="357">
        <v>318</v>
      </c>
      <c r="AY31" s="357">
        <v>406</v>
      </c>
      <c r="AZ31" s="357" t="s">
        <v>1113</v>
      </c>
      <c r="BA31" s="369"/>
      <c r="BB31" s="369"/>
      <c r="BC31" s="369"/>
      <c r="BD31" s="369">
        <v>1</v>
      </c>
      <c r="BE31" s="369"/>
      <c r="BF31" s="369">
        <v>1</v>
      </c>
      <c r="BG31" s="369"/>
      <c r="BH31" s="369"/>
      <c r="BI31" s="369"/>
      <c r="BJ31" s="369"/>
      <c r="BK31" s="369"/>
      <c r="BL31" s="369"/>
      <c r="BM31" s="369"/>
      <c r="BN31" s="369"/>
      <c r="BO31" s="369"/>
      <c r="BP31" s="369"/>
      <c r="BQ31" s="369"/>
      <c r="BR31" s="369"/>
      <c r="BS31" s="369"/>
      <c r="BT31" s="369">
        <v>1</v>
      </c>
      <c r="BU31" s="387" t="s">
        <v>1139</v>
      </c>
      <c r="BV31" s="326"/>
      <c r="BW31" s="326"/>
      <c r="BX31" s="326"/>
      <c r="BY31" s="367">
        <v>290</v>
      </c>
      <c r="BZ31" s="368">
        <v>71.2</v>
      </c>
      <c r="CA31" s="368">
        <v>43.07</v>
      </c>
      <c r="CB31" s="368">
        <v>30.12</v>
      </c>
      <c r="CC31" s="368">
        <f t="shared" si="7"/>
        <v>15.5</v>
      </c>
      <c r="CD31" s="368">
        <f t="shared" si="8"/>
        <v>9.75</v>
      </c>
      <c r="CE31" s="368">
        <f t="shared" si="9"/>
        <v>14.159999999999997</v>
      </c>
      <c r="CF31" s="368">
        <f t="shared" si="10"/>
        <v>19.55</v>
      </c>
      <c r="CG31" s="368">
        <f t="shared" si="11"/>
        <v>58.959999999999994</v>
      </c>
      <c r="CH31" s="368">
        <f t="shared" si="12"/>
        <v>63.047299999999993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586</v>
      </c>
      <c r="C32" s="86" t="s">
        <v>746</v>
      </c>
      <c r="D32" s="256" t="s">
        <v>197</v>
      </c>
      <c r="E32" s="247" t="s">
        <v>171</v>
      </c>
      <c r="F32" s="178">
        <f t="shared" si="21"/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2948</v>
      </c>
      <c r="P32" s="214">
        <v>307.60000000000002</v>
      </c>
      <c r="Q32" s="221">
        <v>80.48</v>
      </c>
      <c r="R32" s="221">
        <v>47.08</v>
      </c>
      <c r="S32" s="221">
        <v>57.03</v>
      </c>
      <c r="T32" s="221"/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>
        <v>71500</v>
      </c>
      <c r="AB32" s="318">
        <v>100000</v>
      </c>
      <c r="AC32" s="318">
        <v>140000</v>
      </c>
      <c r="AD32" s="356">
        <v>196000</v>
      </c>
      <c r="AE32" s="356">
        <v>274000</v>
      </c>
      <c r="AF32" s="318">
        <v>384000</v>
      </c>
      <c r="AG32" s="318"/>
      <c r="AH32" s="178">
        <f>VLOOKUP($U32,计算辅助页面!$Z$5:$AM$26,COLUMN()-20,0)</f>
        <v>3711360</v>
      </c>
      <c r="AI32" s="322">
        <v>15000</v>
      </c>
      <c r="AJ32" s="323">
        <v>9</v>
      </c>
      <c r="AK32" s="324">
        <f t="shared" si="2"/>
        <v>30000</v>
      </c>
      <c r="AL32" s="324">
        <v>4</v>
      </c>
      <c r="AM32" s="191">
        <f t="shared" si="3"/>
        <v>90000</v>
      </c>
      <c r="AN32" s="325">
        <v>2</v>
      </c>
      <c r="AO32" s="178">
        <f t="shared" si="4"/>
        <v>1740000</v>
      </c>
      <c r="AP32" s="197">
        <f t="shared" si="5"/>
        <v>5451360</v>
      </c>
      <c r="AQ32" s="365" t="s">
        <v>906</v>
      </c>
      <c r="AR32" s="366" t="str">
        <f t="shared" si="27"/>
        <v>C7.R🔑</v>
      </c>
      <c r="AS32" s="352" t="s">
        <v>961</v>
      </c>
      <c r="AT32" s="353" t="s">
        <v>618</v>
      </c>
      <c r="AU32" s="316" t="s">
        <v>712</v>
      </c>
      <c r="AW32" s="357">
        <v>320</v>
      </c>
      <c r="AY32" s="357">
        <v>409</v>
      </c>
      <c r="AZ32" s="357" t="s">
        <v>1115</v>
      </c>
      <c r="BA32" s="369"/>
      <c r="BB32" s="369"/>
      <c r="BC32" s="369"/>
      <c r="BD32" s="369"/>
      <c r="BE32" s="369"/>
      <c r="BF32" s="369"/>
      <c r="BG32" s="369"/>
      <c r="BH32" s="369"/>
      <c r="BI32" s="369"/>
      <c r="BJ32" s="369"/>
      <c r="BK32" s="369"/>
      <c r="BL32" s="369">
        <v>1</v>
      </c>
      <c r="BM32" s="369"/>
      <c r="BN32" s="369">
        <v>1</v>
      </c>
      <c r="BO32" s="369">
        <v>1</v>
      </c>
      <c r="BP32" s="369"/>
      <c r="BQ32" s="369"/>
      <c r="BR32" s="369"/>
      <c r="BS32" s="369"/>
      <c r="BT32" s="369"/>
      <c r="BU32" s="387" t="s">
        <v>1140</v>
      </c>
      <c r="BV32" s="326"/>
      <c r="BW32" s="326"/>
      <c r="BX32" s="326"/>
      <c r="BY32" s="367">
        <v>296.7</v>
      </c>
      <c r="BZ32" s="368">
        <v>72.41</v>
      </c>
      <c r="CA32" s="368">
        <v>36.39</v>
      </c>
      <c r="CB32" s="368">
        <v>38.65</v>
      </c>
      <c r="CC32" s="368">
        <f t="shared" si="7"/>
        <v>10.900000000000034</v>
      </c>
      <c r="CD32" s="368">
        <f t="shared" si="8"/>
        <v>8.0700000000000074</v>
      </c>
      <c r="CE32" s="368">
        <f t="shared" si="9"/>
        <v>10.689999999999998</v>
      </c>
      <c r="CF32" s="368">
        <f t="shared" si="10"/>
        <v>18.380000000000003</v>
      </c>
      <c r="CG32" s="368">
        <f t="shared" si="11"/>
        <v>48.040000000000042</v>
      </c>
      <c r="CH32" s="368">
        <f t="shared" si="12"/>
        <v>53.216600000000021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896</v>
      </c>
      <c r="C33" s="86" t="s">
        <v>747</v>
      </c>
      <c r="D33" s="256" t="s">
        <v>197</v>
      </c>
      <c r="E33" s="247" t="s">
        <v>171</v>
      </c>
      <c r="F33" s="178">
        <f>9-LEN(E33)-LEN(SUBSTITUTE(E33,"★",""))</f>
        <v>4</v>
      </c>
      <c r="G33" s="83" t="s">
        <v>61</v>
      </c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si="1"/>
        <v>125</v>
      </c>
      <c r="O33" s="72">
        <v>3000</v>
      </c>
      <c r="P33" s="214">
        <v>303.7</v>
      </c>
      <c r="Q33" s="221">
        <v>82.59</v>
      </c>
      <c r="R33" s="221">
        <v>63.48</v>
      </c>
      <c r="S33" s="221">
        <v>54.41</v>
      </c>
      <c r="T33" s="221">
        <v>6</v>
      </c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>
        <v>71500</v>
      </c>
      <c r="AB33" s="318">
        <v>100000</v>
      </c>
      <c r="AC33" s="318">
        <v>140000</v>
      </c>
      <c r="AD33" s="356">
        <v>196000</v>
      </c>
      <c r="AE33" s="356">
        <v>274000</v>
      </c>
      <c r="AF33" s="318">
        <v>384000</v>
      </c>
      <c r="AG33" s="318"/>
      <c r="AH33" s="178">
        <f>VLOOKUP($U33,计算辅助页面!$Z$5:$AM$26,COLUMN()-20,0)</f>
        <v>3711360</v>
      </c>
      <c r="AI33" s="322">
        <v>30000</v>
      </c>
      <c r="AJ33" s="323">
        <v>9</v>
      </c>
      <c r="AK33" s="324">
        <f t="shared" si="2"/>
        <v>60000</v>
      </c>
      <c r="AL33" s="324">
        <v>4</v>
      </c>
      <c r="AM33" s="191">
        <f t="shared" si="3"/>
        <v>180000</v>
      </c>
      <c r="AN33" s="325">
        <v>2</v>
      </c>
      <c r="AO33" s="178">
        <f t="shared" si="4"/>
        <v>3480000</v>
      </c>
      <c r="AP33" s="197">
        <f t="shared" si="5"/>
        <v>7191360</v>
      </c>
      <c r="AQ33" s="365" t="s">
        <v>566</v>
      </c>
      <c r="AR33" s="366" t="str">
        <f t="shared" si="27"/>
        <v>Huracan Super Trofeo Evo🔑</v>
      </c>
      <c r="AS33" s="352" t="s">
        <v>723</v>
      </c>
      <c r="AT33" s="353" t="s">
        <v>877</v>
      </c>
      <c r="AU33" s="316" t="s">
        <v>712</v>
      </c>
      <c r="AW33" s="357">
        <v>316</v>
      </c>
      <c r="AY33" s="357">
        <v>404</v>
      </c>
      <c r="AZ33" s="357" t="s">
        <v>1115</v>
      </c>
      <c r="BA33" s="369"/>
      <c r="BB33" s="369"/>
      <c r="BC33" s="369"/>
      <c r="BD33" s="369"/>
      <c r="BE33" s="369"/>
      <c r="BF33" s="369"/>
      <c r="BG33" s="369"/>
      <c r="BH33" s="369"/>
      <c r="BI33" s="369"/>
      <c r="BJ33" s="369"/>
      <c r="BK33" s="369"/>
      <c r="BL33" s="369">
        <v>1</v>
      </c>
      <c r="BM33" s="369"/>
      <c r="BN33" s="369">
        <v>1</v>
      </c>
      <c r="BO33" s="369">
        <v>1</v>
      </c>
      <c r="BP33" s="369"/>
      <c r="BQ33" s="369"/>
      <c r="BR33" s="369"/>
      <c r="BS33" s="369"/>
      <c r="BT33" s="369"/>
      <c r="BU33" s="387" t="s">
        <v>1141</v>
      </c>
      <c r="BV33" s="326"/>
      <c r="BW33" s="326"/>
      <c r="BX33" s="326"/>
      <c r="BY33" s="367">
        <v>290</v>
      </c>
      <c r="BZ33" s="368">
        <v>72.099999999999994</v>
      </c>
      <c r="CA33" s="368">
        <v>46.42</v>
      </c>
      <c r="CB33" s="368">
        <v>31.01</v>
      </c>
      <c r="CC33" s="368">
        <f t="shared" si="7"/>
        <v>13.699999999999989</v>
      </c>
      <c r="CD33" s="368">
        <f t="shared" si="8"/>
        <v>10.490000000000009</v>
      </c>
      <c r="CE33" s="368">
        <f t="shared" si="9"/>
        <v>17.059999999999995</v>
      </c>
      <c r="CF33" s="368">
        <f t="shared" si="10"/>
        <v>23.399999999999995</v>
      </c>
      <c r="CG33" s="368">
        <f t="shared" si="11"/>
        <v>64.649999999999991</v>
      </c>
      <c r="CH33" s="368">
        <f t="shared" si="12"/>
        <v>71.971299999999999</v>
      </c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1084</v>
      </c>
      <c r="C34" s="86" t="s">
        <v>1104</v>
      </c>
      <c r="D34" s="256" t="s">
        <v>197</v>
      </c>
      <c r="E34" s="247" t="s">
        <v>171</v>
      </c>
      <c r="F34" s="178">
        <f>9-LEN(E34)-LEN(SUBSTITUTE(E34,"★",""))</f>
        <v>4</v>
      </c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8">IF(COUNTBLANK(H34:M34),"",SUM(H34:M34))</f>
        <v>125</v>
      </c>
      <c r="O34" s="72">
        <v>3054</v>
      </c>
      <c r="P34" s="214">
        <v>290.5</v>
      </c>
      <c r="Q34" s="221">
        <v>88.5</v>
      </c>
      <c r="R34" s="221">
        <v>57.91</v>
      </c>
      <c r="S34" s="221">
        <v>67.930000000000007</v>
      </c>
      <c r="T34" s="221"/>
      <c r="U34" s="319">
        <v>6440</v>
      </c>
      <c r="V34" s="297">
        <v>10500</v>
      </c>
      <c r="W34" s="320">
        <v>16800</v>
      </c>
      <c r="X34" s="318">
        <v>25200</v>
      </c>
      <c r="Y34" s="318">
        <v>36400</v>
      </c>
      <c r="Z34" s="321">
        <v>51000</v>
      </c>
      <c r="AA34" s="318">
        <v>71500</v>
      </c>
      <c r="AB34" s="318">
        <v>100000</v>
      </c>
      <c r="AC34" s="318">
        <v>140000</v>
      </c>
      <c r="AD34" s="356">
        <v>196000</v>
      </c>
      <c r="AE34" s="356">
        <v>274000</v>
      </c>
      <c r="AF34" s="318">
        <v>384000</v>
      </c>
      <c r="AG34" s="318"/>
      <c r="AH34" s="178">
        <f>VLOOKUP($U34,计算辅助页面!$Z$5:$AM$26,COLUMN()-20,0)</f>
        <v>3711360</v>
      </c>
      <c r="AI34" s="322">
        <v>30000</v>
      </c>
      <c r="AJ34" s="323">
        <v>9</v>
      </c>
      <c r="AK34" s="324">
        <f t="shared" ref="AK34:AK36" si="49">IF(AI34,2*AI34,"")</f>
        <v>60000</v>
      </c>
      <c r="AL34" s="324">
        <v>4</v>
      </c>
      <c r="AM34" s="191">
        <f t="shared" ref="AM34:AM36" si="50">IF(AN34="×",AN34,IF(AI34,6*AI34,""))</f>
        <v>180000</v>
      </c>
      <c r="AN34" s="325">
        <v>2</v>
      </c>
      <c r="AO34" s="178">
        <f t="shared" si="4"/>
        <v>3480000</v>
      </c>
      <c r="AP34" s="197">
        <f t="shared" si="5"/>
        <v>7191360</v>
      </c>
      <c r="AQ34" s="365" t="s">
        <v>982</v>
      </c>
      <c r="AR34" s="366" t="str">
        <f t="shared" si="27"/>
        <v>Electric R🔑</v>
      </c>
      <c r="AS34" s="352" t="s">
        <v>1082</v>
      </c>
      <c r="AT34" s="353" t="s">
        <v>1085</v>
      </c>
      <c r="AU34" s="316" t="s">
        <v>712</v>
      </c>
      <c r="AW34" s="357">
        <v>301</v>
      </c>
      <c r="AY34" s="357">
        <v>386</v>
      </c>
      <c r="AZ34" s="357" t="s">
        <v>1115</v>
      </c>
      <c r="BA34" s="369"/>
      <c r="BB34" s="369"/>
      <c r="BC34" s="369"/>
      <c r="BD34" s="369"/>
      <c r="BE34" s="369"/>
      <c r="BF34" s="369"/>
      <c r="BG34" s="369"/>
      <c r="BH34" s="369"/>
      <c r="BI34" s="369"/>
      <c r="BJ34" s="369"/>
      <c r="BK34" s="369"/>
      <c r="BL34" s="369">
        <v>1</v>
      </c>
      <c r="BM34" s="369"/>
      <c r="BN34" s="369">
        <v>1</v>
      </c>
      <c r="BO34" s="369">
        <v>1</v>
      </c>
      <c r="BP34" s="369"/>
      <c r="BQ34" s="369"/>
      <c r="BR34" s="369"/>
      <c r="BS34" s="369"/>
      <c r="BT34" s="369"/>
      <c r="BU34" s="387" t="s">
        <v>1128</v>
      </c>
      <c r="BV34" s="326"/>
      <c r="BW34" s="326"/>
      <c r="BX34" s="326"/>
      <c r="BY34" s="367"/>
      <c r="BZ34" s="368"/>
      <c r="CA34" s="368"/>
      <c r="CB34" s="368"/>
      <c r="CC34" s="368"/>
      <c r="CD34" s="368"/>
      <c r="CE34" s="368"/>
      <c r="CF34" s="368"/>
      <c r="CG34" s="368"/>
      <c r="CH34" s="368"/>
      <c r="CI34" s="42"/>
      <c r="CJ34" s="42"/>
      <c r="CK34" s="42"/>
      <c r="CL34" s="42"/>
    </row>
    <row r="35" spans="1:90" ht="21" customHeight="1" thickBot="1">
      <c r="A35" s="80">
        <v>33</v>
      </c>
      <c r="B35" s="71" t="s">
        <v>1454</v>
      </c>
      <c r="C35" s="86" t="s">
        <v>1430</v>
      </c>
      <c r="D35" s="256" t="s">
        <v>197</v>
      </c>
      <c r="E35" s="247" t="s">
        <v>171</v>
      </c>
      <c r="F35" s="363"/>
      <c r="G35" s="92"/>
      <c r="H35" s="222" t="s">
        <v>449</v>
      </c>
      <c r="I35" s="317">
        <v>22</v>
      </c>
      <c r="J35" s="317">
        <v>30</v>
      </c>
      <c r="K35" s="317">
        <v>35</v>
      </c>
      <c r="L35" s="317">
        <v>38</v>
      </c>
      <c r="M35" s="222" t="s">
        <v>59</v>
      </c>
      <c r="N35" s="240">
        <f>IF(COUNTBLANK(H35:M35),"",SUM(H35:M35))</f>
        <v>125</v>
      </c>
      <c r="O35" s="72">
        <v>3075</v>
      </c>
      <c r="P35" s="214">
        <v>311.2</v>
      </c>
      <c r="Q35" s="221">
        <v>76.75</v>
      </c>
      <c r="R35" s="221">
        <v>56.89</v>
      </c>
      <c r="S35" s="221">
        <v>60.87</v>
      </c>
      <c r="T35" s="221"/>
      <c r="U35" s="319">
        <v>6440</v>
      </c>
      <c r="V35" s="297">
        <v>10500</v>
      </c>
      <c r="W35" s="320">
        <v>16800</v>
      </c>
      <c r="X35" s="318">
        <v>25200</v>
      </c>
      <c r="Y35" s="318">
        <v>36400</v>
      </c>
      <c r="Z35" s="321">
        <v>51000</v>
      </c>
      <c r="AA35" s="318">
        <v>71500</v>
      </c>
      <c r="AB35" s="318">
        <v>100000</v>
      </c>
      <c r="AC35" s="318">
        <v>140000</v>
      </c>
      <c r="AD35" s="356">
        <v>196000</v>
      </c>
      <c r="AE35" s="356">
        <v>274000</v>
      </c>
      <c r="AF35" s="318">
        <v>384000</v>
      </c>
      <c r="AG35" s="318"/>
      <c r="AH35" s="178">
        <f>VLOOKUP($U35,计算辅助页面!$Z$5:$AM$26,COLUMN()-20,0)</f>
        <v>3711360</v>
      </c>
      <c r="AI35" s="322">
        <v>30000</v>
      </c>
      <c r="AJ35" s="323">
        <v>9</v>
      </c>
      <c r="AK35" s="324">
        <f t="shared" si="49"/>
        <v>60000</v>
      </c>
      <c r="AL35" s="324">
        <v>4</v>
      </c>
      <c r="AM35" s="191">
        <f t="shared" si="50"/>
        <v>180000</v>
      </c>
      <c r="AN35" s="325">
        <v>2</v>
      </c>
      <c r="AO35" s="178">
        <f t="shared" si="4"/>
        <v>3480000</v>
      </c>
      <c r="AP35" s="197">
        <f t="shared" si="5"/>
        <v>7191360</v>
      </c>
      <c r="AQ35" s="365" t="s">
        <v>1431</v>
      </c>
      <c r="AR35" s="366" t="str">
        <f>TRIM(RIGHT(B35,LEN(B35)-LEN(AQ35)-1))</f>
        <v>004C🔑</v>
      </c>
      <c r="AS35" s="352" t="s">
        <v>1427</v>
      </c>
      <c r="AT35" s="353" t="s">
        <v>1432</v>
      </c>
      <c r="AU35" s="316" t="s">
        <v>712</v>
      </c>
      <c r="AW35" s="357">
        <v>324</v>
      </c>
      <c r="AY35" s="357">
        <v>413</v>
      </c>
      <c r="AZ35" s="384" t="s">
        <v>1280</v>
      </c>
      <c r="BA35" s="369"/>
      <c r="BB35" s="369"/>
      <c r="BC35" s="369"/>
      <c r="BD35" s="369"/>
      <c r="BE35" s="369"/>
      <c r="BF35" s="369"/>
      <c r="BG35" s="369"/>
      <c r="BH35" s="369"/>
      <c r="BI35" s="369"/>
      <c r="BJ35" s="369"/>
      <c r="BK35" s="369"/>
      <c r="BL35" s="369"/>
      <c r="BM35" s="369"/>
      <c r="BN35" s="369">
        <v>1</v>
      </c>
      <c r="BO35" s="369"/>
      <c r="BP35" s="369"/>
      <c r="BQ35" s="369"/>
      <c r="BR35" s="369"/>
      <c r="BS35" s="369"/>
      <c r="BT35" s="369"/>
      <c r="BU35" s="387" t="s">
        <v>1433</v>
      </c>
      <c r="BV35" s="326"/>
      <c r="BW35" s="326"/>
      <c r="BX35" s="326"/>
      <c r="BY35" s="367"/>
      <c r="BZ35" s="368"/>
      <c r="CA35" s="368"/>
      <c r="CB35" s="368"/>
      <c r="CC35" s="368"/>
      <c r="CD35" s="368"/>
      <c r="CE35" s="368"/>
      <c r="CF35" s="368"/>
      <c r="CG35" s="368"/>
      <c r="CH35" s="368"/>
      <c r="CI35" s="42"/>
      <c r="CJ35" s="42"/>
      <c r="CK35" s="42"/>
      <c r="CL35" s="42"/>
    </row>
    <row r="36" spans="1:90" ht="21" customHeight="1" thickBot="1">
      <c r="A36" s="48">
        <v>34</v>
      </c>
      <c r="B36" s="71" t="s">
        <v>1629</v>
      </c>
      <c r="C36" s="86" t="s">
        <v>1630</v>
      </c>
      <c r="D36" s="256" t="s">
        <v>197</v>
      </c>
      <c r="E36" s="247" t="s">
        <v>171</v>
      </c>
      <c r="F36" s="363"/>
      <c r="G36" s="92"/>
      <c r="H36" s="222" t="s">
        <v>449</v>
      </c>
      <c r="I36" s="317">
        <v>22</v>
      </c>
      <c r="J36" s="317">
        <v>30</v>
      </c>
      <c r="K36" s="317">
        <v>35</v>
      </c>
      <c r="L36" s="317">
        <v>38</v>
      </c>
      <c r="M36" s="222" t="s">
        <v>59</v>
      </c>
      <c r="N36" s="240">
        <f>IF(COUNTBLANK(H36:M36),"",SUM(H36:M36))</f>
        <v>125</v>
      </c>
      <c r="O36" s="72">
        <v>3097</v>
      </c>
      <c r="P36" s="214">
        <v>301.2</v>
      </c>
      <c r="Q36" s="221">
        <v>82.87</v>
      </c>
      <c r="R36" s="221">
        <v>51.83</v>
      </c>
      <c r="S36" s="221">
        <v>64.819999999999993</v>
      </c>
      <c r="T36" s="221"/>
      <c r="U36" s="319">
        <v>6440</v>
      </c>
      <c r="V36" s="297">
        <v>10500</v>
      </c>
      <c r="W36" s="320">
        <v>16800</v>
      </c>
      <c r="X36" s="318">
        <v>25200</v>
      </c>
      <c r="Y36" s="318">
        <v>36400</v>
      </c>
      <c r="Z36" s="321">
        <v>51000</v>
      </c>
      <c r="AA36" s="318">
        <v>71500</v>
      </c>
      <c r="AB36" s="318">
        <v>100000</v>
      </c>
      <c r="AC36" s="318">
        <v>140000</v>
      </c>
      <c r="AD36" s="356">
        <v>196000</v>
      </c>
      <c r="AE36" s="356">
        <v>274000</v>
      </c>
      <c r="AF36" s="318">
        <v>384000</v>
      </c>
      <c r="AG36" s="318"/>
      <c r="AH36" s="178">
        <f>VLOOKUP($U36,计算辅助页面!$Z$5:$AM$26,COLUMN()-20,0)</f>
        <v>3711360</v>
      </c>
      <c r="AI36" s="322">
        <v>30000</v>
      </c>
      <c r="AJ36" s="323">
        <v>9</v>
      </c>
      <c r="AK36" s="324">
        <f t="shared" si="49"/>
        <v>60000</v>
      </c>
      <c r="AL36" s="324">
        <v>4</v>
      </c>
      <c r="AM36" s="191">
        <f t="shared" si="50"/>
        <v>180000</v>
      </c>
      <c r="AN36" s="325">
        <v>2</v>
      </c>
      <c r="AO36" s="178">
        <f t="shared" si="4"/>
        <v>3480000</v>
      </c>
      <c r="AP36" s="197">
        <f t="shared" si="5"/>
        <v>7191360</v>
      </c>
      <c r="AQ36" s="365" t="s">
        <v>564</v>
      </c>
      <c r="AR36" s="366" t="str">
        <f>TRIM(RIGHT(B36,LEN(B36)-LEN(AQ36)-1))</f>
        <v>Mustang Mach-E1400</v>
      </c>
      <c r="AS36" s="352" t="s">
        <v>1622</v>
      </c>
      <c r="AT36" s="353" t="s">
        <v>1631</v>
      </c>
      <c r="AU36" s="316" t="s">
        <v>712</v>
      </c>
      <c r="AZ36" s="384" t="s">
        <v>1354</v>
      </c>
      <c r="BA36" s="369"/>
      <c r="BB36" s="369"/>
      <c r="BC36" s="369"/>
      <c r="BD36" s="369"/>
      <c r="BE36" s="369"/>
      <c r="BF36" s="369"/>
      <c r="BG36" s="369"/>
      <c r="BH36" s="369"/>
      <c r="BI36" s="369"/>
      <c r="BJ36" s="369"/>
      <c r="BK36" s="369"/>
      <c r="BL36" s="369"/>
      <c r="BM36" s="369"/>
      <c r="BN36" s="369"/>
      <c r="BO36" s="369"/>
      <c r="BP36" s="369"/>
      <c r="BQ36" s="369"/>
      <c r="BR36" s="369"/>
      <c r="BS36" s="369"/>
      <c r="BT36" s="369"/>
      <c r="BU36" s="387"/>
      <c r="BV36" s="326"/>
      <c r="BW36" s="326"/>
      <c r="BX36" s="326"/>
      <c r="BY36" s="367"/>
      <c r="BZ36" s="368"/>
      <c r="CA36" s="368"/>
      <c r="CB36" s="368"/>
      <c r="CC36" s="368"/>
      <c r="CD36" s="368"/>
      <c r="CE36" s="368"/>
      <c r="CF36" s="368"/>
      <c r="CG36" s="368"/>
      <c r="CH36" s="368"/>
      <c r="CI36" s="42"/>
      <c r="CJ36" s="42"/>
      <c r="CK36" s="42"/>
      <c r="CL36" s="42"/>
    </row>
    <row r="37" spans="1:90" ht="21" customHeight="1" thickBot="1">
      <c r="A37" s="80">
        <v>35</v>
      </c>
      <c r="B37" s="403" t="s">
        <v>11</v>
      </c>
      <c r="C37" s="404" t="s">
        <v>748</v>
      </c>
      <c r="D37" s="254" t="s">
        <v>151</v>
      </c>
      <c r="E37" s="246" t="s">
        <v>44</v>
      </c>
      <c r="F37" s="172">
        <f t="shared" si="21"/>
        <v>6</v>
      </c>
      <c r="G37" s="81" t="s">
        <v>154</v>
      </c>
      <c r="H37" s="231">
        <v>15</v>
      </c>
      <c r="I37" s="231">
        <v>20</v>
      </c>
      <c r="J37" s="231">
        <v>50</v>
      </c>
      <c r="K37" s="231" t="s">
        <v>59</v>
      </c>
      <c r="L37" s="231" t="s">
        <v>59</v>
      </c>
      <c r="M37" s="231" t="s">
        <v>59</v>
      </c>
      <c r="N37" s="238">
        <f t="shared" si="1"/>
        <v>85</v>
      </c>
      <c r="O37" s="64">
        <v>1687</v>
      </c>
      <c r="P37" s="213">
        <v>308.60000000000002</v>
      </c>
      <c r="Q37" s="220">
        <v>71.92</v>
      </c>
      <c r="R37" s="220">
        <v>39.840000000000003</v>
      </c>
      <c r="S37" s="220">
        <v>46.24</v>
      </c>
      <c r="T37" s="220">
        <v>5.05</v>
      </c>
      <c r="U37" s="82">
        <v>1500</v>
      </c>
      <c r="V37" s="290">
        <f>VLOOKUP($U37,计算辅助页面!$Z$5:$AM$26,COLUMN()-20,0)</f>
        <v>2400</v>
      </c>
      <c r="W37" s="290">
        <f>VLOOKUP($U37,计算辅助页面!$Z$5:$AM$26,COLUMN()-20,0)</f>
        <v>3900</v>
      </c>
      <c r="X37" s="238">
        <f>VLOOKUP($U37,计算辅助页面!$Z$5:$AM$26,COLUMN()-20,0)</f>
        <v>5900</v>
      </c>
      <c r="Y37" s="238">
        <f>VLOOKUP($U37,计算辅助页面!$Z$5:$AM$26,COLUMN()-20,0)</f>
        <v>8500</v>
      </c>
      <c r="Z37" s="291">
        <f>VLOOKUP($U37,计算辅助页面!$Z$5:$AM$26,COLUMN()-20,0)</f>
        <v>12000</v>
      </c>
      <c r="AA37" s="238">
        <f>VLOOKUP($U37,计算辅助页面!$Z$5:$AM$26,COLUMN()-20,0)</f>
        <v>16500</v>
      </c>
      <c r="AB37" s="238">
        <f>VLOOKUP($U37,计算辅助页面!$Z$5:$AM$26,COLUMN()-20,0)</f>
        <v>23000</v>
      </c>
      <c r="AC37" s="238">
        <f>VLOOKUP($U37,计算辅助页面!$Z$5:$AM$26,COLUMN()-20,0)</f>
        <v>32500</v>
      </c>
      <c r="AD37" s="238">
        <f>VLOOKUP($U37,计算辅助页面!$Z$5:$AM$26,COLUMN()-20,0)</f>
        <v>45500</v>
      </c>
      <c r="AE37" s="238" t="str">
        <f>VLOOKUP($U37,计算辅助页面!$Z$5:$AM$26,COLUMN()-20,0)</f>
        <v>×</v>
      </c>
      <c r="AF37" s="238" t="str">
        <f>VLOOKUP($U37,计算辅助页面!$Z$5:$AM$26,COLUMN()-20,0)</f>
        <v>×</v>
      </c>
      <c r="AG37" s="238" t="str">
        <f>VLOOKUP($U37,计算辅助页面!$Z$5:$AM$26,COLUMN()-20,0)</f>
        <v>×</v>
      </c>
      <c r="AH37" s="172">
        <f>VLOOKUP($U37,计算辅助页面!$Z$5:$AM$26,COLUMN()-20,0)</f>
        <v>606800</v>
      </c>
      <c r="AI37" s="266">
        <v>10000</v>
      </c>
      <c r="AJ37" s="259">
        <f>VLOOKUP(D37&amp;E37,计算辅助页面!$V$5:$Y$18,2,0)</f>
        <v>4</v>
      </c>
      <c r="AK37" s="181">
        <f t="shared" si="2"/>
        <v>20000</v>
      </c>
      <c r="AL37" s="181">
        <f>VLOOKUP(D37&amp;E37,计算辅助页面!$V$5:$Y$18,3,0)</f>
        <v>1</v>
      </c>
      <c r="AM37" s="183">
        <f t="shared" si="3"/>
        <v>60000</v>
      </c>
      <c r="AN37" s="183">
        <f>VLOOKUP(D37&amp;E37,计算辅助页面!$V$5:$Y$18,4,0)</f>
        <v>1</v>
      </c>
      <c r="AO37" s="172">
        <f t="shared" si="4"/>
        <v>480000</v>
      </c>
      <c r="AP37" s="194">
        <f t="shared" ref="AP37:AP100" si="51">IF(AND(AH37,AO37),AO37+AH37,"")</f>
        <v>1086800</v>
      </c>
      <c r="AQ37" s="365" t="s">
        <v>561</v>
      </c>
      <c r="AR37" s="366" t="str">
        <f t="shared" si="27"/>
        <v>Challenger SRT8</v>
      </c>
      <c r="AS37" s="352" t="s">
        <v>603</v>
      </c>
      <c r="AT37" s="353" t="s">
        <v>270</v>
      </c>
      <c r="AU37" s="81" t="s">
        <v>710</v>
      </c>
      <c r="AV37" s="357">
        <v>1</v>
      </c>
      <c r="AW37" s="357">
        <v>321</v>
      </c>
      <c r="AY37" s="357">
        <v>410</v>
      </c>
      <c r="AZ37" s="357" t="s">
        <v>1110</v>
      </c>
      <c r="BA37" s="369">
        <v>1</v>
      </c>
      <c r="BB37" s="369"/>
      <c r="BC37" s="369">
        <v>1</v>
      </c>
      <c r="BD37" s="369">
        <v>1</v>
      </c>
      <c r="BE37" s="369"/>
      <c r="BF37" s="369"/>
      <c r="BG37" s="369"/>
      <c r="BH37" s="369"/>
      <c r="BI37" s="369"/>
      <c r="BJ37" s="369"/>
      <c r="BK37" s="369"/>
      <c r="BL37" s="369"/>
      <c r="BM37" s="369"/>
      <c r="BN37" s="369"/>
      <c r="BO37" s="369"/>
      <c r="BP37" s="369"/>
      <c r="BQ37" s="369"/>
      <c r="BR37" s="369"/>
      <c r="BS37" s="369"/>
      <c r="BT37" s="369">
        <v>1</v>
      </c>
      <c r="BU37" s="387" t="s">
        <v>1142</v>
      </c>
      <c r="BV37" s="326"/>
      <c r="BW37" s="326"/>
      <c r="BX37" s="326"/>
      <c r="BY37" s="367">
        <v>292</v>
      </c>
      <c r="BZ37" s="368">
        <v>64</v>
      </c>
      <c r="CA37" s="368">
        <v>26.45</v>
      </c>
      <c r="CB37" s="368">
        <v>23.08</v>
      </c>
      <c r="CC37" s="368">
        <f t="shared" si="7"/>
        <v>16.600000000000023</v>
      </c>
      <c r="CD37" s="368">
        <f t="shared" si="8"/>
        <v>7.9200000000000017</v>
      </c>
      <c r="CE37" s="368">
        <f t="shared" si="9"/>
        <v>13.390000000000004</v>
      </c>
      <c r="CF37" s="368">
        <f t="shared" si="10"/>
        <v>23.160000000000004</v>
      </c>
      <c r="CG37" s="368">
        <f t="shared" si="11"/>
        <v>61.070000000000029</v>
      </c>
      <c r="CH37" s="368">
        <f t="shared" si="12"/>
        <v>63.947500000000019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12</v>
      </c>
      <c r="C38" s="86" t="s">
        <v>118</v>
      </c>
      <c r="D38" s="255" t="s">
        <v>151</v>
      </c>
      <c r="E38" s="247" t="s">
        <v>44</v>
      </c>
      <c r="F38" s="173">
        <f t="shared" si="21"/>
        <v>6</v>
      </c>
      <c r="G38" s="83" t="s">
        <v>154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1826</v>
      </c>
      <c r="P38" s="209">
        <v>297.39999999999998</v>
      </c>
      <c r="Q38" s="216">
        <v>73.39</v>
      </c>
      <c r="R38" s="216">
        <v>50.08</v>
      </c>
      <c r="S38" s="216">
        <v>51.2</v>
      </c>
      <c r="T38" s="216">
        <v>5.782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51"/>
        <v>1086800</v>
      </c>
      <c r="AQ38" s="365" t="s">
        <v>558</v>
      </c>
      <c r="AR38" s="366" t="str">
        <f t="shared" si="27"/>
        <v>3.0 CSL hommage</v>
      </c>
      <c r="AS38" s="352" t="s">
        <v>603</v>
      </c>
      <c r="AT38" s="353" t="s">
        <v>615</v>
      </c>
      <c r="AU38" s="81" t="s">
        <v>710</v>
      </c>
      <c r="AV38" s="357">
        <v>2</v>
      </c>
      <c r="AW38" s="357">
        <v>310</v>
      </c>
      <c r="AY38" s="357">
        <v>396</v>
      </c>
      <c r="AZ38" s="357" t="s">
        <v>1110</v>
      </c>
      <c r="BA38" s="369"/>
      <c r="BB38" s="369"/>
      <c r="BC38" s="369">
        <v>1</v>
      </c>
      <c r="BD38" s="369">
        <v>1</v>
      </c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>
        <v>1</v>
      </c>
      <c r="BU38" s="387" t="s">
        <v>1125</v>
      </c>
      <c r="BV38" s="326"/>
      <c r="BW38" s="326"/>
      <c r="BX38" s="326"/>
      <c r="BY38" s="367">
        <v>280</v>
      </c>
      <c r="BZ38" s="368">
        <v>63.1</v>
      </c>
      <c r="CA38" s="368">
        <v>44.02</v>
      </c>
      <c r="CB38" s="368">
        <v>39.880000000000003</v>
      </c>
      <c r="CC38" s="368">
        <f t="shared" si="7"/>
        <v>17.399999999999977</v>
      </c>
      <c r="CD38" s="368">
        <f t="shared" si="8"/>
        <v>10.29</v>
      </c>
      <c r="CE38" s="368">
        <f t="shared" si="9"/>
        <v>6.0599999999999952</v>
      </c>
      <c r="CF38" s="368">
        <f t="shared" si="10"/>
        <v>11.32</v>
      </c>
      <c r="CG38" s="368">
        <f t="shared" si="11"/>
        <v>45.069999999999972</v>
      </c>
      <c r="CH38" s="368">
        <f t="shared" si="12"/>
        <v>44.912899999999986</v>
      </c>
      <c r="CI38" s="42"/>
      <c r="CJ38" s="42"/>
      <c r="CK38" s="42"/>
      <c r="CL38" s="42"/>
    </row>
    <row r="39" spans="1:90" ht="21" customHeight="1" thickBot="1">
      <c r="A39" s="80">
        <v>37</v>
      </c>
      <c r="B39" s="52" t="s">
        <v>1460</v>
      </c>
      <c r="C39" s="86" t="s">
        <v>1459</v>
      </c>
      <c r="D39" s="255" t="s">
        <v>151</v>
      </c>
      <c r="E39" s="247" t="s">
        <v>44</v>
      </c>
      <c r="F39" s="230"/>
      <c r="G39" s="229"/>
      <c r="H39" s="236">
        <v>55</v>
      </c>
      <c r="I39" s="236">
        <v>38</v>
      </c>
      <c r="J39" s="236">
        <v>90</v>
      </c>
      <c r="K39" s="222" t="s">
        <v>59</v>
      </c>
      <c r="L39" s="222" t="s">
        <v>59</v>
      </c>
      <c r="M39" s="222" t="s">
        <v>59</v>
      </c>
      <c r="N39" s="226">
        <f t="shared" ref="N39" si="52">IF(COUNTBLANK(H39:M39),"",SUM(H39:M39))</f>
        <v>183</v>
      </c>
      <c r="O39" s="53">
        <v>1844</v>
      </c>
      <c r="P39" s="210">
        <v>298.39999999999998</v>
      </c>
      <c r="Q39" s="217">
        <v>71.92</v>
      </c>
      <c r="R39" s="217">
        <v>45.93</v>
      </c>
      <c r="S39" s="217">
        <v>53.86</v>
      </c>
      <c r="T39" s="217"/>
      <c r="U39" s="82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ref="AK39" si="53">IF(AI39,2*AI39,"")</f>
        <v>20000</v>
      </c>
      <c r="AL39" s="174">
        <f>VLOOKUP(D39&amp;E39,计算辅助页面!$V$5:$Y$18,3,0)</f>
        <v>1</v>
      </c>
      <c r="AM39" s="179">
        <f t="shared" ref="AM39" si="54">IF(AN39="×",AN39,IF(AI39,6*AI39,""))</f>
        <v>60000</v>
      </c>
      <c r="AN39" s="179">
        <f>VLOOKUP(D39&amp;E39,计算辅助页面!$V$5:$Y$18,4,0)</f>
        <v>1</v>
      </c>
      <c r="AO39" s="173">
        <f t="shared" ref="AO39" si="55">IF(AI39,IF(AN39="×",4*(AI39*AJ39+AK39*AL39),4*(AI39*AJ39+AK39*AL39+AM39*AN39)),"")</f>
        <v>480000</v>
      </c>
      <c r="AP39" s="195">
        <f t="shared" ref="AP39" si="56">IF(AND(AH39,AO39),AO39+AH39,"")</f>
        <v>1086800</v>
      </c>
      <c r="AQ39" s="365" t="s">
        <v>562</v>
      </c>
      <c r="AR39" s="366" t="str">
        <f t="shared" si="27"/>
        <v>Boxster 25th</v>
      </c>
      <c r="AS39" s="352" t="s">
        <v>1457</v>
      </c>
      <c r="AT39" s="353" t="s">
        <v>1461</v>
      </c>
      <c r="AU39" s="81" t="s">
        <v>710</v>
      </c>
      <c r="AW39" s="357">
        <v>311</v>
      </c>
      <c r="AY39" s="357">
        <v>398</v>
      </c>
      <c r="AZ39" s="384" t="s">
        <v>1274</v>
      </c>
      <c r="BA39" s="369"/>
      <c r="BB39" s="369"/>
      <c r="BC39" s="369"/>
      <c r="BD39" s="369"/>
      <c r="BE39" s="369"/>
      <c r="BF39" s="369"/>
      <c r="BG39" s="369"/>
      <c r="BH39" s="369"/>
      <c r="BI39" s="369"/>
      <c r="BJ39" s="369"/>
      <c r="BK39" s="369"/>
      <c r="BL39" s="369"/>
      <c r="BM39" s="369"/>
      <c r="BN39" s="369"/>
      <c r="BO39" s="369"/>
      <c r="BP39" s="369"/>
      <c r="BQ39" s="369"/>
      <c r="BR39" s="369"/>
      <c r="BS39" s="369"/>
      <c r="BT39" s="369"/>
      <c r="BU39" s="389" t="s">
        <v>1480</v>
      </c>
      <c r="BV39" s="326"/>
      <c r="BW39" s="326"/>
      <c r="BX39" s="326"/>
      <c r="BY39" s="367"/>
      <c r="BZ39" s="368"/>
      <c r="CA39" s="368"/>
      <c r="CB39" s="368"/>
      <c r="CC39" s="368"/>
      <c r="CD39" s="368"/>
      <c r="CE39" s="368"/>
      <c r="CF39" s="368"/>
      <c r="CG39" s="368"/>
      <c r="CH39" s="368"/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13</v>
      </c>
      <c r="C40" s="86" t="s">
        <v>749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25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95</v>
      </c>
      <c r="O40" s="51">
        <v>1971</v>
      </c>
      <c r="P40" s="209">
        <v>271</v>
      </c>
      <c r="Q40" s="216">
        <v>78.14</v>
      </c>
      <c r="R40" s="216">
        <v>83.14</v>
      </c>
      <c r="S40" s="216">
        <v>72.33</v>
      </c>
      <c r="T40" s="216">
        <v>13.016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51"/>
        <v>1086800</v>
      </c>
      <c r="AQ40" s="365" t="s">
        <v>559</v>
      </c>
      <c r="AR40" s="366" t="str">
        <f t="shared" si="27"/>
        <v>Camaro ZL1 50TH Edition</v>
      </c>
      <c r="AS40" s="352" t="s">
        <v>603</v>
      </c>
      <c r="AT40" s="353" t="s">
        <v>272</v>
      </c>
      <c r="AU40" s="81" t="s">
        <v>710</v>
      </c>
      <c r="AV40" s="357">
        <v>2</v>
      </c>
      <c r="AW40" s="357">
        <v>282</v>
      </c>
      <c r="AY40" s="357">
        <v>364</v>
      </c>
      <c r="AZ40" s="357" t="s">
        <v>1110</v>
      </c>
      <c r="BA40" s="369"/>
      <c r="BB40" s="369"/>
      <c r="BC40" s="369">
        <v>1</v>
      </c>
      <c r="BD40" s="369">
        <v>1</v>
      </c>
      <c r="BE40" s="369"/>
      <c r="BF40" s="369"/>
      <c r="BG40" s="369"/>
      <c r="BH40" s="369"/>
      <c r="BI40" s="369"/>
      <c r="BJ40" s="369"/>
      <c r="BK40" s="369"/>
      <c r="BL40" s="369"/>
      <c r="BM40" s="369"/>
      <c r="BN40" s="369"/>
      <c r="BO40" s="369"/>
      <c r="BP40" s="369"/>
      <c r="BQ40" s="369">
        <v>1</v>
      </c>
      <c r="BR40" s="369"/>
      <c r="BS40" s="369"/>
      <c r="BT40" s="369">
        <v>1</v>
      </c>
      <c r="BU40" s="387" t="s">
        <v>1126</v>
      </c>
      <c r="BV40" s="326"/>
      <c r="BW40" s="326"/>
      <c r="BX40" s="326"/>
      <c r="BY40" s="367">
        <v>250</v>
      </c>
      <c r="BZ40" s="368">
        <v>63.1</v>
      </c>
      <c r="CA40" s="368">
        <v>58.14</v>
      </c>
      <c r="CB40" s="368">
        <v>49.95</v>
      </c>
      <c r="CC40" s="368">
        <f t="shared" si="7"/>
        <v>21</v>
      </c>
      <c r="CD40" s="368">
        <f t="shared" si="8"/>
        <v>15.04</v>
      </c>
      <c r="CE40" s="368">
        <f t="shared" si="9"/>
        <v>25</v>
      </c>
      <c r="CF40" s="368">
        <f t="shared" si="10"/>
        <v>22.379999999999995</v>
      </c>
      <c r="CG40" s="368">
        <f t="shared" si="11"/>
        <v>83.419999999999987</v>
      </c>
      <c r="CH40" s="368">
        <f t="shared" si="12"/>
        <v>89.936399999999992</v>
      </c>
      <c r="CI40" s="42"/>
      <c r="CJ40" s="42"/>
      <c r="CK40" s="42"/>
      <c r="CL40" s="42"/>
    </row>
    <row r="41" spans="1:90" ht="21" customHeight="1" thickBot="1">
      <c r="A41" s="80">
        <v>39</v>
      </c>
      <c r="B41" s="49" t="s">
        <v>14</v>
      </c>
      <c r="C41" s="86" t="s">
        <v>750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20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90</v>
      </c>
      <c r="O41" s="51">
        <v>2123</v>
      </c>
      <c r="P41" s="209">
        <v>317.7</v>
      </c>
      <c r="Q41" s="216">
        <v>71.7</v>
      </c>
      <c r="R41" s="216">
        <v>50.93</v>
      </c>
      <c r="S41" s="216">
        <v>47.05</v>
      </c>
      <c r="T41" s="216">
        <v>5.133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51"/>
        <v>1086800</v>
      </c>
      <c r="AQ41" s="365" t="s">
        <v>563</v>
      </c>
      <c r="AR41" s="366" t="str">
        <f t="shared" si="27"/>
        <v>Evora Sport 410</v>
      </c>
      <c r="AS41" s="352" t="s">
        <v>603</v>
      </c>
      <c r="AT41" s="353" t="s">
        <v>622</v>
      </c>
      <c r="AU41" s="81" t="s">
        <v>710</v>
      </c>
      <c r="AV41" s="357">
        <v>3</v>
      </c>
      <c r="AW41" s="357">
        <v>331</v>
      </c>
      <c r="AY41" s="357">
        <v>422</v>
      </c>
      <c r="AZ41" s="357" t="s">
        <v>1110</v>
      </c>
      <c r="BA41" s="369"/>
      <c r="BB41" s="369"/>
      <c r="BC41" s="369">
        <v>1</v>
      </c>
      <c r="BD41" s="369">
        <v>1</v>
      </c>
      <c r="BE41" s="369"/>
      <c r="BF41" s="369"/>
      <c r="BG41" s="369"/>
      <c r="BH41" s="369"/>
      <c r="BI41" s="369"/>
      <c r="BJ41" s="369"/>
      <c r="BK41" s="369"/>
      <c r="BL41" s="369"/>
      <c r="BM41" s="369"/>
      <c r="BN41" s="369"/>
      <c r="BO41" s="369"/>
      <c r="BP41" s="369"/>
      <c r="BQ41" s="369"/>
      <c r="BR41" s="369"/>
      <c r="BS41" s="369"/>
      <c r="BT41" s="369">
        <v>1</v>
      </c>
      <c r="BU41" s="387" t="s">
        <v>1143</v>
      </c>
      <c r="BV41" s="326"/>
      <c r="BW41" s="326"/>
      <c r="BX41" s="326"/>
      <c r="BY41" s="367">
        <v>300</v>
      </c>
      <c r="BZ41" s="368">
        <v>62.2</v>
      </c>
      <c r="CA41" s="368">
        <v>44.09</v>
      </c>
      <c r="CB41" s="368">
        <v>36.32</v>
      </c>
      <c r="CC41" s="368">
        <f t="shared" si="7"/>
        <v>17.699999999999989</v>
      </c>
      <c r="CD41" s="368">
        <f t="shared" si="8"/>
        <v>9.5</v>
      </c>
      <c r="CE41" s="368">
        <f t="shared" si="9"/>
        <v>6.8399999999999963</v>
      </c>
      <c r="CF41" s="368">
        <f t="shared" si="10"/>
        <v>10.729999999999997</v>
      </c>
      <c r="CG41" s="368">
        <f t="shared" si="11"/>
        <v>44.769999999999982</v>
      </c>
      <c r="CH41" s="368">
        <f t="shared" si="12"/>
        <v>43.752599999999987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</v>
      </c>
      <c r="C42" s="86" t="s">
        <v>751</v>
      </c>
      <c r="D42" s="255" t="s">
        <v>151</v>
      </c>
      <c r="E42" s="247" t="s">
        <v>44</v>
      </c>
      <c r="F42" s="173">
        <f t="shared" si="21"/>
        <v>6</v>
      </c>
      <c r="G42" s="83" t="s">
        <v>61</v>
      </c>
      <c r="H42" s="222">
        <v>30</v>
      </c>
      <c r="I42" s="222">
        <v>20</v>
      </c>
      <c r="J42" s="222">
        <v>50</v>
      </c>
      <c r="K42" s="222" t="s">
        <v>59</v>
      </c>
      <c r="L42" s="222" t="s">
        <v>59</v>
      </c>
      <c r="M42" s="222" t="s">
        <v>59</v>
      </c>
      <c r="N42" s="226">
        <f t="shared" si="1"/>
        <v>100</v>
      </c>
      <c r="O42" s="51">
        <v>2281</v>
      </c>
      <c r="P42" s="209">
        <v>329.4</v>
      </c>
      <c r="Q42" s="216">
        <v>71.34</v>
      </c>
      <c r="R42" s="216">
        <v>42.69</v>
      </c>
      <c r="S42" s="216">
        <v>54.66</v>
      </c>
      <c r="T42" s="222">
        <v>5.7489999999999988</v>
      </c>
      <c r="U42" s="84">
        <v>1500</v>
      </c>
      <c r="V42" s="292">
        <f>VLOOKUP($U42,计算辅助页面!$Z$5:$AM$26,COLUMN()-20,0)</f>
        <v>2400</v>
      </c>
      <c r="W42" s="292">
        <f>VLOOKUP($U42,计算辅助页面!$Z$5:$AM$26,COLUMN()-20,0)</f>
        <v>3900</v>
      </c>
      <c r="X42" s="226">
        <f>VLOOKUP($U42,计算辅助页面!$Z$5:$AM$26,COLUMN()-20,0)</f>
        <v>5900</v>
      </c>
      <c r="Y42" s="226">
        <f>VLOOKUP($U42,计算辅助页面!$Z$5:$AM$26,COLUMN()-20,0)</f>
        <v>8500</v>
      </c>
      <c r="Z42" s="293">
        <f>VLOOKUP($U42,计算辅助页面!$Z$5:$AM$26,COLUMN()-20,0)</f>
        <v>12000</v>
      </c>
      <c r="AA42" s="226">
        <f>VLOOKUP($U42,计算辅助页面!$Z$5:$AM$26,COLUMN()-20,0)</f>
        <v>16500</v>
      </c>
      <c r="AB42" s="226">
        <f>VLOOKUP($U42,计算辅助页面!$Z$5:$AM$26,COLUMN()-20,0)</f>
        <v>23000</v>
      </c>
      <c r="AC42" s="226">
        <f>VLOOKUP($U42,计算辅助页面!$Z$5:$AM$26,COLUMN()-20,0)</f>
        <v>32500</v>
      </c>
      <c r="AD42" s="226">
        <f>VLOOKUP($U42,计算辅助页面!$Z$5:$AM$26,COLUMN()-20,0)</f>
        <v>45500</v>
      </c>
      <c r="AE42" s="226" t="str">
        <f>VLOOKUP($U42,计算辅助页面!$Z$5:$AM$26,COLUMN()-20,0)</f>
        <v>×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606800</v>
      </c>
      <c r="AI42" s="267">
        <v>10000</v>
      </c>
      <c r="AJ42" s="260">
        <f>VLOOKUP(D42&amp;E42,计算辅助页面!$V$5:$Y$18,2,0)</f>
        <v>4</v>
      </c>
      <c r="AK42" s="174">
        <f t="shared" si="2"/>
        <v>20000</v>
      </c>
      <c r="AL42" s="174">
        <f>VLOOKUP(D42&amp;E42,计算辅助页面!$V$5:$Y$18,3,0)</f>
        <v>1</v>
      </c>
      <c r="AM42" s="179">
        <f t="shared" si="3"/>
        <v>60000</v>
      </c>
      <c r="AN42" s="179">
        <f>VLOOKUP(D42&amp;E42,计算辅助页面!$V$5:$Y$18,4,0)</f>
        <v>1</v>
      </c>
      <c r="AO42" s="173">
        <f t="shared" si="4"/>
        <v>480000</v>
      </c>
      <c r="AP42" s="195">
        <f t="shared" si="51"/>
        <v>1086800</v>
      </c>
      <c r="AQ42" s="365" t="s">
        <v>565</v>
      </c>
      <c r="AR42" s="366" t="str">
        <f t="shared" si="27"/>
        <v>AMG GT S</v>
      </c>
      <c r="AS42" s="352" t="s">
        <v>603</v>
      </c>
      <c r="AT42" s="353" t="s">
        <v>627</v>
      </c>
      <c r="AU42" s="81" t="s">
        <v>710</v>
      </c>
      <c r="AV42" s="357">
        <v>4</v>
      </c>
      <c r="AW42" s="357">
        <v>343</v>
      </c>
      <c r="AY42" s="357">
        <v>442</v>
      </c>
      <c r="AZ42" s="357" t="s">
        <v>1110</v>
      </c>
      <c r="BA42" s="369"/>
      <c r="BB42" s="369"/>
      <c r="BC42" s="369">
        <v>1</v>
      </c>
      <c r="BD42" s="369">
        <v>1</v>
      </c>
      <c r="BE42" s="369"/>
      <c r="BF42" s="369"/>
      <c r="BG42" s="369"/>
      <c r="BH42" s="369"/>
      <c r="BI42" s="369"/>
      <c r="BJ42" s="369"/>
      <c r="BK42" s="369"/>
      <c r="BL42" s="369"/>
      <c r="BM42" s="369"/>
      <c r="BN42" s="369"/>
      <c r="BO42" s="369"/>
      <c r="BP42" s="369"/>
      <c r="BQ42" s="369">
        <v>1</v>
      </c>
      <c r="BR42" s="369"/>
      <c r="BS42" s="369"/>
      <c r="BT42" s="369">
        <v>1</v>
      </c>
      <c r="BU42" s="387" t="s">
        <v>1144</v>
      </c>
      <c r="BV42" s="326"/>
      <c r="BW42" s="326"/>
      <c r="BX42" s="326"/>
      <c r="BY42" s="367">
        <v>310</v>
      </c>
      <c r="BZ42" s="368">
        <v>65.8</v>
      </c>
      <c r="CA42" s="368">
        <v>35.630000000000003</v>
      </c>
      <c r="CB42" s="368">
        <v>39.96</v>
      </c>
      <c r="CC42" s="368">
        <f t="shared" si="7"/>
        <v>19.399999999999977</v>
      </c>
      <c r="CD42" s="368">
        <f t="shared" si="8"/>
        <v>5.5400000000000063</v>
      </c>
      <c r="CE42" s="368">
        <f t="shared" si="9"/>
        <v>7.0599999999999952</v>
      </c>
      <c r="CF42" s="368">
        <f t="shared" si="10"/>
        <v>14.699999999999996</v>
      </c>
      <c r="CG42" s="368">
        <f t="shared" si="11"/>
        <v>46.699999999999974</v>
      </c>
      <c r="CH42" s="368">
        <f t="shared" si="12"/>
        <v>42.696799999999996</v>
      </c>
      <c r="CI42" s="42"/>
      <c r="CJ42" s="42"/>
      <c r="CK42" s="42"/>
      <c r="CL42" s="42"/>
    </row>
    <row r="43" spans="1:90" ht="21" customHeight="1">
      <c r="A43" s="80">
        <v>41</v>
      </c>
      <c r="B43" s="49" t="s">
        <v>17</v>
      </c>
      <c r="C43" s="86" t="s">
        <v>752</v>
      </c>
      <c r="D43" s="255" t="s">
        <v>151</v>
      </c>
      <c r="E43" s="247" t="s">
        <v>44</v>
      </c>
      <c r="F43" s="173">
        <f t="shared" si="21"/>
        <v>6</v>
      </c>
      <c r="G43" s="83" t="s">
        <v>61</v>
      </c>
      <c r="H43" s="222">
        <v>40</v>
      </c>
      <c r="I43" s="222">
        <v>20</v>
      </c>
      <c r="J43" s="222">
        <v>50</v>
      </c>
      <c r="K43" s="222" t="s">
        <v>59</v>
      </c>
      <c r="L43" s="222" t="s">
        <v>59</v>
      </c>
      <c r="M43" s="222" t="s">
        <v>59</v>
      </c>
      <c r="N43" s="226">
        <f t="shared" si="1"/>
        <v>110</v>
      </c>
      <c r="O43" s="51">
        <v>2447</v>
      </c>
      <c r="P43" s="209">
        <v>326.5</v>
      </c>
      <c r="Q43" s="216">
        <v>73.72</v>
      </c>
      <c r="R43" s="216">
        <v>51.19</v>
      </c>
      <c r="S43" s="216">
        <v>52.48</v>
      </c>
      <c r="T43" s="216">
        <v>5.5489999999999995</v>
      </c>
      <c r="U43" s="84">
        <v>1500</v>
      </c>
      <c r="V43" s="292">
        <f>VLOOKUP($U43,计算辅助页面!$Z$5:$AM$26,COLUMN()-20,0)</f>
        <v>2400</v>
      </c>
      <c r="W43" s="292">
        <f>VLOOKUP($U43,计算辅助页面!$Z$5:$AM$26,COLUMN()-20,0)</f>
        <v>3900</v>
      </c>
      <c r="X43" s="226">
        <f>VLOOKUP($U43,计算辅助页面!$Z$5:$AM$26,COLUMN()-20,0)</f>
        <v>5900</v>
      </c>
      <c r="Y43" s="226">
        <f>VLOOKUP($U43,计算辅助页面!$Z$5:$AM$26,COLUMN()-20,0)</f>
        <v>8500</v>
      </c>
      <c r="Z43" s="293">
        <f>VLOOKUP($U43,计算辅助页面!$Z$5:$AM$26,COLUMN()-20,0)</f>
        <v>12000</v>
      </c>
      <c r="AA43" s="226">
        <f>VLOOKUP($U43,计算辅助页面!$Z$5:$AM$26,COLUMN()-20,0)</f>
        <v>16500</v>
      </c>
      <c r="AB43" s="226">
        <f>VLOOKUP($U43,计算辅助页面!$Z$5:$AM$26,COLUMN()-20,0)</f>
        <v>23000</v>
      </c>
      <c r="AC43" s="226">
        <f>VLOOKUP($U43,计算辅助页面!$Z$5:$AM$26,COLUMN()-20,0)</f>
        <v>32500</v>
      </c>
      <c r="AD43" s="226">
        <f>VLOOKUP($U43,计算辅助页面!$Z$5:$AM$26,COLUMN()-20,0)</f>
        <v>45500</v>
      </c>
      <c r="AE43" s="226" t="str">
        <f>VLOOKUP($U43,计算辅助页面!$Z$5:$AM$26,COLUMN()-20,0)</f>
        <v>×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606800</v>
      </c>
      <c r="AI43" s="267">
        <v>10000</v>
      </c>
      <c r="AJ43" s="260">
        <f>VLOOKUP(D43&amp;E43,计算辅助页面!$V$5:$Y$18,2,0)</f>
        <v>4</v>
      </c>
      <c r="AK43" s="174">
        <f t="shared" si="2"/>
        <v>20000</v>
      </c>
      <c r="AL43" s="174">
        <f>VLOOKUP(D43&amp;E43,计算辅助页面!$V$5:$Y$18,3,0)</f>
        <v>1</v>
      </c>
      <c r="AM43" s="179">
        <f t="shared" si="3"/>
        <v>60000</v>
      </c>
      <c r="AN43" s="179">
        <f>VLOOKUP(D43&amp;E43,计算辅助页面!$V$5:$Y$18,4,0)</f>
        <v>1</v>
      </c>
      <c r="AO43" s="173">
        <f t="shared" si="4"/>
        <v>480000</v>
      </c>
      <c r="AP43" s="195">
        <f t="shared" si="51"/>
        <v>1086800</v>
      </c>
      <c r="AQ43" s="365" t="s">
        <v>558</v>
      </c>
      <c r="AR43" s="366" t="str">
        <f t="shared" si="27"/>
        <v>M4 GTS</v>
      </c>
      <c r="AS43" s="352" t="s">
        <v>603</v>
      </c>
      <c r="AT43" s="353" t="s">
        <v>275</v>
      </c>
      <c r="AU43" s="81" t="s">
        <v>710</v>
      </c>
      <c r="AV43" s="357">
        <v>6</v>
      </c>
      <c r="AW43" s="357">
        <v>340</v>
      </c>
      <c r="AY43" s="357">
        <v>437</v>
      </c>
      <c r="AZ43" s="357" t="s">
        <v>1110</v>
      </c>
      <c r="BA43" s="369"/>
      <c r="BB43" s="369"/>
      <c r="BC43" s="369">
        <v>1</v>
      </c>
      <c r="BD43" s="369">
        <v>1</v>
      </c>
      <c r="BE43" s="369"/>
      <c r="BF43" s="369"/>
      <c r="BG43" s="369"/>
      <c r="BH43" s="369"/>
      <c r="BI43" s="369"/>
      <c r="BJ43" s="369"/>
      <c r="BK43" s="369"/>
      <c r="BL43" s="369"/>
      <c r="BM43" s="369"/>
      <c r="BN43" s="369"/>
      <c r="BO43" s="369"/>
      <c r="BP43" s="393" t="s">
        <v>1388</v>
      </c>
      <c r="BQ43" s="369"/>
      <c r="BR43" s="369"/>
      <c r="BS43" s="369"/>
      <c r="BT43" s="369">
        <v>1</v>
      </c>
      <c r="BU43" s="387" t="s">
        <v>1125</v>
      </c>
      <c r="BV43" s="326"/>
      <c r="BW43" s="326"/>
      <c r="BX43" s="326"/>
      <c r="BY43" s="367">
        <v>305</v>
      </c>
      <c r="BZ43" s="368">
        <v>65.8</v>
      </c>
      <c r="CA43" s="368">
        <v>43.9</v>
      </c>
      <c r="CB43" s="368">
        <v>38.58</v>
      </c>
      <c r="CC43" s="368">
        <f t="shared" si="7"/>
        <v>21.5</v>
      </c>
      <c r="CD43" s="368">
        <f t="shared" si="8"/>
        <v>7.9200000000000017</v>
      </c>
      <c r="CE43" s="368">
        <f t="shared" si="9"/>
        <v>7.2899999999999991</v>
      </c>
      <c r="CF43" s="368">
        <f t="shared" si="10"/>
        <v>13.899999999999999</v>
      </c>
      <c r="CG43" s="368">
        <f t="shared" si="11"/>
        <v>50.61</v>
      </c>
      <c r="CH43" s="368">
        <f t="shared" si="12"/>
        <v>46.7697</v>
      </c>
      <c r="CI43" s="42"/>
      <c r="CJ43" s="42"/>
      <c r="CK43" s="42"/>
      <c r="CL43" s="42"/>
    </row>
    <row r="44" spans="1:90" ht="21" customHeight="1" thickBot="1">
      <c r="A44" s="48">
        <v>42</v>
      </c>
      <c r="B44" s="49" t="s">
        <v>169</v>
      </c>
      <c r="C44" s="86" t="s">
        <v>753</v>
      </c>
      <c r="D44" s="255" t="s">
        <v>151</v>
      </c>
      <c r="E44" s="247" t="s">
        <v>45</v>
      </c>
      <c r="F44" s="173">
        <f t="shared" si="21"/>
        <v>5</v>
      </c>
      <c r="G44" s="83" t="s">
        <v>63</v>
      </c>
      <c r="H44" s="222">
        <v>35</v>
      </c>
      <c r="I44" s="222">
        <v>15</v>
      </c>
      <c r="J44" s="222">
        <v>21</v>
      </c>
      <c r="K44" s="222">
        <v>32</v>
      </c>
      <c r="L44" s="222" t="s">
        <v>59</v>
      </c>
      <c r="M44" s="222" t="s">
        <v>59</v>
      </c>
      <c r="N44" s="226">
        <f t="shared" si="1"/>
        <v>103</v>
      </c>
      <c r="O44" s="51">
        <v>2635</v>
      </c>
      <c r="P44" s="209">
        <v>299.5</v>
      </c>
      <c r="Q44" s="216">
        <v>84.62</v>
      </c>
      <c r="R44" s="216">
        <v>69.2</v>
      </c>
      <c r="S44" s="216">
        <v>63.68</v>
      </c>
      <c r="T44" s="216">
        <v>7.7829999999999995</v>
      </c>
      <c r="U44" s="84">
        <v>2530</v>
      </c>
      <c r="V44" s="292">
        <f>VLOOKUP($U44,计算辅助页面!$Z$5:$AM$26,COLUMN()-20,0)</f>
        <v>4100</v>
      </c>
      <c r="W44" s="292">
        <f>VLOOKUP($U44,计算辅助页面!$Z$5:$AM$26,COLUMN()-20,0)</f>
        <v>6600</v>
      </c>
      <c r="X44" s="226">
        <f>VLOOKUP($U44,计算辅助页面!$Z$5:$AM$26,COLUMN()-20,0)</f>
        <v>9900</v>
      </c>
      <c r="Y44" s="226">
        <f>VLOOKUP($U44,计算辅助页面!$Z$5:$AM$26,COLUMN()-20,0)</f>
        <v>14300</v>
      </c>
      <c r="Z44" s="293">
        <f>VLOOKUP($U44,计算辅助页面!$Z$5:$AM$26,COLUMN()-20,0)</f>
        <v>20000</v>
      </c>
      <c r="AA44" s="226">
        <f>VLOOKUP($U44,计算辅助页面!$Z$5:$AM$26,COLUMN()-20,0)</f>
        <v>28000</v>
      </c>
      <c r="AB44" s="226">
        <f>VLOOKUP($U44,计算辅助页面!$Z$5:$AM$26,COLUMN()-20,0)</f>
        <v>39000</v>
      </c>
      <c r="AC44" s="226">
        <f>VLOOKUP($U44,计算辅助页面!$Z$5:$AM$26,COLUMN()-20,0)</f>
        <v>55000</v>
      </c>
      <c r="AD44" s="226">
        <f>VLOOKUP($U44,计算辅助页面!$Z$5:$AM$26,COLUMN()-20,0)</f>
        <v>77000</v>
      </c>
      <c r="AE44" s="226">
        <f>VLOOKUP($U44,计算辅助页面!$Z$5:$AM$26,COLUMN()-20,0)</f>
        <v>108000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1457720</v>
      </c>
      <c r="AI44" s="267">
        <v>15000</v>
      </c>
      <c r="AJ44" s="260">
        <f>VLOOKUP(D44&amp;E44,计算辅助页面!$V$5:$Y$18,2,0)</f>
        <v>6</v>
      </c>
      <c r="AK44" s="174">
        <f t="shared" si="2"/>
        <v>30000</v>
      </c>
      <c r="AL44" s="174">
        <f>VLOOKUP(D44&amp;E44,计算辅助页面!$V$5:$Y$18,3,0)</f>
        <v>3</v>
      </c>
      <c r="AM44" s="179">
        <f t="shared" si="3"/>
        <v>90000</v>
      </c>
      <c r="AN44" s="179">
        <f>VLOOKUP(D44&amp;E44,计算辅助页面!$V$5:$Y$18,4,0)</f>
        <v>1</v>
      </c>
      <c r="AO44" s="173">
        <f t="shared" si="4"/>
        <v>1080000</v>
      </c>
      <c r="AP44" s="195">
        <f t="shared" si="51"/>
        <v>2537720</v>
      </c>
      <c r="AQ44" s="365" t="s">
        <v>1070</v>
      </c>
      <c r="AR44" s="366" t="str">
        <f t="shared" si="27"/>
        <v>Beast X</v>
      </c>
      <c r="AS44" s="352" t="s">
        <v>603</v>
      </c>
      <c r="AT44" s="353" t="s">
        <v>690</v>
      </c>
      <c r="AU44" s="229" t="s">
        <v>711</v>
      </c>
      <c r="AW44" s="357">
        <v>312</v>
      </c>
      <c r="AY44" s="357">
        <v>399</v>
      </c>
      <c r="AZ44" s="357" t="s">
        <v>1116</v>
      </c>
      <c r="BA44" s="369"/>
      <c r="BB44" s="369"/>
      <c r="BC44" s="369"/>
      <c r="BD44" s="369"/>
      <c r="BE44" s="369">
        <v>1</v>
      </c>
      <c r="BF44" s="369"/>
      <c r="BG44" s="369"/>
      <c r="BH44" s="369"/>
      <c r="BI44" s="369"/>
      <c r="BJ44" s="369"/>
      <c r="BK44" s="369"/>
      <c r="BL44" s="369"/>
      <c r="BM44" s="369"/>
      <c r="BN44" s="369"/>
      <c r="BO44" s="369"/>
      <c r="BP44" s="369"/>
      <c r="BQ44" s="369"/>
      <c r="BR44" s="369"/>
      <c r="BS44" s="369"/>
      <c r="BT44" s="369"/>
      <c r="BU44" s="387" t="s">
        <v>1145</v>
      </c>
      <c r="BV44" s="326">
        <v>1</v>
      </c>
      <c r="BW44" s="326"/>
      <c r="BX44" s="326"/>
      <c r="BY44" s="367">
        <v>282</v>
      </c>
      <c r="BZ44" s="368">
        <v>73</v>
      </c>
      <c r="CA44" s="368">
        <v>48.18</v>
      </c>
      <c r="CB44" s="368">
        <v>46.21</v>
      </c>
      <c r="CC44" s="368">
        <f t="shared" si="7"/>
        <v>17.5</v>
      </c>
      <c r="CD44" s="368">
        <f t="shared" si="8"/>
        <v>11.620000000000005</v>
      </c>
      <c r="CE44" s="368">
        <f t="shared" si="9"/>
        <v>21.020000000000003</v>
      </c>
      <c r="CF44" s="368">
        <f t="shared" si="10"/>
        <v>17.47</v>
      </c>
      <c r="CG44" s="368">
        <f t="shared" si="11"/>
        <v>67.610000000000014</v>
      </c>
      <c r="CH44" s="368">
        <f t="shared" si="12"/>
        <v>72.049200000000013</v>
      </c>
      <c r="CI44" s="42"/>
      <c r="CJ44" s="42"/>
      <c r="CK44" s="42"/>
      <c r="CL44" s="42"/>
    </row>
    <row r="45" spans="1:90" ht="21" customHeight="1">
      <c r="A45" s="80">
        <v>43</v>
      </c>
      <c r="B45" s="52" t="s">
        <v>1005</v>
      </c>
      <c r="C45" s="86" t="s">
        <v>1006</v>
      </c>
      <c r="D45" s="255" t="s">
        <v>151</v>
      </c>
      <c r="E45" s="247" t="s">
        <v>45</v>
      </c>
      <c r="F45" s="230"/>
      <c r="G45" s="229"/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ref="N45" si="57">IF(COUNTBLANK(H45:M45),"",SUM(H45:M45))</f>
        <v>165</v>
      </c>
      <c r="O45" s="53">
        <v>2735</v>
      </c>
      <c r="P45" s="210">
        <v>313</v>
      </c>
      <c r="Q45" s="217">
        <v>80.12</v>
      </c>
      <c r="R45" s="217">
        <v>57.28</v>
      </c>
      <c r="S45" s="217">
        <v>62.51</v>
      </c>
      <c r="T45" s="217"/>
      <c r="U45" s="85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ref="AK45" si="58">IF(AI45,2*AI45,"")</f>
        <v>60000</v>
      </c>
      <c r="AL45" s="174">
        <f>VLOOKUP(D45&amp;E45,计算辅助页面!$V$5:$Y$18,3,0)</f>
        <v>3</v>
      </c>
      <c r="AM45" s="179">
        <f t="shared" ref="AM45" si="59">IF(AN45="×",AN45,IF(AI45,6*AI45,""))</f>
        <v>180000</v>
      </c>
      <c r="AN45" s="179">
        <f>VLOOKUP(D45&amp;E45,计算辅助页面!$V$5:$Y$18,4,0)</f>
        <v>1</v>
      </c>
      <c r="AO45" s="173">
        <f t="shared" ref="AO45" si="60">IF(AI45,IF(AN45="×",4*(AI45*AJ45+AK45*AL45),4*(AI45*AJ45+AK45*AL45+AM45*AN45)),"")</f>
        <v>2160000</v>
      </c>
      <c r="AP45" s="195">
        <f t="shared" ref="AP45" si="61">IF(AND(AH45,AO45),AO45+AH45,"")</f>
        <v>5073840</v>
      </c>
      <c r="AQ45" s="365" t="s">
        <v>567</v>
      </c>
      <c r="AR45" s="366" t="str">
        <f t="shared" si="27"/>
        <v>V12 Speedster</v>
      </c>
      <c r="AS45" s="352" t="s">
        <v>991</v>
      </c>
      <c r="AT45" s="353" t="s">
        <v>1007</v>
      </c>
      <c r="AU45" s="229" t="s">
        <v>711</v>
      </c>
      <c r="AW45" s="357">
        <v>326</v>
      </c>
      <c r="AY45" s="357">
        <v>415</v>
      </c>
      <c r="AZ45" s="357" t="s">
        <v>1113</v>
      </c>
      <c r="BA45" s="369"/>
      <c r="BB45" s="369"/>
      <c r="BC45" s="369"/>
      <c r="BD45" s="369"/>
      <c r="BE45" s="369"/>
      <c r="BF45" s="369">
        <v>1</v>
      </c>
      <c r="BG45" s="369"/>
      <c r="BH45" s="369"/>
      <c r="BI45" s="369"/>
      <c r="BJ45" s="369"/>
      <c r="BK45" s="369"/>
      <c r="BL45" s="369"/>
      <c r="BM45" s="369"/>
      <c r="BN45" s="369"/>
      <c r="BO45" s="369"/>
      <c r="BP45" s="369"/>
      <c r="BQ45" s="369"/>
      <c r="BR45" s="369" t="s">
        <v>1146</v>
      </c>
      <c r="BS45" s="369"/>
      <c r="BT45" s="369"/>
      <c r="BU45" s="387" t="s">
        <v>1147</v>
      </c>
      <c r="BV45" s="326"/>
      <c r="BW45" s="326"/>
      <c r="BX45" s="326"/>
      <c r="BY45" s="367"/>
      <c r="BZ45" s="368"/>
      <c r="CA45" s="368"/>
      <c r="CB45" s="368"/>
      <c r="CC45" s="368"/>
      <c r="CD45" s="368"/>
      <c r="CE45" s="368"/>
      <c r="CF45" s="368"/>
      <c r="CG45" s="368"/>
      <c r="CH45" s="368"/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1512</v>
      </c>
      <c r="C46" s="86" t="s">
        <v>1503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62">IF(COUNTBLANK(H46:M46),"",SUM(H46:M46))</f>
        <v>165</v>
      </c>
      <c r="O46" s="53">
        <v>2800</v>
      </c>
      <c r="P46" s="210">
        <v>300.3</v>
      </c>
      <c r="Q46" s="217">
        <v>85.42</v>
      </c>
      <c r="R46" s="217">
        <v>85.09</v>
      </c>
      <c r="S46" s="217">
        <v>62.77</v>
      </c>
      <c r="T46" s="217"/>
      <c r="U46" s="85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63">IF(AI46,2*AI46,"")</f>
        <v>60000</v>
      </c>
      <c r="AL46" s="174">
        <f>VLOOKUP(D46&amp;E46,计算辅助页面!$V$5:$Y$18,3,0)</f>
        <v>3</v>
      </c>
      <c r="AM46" s="179">
        <f t="shared" ref="AM46" si="64">IF(AN46="×",AN46,IF(AI46,6*AI46,""))</f>
        <v>180000</v>
      </c>
      <c r="AN46" s="179">
        <f>VLOOKUP(D46&amp;E46,计算辅助页面!$V$5:$Y$18,4,0)</f>
        <v>1</v>
      </c>
      <c r="AO46" s="173">
        <f t="shared" ref="AO46" si="65">IF(AI46,IF(AN46="×",4*(AI46*AJ46+AK46*AL46),4*(AI46*AJ46+AK46*AL46+AM46*AN46)),"")</f>
        <v>2160000</v>
      </c>
      <c r="AP46" s="195">
        <f t="shared" ref="AP46" si="66">IF(AND(AH46,AO46),AO46+AH46,"")</f>
        <v>5073840</v>
      </c>
      <c r="AQ46" s="365" t="s">
        <v>1504</v>
      </c>
      <c r="AR46" s="366" t="str">
        <f>TRIM(RIGHT(B46,LEN(B46)-LEN(AQ46)-1))</f>
        <v>D8 GTO Individual Series</v>
      </c>
      <c r="AS46" s="352" t="s">
        <v>1487</v>
      </c>
      <c r="AT46" s="353" t="s">
        <v>1505</v>
      </c>
      <c r="AU46" s="229" t="s">
        <v>711</v>
      </c>
      <c r="AW46" s="357">
        <v>313</v>
      </c>
      <c r="AY46" s="357">
        <v>400</v>
      </c>
      <c r="AZ46" s="384" t="s">
        <v>1274</v>
      </c>
      <c r="BA46" s="369"/>
      <c r="BB46" s="369"/>
      <c r="BC46" s="369"/>
      <c r="BD46" s="369"/>
      <c r="BE46" s="369"/>
      <c r="BF46" s="369"/>
      <c r="BG46" s="369"/>
      <c r="BH46" s="369"/>
      <c r="BI46" s="369"/>
      <c r="BJ46" s="369"/>
      <c r="BK46" s="369"/>
      <c r="BL46" s="369"/>
      <c r="BM46" s="369"/>
      <c r="BN46" s="369"/>
      <c r="BO46" s="369"/>
      <c r="BP46" s="369"/>
      <c r="BQ46" s="369"/>
      <c r="BR46" s="369"/>
      <c r="BS46" s="369"/>
      <c r="BT46" s="369"/>
      <c r="BU46" s="389" t="s">
        <v>1509</v>
      </c>
      <c r="BV46" s="326"/>
      <c r="BW46" s="326"/>
      <c r="BX46" s="326"/>
      <c r="BY46" s="367"/>
      <c r="BZ46" s="368"/>
      <c r="CA46" s="368"/>
      <c r="CB46" s="368"/>
      <c r="CC46" s="368"/>
      <c r="CD46" s="368"/>
      <c r="CE46" s="368"/>
      <c r="CF46" s="368"/>
      <c r="CG46" s="368"/>
      <c r="CH46" s="368"/>
      <c r="CI46" s="42"/>
      <c r="CJ46" s="42"/>
      <c r="CK46" s="42"/>
      <c r="CL46" s="42"/>
    </row>
    <row r="47" spans="1:90" ht="21" customHeight="1">
      <c r="A47" s="80">
        <v>45</v>
      </c>
      <c r="B47" s="49" t="s">
        <v>20</v>
      </c>
      <c r="C47" s="86" t="s">
        <v>754</v>
      </c>
      <c r="D47" s="255" t="s">
        <v>151</v>
      </c>
      <c r="E47" s="247" t="s">
        <v>45</v>
      </c>
      <c r="F47" s="173">
        <f t="shared" si="21"/>
        <v>5</v>
      </c>
      <c r="G47" s="83" t="s">
        <v>63</v>
      </c>
      <c r="H47" s="222">
        <v>35</v>
      </c>
      <c r="I47" s="222">
        <v>15</v>
      </c>
      <c r="J47" s="222">
        <v>21</v>
      </c>
      <c r="K47" s="222">
        <v>32</v>
      </c>
      <c r="L47" s="222" t="s">
        <v>59</v>
      </c>
      <c r="M47" s="222" t="s">
        <v>59</v>
      </c>
      <c r="N47" s="226">
        <f t="shared" si="1"/>
        <v>103</v>
      </c>
      <c r="O47" s="51">
        <v>2816</v>
      </c>
      <c r="P47" s="209">
        <v>303.89999999999998</v>
      </c>
      <c r="Q47" s="216">
        <v>77.319999999999993</v>
      </c>
      <c r="R47" s="216">
        <v>86.2</v>
      </c>
      <c r="S47" s="216">
        <v>68.94</v>
      </c>
      <c r="T47" s="216">
        <v>8.9660000000000011</v>
      </c>
      <c r="U47" s="84">
        <v>2530</v>
      </c>
      <c r="V47" s="292">
        <f>VLOOKUP($U47,计算辅助页面!$Z$5:$AM$26,COLUMN()-20,0)</f>
        <v>4100</v>
      </c>
      <c r="W47" s="292">
        <f>VLOOKUP($U47,计算辅助页面!$Z$5:$AM$26,COLUMN()-20,0)</f>
        <v>6600</v>
      </c>
      <c r="X47" s="226">
        <f>VLOOKUP($U47,计算辅助页面!$Z$5:$AM$26,COLUMN()-20,0)</f>
        <v>9900</v>
      </c>
      <c r="Y47" s="226">
        <f>VLOOKUP($U47,计算辅助页面!$Z$5:$AM$26,COLUMN()-20,0)</f>
        <v>14300</v>
      </c>
      <c r="Z47" s="293">
        <f>VLOOKUP($U47,计算辅助页面!$Z$5:$AM$26,COLUMN()-20,0)</f>
        <v>20000</v>
      </c>
      <c r="AA47" s="226">
        <f>VLOOKUP($U47,计算辅助页面!$Z$5:$AM$26,COLUMN()-20,0)</f>
        <v>28000</v>
      </c>
      <c r="AB47" s="226">
        <f>VLOOKUP($U47,计算辅助页面!$Z$5:$AM$26,COLUMN()-20,0)</f>
        <v>39000</v>
      </c>
      <c r="AC47" s="226">
        <f>VLOOKUP($U47,计算辅助页面!$Z$5:$AM$26,COLUMN()-20,0)</f>
        <v>55000</v>
      </c>
      <c r="AD47" s="226">
        <f>VLOOKUP($U47,计算辅助页面!$Z$5:$AM$26,COLUMN()-20,0)</f>
        <v>77000</v>
      </c>
      <c r="AE47" s="226">
        <f>VLOOKUP($U47,计算辅助页面!$Z$5:$AM$26,COLUMN()-20,0)</f>
        <v>108000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1457720</v>
      </c>
      <c r="AI47" s="267">
        <v>15000</v>
      </c>
      <c r="AJ47" s="260">
        <f>VLOOKUP(D47&amp;E47,计算辅助页面!$V$5:$Y$18,2,0)</f>
        <v>6</v>
      </c>
      <c r="AK47" s="174">
        <f t="shared" si="2"/>
        <v>30000</v>
      </c>
      <c r="AL47" s="174">
        <f>VLOOKUP(D47&amp;E47,计算辅助页面!$V$5:$Y$18,3,0)</f>
        <v>3</v>
      </c>
      <c r="AM47" s="179">
        <f t="shared" si="3"/>
        <v>90000</v>
      </c>
      <c r="AN47" s="179">
        <f>VLOOKUP(D47&amp;E47,计算辅助页面!$V$5:$Y$18,4,0)</f>
        <v>1</v>
      </c>
      <c r="AO47" s="173">
        <f>IF(AI47,IF(AN47="×",4*(AI47*AJ47+AK47*AL47),4*(AI47*AJ47+AK47*AL47+AM47*AN47)),"")</f>
        <v>1080000</v>
      </c>
      <c r="AP47" s="195">
        <f t="shared" si="51"/>
        <v>2537720</v>
      </c>
      <c r="AQ47" s="365" t="s">
        <v>561</v>
      </c>
      <c r="AR47" s="366" t="str">
        <f t="shared" si="27"/>
        <v>Viper ACR</v>
      </c>
      <c r="AS47" s="352" t="s">
        <v>603</v>
      </c>
      <c r="AT47" s="353" t="s">
        <v>616</v>
      </c>
      <c r="AU47" s="229" t="s">
        <v>711</v>
      </c>
      <c r="AV47" s="357">
        <v>7</v>
      </c>
      <c r="AW47" s="357">
        <v>317</v>
      </c>
      <c r="AY47" s="357">
        <v>404</v>
      </c>
      <c r="AZ47" s="357" t="s">
        <v>1110</v>
      </c>
      <c r="BA47" s="369"/>
      <c r="BB47" s="369"/>
      <c r="BC47" s="369">
        <v>1</v>
      </c>
      <c r="BD47" s="369">
        <v>1</v>
      </c>
      <c r="BE47" s="369"/>
      <c r="BF47" s="369">
        <v>1</v>
      </c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>
        <v>1</v>
      </c>
      <c r="BU47" s="387" t="s">
        <v>1148</v>
      </c>
      <c r="BV47" s="326"/>
      <c r="BW47" s="326"/>
      <c r="BX47" s="326"/>
      <c r="BY47" s="367">
        <v>285</v>
      </c>
      <c r="BZ47" s="368">
        <v>68.5</v>
      </c>
      <c r="CA47" s="368">
        <v>55.81</v>
      </c>
      <c r="CB47" s="368">
        <v>50.95</v>
      </c>
      <c r="CC47" s="368">
        <f t="shared" si="7"/>
        <v>18.899999999999977</v>
      </c>
      <c r="CD47" s="368">
        <f t="shared" si="8"/>
        <v>8.8199999999999932</v>
      </c>
      <c r="CE47" s="368">
        <f t="shared" si="9"/>
        <v>30.39</v>
      </c>
      <c r="CF47" s="368">
        <f t="shared" si="10"/>
        <v>17.989999999999995</v>
      </c>
      <c r="CG47" s="368">
        <f t="shared" si="11"/>
        <v>76.099999999999966</v>
      </c>
      <c r="CH47" s="368">
        <f t="shared" si="12"/>
        <v>78.850899999999967</v>
      </c>
      <c r="CI47" s="42"/>
      <c r="CJ47" s="42"/>
      <c r="CK47" s="42"/>
      <c r="CL47" s="42"/>
    </row>
    <row r="48" spans="1:90" ht="21" customHeight="1" thickBot="1">
      <c r="A48" s="48">
        <v>46</v>
      </c>
      <c r="B48" s="52" t="s">
        <v>1331</v>
      </c>
      <c r="C48" s="86" t="s">
        <v>1332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7">IF(COUNTBLANK(H48:M48),"",SUM(H48:M48))</f>
        <v>165</v>
      </c>
      <c r="O48" s="53">
        <v>2857</v>
      </c>
      <c r="P48" s="210">
        <v>314.60000000000002</v>
      </c>
      <c r="Q48" s="217">
        <v>81.62</v>
      </c>
      <c r="R48" s="217">
        <v>65.849999999999994</v>
      </c>
      <c r="S48" s="217">
        <v>62.99</v>
      </c>
      <c r="T48" s="217"/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ref="AK48" si="68">IF(AI48,2*AI48,"")</f>
        <v>60000</v>
      </c>
      <c r="AL48" s="174">
        <f>VLOOKUP(D48&amp;E48,计算辅助页面!$V$5:$Y$18,3,0)</f>
        <v>3</v>
      </c>
      <c r="AM48" s="179">
        <f t="shared" ref="AM48" si="69">IF(AN48="×",AN48,IF(AI48,6*AI48,""))</f>
        <v>180000</v>
      </c>
      <c r="AN48" s="179">
        <f>VLOOKUP(D48&amp;E48,计算辅助页面!$V$5:$Y$18,4,0)</f>
        <v>1</v>
      </c>
      <c r="AO48" s="173">
        <f>IF(AI48,IF(AN48="×",4*(AI48*AJ48+AK48*AL48),4*(AI48*AJ48+AK48*AL48+AM48*AN48)),"")</f>
        <v>2160000</v>
      </c>
      <c r="AP48" s="195">
        <f t="shared" ref="AP48" si="70">IF(AND(AH48,AO48),AO48+AH48,"")</f>
        <v>5073840</v>
      </c>
      <c r="AQ48" s="365" t="s">
        <v>1333</v>
      </c>
      <c r="AR48" s="366" t="str">
        <f t="shared" si="27"/>
        <v>MK X Nagari 500</v>
      </c>
      <c r="AS48" s="352" t="s">
        <v>1334</v>
      </c>
      <c r="AT48" s="353" t="s">
        <v>1335</v>
      </c>
      <c r="AU48" s="229" t="s">
        <v>711</v>
      </c>
      <c r="AW48" s="357">
        <v>328</v>
      </c>
      <c r="AY48" s="357">
        <v>418</v>
      </c>
      <c r="AZ48" s="384" t="s">
        <v>1354</v>
      </c>
      <c r="BA48" s="369"/>
      <c r="BB48" s="369"/>
      <c r="BC48" s="369"/>
      <c r="BD48" s="369"/>
      <c r="BE48" s="369"/>
      <c r="BF48" s="369">
        <v>1</v>
      </c>
      <c r="BG48" s="369"/>
      <c r="BH48" s="369"/>
      <c r="BI48" s="369"/>
      <c r="BJ48" s="369"/>
      <c r="BK48" s="369"/>
      <c r="BL48" s="369"/>
      <c r="BM48" s="369"/>
      <c r="BN48" s="369"/>
      <c r="BO48" s="369"/>
      <c r="BP48" s="369"/>
      <c r="BQ48" s="369"/>
      <c r="BR48" s="369"/>
      <c r="BS48" s="369"/>
      <c r="BT48" s="369"/>
      <c r="BU48" s="387"/>
      <c r="BV48" s="326"/>
      <c r="BW48" s="326"/>
      <c r="BX48" s="326"/>
      <c r="BY48" s="367"/>
      <c r="BZ48" s="368"/>
      <c r="CA48" s="368"/>
      <c r="CB48" s="368"/>
      <c r="CC48" s="368"/>
      <c r="CD48" s="368"/>
      <c r="CE48" s="368"/>
      <c r="CF48" s="368"/>
      <c r="CG48" s="368"/>
      <c r="CH48" s="368"/>
      <c r="CI48" s="42"/>
      <c r="CJ48" s="42"/>
      <c r="CK48" s="42"/>
      <c r="CL48" s="42"/>
    </row>
    <row r="49" spans="1:90" ht="21" customHeight="1">
      <c r="A49" s="80">
        <v>47</v>
      </c>
      <c r="B49" s="52" t="s">
        <v>393</v>
      </c>
      <c r="C49" s="86" t="s">
        <v>755</v>
      </c>
      <c r="D49" s="255" t="s">
        <v>151</v>
      </c>
      <c r="E49" s="247" t="s">
        <v>45</v>
      </c>
      <c r="F49" s="173">
        <f t="shared" si="21"/>
        <v>5</v>
      </c>
      <c r="G49" s="83" t="s">
        <v>62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1"/>
        <v>165</v>
      </c>
      <c r="O49" s="53">
        <v>2909</v>
      </c>
      <c r="P49" s="210">
        <v>321.7</v>
      </c>
      <c r="Q49" s="217">
        <v>75.319999999999993</v>
      </c>
      <c r="R49" s="217">
        <v>69.599999999999994</v>
      </c>
      <c r="S49" s="217">
        <v>66.63</v>
      </c>
      <c r="T49" s="217">
        <v>7.7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2"/>
        <v>60000</v>
      </c>
      <c r="AL49" s="174">
        <f>VLOOKUP(D49&amp;E49,计算辅助页面!$V$5:$Y$18,3,0)</f>
        <v>3</v>
      </c>
      <c r="AM49" s="179">
        <f t="shared" si="3"/>
        <v>180000</v>
      </c>
      <c r="AN49" s="179">
        <f>VLOOKUP(D49&amp;E49,计算辅助页面!$V$5:$Y$18,4,0)</f>
        <v>1</v>
      </c>
      <c r="AO49" s="173">
        <f t="shared" si="4"/>
        <v>2160000</v>
      </c>
      <c r="AP49" s="195">
        <f t="shared" si="51"/>
        <v>5073840</v>
      </c>
      <c r="AQ49" s="365" t="s">
        <v>564</v>
      </c>
      <c r="AR49" s="366" t="str">
        <f t="shared" si="27"/>
        <v>Shelby GR-1</v>
      </c>
      <c r="AS49" s="352" t="s">
        <v>960</v>
      </c>
      <c r="AT49" s="353" t="s">
        <v>623</v>
      </c>
      <c r="AU49" s="229" t="s">
        <v>711</v>
      </c>
      <c r="AW49" s="357">
        <v>335</v>
      </c>
      <c r="AY49" s="357">
        <v>429</v>
      </c>
      <c r="AZ49" s="357" t="s">
        <v>1111</v>
      </c>
      <c r="BA49" s="369"/>
      <c r="BB49" s="369"/>
      <c r="BC49" s="369"/>
      <c r="BD49" s="369">
        <v>1</v>
      </c>
      <c r="BE49" s="369"/>
      <c r="BF49" s="369"/>
      <c r="BG49" s="369"/>
      <c r="BH49" s="369"/>
      <c r="BI49" s="369"/>
      <c r="BJ49" s="369"/>
      <c r="BK49" s="369"/>
      <c r="BL49" s="369"/>
      <c r="BM49" s="369"/>
      <c r="BN49" s="369"/>
      <c r="BO49" s="369"/>
      <c r="BP49" s="369"/>
      <c r="BQ49" s="369"/>
      <c r="BR49" s="369"/>
      <c r="BS49" s="369"/>
      <c r="BT49" s="369">
        <v>1</v>
      </c>
      <c r="BU49" s="388" t="s">
        <v>1299</v>
      </c>
      <c r="BV49" s="326">
        <v>1</v>
      </c>
      <c r="BW49" s="326"/>
      <c r="BX49" s="326"/>
      <c r="BY49" s="367">
        <v>305</v>
      </c>
      <c r="BZ49" s="368">
        <v>64.900000000000006</v>
      </c>
      <c r="CA49" s="368">
        <v>51.53</v>
      </c>
      <c r="CB49" s="368">
        <v>45.98</v>
      </c>
      <c r="CC49" s="368">
        <f t="shared" si="7"/>
        <v>16.699999999999989</v>
      </c>
      <c r="CD49" s="368">
        <f t="shared" si="8"/>
        <v>10.419999999999987</v>
      </c>
      <c r="CE49" s="368">
        <f t="shared" si="9"/>
        <v>18.069999999999993</v>
      </c>
      <c r="CF49" s="368">
        <f t="shared" si="10"/>
        <v>20.65</v>
      </c>
      <c r="CG49" s="368">
        <f t="shared" si="11"/>
        <v>65.839999999999975</v>
      </c>
      <c r="CH49" s="368">
        <f t="shared" si="12"/>
        <v>70.430099999999968</v>
      </c>
      <c r="CI49" s="42"/>
      <c r="CJ49" s="42"/>
      <c r="CK49" s="42"/>
      <c r="CL49" s="42"/>
    </row>
    <row r="50" spans="1:90" ht="21" customHeight="1" thickBot="1">
      <c r="A50" s="48">
        <v>48</v>
      </c>
      <c r="B50" s="49" t="s">
        <v>21</v>
      </c>
      <c r="C50" s="86" t="s">
        <v>756</v>
      </c>
      <c r="D50" s="255" t="s">
        <v>151</v>
      </c>
      <c r="E50" s="247" t="s">
        <v>45</v>
      </c>
      <c r="F50" s="173">
        <f t="shared" si="21"/>
        <v>5</v>
      </c>
      <c r="G50" s="83" t="s">
        <v>62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ref="N50:N105" si="71">IF(COUNTBLANK(H50:M50),"",SUM(H50:M50))</f>
        <v>103</v>
      </c>
      <c r="O50" s="51">
        <v>3003</v>
      </c>
      <c r="P50" s="209">
        <v>317.89999999999998</v>
      </c>
      <c r="Q50" s="216">
        <v>78.22</v>
      </c>
      <c r="R50" s="216">
        <v>86.5</v>
      </c>
      <c r="S50" s="216">
        <v>60.57</v>
      </c>
      <c r="T50" s="216">
        <v>6.7160000000000002</v>
      </c>
      <c r="U50" s="84">
        <v>2530</v>
      </c>
      <c r="V50" s="292">
        <f>VLOOKUP($U50,计算辅助页面!$Z$5:$AM$26,COLUMN()-20,0)</f>
        <v>4100</v>
      </c>
      <c r="W50" s="292">
        <f>VLOOKUP($U50,计算辅助页面!$Z$5:$AM$26,COLUMN()-20,0)</f>
        <v>6600</v>
      </c>
      <c r="X50" s="226">
        <f>VLOOKUP($U50,计算辅助页面!$Z$5:$AM$26,COLUMN()-20,0)</f>
        <v>9900</v>
      </c>
      <c r="Y50" s="226">
        <f>VLOOKUP($U50,计算辅助页面!$Z$5:$AM$26,COLUMN()-20,0)</f>
        <v>14300</v>
      </c>
      <c r="Z50" s="293">
        <f>VLOOKUP($U50,计算辅助页面!$Z$5:$AM$26,COLUMN()-20,0)</f>
        <v>20000</v>
      </c>
      <c r="AA50" s="226">
        <f>VLOOKUP($U50,计算辅助页面!$Z$5:$AM$26,COLUMN()-20,0)</f>
        <v>28000</v>
      </c>
      <c r="AB50" s="226">
        <f>VLOOKUP($U50,计算辅助页面!$Z$5:$AM$26,COLUMN()-20,0)</f>
        <v>39000</v>
      </c>
      <c r="AC50" s="226">
        <f>VLOOKUP($U50,计算辅助页面!$Z$5:$AM$26,COLUMN()-20,0)</f>
        <v>55000</v>
      </c>
      <c r="AD50" s="226">
        <f>VLOOKUP($U50,计算辅助页面!$Z$5:$AM$26,COLUMN()-20,0)</f>
        <v>77000</v>
      </c>
      <c r="AE50" s="226">
        <f>VLOOKUP($U50,计算辅助页面!$Z$5:$AM$26,COLUMN()-20,0)</f>
        <v>108000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1457720</v>
      </c>
      <c r="AI50" s="267">
        <v>15000</v>
      </c>
      <c r="AJ50" s="260">
        <f>VLOOKUP(D50&amp;E50,计算辅助页面!$V$5:$Y$18,2,0)</f>
        <v>6</v>
      </c>
      <c r="AK50" s="174">
        <f t="shared" ref="AK50:AK100" si="72">IF(AI50,2*AI50,"")</f>
        <v>30000</v>
      </c>
      <c r="AL50" s="174">
        <f>VLOOKUP(D50&amp;E50,计算辅助页面!$V$5:$Y$18,3,0)</f>
        <v>3</v>
      </c>
      <c r="AM50" s="179">
        <f t="shared" ref="AM50:AM100" si="73">IF(AN50="×",AN50,IF(AI50,6*AI50,""))</f>
        <v>90000</v>
      </c>
      <c r="AN50" s="179">
        <f>VLOOKUP(D50&amp;E50,计算辅助页面!$V$5:$Y$18,4,0)</f>
        <v>1</v>
      </c>
      <c r="AO50" s="173">
        <f t="shared" ref="AO50:AO100" si="74">IF(AI50,IF(AN50="×",4*(AI50*AJ50+AK50*AL50),4*(AI50*AJ50+AK50*AL50+AM50*AN50)),"")</f>
        <v>1080000</v>
      </c>
      <c r="AP50" s="195">
        <f t="shared" si="51"/>
        <v>2537720</v>
      </c>
      <c r="AQ50" s="365" t="s">
        <v>1069</v>
      </c>
      <c r="AR50" s="366" t="str">
        <f t="shared" si="27"/>
        <v>H2 Speed</v>
      </c>
      <c r="AS50" s="352" t="s">
        <v>603</v>
      </c>
      <c r="AT50" s="353" t="s">
        <v>278</v>
      </c>
      <c r="AU50" s="229" t="s">
        <v>711</v>
      </c>
      <c r="AV50" s="357">
        <v>8</v>
      </c>
      <c r="AW50" s="357">
        <v>331</v>
      </c>
      <c r="AY50" s="357">
        <v>422</v>
      </c>
      <c r="AZ50" s="357" t="s">
        <v>1110</v>
      </c>
      <c r="BA50" s="369"/>
      <c r="BB50" s="369"/>
      <c r="BC50" s="369">
        <v>1</v>
      </c>
      <c r="BD50" s="369">
        <v>1</v>
      </c>
      <c r="BE50" s="369"/>
      <c r="BF50" s="369">
        <v>1</v>
      </c>
      <c r="BG50" s="369"/>
      <c r="BH50" s="369"/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69"/>
      <c r="BT50" s="369">
        <v>1</v>
      </c>
      <c r="BU50" s="387" t="s">
        <v>1149</v>
      </c>
      <c r="BV50" s="326"/>
      <c r="BW50" s="326"/>
      <c r="BX50" s="326"/>
      <c r="BY50" s="367">
        <v>300</v>
      </c>
      <c r="BZ50" s="368">
        <v>69.400000000000006</v>
      </c>
      <c r="CA50" s="368">
        <v>64.66</v>
      </c>
      <c r="CB50" s="368">
        <v>41.8</v>
      </c>
      <c r="CC50" s="368">
        <f t="shared" ref="CC50:CC98" si="75">P50-BY50</f>
        <v>17.899999999999977</v>
      </c>
      <c r="CD50" s="368">
        <f t="shared" ref="CD50:CD98" si="76">Q50-BZ50</f>
        <v>8.8199999999999932</v>
      </c>
      <c r="CE50" s="368">
        <f t="shared" ref="CE50:CE98" si="77">R50-CA50</f>
        <v>21.840000000000003</v>
      </c>
      <c r="CF50" s="368">
        <f t="shared" ref="CF50:CF98" si="78">S50-CB50</f>
        <v>18.770000000000003</v>
      </c>
      <c r="CG50" s="368">
        <f t="shared" ref="CG50:CG98" si="79">SUM(CC50:CF50)</f>
        <v>67.329999999999984</v>
      </c>
      <c r="CH50" s="368">
        <f t="shared" ref="CH50:CH98" si="80">0.32*(P50-BY50)+1.75*(Q50-BZ50)+1.13*(R50-CA50)+1.28*(S50-CB50)</f>
        <v>69.867799999999988</v>
      </c>
      <c r="CI50" s="42"/>
      <c r="CJ50" s="42"/>
      <c r="CK50" s="42"/>
      <c r="CL50" s="42"/>
    </row>
    <row r="51" spans="1:90" ht="21" customHeight="1">
      <c r="A51" s="80">
        <v>49</v>
      </c>
      <c r="B51" s="55" t="s">
        <v>325</v>
      </c>
      <c r="C51" s="86" t="s">
        <v>757</v>
      </c>
      <c r="D51" s="255" t="s">
        <v>151</v>
      </c>
      <c r="E51" s="247" t="s">
        <v>45</v>
      </c>
      <c r="F51" s="173">
        <f t="shared" si="21"/>
        <v>5</v>
      </c>
      <c r="G51" s="83" t="s">
        <v>63</v>
      </c>
      <c r="H51" s="222">
        <v>50</v>
      </c>
      <c r="I51" s="222">
        <v>29</v>
      </c>
      <c r="J51" s="222">
        <v>38</v>
      </c>
      <c r="K51" s="222">
        <v>48</v>
      </c>
      <c r="L51" s="222" t="s">
        <v>59</v>
      </c>
      <c r="M51" s="222" t="s">
        <v>59</v>
      </c>
      <c r="N51" s="226">
        <f t="shared" si="71"/>
        <v>165</v>
      </c>
      <c r="O51" s="57">
        <v>3088</v>
      </c>
      <c r="P51" s="211">
        <v>316.3</v>
      </c>
      <c r="Q51" s="218">
        <v>85.72</v>
      </c>
      <c r="R51" s="218">
        <v>57.94</v>
      </c>
      <c r="S51" s="218">
        <v>71.91</v>
      </c>
      <c r="T51" s="218">
        <v>9.06</v>
      </c>
      <c r="U51" s="84">
        <v>5060</v>
      </c>
      <c r="V51" s="292">
        <f>VLOOKUP($U51,计算辅助页面!$Z$5:$AM$26,COLUMN()-20,0)</f>
        <v>8300</v>
      </c>
      <c r="W51" s="292">
        <f>VLOOKUP($U51,计算辅助页面!$Z$5:$AM$26,COLUMN()-20,0)</f>
        <v>13200</v>
      </c>
      <c r="X51" s="226">
        <f>VLOOKUP($U51,计算辅助页面!$Z$5:$AM$26,COLUMN()-20,0)</f>
        <v>19800</v>
      </c>
      <c r="Y51" s="226">
        <f>VLOOKUP($U51,计算辅助页面!$Z$5:$AM$26,COLUMN()-20,0)</f>
        <v>28600</v>
      </c>
      <c r="Z51" s="293">
        <f>VLOOKUP($U51,计算辅助页面!$Z$5:$AM$26,COLUMN()-20,0)</f>
        <v>40000</v>
      </c>
      <c r="AA51" s="226">
        <f>VLOOKUP($U51,计算辅助页面!$Z$5:$AM$26,COLUMN()-20,0)</f>
        <v>56000</v>
      </c>
      <c r="AB51" s="226">
        <f>VLOOKUP($U51,计算辅助页面!$Z$5:$AM$26,COLUMN()-20,0)</f>
        <v>78500</v>
      </c>
      <c r="AC51" s="226">
        <f>VLOOKUP($U51,计算辅助页面!$Z$5:$AM$26,COLUMN()-20,0)</f>
        <v>110000</v>
      </c>
      <c r="AD51" s="226">
        <f>VLOOKUP($U51,计算辅助页面!$Z$5:$AM$26,COLUMN()-20,0)</f>
        <v>154000</v>
      </c>
      <c r="AE51" s="226">
        <f>VLOOKUP($U51,计算辅助页面!$Z$5:$AM$26,COLUMN()-20,0)</f>
        <v>215000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2913840</v>
      </c>
      <c r="AI51" s="267">
        <v>30000</v>
      </c>
      <c r="AJ51" s="260">
        <f>VLOOKUP(D51&amp;E51,计算辅助页面!$V$5:$Y$18,2,0)</f>
        <v>6</v>
      </c>
      <c r="AK51" s="174">
        <f t="shared" si="72"/>
        <v>60000</v>
      </c>
      <c r="AL51" s="174">
        <f>VLOOKUP(D51&amp;E51,计算辅助页面!$V$5:$Y$18,3,0)</f>
        <v>3</v>
      </c>
      <c r="AM51" s="179">
        <f t="shared" si="73"/>
        <v>180000</v>
      </c>
      <c r="AN51" s="179">
        <f>VLOOKUP(D51&amp;E51,计算辅助页面!$V$5:$Y$18,4,0)</f>
        <v>1</v>
      </c>
      <c r="AO51" s="173">
        <f t="shared" si="74"/>
        <v>2160000</v>
      </c>
      <c r="AP51" s="195">
        <f t="shared" si="51"/>
        <v>5073840</v>
      </c>
      <c r="AQ51" s="365" t="s">
        <v>326</v>
      </c>
      <c r="AR51" s="366" t="str">
        <f t="shared" si="27"/>
        <v>Scalo SuperErelletra</v>
      </c>
      <c r="AS51" s="352" t="s">
        <v>958</v>
      </c>
      <c r="AT51" s="353" t="s">
        <v>621</v>
      </c>
      <c r="AU51" s="229" t="s">
        <v>711</v>
      </c>
      <c r="AV51" s="357">
        <v>7</v>
      </c>
      <c r="AW51" s="357">
        <v>329</v>
      </c>
      <c r="AY51" s="357">
        <v>420</v>
      </c>
      <c r="AZ51" s="357" t="s">
        <v>1110</v>
      </c>
      <c r="BA51" s="369"/>
      <c r="BB51" s="369"/>
      <c r="BC51" s="369">
        <v>1</v>
      </c>
      <c r="BD51" s="369">
        <v>1</v>
      </c>
      <c r="BE51" s="369"/>
      <c r="BF51" s="369">
        <v>1</v>
      </c>
      <c r="BG51" s="369"/>
      <c r="BH51" s="369"/>
      <c r="BI51" s="369"/>
      <c r="BJ51" s="369"/>
      <c r="BK51" s="369"/>
      <c r="BL51" s="369"/>
      <c r="BM51" s="369"/>
      <c r="BN51" s="369"/>
      <c r="BO51" s="369"/>
      <c r="BP51" s="369"/>
      <c r="BQ51" s="369"/>
      <c r="BR51" s="369"/>
      <c r="BS51" s="369"/>
      <c r="BT51" s="369">
        <v>1</v>
      </c>
      <c r="BU51" s="387" t="s">
        <v>1150</v>
      </c>
      <c r="BV51" s="326"/>
      <c r="BW51" s="326"/>
      <c r="BX51" s="326"/>
      <c r="BY51" s="367">
        <v>300</v>
      </c>
      <c r="BZ51" s="368">
        <v>75.7</v>
      </c>
      <c r="CA51" s="368">
        <v>39.29</v>
      </c>
      <c r="CB51" s="368">
        <v>54.6</v>
      </c>
      <c r="CC51" s="368">
        <f t="shared" si="75"/>
        <v>16.300000000000011</v>
      </c>
      <c r="CD51" s="368">
        <f t="shared" si="76"/>
        <v>10.019999999999996</v>
      </c>
      <c r="CE51" s="368">
        <f t="shared" si="77"/>
        <v>18.649999999999999</v>
      </c>
      <c r="CF51" s="368">
        <f t="shared" si="78"/>
        <v>17.309999999999995</v>
      </c>
      <c r="CG51" s="368">
        <f t="shared" si="79"/>
        <v>62.28</v>
      </c>
      <c r="CH51" s="368">
        <f t="shared" si="80"/>
        <v>65.982299999999981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1265</v>
      </c>
      <c r="C52" s="86" t="s">
        <v>1289</v>
      </c>
      <c r="D52" s="255" t="s">
        <v>151</v>
      </c>
      <c r="E52" s="247" t="s">
        <v>45</v>
      </c>
      <c r="F52" s="230"/>
      <c r="G52" s="229"/>
      <c r="H52" s="222">
        <v>50</v>
      </c>
      <c r="I52" s="222">
        <v>29</v>
      </c>
      <c r="J52" s="222">
        <v>38</v>
      </c>
      <c r="K52" s="222">
        <v>48</v>
      </c>
      <c r="L52" s="222" t="s">
        <v>59</v>
      </c>
      <c r="M52" s="222" t="s">
        <v>59</v>
      </c>
      <c r="N52" s="226">
        <f t="shared" ref="N52" si="81">IF(COUNTBLANK(H52:M52),"",SUM(H52:M52))</f>
        <v>165</v>
      </c>
      <c r="O52" s="57">
        <v>3144</v>
      </c>
      <c r="P52" s="211">
        <v>305.3</v>
      </c>
      <c r="Q52" s="218">
        <v>76.739999999999995</v>
      </c>
      <c r="R52" s="218">
        <v>82.8</v>
      </c>
      <c r="S52" s="218">
        <v>74.069999999999993</v>
      </c>
      <c r="T52" s="218"/>
      <c r="U52" s="85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>IF(AI52,2*AI52,"")</f>
        <v>60000</v>
      </c>
      <c r="AL52" s="174">
        <f>VLOOKUP(D52&amp;E52,计算辅助页面!$V$5:$Y$18,3,0)</f>
        <v>3</v>
      </c>
      <c r="AM52" s="179">
        <f t="shared" ref="AM52" si="82">IF(AN52="×",AN52,IF(AI52,6*AI52,""))</f>
        <v>180000</v>
      </c>
      <c r="AN52" s="179">
        <f>VLOOKUP(D52&amp;E52,计算辅助页面!$V$5:$Y$18,4,0)</f>
        <v>1</v>
      </c>
      <c r="AO52" s="173">
        <f t="shared" ref="AO52" si="83">IF(AI52,IF(AN52="×",4*(AI52*AJ52+AK52*AL52),4*(AI52*AJ52+AK52*AL52+AM52*AN52)),"")</f>
        <v>2160000</v>
      </c>
      <c r="AP52" s="195">
        <f t="shared" ref="AP52" si="84">IF(AND(AH52,AO52),AO52+AH52,"")</f>
        <v>5073840</v>
      </c>
      <c r="AQ52" s="365" t="s">
        <v>1266</v>
      </c>
      <c r="AR52" s="366" t="str">
        <f t="shared" si="27"/>
        <v>S1</v>
      </c>
      <c r="AS52" s="352" t="s">
        <v>1268</v>
      </c>
      <c r="AT52" s="353" t="s">
        <v>1269</v>
      </c>
      <c r="AU52" s="229" t="s">
        <v>711</v>
      </c>
      <c r="AW52" s="357">
        <v>318</v>
      </c>
      <c r="AX52" s="357">
        <v>327</v>
      </c>
      <c r="AY52" s="357">
        <v>415</v>
      </c>
      <c r="AZ52" s="384" t="s">
        <v>1305</v>
      </c>
      <c r="BA52" s="369"/>
      <c r="BB52" s="369"/>
      <c r="BC52" s="369"/>
      <c r="BD52" s="369"/>
      <c r="BE52" s="369"/>
      <c r="BF52" s="369"/>
      <c r="BG52" s="369"/>
      <c r="BH52" s="369"/>
      <c r="BI52" s="369"/>
      <c r="BJ52" s="369"/>
      <c r="BK52" s="369"/>
      <c r="BL52" s="369"/>
      <c r="BM52" s="369"/>
      <c r="BN52" s="369"/>
      <c r="BO52" s="369"/>
      <c r="BP52" s="369"/>
      <c r="BQ52" s="369"/>
      <c r="BR52" s="369"/>
      <c r="BS52" s="369"/>
      <c r="BT52" s="369"/>
      <c r="BU52" s="389" t="s">
        <v>1291</v>
      </c>
      <c r="BV52" s="326"/>
      <c r="BW52" s="326"/>
      <c r="BX52" s="326"/>
      <c r="BY52" s="367"/>
      <c r="BZ52" s="368"/>
      <c r="CA52" s="368"/>
      <c r="CB52" s="368"/>
      <c r="CC52" s="368"/>
      <c r="CD52" s="368"/>
      <c r="CE52" s="368"/>
      <c r="CF52" s="368"/>
      <c r="CG52" s="368"/>
      <c r="CH52" s="368"/>
      <c r="CI52" s="42"/>
      <c r="CJ52" s="42"/>
      <c r="CK52" s="42"/>
      <c r="CL52" s="42"/>
    </row>
    <row r="53" spans="1:90" ht="21" customHeight="1">
      <c r="A53" s="80">
        <v>51</v>
      </c>
      <c r="B53" s="55" t="s">
        <v>246</v>
      </c>
      <c r="C53" s="86" t="s">
        <v>758</v>
      </c>
      <c r="D53" s="256" t="s">
        <v>151</v>
      </c>
      <c r="E53" s="247" t="s">
        <v>45</v>
      </c>
      <c r="F53" s="173">
        <f t="shared" si="21"/>
        <v>5</v>
      </c>
      <c r="G53" s="83" t="s">
        <v>62</v>
      </c>
      <c r="H53" s="222">
        <v>35</v>
      </c>
      <c r="I53" s="222">
        <v>15</v>
      </c>
      <c r="J53" s="222">
        <v>21</v>
      </c>
      <c r="K53" s="222">
        <v>32</v>
      </c>
      <c r="L53" s="222" t="s">
        <v>59</v>
      </c>
      <c r="M53" s="222" t="s">
        <v>59</v>
      </c>
      <c r="N53" s="226">
        <f t="shared" si="71"/>
        <v>103</v>
      </c>
      <c r="O53" s="57">
        <v>3199</v>
      </c>
      <c r="P53" s="211">
        <v>323.5</v>
      </c>
      <c r="Q53" s="218">
        <v>84.32</v>
      </c>
      <c r="R53" s="218">
        <v>63.02</v>
      </c>
      <c r="S53" s="218">
        <v>54.67</v>
      </c>
      <c r="T53" s="218">
        <v>5.8490000000000002</v>
      </c>
      <c r="U53" s="84">
        <v>2530</v>
      </c>
      <c r="V53" s="292">
        <f>VLOOKUP($U53,计算辅助页面!$Z$5:$AM$26,COLUMN()-20,0)</f>
        <v>4100</v>
      </c>
      <c r="W53" s="292">
        <f>VLOOKUP($U53,计算辅助页面!$Z$5:$AM$26,COLUMN()-20,0)</f>
        <v>6600</v>
      </c>
      <c r="X53" s="226">
        <f>VLOOKUP($U53,计算辅助页面!$Z$5:$AM$26,COLUMN()-20,0)</f>
        <v>9900</v>
      </c>
      <c r="Y53" s="226">
        <f>VLOOKUP($U53,计算辅助页面!$Z$5:$AM$26,COLUMN()-20,0)</f>
        <v>14300</v>
      </c>
      <c r="Z53" s="293">
        <f>VLOOKUP($U53,计算辅助页面!$Z$5:$AM$26,COLUMN()-20,0)</f>
        <v>20000</v>
      </c>
      <c r="AA53" s="226">
        <f>VLOOKUP($U53,计算辅助页面!$Z$5:$AM$26,COLUMN()-20,0)</f>
        <v>28000</v>
      </c>
      <c r="AB53" s="226">
        <f>VLOOKUP($U53,计算辅助页面!$Z$5:$AM$26,COLUMN()-20,0)</f>
        <v>39000</v>
      </c>
      <c r="AC53" s="226">
        <f>VLOOKUP($U53,计算辅助页面!$Z$5:$AM$26,COLUMN()-20,0)</f>
        <v>55000</v>
      </c>
      <c r="AD53" s="226">
        <f>VLOOKUP($U53,计算辅助页面!$Z$5:$AM$26,COLUMN()-20,0)</f>
        <v>77000</v>
      </c>
      <c r="AE53" s="226">
        <f>VLOOKUP($U53,计算辅助页面!$Z$5:$AM$26,COLUMN()-20,0)</f>
        <v>108000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1457720</v>
      </c>
      <c r="AI53" s="267">
        <v>15000</v>
      </c>
      <c r="AJ53" s="260">
        <f>VLOOKUP(D53&amp;E53,计算辅助页面!$V$5:$Y$18,2,0)</f>
        <v>6</v>
      </c>
      <c r="AK53" s="174">
        <f t="shared" si="72"/>
        <v>30000</v>
      </c>
      <c r="AL53" s="174">
        <f>VLOOKUP(D53&amp;E53,计算辅助页面!$V$5:$Y$18,3,0)</f>
        <v>3</v>
      </c>
      <c r="AM53" s="179">
        <f t="shared" si="73"/>
        <v>90000</v>
      </c>
      <c r="AN53" s="179">
        <f>VLOOKUP(D53&amp;E53,计算辅助页面!$V$5:$Y$18,4,0)</f>
        <v>1</v>
      </c>
      <c r="AO53" s="173">
        <f t="shared" si="74"/>
        <v>1080000</v>
      </c>
      <c r="AP53" s="195">
        <f t="shared" si="51"/>
        <v>2537720</v>
      </c>
      <c r="AQ53" s="365" t="s">
        <v>733</v>
      </c>
      <c r="AR53" s="366" t="str">
        <f t="shared" si="27"/>
        <v>2017 NSX</v>
      </c>
      <c r="AS53" s="352" t="s">
        <v>603</v>
      </c>
      <c r="AT53" s="353" t="s">
        <v>279</v>
      </c>
      <c r="AU53" s="229" t="s">
        <v>711</v>
      </c>
      <c r="AV53" s="357">
        <v>9</v>
      </c>
      <c r="AW53" s="357">
        <v>337</v>
      </c>
      <c r="AY53" s="357">
        <v>432</v>
      </c>
      <c r="AZ53" s="357" t="s">
        <v>1110</v>
      </c>
      <c r="BA53" s="369"/>
      <c r="BB53" s="369"/>
      <c r="BC53" s="369">
        <v>1</v>
      </c>
      <c r="BD53" s="369">
        <v>1</v>
      </c>
      <c r="BE53" s="369"/>
      <c r="BF53" s="369">
        <v>1</v>
      </c>
      <c r="BG53" s="369"/>
      <c r="BH53" s="369"/>
      <c r="BI53" s="369">
        <v>1</v>
      </c>
      <c r="BJ53" s="369"/>
      <c r="BK53" s="369"/>
      <c r="BL53" s="369"/>
      <c r="BM53" s="369"/>
      <c r="BN53" s="369"/>
      <c r="BO53" s="369"/>
      <c r="BP53" s="369"/>
      <c r="BQ53" s="369"/>
      <c r="BR53" s="369"/>
      <c r="BS53" s="369"/>
      <c r="BT53" s="369">
        <v>1</v>
      </c>
      <c r="BU53" s="387" t="s">
        <v>1151</v>
      </c>
      <c r="BV53" s="326"/>
      <c r="BW53" s="326"/>
      <c r="BX53" s="326"/>
      <c r="BY53" s="367">
        <v>306</v>
      </c>
      <c r="BZ53" s="368">
        <v>75.7</v>
      </c>
      <c r="CA53" s="368">
        <v>48.17</v>
      </c>
      <c r="CB53" s="368">
        <v>36.82</v>
      </c>
      <c r="CC53" s="368">
        <f t="shared" si="75"/>
        <v>17.5</v>
      </c>
      <c r="CD53" s="368">
        <f t="shared" si="76"/>
        <v>8.6199999999999903</v>
      </c>
      <c r="CE53" s="368">
        <f t="shared" si="77"/>
        <v>14.850000000000001</v>
      </c>
      <c r="CF53" s="368">
        <f t="shared" si="78"/>
        <v>17.850000000000001</v>
      </c>
      <c r="CG53" s="368">
        <f t="shared" si="79"/>
        <v>58.819999999999993</v>
      </c>
      <c r="CH53" s="368">
        <f t="shared" si="80"/>
        <v>60.313499999999991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166</v>
      </c>
      <c r="C54" s="86" t="s">
        <v>759</v>
      </c>
      <c r="D54" s="256" t="s">
        <v>151</v>
      </c>
      <c r="E54" s="247" t="s">
        <v>176</v>
      </c>
      <c r="F54" s="173">
        <f t="shared" si="21"/>
        <v>5</v>
      </c>
      <c r="G54" s="83" t="s">
        <v>63</v>
      </c>
      <c r="H54" s="222">
        <v>35</v>
      </c>
      <c r="I54" s="222">
        <v>15</v>
      </c>
      <c r="J54" s="222">
        <v>21</v>
      </c>
      <c r="K54" s="222">
        <v>32</v>
      </c>
      <c r="L54" s="222" t="s">
        <v>59</v>
      </c>
      <c r="M54" s="222" t="s">
        <v>59</v>
      </c>
      <c r="N54" s="226">
        <f t="shared" si="71"/>
        <v>103</v>
      </c>
      <c r="O54" s="57">
        <v>3206</v>
      </c>
      <c r="P54" s="211">
        <v>335.7</v>
      </c>
      <c r="Q54" s="218">
        <v>74.430000000000007</v>
      </c>
      <c r="R54" s="218">
        <v>41.38</v>
      </c>
      <c r="S54" s="218">
        <v>72.91</v>
      </c>
      <c r="T54" s="218">
        <v>8.6829999999999998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72"/>
        <v>60000</v>
      </c>
      <c r="AL54" s="174">
        <f>VLOOKUP(D54&amp;E54,计算辅助页面!$V$5:$Y$18,3,0)</f>
        <v>3</v>
      </c>
      <c r="AM54" s="179">
        <f t="shared" si="73"/>
        <v>180000</v>
      </c>
      <c r="AN54" s="179">
        <f>VLOOKUP(D54&amp;E54,计算辅助页面!$V$5:$Y$18,4,0)</f>
        <v>1</v>
      </c>
      <c r="AO54" s="173">
        <f t="shared" si="74"/>
        <v>2160000</v>
      </c>
      <c r="AP54" s="195">
        <f t="shared" si="51"/>
        <v>5073840</v>
      </c>
      <c r="AQ54" s="365" t="s">
        <v>1068</v>
      </c>
      <c r="AR54" s="366" t="str">
        <f t="shared" si="27"/>
        <v>Alfieri</v>
      </c>
      <c r="AS54" s="352" t="s">
        <v>858</v>
      </c>
      <c r="AT54" s="353" t="s">
        <v>630</v>
      </c>
      <c r="AU54" s="229" t="s">
        <v>711</v>
      </c>
      <c r="AV54" s="357">
        <v>10</v>
      </c>
      <c r="AW54" s="357">
        <v>349</v>
      </c>
      <c r="AY54" s="357">
        <v>453</v>
      </c>
      <c r="AZ54" s="357" t="s">
        <v>1110</v>
      </c>
      <c r="BA54" s="369"/>
      <c r="BB54" s="369"/>
      <c r="BC54" s="369">
        <v>1</v>
      </c>
      <c r="BD54" s="369">
        <v>1</v>
      </c>
      <c r="BE54" s="369"/>
      <c r="BF54" s="369">
        <v>1</v>
      </c>
      <c r="BG54" s="369"/>
      <c r="BH54" s="369"/>
      <c r="BI54" s="369"/>
      <c r="BJ54" s="369"/>
      <c r="BK54" s="369"/>
      <c r="BL54" s="369"/>
      <c r="BM54" s="369"/>
      <c r="BN54" s="369"/>
      <c r="BO54" s="369"/>
      <c r="BP54" s="369"/>
      <c r="BQ54" s="369"/>
      <c r="BR54" s="369"/>
      <c r="BS54" s="369"/>
      <c r="BT54" s="369">
        <v>1</v>
      </c>
      <c r="BU54" s="387" t="s">
        <v>1152</v>
      </c>
      <c r="BV54" s="326"/>
      <c r="BW54" s="326"/>
      <c r="BX54" s="326"/>
      <c r="BY54" s="367">
        <v>305</v>
      </c>
      <c r="BZ54" s="368">
        <v>60.4</v>
      </c>
      <c r="CA54" s="368">
        <v>29.33</v>
      </c>
      <c r="CB54" s="368">
        <v>51.53</v>
      </c>
      <c r="CC54" s="368">
        <f t="shared" si="75"/>
        <v>30.699999999999989</v>
      </c>
      <c r="CD54" s="368">
        <f t="shared" si="76"/>
        <v>14.030000000000008</v>
      </c>
      <c r="CE54" s="368">
        <f t="shared" si="77"/>
        <v>12.050000000000004</v>
      </c>
      <c r="CF54" s="368">
        <f t="shared" si="78"/>
        <v>21.379999999999995</v>
      </c>
      <c r="CG54" s="368">
        <f t="shared" si="79"/>
        <v>78.16</v>
      </c>
      <c r="CH54" s="368">
        <f t="shared" si="80"/>
        <v>75.359400000000008</v>
      </c>
      <c r="CI54" s="42"/>
      <c r="CJ54" s="42"/>
      <c r="CK54" s="42"/>
      <c r="CL54" s="42"/>
    </row>
    <row r="55" spans="1:90" ht="21" customHeight="1">
      <c r="A55" s="80">
        <v>53</v>
      </c>
      <c r="B55" s="326" t="s">
        <v>1586</v>
      </c>
      <c r="C55" s="86" t="s">
        <v>1587</v>
      </c>
      <c r="D55" s="256" t="s">
        <v>151</v>
      </c>
      <c r="E55" s="247" t="s">
        <v>176</v>
      </c>
      <c r="F55" s="175"/>
      <c r="G55" s="88"/>
      <c r="H55" s="222">
        <v>50</v>
      </c>
      <c r="I55" s="222">
        <v>29</v>
      </c>
      <c r="J55" s="222">
        <v>38</v>
      </c>
      <c r="K55" s="222">
        <v>48</v>
      </c>
      <c r="L55" s="222" t="s">
        <v>59</v>
      </c>
      <c r="M55" s="222" t="s">
        <v>59</v>
      </c>
      <c r="N55" s="226">
        <f t="shared" ref="N55" si="85">IF(COUNTBLANK(H55:M55),"",SUM(H55:M55))</f>
        <v>165</v>
      </c>
      <c r="O55" s="328">
        <v>3221</v>
      </c>
      <c r="P55" s="211">
        <v>320.39999999999998</v>
      </c>
      <c r="Q55" s="218">
        <v>80.819999999999993</v>
      </c>
      <c r="R55" s="218">
        <v>70.91</v>
      </c>
      <c r="S55" s="218">
        <v>61.06</v>
      </c>
      <c r="T55" s="218">
        <v>6.6</v>
      </c>
      <c r="U55" s="84">
        <v>5060</v>
      </c>
      <c r="V55" s="292">
        <f>VLOOKUP($U55,计算辅助页面!$Z$5:$AM$26,COLUMN()-20,0)</f>
        <v>8300</v>
      </c>
      <c r="W55" s="292">
        <f>VLOOKUP($U55,计算辅助页面!$Z$5:$AM$26,COLUMN()-20,0)</f>
        <v>13200</v>
      </c>
      <c r="X55" s="226">
        <f>VLOOKUP($U55,计算辅助页面!$Z$5:$AM$26,COLUMN()-20,0)</f>
        <v>19800</v>
      </c>
      <c r="Y55" s="226">
        <f>VLOOKUP($U55,计算辅助页面!$Z$5:$AM$26,COLUMN()-20,0)</f>
        <v>28600</v>
      </c>
      <c r="Z55" s="293">
        <f>VLOOKUP($U55,计算辅助页面!$Z$5:$AM$26,COLUMN()-20,0)</f>
        <v>40000</v>
      </c>
      <c r="AA55" s="226">
        <f>VLOOKUP($U55,计算辅助页面!$Z$5:$AM$26,COLUMN()-20,0)</f>
        <v>56000</v>
      </c>
      <c r="AB55" s="226">
        <f>VLOOKUP($U55,计算辅助页面!$Z$5:$AM$26,COLUMN()-20,0)</f>
        <v>78500</v>
      </c>
      <c r="AC55" s="226">
        <f>VLOOKUP($U55,计算辅助页面!$Z$5:$AM$26,COLUMN()-20,0)</f>
        <v>110000</v>
      </c>
      <c r="AD55" s="226">
        <f>VLOOKUP($U55,计算辅助页面!$Z$5:$AM$26,COLUMN()-20,0)</f>
        <v>154000</v>
      </c>
      <c r="AE55" s="226">
        <f>VLOOKUP($U55,计算辅助页面!$Z$5:$AM$26,COLUMN()-20,0)</f>
        <v>215000</v>
      </c>
      <c r="AF55" s="226" t="str">
        <f>VLOOKUP($U55,计算辅助页面!$Z$5:$AM$26,COLUMN()-20,0)</f>
        <v>×</v>
      </c>
      <c r="AG55" s="226" t="str">
        <f>VLOOKUP($U55,计算辅助页面!$Z$5:$AM$26,COLUMN()-20,0)</f>
        <v>×</v>
      </c>
      <c r="AH55" s="173">
        <f>VLOOKUP($U55,计算辅助页面!$Z$5:$AM$26,COLUMN()-20,0)</f>
        <v>2913840</v>
      </c>
      <c r="AI55" s="267">
        <v>30000</v>
      </c>
      <c r="AJ55" s="260">
        <f>VLOOKUP(D55&amp;E55,计算辅助页面!$V$5:$Y$18,2,0)</f>
        <v>6</v>
      </c>
      <c r="AK55" s="174">
        <f t="shared" ref="AK55" si="86">IF(AI55,2*AI55,"")</f>
        <v>60000</v>
      </c>
      <c r="AL55" s="174">
        <f>VLOOKUP(D55&amp;E55,计算辅助页面!$V$5:$Y$18,3,0)</f>
        <v>3</v>
      </c>
      <c r="AM55" s="179">
        <f t="shared" ref="AM55" si="87">IF(AN55="×",AN55,IF(AI55,6*AI55,""))</f>
        <v>180000</v>
      </c>
      <c r="AN55" s="179">
        <f>VLOOKUP(D55&amp;E55,计算辅助页面!$V$5:$Y$18,4,0)</f>
        <v>1</v>
      </c>
      <c r="AO55" s="173">
        <f t="shared" ref="AO55" si="88">IF(AI55,IF(AN55="×",4*(AI55*AJ55+AK55*AL55),4*(AI55*AJ55+AK55*AL55+AM55*AN55)),"")</f>
        <v>2160000</v>
      </c>
      <c r="AP55" s="195">
        <f t="shared" ref="AP55" si="89">IF(AND(AH55,AO55),AO55+AH55,"")</f>
        <v>5073840</v>
      </c>
      <c r="AQ55" s="365" t="s">
        <v>596</v>
      </c>
      <c r="AR55" s="366" t="str">
        <f t="shared" si="27"/>
        <v>XJR-15</v>
      </c>
      <c r="AS55" s="352" t="s">
        <v>1585</v>
      </c>
      <c r="AT55" s="353" t="s">
        <v>1588</v>
      </c>
      <c r="AU55" s="229" t="s">
        <v>711</v>
      </c>
      <c r="AW55" s="357">
        <v>334</v>
      </c>
      <c r="AY55" s="357">
        <v>427</v>
      </c>
      <c r="AZ55" s="384" t="s">
        <v>1611</v>
      </c>
      <c r="BA55" s="369"/>
      <c r="BB55" s="369"/>
      <c r="BC55" s="369"/>
      <c r="BD55" s="369"/>
      <c r="BE55" s="369"/>
      <c r="BF55" s="369"/>
      <c r="BG55" s="369"/>
      <c r="BH55" s="369"/>
      <c r="BI55" s="369"/>
      <c r="BJ55" s="369"/>
      <c r="BK55" s="369"/>
      <c r="BL55" s="369"/>
      <c r="BM55" s="369"/>
      <c r="BN55" s="369"/>
      <c r="BO55" s="369"/>
      <c r="BP55" s="369"/>
      <c r="BQ55" s="369"/>
      <c r="BR55" s="369"/>
      <c r="BS55" s="369"/>
      <c r="BT55" s="369"/>
      <c r="BU55" s="389" t="s">
        <v>1604</v>
      </c>
      <c r="BV55" s="326"/>
      <c r="BW55" s="326"/>
      <c r="BX55" s="326"/>
      <c r="BY55" s="367"/>
      <c r="BZ55" s="368"/>
      <c r="CA55" s="368"/>
      <c r="CB55" s="368"/>
      <c r="CC55" s="368"/>
      <c r="CD55" s="368"/>
      <c r="CE55" s="368"/>
      <c r="CF55" s="368"/>
      <c r="CG55" s="368"/>
      <c r="CH55" s="368"/>
      <c r="CI55" s="42"/>
      <c r="CJ55" s="42"/>
      <c r="CK55" s="42"/>
      <c r="CL55" s="42"/>
    </row>
    <row r="56" spans="1:90" ht="21" customHeight="1" thickBot="1">
      <c r="A56" s="48">
        <v>54</v>
      </c>
      <c r="B56" s="398" t="s">
        <v>1394</v>
      </c>
      <c r="C56" s="86" t="s">
        <v>1395</v>
      </c>
      <c r="D56" s="256" t="s">
        <v>151</v>
      </c>
      <c r="E56" s="247" t="s">
        <v>176</v>
      </c>
      <c r="F56" s="175"/>
      <c r="G56" s="88"/>
      <c r="H56" s="395">
        <v>50</v>
      </c>
      <c r="I56" s="395">
        <v>29</v>
      </c>
      <c r="J56" s="395">
        <v>38</v>
      </c>
      <c r="K56" s="395">
        <v>48</v>
      </c>
      <c r="L56" s="222" t="s">
        <v>59</v>
      </c>
      <c r="M56" s="222" t="s">
        <v>59</v>
      </c>
      <c r="N56" s="226">
        <f t="shared" ref="N56" si="90">IF(COUNTBLANK(H56:M56),"",SUM(H56:M56))</f>
        <v>165</v>
      </c>
      <c r="O56" s="400">
        <v>3334</v>
      </c>
      <c r="P56" s="211">
        <v>319.60000000000002</v>
      </c>
      <c r="Q56" s="218">
        <v>82.32</v>
      </c>
      <c r="R56" s="218">
        <v>62.53</v>
      </c>
      <c r="S56" s="218">
        <v>63.22</v>
      </c>
      <c r="T56" s="218"/>
      <c r="U56" s="85">
        <v>5060</v>
      </c>
      <c r="V56" s="292">
        <f>VLOOKUP($U56,计算辅助页面!$Z$5:$AM$26,COLUMN()-20,0)</f>
        <v>8300</v>
      </c>
      <c r="W56" s="292">
        <f>VLOOKUP($U56,计算辅助页面!$Z$5:$AM$26,COLUMN()-20,0)</f>
        <v>13200</v>
      </c>
      <c r="X56" s="226">
        <f>VLOOKUP($U56,计算辅助页面!$Z$5:$AM$26,COLUMN()-20,0)</f>
        <v>19800</v>
      </c>
      <c r="Y56" s="226">
        <f>VLOOKUP($U56,计算辅助页面!$Z$5:$AM$26,COLUMN()-20,0)</f>
        <v>28600</v>
      </c>
      <c r="Z56" s="293">
        <f>VLOOKUP($U56,计算辅助页面!$Z$5:$AM$26,COLUMN()-20,0)</f>
        <v>40000</v>
      </c>
      <c r="AA56" s="226">
        <f>VLOOKUP($U56,计算辅助页面!$Z$5:$AM$26,COLUMN()-20,0)</f>
        <v>56000</v>
      </c>
      <c r="AB56" s="226">
        <f>VLOOKUP($U56,计算辅助页面!$Z$5:$AM$26,COLUMN()-20,0)</f>
        <v>78500</v>
      </c>
      <c r="AC56" s="226">
        <f>VLOOKUP($U56,计算辅助页面!$Z$5:$AM$26,COLUMN()-20,0)</f>
        <v>110000</v>
      </c>
      <c r="AD56" s="226">
        <f>VLOOKUP($U56,计算辅助页面!$Z$5:$AM$26,COLUMN()-20,0)</f>
        <v>154000</v>
      </c>
      <c r="AE56" s="226">
        <f>VLOOKUP($U56,计算辅助页面!$Z$5:$AM$26,COLUMN()-20,0)</f>
        <v>215000</v>
      </c>
      <c r="AF56" s="226" t="str">
        <f>VLOOKUP($U56,计算辅助页面!$Z$5:$AM$26,COLUMN()-20,0)</f>
        <v>×</v>
      </c>
      <c r="AG56" s="226" t="str">
        <f>VLOOKUP($U56,计算辅助页面!$Z$5:$AM$26,COLUMN()-20,0)</f>
        <v>×</v>
      </c>
      <c r="AH56" s="173">
        <f>VLOOKUP($U56,计算辅助页面!$Z$5:$AM$26,COLUMN()-20,0)</f>
        <v>2913840</v>
      </c>
      <c r="AI56" s="267">
        <v>30000</v>
      </c>
      <c r="AJ56" s="260">
        <f>VLOOKUP(D56&amp;E56,计算辅助页面!$V$5:$Y$18,2,0)</f>
        <v>6</v>
      </c>
      <c r="AK56" s="174">
        <f>IF(AI56,2*AI56,"")</f>
        <v>60000</v>
      </c>
      <c r="AL56" s="174">
        <f>VLOOKUP(D56&amp;E56,计算辅助页面!$V$5:$Y$18,3,0)</f>
        <v>3</v>
      </c>
      <c r="AM56" s="179">
        <f t="shared" si="73"/>
        <v>180000</v>
      </c>
      <c r="AN56" s="179">
        <f>VLOOKUP(D56&amp;E56,计算辅助页面!$V$5:$Y$18,4,0)</f>
        <v>1</v>
      </c>
      <c r="AO56" s="173">
        <f t="shared" si="74"/>
        <v>2160000</v>
      </c>
      <c r="AP56" s="195">
        <f t="shared" si="51"/>
        <v>5073840</v>
      </c>
      <c r="AQ56" s="365" t="s">
        <v>568</v>
      </c>
      <c r="AR56" s="366" t="str">
        <f t="shared" si="27"/>
        <v>Monza SP1</v>
      </c>
      <c r="AS56" s="352" t="s">
        <v>1392</v>
      </c>
      <c r="AT56" s="353" t="s">
        <v>1396</v>
      </c>
      <c r="AU56" s="229" t="s">
        <v>711</v>
      </c>
      <c r="AW56" s="357">
        <v>332</v>
      </c>
      <c r="AY56" s="357">
        <v>424</v>
      </c>
      <c r="AZ56" s="384" t="s">
        <v>1274</v>
      </c>
      <c r="BA56" s="369"/>
      <c r="BB56" s="369"/>
      <c r="BC56" s="369"/>
      <c r="BD56" s="369"/>
      <c r="BE56" s="369"/>
      <c r="BF56" s="369"/>
      <c r="BG56" s="369">
        <v>1</v>
      </c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89" t="s">
        <v>869</v>
      </c>
      <c r="BV56" s="326"/>
      <c r="BW56" s="326"/>
      <c r="BX56" s="326"/>
      <c r="BY56" s="367"/>
      <c r="BZ56" s="368"/>
      <c r="CA56" s="368"/>
      <c r="CB56" s="368"/>
      <c r="CC56" s="368"/>
      <c r="CD56" s="368"/>
      <c r="CE56" s="368"/>
      <c r="CF56" s="368"/>
      <c r="CG56" s="368"/>
      <c r="CH56" s="368"/>
      <c r="CI56" s="42"/>
      <c r="CJ56" s="42"/>
      <c r="CK56" s="42"/>
      <c r="CL56" s="42"/>
    </row>
    <row r="57" spans="1:90" ht="21" customHeight="1">
      <c r="A57" s="80">
        <v>55</v>
      </c>
      <c r="B57" s="55" t="s">
        <v>908</v>
      </c>
      <c r="C57" s="86" t="s">
        <v>889</v>
      </c>
      <c r="D57" s="256" t="s">
        <v>151</v>
      </c>
      <c r="E57" s="247" t="s">
        <v>176</v>
      </c>
      <c r="F57" s="175"/>
      <c r="G57" s="88"/>
      <c r="H57" s="222" t="s">
        <v>449</v>
      </c>
      <c r="I57" s="236">
        <v>25</v>
      </c>
      <c r="J57" s="236">
        <v>38</v>
      </c>
      <c r="K57" s="236">
        <v>52</v>
      </c>
      <c r="L57" s="222" t="s">
        <v>59</v>
      </c>
      <c r="M57" s="222" t="s">
        <v>59</v>
      </c>
      <c r="N57" s="226">
        <f t="shared" si="71"/>
        <v>115</v>
      </c>
      <c r="O57" s="57">
        <v>3392</v>
      </c>
      <c r="P57" s="211">
        <v>321.7</v>
      </c>
      <c r="Q57" s="218">
        <v>87.51</v>
      </c>
      <c r="R57" s="218">
        <v>68.27</v>
      </c>
      <c r="S57" s="218">
        <v>45.8</v>
      </c>
      <c r="T57" s="218">
        <v>4.7300000000000004</v>
      </c>
      <c r="U57" s="84">
        <v>5060</v>
      </c>
      <c r="V57" s="292">
        <f>VLOOKUP($U57,计算辅助页面!$Z$5:$AM$26,COLUMN()-20,0)</f>
        <v>8300</v>
      </c>
      <c r="W57" s="292">
        <f>VLOOKUP($U57,计算辅助页面!$Z$5:$AM$26,COLUMN()-20,0)</f>
        <v>13200</v>
      </c>
      <c r="X57" s="226">
        <f>VLOOKUP($U57,计算辅助页面!$Z$5:$AM$26,COLUMN()-20,0)</f>
        <v>19800</v>
      </c>
      <c r="Y57" s="226">
        <f>VLOOKUP($U57,计算辅助页面!$Z$5:$AM$26,COLUMN()-20,0)</f>
        <v>28600</v>
      </c>
      <c r="Z57" s="293">
        <f>VLOOKUP($U57,计算辅助页面!$Z$5:$AM$26,COLUMN()-20,0)</f>
        <v>40000</v>
      </c>
      <c r="AA57" s="226">
        <f>VLOOKUP($U57,计算辅助页面!$Z$5:$AM$26,COLUMN()-20,0)</f>
        <v>56000</v>
      </c>
      <c r="AB57" s="226">
        <f>VLOOKUP($U57,计算辅助页面!$Z$5:$AM$26,COLUMN()-20,0)</f>
        <v>78500</v>
      </c>
      <c r="AC57" s="226">
        <f>VLOOKUP($U57,计算辅助页面!$Z$5:$AM$26,COLUMN()-20,0)</f>
        <v>110000</v>
      </c>
      <c r="AD57" s="226">
        <f>VLOOKUP($U57,计算辅助页面!$Z$5:$AM$26,COLUMN()-20,0)</f>
        <v>154000</v>
      </c>
      <c r="AE57" s="226">
        <f>VLOOKUP($U57,计算辅助页面!$Z$5:$AM$26,COLUMN()-20,0)</f>
        <v>215000</v>
      </c>
      <c r="AF57" s="226" t="str">
        <f>VLOOKUP($U57,计算辅助页面!$Z$5:$AM$26,COLUMN()-20,0)</f>
        <v>×</v>
      </c>
      <c r="AG57" s="226" t="str">
        <f>VLOOKUP($U57,计算辅助页面!$Z$5:$AM$26,COLUMN()-20,0)</f>
        <v>×</v>
      </c>
      <c r="AH57" s="173">
        <f>VLOOKUP($U57,计算辅助页面!$Z$5:$AM$26,COLUMN()-20,0)</f>
        <v>2913840</v>
      </c>
      <c r="AI57" s="267">
        <v>30000</v>
      </c>
      <c r="AJ57" s="260">
        <f>VLOOKUP(D57&amp;E57,计算辅助页面!$V$5:$Y$18,2,0)</f>
        <v>6</v>
      </c>
      <c r="AK57" s="174">
        <f t="shared" si="72"/>
        <v>60000</v>
      </c>
      <c r="AL57" s="174">
        <f>VLOOKUP(D57&amp;E57,计算辅助页面!$V$5:$Y$18,3,0)</f>
        <v>3</v>
      </c>
      <c r="AM57" s="179">
        <f t="shared" si="73"/>
        <v>180000</v>
      </c>
      <c r="AN57" s="179">
        <f>VLOOKUP(D57&amp;E57,计算辅助页面!$V$5:$Y$18,4,0)</f>
        <v>1</v>
      </c>
      <c r="AO57" s="173">
        <f t="shared" si="74"/>
        <v>2160000</v>
      </c>
      <c r="AP57" s="195">
        <f t="shared" si="51"/>
        <v>5073840</v>
      </c>
      <c r="AQ57" s="365" t="s">
        <v>1067</v>
      </c>
      <c r="AR57" s="366" t="str">
        <f t="shared" si="27"/>
        <v>Corsa RRTurbo🔑</v>
      </c>
      <c r="AS57" s="352" t="s">
        <v>905</v>
      </c>
      <c r="AT57" s="353" t="s">
        <v>912</v>
      </c>
      <c r="AU57" s="229" t="s">
        <v>711</v>
      </c>
      <c r="AW57" s="357">
        <v>335</v>
      </c>
      <c r="AY57" s="357">
        <v>429</v>
      </c>
      <c r="AZ57" s="357" t="s">
        <v>1117</v>
      </c>
      <c r="BA57" s="369"/>
      <c r="BB57" s="369"/>
      <c r="BC57" s="369"/>
      <c r="BD57" s="369"/>
      <c r="BE57" s="369"/>
      <c r="BF57" s="369"/>
      <c r="BG57" s="369"/>
      <c r="BH57" s="369">
        <v>1</v>
      </c>
      <c r="BI57" s="369"/>
      <c r="BJ57" s="369"/>
      <c r="BK57" s="369"/>
      <c r="BL57" s="369"/>
      <c r="BM57" s="369"/>
      <c r="BN57" s="369">
        <v>1</v>
      </c>
      <c r="BO57" s="369"/>
      <c r="BP57" s="369"/>
      <c r="BQ57" s="369"/>
      <c r="BR57" s="369"/>
      <c r="BS57" s="369"/>
      <c r="BT57" s="369"/>
      <c r="BU57" s="387"/>
      <c r="BV57" s="326"/>
      <c r="BW57" s="326"/>
      <c r="BX57" s="326"/>
      <c r="BY57" s="367">
        <v>305</v>
      </c>
      <c r="BZ57" s="368">
        <v>81.099999999999994</v>
      </c>
      <c r="CA57" s="368">
        <v>39.39</v>
      </c>
      <c r="CB57" s="368">
        <v>17.309999999999999</v>
      </c>
      <c r="CC57" s="368">
        <f t="shared" si="75"/>
        <v>16.699999999999989</v>
      </c>
      <c r="CD57" s="368">
        <f t="shared" si="76"/>
        <v>6.4100000000000108</v>
      </c>
      <c r="CE57" s="368">
        <f t="shared" si="77"/>
        <v>28.879999999999995</v>
      </c>
      <c r="CF57" s="368">
        <f t="shared" si="78"/>
        <v>28.49</v>
      </c>
      <c r="CG57" s="368">
        <f t="shared" si="79"/>
        <v>80.47999999999999</v>
      </c>
      <c r="CH57" s="368">
        <f t="shared" si="80"/>
        <v>85.663100000000014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1615</v>
      </c>
      <c r="C58" s="86" t="s">
        <v>1434</v>
      </c>
      <c r="D58" s="256" t="s">
        <v>198</v>
      </c>
      <c r="E58" s="247" t="s">
        <v>171</v>
      </c>
      <c r="F58" s="175"/>
      <c r="G58" s="88"/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ref="N58" si="91">IF(COUNTBLANK(H58:M58),"",SUM(H58:M58))</f>
        <v>134</v>
      </c>
      <c r="O58" s="57">
        <v>3483</v>
      </c>
      <c r="P58" s="211">
        <v>338.7</v>
      </c>
      <c r="Q58" s="218">
        <v>78.28</v>
      </c>
      <c r="R58" s="218">
        <v>48.14</v>
      </c>
      <c r="S58" s="218">
        <v>62.98</v>
      </c>
      <c r="T58" s="218"/>
      <c r="U58" s="85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ref="AK58" si="92">IF(AI58,2*AI58,"")</f>
        <v>80000</v>
      </c>
      <c r="AL58" s="176">
        <f>VLOOKUP(D58&amp;E58,计算辅助页面!$V$5:$Y$18,3,0)</f>
        <v>4</v>
      </c>
      <c r="AM58" s="182">
        <f t="shared" ref="AM58" si="93">IF(AN58="×",AN58,IF(AI58,6*AI58,""))</f>
        <v>240000</v>
      </c>
      <c r="AN58" s="182">
        <f>VLOOKUP(D58&amp;E58,计算辅助页面!$V$5:$Y$18,4,0)</f>
        <v>2</v>
      </c>
      <c r="AO58" s="175">
        <f t="shared" ref="AO58" si="94">IF(AI58,IF(AN58="×",4*(AI58*AJ58+AK58*AL58),4*(AI58*AJ58+AK58*AL58+AM58*AN58)),"")</f>
        <v>4640000</v>
      </c>
      <c r="AP58" s="196">
        <f t="shared" ref="AP58" si="95">IF(AND(AH58,AO58),AO58+AH58,"")</f>
        <v>10444120</v>
      </c>
      <c r="AQ58" s="365" t="s">
        <v>596</v>
      </c>
      <c r="AR58" s="366" t="str">
        <f t="shared" si="27"/>
        <v>XV SE Project 8</v>
      </c>
      <c r="AS58" s="352" t="s">
        <v>1427</v>
      </c>
      <c r="AT58" s="353" t="s">
        <v>1435</v>
      </c>
      <c r="AU58" s="316" t="s">
        <v>712</v>
      </c>
      <c r="AW58" s="357">
        <v>352</v>
      </c>
      <c r="AY58" s="357">
        <v>458</v>
      </c>
      <c r="AZ58" s="384" t="s">
        <v>1274</v>
      </c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69"/>
      <c r="BN58" s="369"/>
      <c r="BO58" s="369"/>
      <c r="BP58" s="369"/>
      <c r="BQ58" s="369"/>
      <c r="BR58" s="369"/>
      <c r="BS58" s="369"/>
      <c r="BT58" s="369"/>
      <c r="BU58" s="389" t="s">
        <v>26</v>
      </c>
      <c r="BV58" s="326"/>
      <c r="BW58" s="326"/>
      <c r="BX58" s="326"/>
      <c r="BY58" s="367"/>
      <c r="BZ58" s="368"/>
      <c r="CA58" s="368"/>
      <c r="CB58" s="368"/>
      <c r="CC58" s="368"/>
      <c r="CD58" s="368"/>
      <c r="CE58" s="368"/>
      <c r="CF58" s="368"/>
      <c r="CG58" s="368"/>
      <c r="CH58" s="368"/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698</v>
      </c>
      <c r="C59" s="86" t="s">
        <v>761</v>
      </c>
      <c r="D59" s="256" t="s">
        <v>198</v>
      </c>
      <c r="E59" s="247" t="s">
        <v>171</v>
      </c>
      <c r="F59" s="175">
        <f>9-LEN(E59)-LEN(SUBSTITUTE(E59,"★",""))</f>
        <v>4</v>
      </c>
      <c r="G59" s="88" t="s">
        <v>64</v>
      </c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 t="shared" si="71"/>
        <v>134</v>
      </c>
      <c r="O59" s="57">
        <v>3531</v>
      </c>
      <c r="P59" s="211">
        <v>340.6</v>
      </c>
      <c r="Q59" s="218">
        <v>72.88</v>
      </c>
      <c r="R59" s="218">
        <v>69.319999999999993</v>
      </c>
      <c r="S59" s="218">
        <v>63.5</v>
      </c>
      <c r="T59" s="218">
        <v>6.33</v>
      </c>
      <c r="U59" s="85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72"/>
        <v>80000</v>
      </c>
      <c r="AL59" s="176">
        <f>VLOOKUP(D59&amp;E59,计算辅助页面!$V$5:$Y$18,3,0)</f>
        <v>4</v>
      </c>
      <c r="AM59" s="182">
        <f t="shared" si="73"/>
        <v>240000</v>
      </c>
      <c r="AN59" s="182">
        <f>VLOOKUP(D59&amp;E59,计算辅助页面!$V$5:$Y$18,4,0)</f>
        <v>2</v>
      </c>
      <c r="AO59" s="175">
        <f t="shared" si="74"/>
        <v>4640000</v>
      </c>
      <c r="AP59" s="196">
        <f t="shared" si="51"/>
        <v>10444120</v>
      </c>
      <c r="AQ59" s="365" t="s">
        <v>568</v>
      </c>
      <c r="AR59" s="366" t="str">
        <f t="shared" si="27"/>
        <v>F40</v>
      </c>
      <c r="AS59" s="352" t="s">
        <v>702</v>
      </c>
      <c r="AT59" s="353" t="s">
        <v>703</v>
      </c>
      <c r="AU59" s="338" t="s">
        <v>712</v>
      </c>
      <c r="AW59" s="357">
        <v>354</v>
      </c>
      <c r="AY59" s="357">
        <v>462</v>
      </c>
      <c r="AZ59" s="357" t="s">
        <v>1113</v>
      </c>
      <c r="BA59" s="369"/>
      <c r="BB59" s="369"/>
      <c r="BC59" s="369"/>
      <c r="BD59" s="369"/>
      <c r="BE59" s="369"/>
      <c r="BF59" s="369">
        <v>1</v>
      </c>
      <c r="BG59" s="369"/>
      <c r="BH59" s="369"/>
      <c r="BI59" s="369"/>
      <c r="BJ59" s="369"/>
      <c r="BK59" s="369"/>
      <c r="BL59" s="369"/>
      <c r="BM59" s="369"/>
      <c r="BN59" s="369"/>
      <c r="BO59" s="369"/>
      <c r="BP59" s="369"/>
      <c r="BQ59" s="369"/>
      <c r="BR59" s="369"/>
      <c r="BS59" s="369"/>
      <c r="BT59" s="369"/>
      <c r="BU59" s="387" t="s">
        <v>1154</v>
      </c>
      <c r="BV59" s="326"/>
      <c r="BW59" s="326"/>
      <c r="BX59" s="326"/>
      <c r="BY59" s="367">
        <v>324</v>
      </c>
      <c r="BZ59" s="368">
        <v>63.1</v>
      </c>
      <c r="CA59" s="368">
        <v>53.76</v>
      </c>
      <c r="CB59" s="368">
        <v>40.25</v>
      </c>
      <c r="CC59" s="368">
        <f t="shared" si="75"/>
        <v>16.600000000000023</v>
      </c>
      <c r="CD59" s="368">
        <f t="shared" si="76"/>
        <v>9.779999999999994</v>
      </c>
      <c r="CE59" s="368">
        <f t="shared" si="77"/>
        <v>15.559999999999995</v>
      </c>
      <c r="CF59" s="368">
        <f t="shared" si="78"/>
        <v>23.25</v>
      </c>
      <c r="CG59" s="368">
        <f t="shared" si="79"/>
        <v>65.190000000000012</v>
      </c>
      <c r="CH59" s="368">
        <f t="shared" si="80"/>
        <v>69.769799999999989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984</v>
      </c>
      <c r="C60" s="86" t="s">
        <v>973</v>
      </c>
      <c r="D60" s="256" t="s">
        <v>198</v>
      </c>
      <c r="E60" s="247" t="s">
        <v>171</v>
      </c>
      <c r="F60" s="175"/>
      <c r="G60" s="88"/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71"/>
        <v>133</v>
      </c>
      <c r="O60" s="57">
        <v>3565</v>
      </c>
      <c r="P60" s="211">
        <v>320.7</v>
      </c>
      <c r="Q60" s="218">
        <v>83.68</v>
      </c>
      <c r="R60" s="218">
        <v>61.38</v>
      </c>
      <c r="S60" s="218">
        <v>72.010000000000005</v>
      </c>
      <c r="T60" s="218">
        <v>9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2"/>
        <v>80000</v>
      </c>
      <c r="AL60" s="176">
        <f>VLOOKUP(D60&amp;E60,计算辅助页面!$V$5:$Y$18,3,0)</f>
        <v>4</v>
      </c>
      <c r="AM60" s="182">
        <f t="shared" si="73"/>
        <v>240000</v>
      </c>
      <c r="AN60" s="182">
        <f>VLOOKUP(D60&amp;E60,计算辅助页面!$V$5:$Y$18,4,0)</f>
        <v>2</v>
      </c>
      <c r="AO60" s="175">
        <f t="shared" si="74"/>
        <v>4640000</v>
      </c>
      <c r="AP60" s="196">
        <f t="shared" si="51"/>
        <v>10444120</v>
      </c>
      <c r="AQ60" s="365" t="s">
        <v>1064</v>
      </c>
      <c r="AR60" s="366" t="str">
        <f t="shared" si="27"/>
        <v>R.S. 01🔑</v>
      </c>
      <c r="AS60" s="352" t="s">
        <v>975</v>
      </c>
      <c r="AT60" s="353" t="s">
        <v>977</v>
      </c>
      <c r="AU60" s="338" t="s">
        <v>712</v>
      </c>
      <c r="AW60" s="357">
        <v>334</v>
      </c>
      <c r="AY60" s="357">
        <v>427</v>
      </c>
      <c r="AZ60" s="357" t="s">
        <v>1115</v>
      </c>
      <c r="BA60" s="369"/>
      <c r="BB60" s="369"/>
      <c r="BC60" s="369"/>
      <c r="BD60" s="369"/>
      <c r="BE60" s="369"/>
      <c r="BF60" s="369"/>
      <c r="BG60" s="369"/>
      <c r="BH60" s="369"/>
      <c r="BI60" s="369"/>
      <c r="BJ60" s="369"/>
      <c r="BK60" s="369"/>
      <c r="BL60" s="369">
        <v>1</v>
      </c>
      <c r="BM60" s="369"/>
      <c r="BN60" s="369">
        <v>1</v>
      </c>
      <c r="BO60" s="369">
        <v>1</v>
      </c>
      <c r="BP60" s="369"/>
      <c r="BQ60" s="369"/>
      <c r="BR60" s="369"/>
      <c r="BS60" s="369"/>
      <c r="BT60" s="369"/>
      <c r="BU60" s="387" t="s">
        <v>1155</v>
      </c>
      <c r="BV60" s="326"/>
      <c r="BW60" s="326"/>
      <c r="BX60" s="326"/>
      <c r="BY60" s="367">
        <v>300</v>
      </c>
      <c r="BZ60" s="368">
        <v>73.900000000000006</v>
      </c>
      <c r="CA60" s="368">
        <v>42.37</v>
      </c>
      <c r="CB60" s="368">
        <v>54.6</v>
      </c>
      <c r="CC60" s="368">
        <f t="shared" si="75"/>
        <v>20.699999999999989</v>
      </c>
      <c r="CD60" s="368">
        <f t="shared" si="76"/>
        <v>9.7800000000000011</v>
      </c>
      <c r="CE60" s="368">
        <f t="shared" si="77"/>
        <v>19.010000000000005</v>
      </c>
      <c r="CF60" s="368">
        <f t="shared" si="78"/>
        <v>17.410000000000004</v>
      </c>
      <c r="CG60" s="368">
        <f t="shared" si="79"/>
        <v>66.900000000000006</v>
      </c>
      <c r="CH60" s="368">
        <f t="shared" si="80"/>
        <v>67.505099999999999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1548</v>
      </c>
      <c r="C61" s="86" t="s">
        <v>1549</v>
      </c>
      <c r="D61" s="256" t="s">
        <v>151</v>
      </c>
      <c r="E61" s="247" t="s">
        <v>171</v>
      </c>
      <c r="F61" s="175"/>
      <c r="G61" s="88"/>
      <c r="H61" s="222">
        <v>35</v>
      </c>
      <c r="I61" s="222">
        <v>15</v>
      </c>
      <c r="J61" s="222">
        <v>21</v>
      </c>
      <c r="K61" s="222">
        <v>28</v>
      </c>
      <c r="L61" s="222">
        <v>35</v>
      </c>
      <c r="M61" s="222" t="s">
        <v>59</v>
      </c>
      <c r="N61" s="226">
        <f>IF(COUNTBLANK(H61:M61),"",SUM(H61:M61))</f>
        <v>134</v>
      </c>
      <c r="O61" s="57">
        <v>3575</v>
      </c>
      <c r="P61" s="211">
        <v>332.7</v>
      </c>
      <c r="Q61" s="218">
        <v>78.92</v>
      </c>
      <c r="R61" s="218">
        <v>70.489999999999995</v>
      </c>
      <c r="S61" s="218">
        <v>57.24</v>
      </c>
      <c r="T61" s="218">
        <v>5.83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0">
        <f>VLOOKUP(D61&amp;E61,计算辅助页面!$V$5:$Y$18,2,0)</f>
        <v>9</v>
      </c>
      <c r="AK61" s="174">
        <f t="shared" ref="AK61" si="96">IF(AI61,2*AI61,"")</f>
        <v>80000</v>
      </c>
      <c r="AL61" s="174">
        <f>VLOOKUP(D61&amp;E61,计算辅助页面!$V$5:$Y$18,3,0)</f>
        <v>4</v>
      </c>
      <c r="AM61" s="179">
        <f t="shared" ref="AM61" si="97">IF(AN61="×",AN61,IF(AI61,6*AI61,""))</f>
        <v>240000</v>
      </c>
      <c r="AN61" s="179">
        <f>VLOOKUP(D61&amp;E61,计算辅助页面!$V$5:$Y$18,4,0)</f>
        <v>2</v>
      </c>
      <c r="AO61" s="173">
        <f t="shared" ref="AO61" si="98">IF(AI61,IF(AN61="×",4*(AI61*AJ61+AK61*AL61),4*(AI61*AJ61+AK61*AL61+AM61*AN61)),"")</f>
        <v>4640000</v>
      </c>
      <c r="AP61" s="195">
        <f t="shared" ref="AP61" si="99">IF(AND(AH61,AO61),AO61+AH61,"")</f>
        <v>10444120</v>
      </c>
      <c r="AQ61" s="365" t="s">
        <v>565</v>
      </c>
      <c r="AR61" s="366" t="str">
        <f t="shared" si="27"/>
        <v>CLK-GTR</v>
      </c>
      <c r="AS61" s="352" t="s">
        <v>1545</v>
      </c>
      <c r="AT61" s="353" t="s">
        <v>1550</v>
      </c>
      <c r="AU61" s="338" t="s">
        <v>712</v>
      </c>
      <c r="AW61" s="357">
        <v>346</v>
      </c>
      <c r="AY61" s="357">
        <v>448</v>
      </c>
      <c r="AZ61" s="384" t="s">
        <v>1563</v>
      </c>
      <c r="BA61" s="369"/>
      <c r="BB61" s="369"/>
      <c r="BC61" s="369"/>
      <c r="BD61" s="369"/>
      <c r="BE61" s="369"/>
      <c r="BF61" s="369"/>
      <c r="BG61" s="369"/>
      <c r="BH61" s="369"/>
      <c r="BI61" s="369"/>
      <c r="BJ61" s="369"/>
      <c r="BK61" s="369"/>
      <c r="BL61" s="369"/>
      <c r="BM61" s="369"/>
      <c r="BN61" s="369"/>
      <c r="BO61" s="369"/>
      <c r="BP61" s="369"/>
      <c r="BQ61" s="369"/>
      <c r="BR61" s="369"/>
      <c r="BS61" s="369"/>
      <c r="BT61" s="369"/>
      <c r="BU61" s="389" t="s">
        <v>1568</v>
      </c>
      <c r="BV61" s="326"/>
      <c r="BW61" s="326"/>
      <c r="BX61" s="326"/>
      <c r="BY61" s="367"/>
      <c r="BZ61" s="368"/>
      <c r="CA61" s="368"/>
      <c r="CB61" s="368"/>
      <c r="CC61" s="368"/>
      <c r="CD61" s="368"/>
      <c r="CE61" s="368"/>
      <c r="CF61" s="368"/>
      <c r="CG61" s="368"/>
      <c r="CH61" s="368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728</v>
      </c>
      <c r="C62" s="86" t="s">
        <v>727</v>
      </c>
      <c r="D62" s="256" t="s">
        <v>198</v>
      </c>
      <c r="E62" s="247" t="s">
        <v>171</v>
      </c>
      <c r="F62" s="175">
        <f t="shared" ref="F62:F86" si="100">9-LEN(E62)-LEN(SUBSTITUTE(E62,"★",""))</f>
        <v>4</v>
      </c>
      <c r="G62" s="88" t="s">
        <v>64</v>
      </c>
      <c r="H62" s="222" t="s">
        <v>449</v>
      </c>
      <c r="I62" s="222">
        <v>25</v>
      </c>
      <c r="J62" s="222">
        <v>32</v>
      </c>
      <c r="K62" s="222">
        <v>36</v>
      </c>
      <c r="L62" s="222">
        <v>41</v>
      </c>
      <c r="M62" s="222" t="s">
        <v>59</v>
      </c>
      <c r="N62" s="226">
        <f t="shared" si="71"/>
        <v>134</v>
      </c>
      <c r="O62" s="57">
        <v>3585</v>
      </c>
      <c r="P62" s="211">
        <v>314.39999999999998</v>
      </c>
      <c r="Q62" s="218">
        <v>74.290000000000006</v>
      </c>
      <c r="R62" s="218">
        <v>86.13</v>
      </c>
      <c r="S62" s="218">
        <v>73.760000000000005</v>
      </c>
      <c r="T62" s="218">
        <v>9.8000000000000007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2"/>
        <v>80000</v>
      </c>
      <c r="AL62" s="176">
        <f>VLOOKUP(D62&amp;E62,计算辅助页面!$V$5:$Y$18,3,0)</f>
        <v>4</v>
      </c>
      <c r="AM62" s="182">
        <f t="shared" si="73"/>
        <v>240000</v>
      </c>
      <c r="AN62" s="182">
        <f>VLOOKUP(D62&amp;E62,计算辅助页面!$V$5:$Y$18,4,0)</f>
        <v>2</v>
      </c>
      <c r="AO62" s="175">
        <f t="shared" si="74"/>
        <v>4640000</v>
      </c>
      <c r="AP62" s="196">
        <f t="shared" si="51"/>
        <v>10444120</v>
      </c>
      <c r="AQ62" s="365" t="s">
        <v>733</v>
      </c>
      <c r="AR62" s="366" t="str">
        <f t="shared" ref="AR62:AR106" si="101">TRIM(RIGHT(B62,LEN(B62)-LEN(AQ62)-1))</f>
        <v>NSX GT3 EVO🔑</v>
      </c>
      <c r="AS62" s="352" t="s">
        <v>734</v>
      </c>
      <c r="AT62" s="353" t="s">
        <v>875</v>
      </c>
      <c r="AU62" s="338" t="s">
        <v>712</v>
      </c>
      <c r="AW62" s="357">
        <v>327</v>
      </c>
      <c r="AX62" s="357">
        <v>345</v>
      </c>
      <c r="AY62" s="357">
        <v>442</v>
      </c>
      <c r="AZ62" s="357" t="s">
        <v>1115</v>
      </c>
      <c r="BA62" s="369"/>
      <c r="BB62" s="369"/>
      <c r="BC62" s="369"/>
      <c r="BD62" s="369"/>
      <c r="BE62" s="369"/>
      <c r="BF62" s="369"/>
      <c r="BG62" s="369"/>
      <c r="BH62" s="369"/>
      <c r="BI62" s="369"/>
      <c r="BJ62" s="369"/>
      <c r="BK62" s="369"/>
      <c r="BL62" s="369">
        <v>1</v>
      </c>
      <c r="BM62" s="369"/>
      <c r="BN62" s="369">
        <v>1</v>
      </c>
      <c r="BO62" s="369">
        <v>1</v>
      </c>
      <c r="BP62" s="369"/>
      <c r="BQ62" s="369"/>
      <c r="BR62" s="369"/>
      <c r="BS62" s="369"/>
      <c r="BT62" s="369"/>
      <c r="BU62" s="387" t="s">
        <v>1151</v>
      </c>
      <c r="BV62" s="326"/>
      <c r="BW62" s="326"/>
      <c r="BX62" s="326"/>
      <c r="BY62" s="367">
        <v>295</v>
      </c>
      <c r="BZ62" s="368">
        <v>60.85</v>
      </c>
      <c r="CA62" s="368">
        <v>63.92</v>
      </c>
      <c r="CB62" s="368">
        <v>55.78</v>
      </c>
      <c r="CC62" s="368">
        <f t="shared" si="75"/>
        <v>19.399999999999977</v>
      </c>
      <c r="CD62" s="368">
        <f t="shared" si="76"/>
        <v>13.440000000000005</v>
      </c>
      <c r="CE62" s="368">
        <f t="shared" si="77"/>
        <v>22.209999999999994</v>
      </c>
      <c r="CF62" s="368">
        <f t="shared" si="78"/>
        <v>17.980000000000004</v>
      </c>
      <c r="CG62" s="368">
        <f t="shared" si="79"/>
        <v>73.029999999999973</v>
      </c>
      <c r="CH62" s="368">
        <f t="shared" si="80"/>
        <v>77.839699999999993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1065</v>
      </c>
      <c r="C63" s="86" t="s">
        <v>760</v>
      </c>
      <c r="D63" s="256" t="s">
        <v>198</v>
      </c>
      <c r="E63" s="247" t="s">
        <v>171</v>
      </c>
      <c r="F63" s="175">
        <f>9-LEN(E63)-LEN(SUBSTITUTE(E63,"★",""))</f>
        <v>4</v>
      </c>
      <c r="G63" s="88" t="s">
        <v>64</v>
      </c>
      <c r="H63" s="222">
        <v>35</v>
      </c>
      <c r="I63" s="222">
        <v>15</v>
      </c>
      <c r="J63" s="222">
        <v>21</v>
      </c>
      <c r="K63" s="222">
        <v>28</v>
      </c>
      <c r="L63" s="222">
        <v>35</v>
      </c>
      <c r="M63" s="222" t="s">
        <v>59</v>
      </c>
      <c r="N63" s="226">
        <f>IF(COUNTBLANK(H63:M63),"",SUM(H63:M63))</f>
        <v>134</v>
      </c>
      <c r="O63" s="57">
        <v>3638</v>
      </c>
      <c r="P63" s="211">
        <v>350.5</v>
      </c>
      <c r="Q63" s="218">
        <v>74.12</v>
      </c>
      <c r="R63" s="218">
        <v>62.87</v>
      </c>
      <c r="S63" s="218">
        <v>46.83</v>
      </c>
      <c r="T63" s="218">
        <v>5.0669999999999993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>IF(AI63,2*AI63,"")</f>
        <v>80000</v>
      </c>
      <c r="AL63" s="176">
        <f>VLOOKUP(D63&amp;E63,计算辅助页面!$V$5:$Y$18,3,0)</f>
        <v>4</v>
      </c>
      <c r="AM63" s="182">
        <f>IF(AN63="×",AN63,IF(AI63,6*AI63,""))</f>
        <v>240000</v>
      </c>
      <c r="AN63" s="182">
        <f>VLOOKUP(D63&amp;E63,计算辅助页面!$V$5:$Y$18,4,0)</f>
        <v>2</v>
      </c>
      <c r="AO63" s="175">
        <f>IF(AI63,IF(AN63="×",4*(AI63*AJ63+AK63*AL63),4*(AI63*AJ63+AK63*AL63+AM63*AN63)),"")</f>
        <v>4640000</v>
      </c>
      <c r="AP63" s="196">
        <f>IF(AND(AH63,AO63),AO63+AH63,"")</f>
        <v>10444120</v>
      </c>
      <c r="AQ63" s="365" t="s">
        <v>1066</v>
      </c>
      <c r="AR63" s="366" t="str">
        <f>TRIM(RIGHT(B63,LEN(B63)-LEN(AQ63)-1))</f>
        <v>Sarthe</v>
      </c>
      <c r="AS63" s="352" t="s">
        <v>962</v>
      </c>
      <c r="AT63" s="353" t="s">
        <v>644</v>
      </c>
      <c r="AU63" s="338" t="s">
        <v>712</v>
      </c>
      <c r="AV63" s="357">
        <v>11</v>
      </c>
      <c r="AW63" s="357">
        <v>365</v>
      </c>
      <c r="AY63" s="357">
        <v>479</v>
      </c>
      <c r="AZ63" s="357" t="s">
        <v>1110</v>
      </c>
      <c r="BA63" s="369"/>
      <c r="BB63" s="369"/>
      <c r="BC63" s="369">
        <v>1</v>
      </c>
      <c r="BD63" s="369">
        <v>1</v>
      </c>
      <c r="BE63" s="369"/>
      <c r="BF63" s="369">
        <v>1</v>
      </c>
      <c r="BG63" s="369"/>
      <c r="BH63" s="369"/>
      <c r="BI63" s="369"/>
      <c r="BJ63" s="369"/>
      <c r="BK63" s="369"/>
      <c r="BL63" s="369"/>
      <c r="BM63" s="369"/>
      <c r="BN63" s="369"/>
      <c r="BO63" s="369"/>
      <c r="BP63" s="369"/>
      <c r="BQ63" s="369"/>
      <c r="BR63" s="369"/>
      <c r="BS63" s="369"/>
      <c r="BT63" s="369">
        <v>1</v>
      </c>
      <c r="BU63" s="387" t="s">
        <v>1153</v>
      </c>
      <c r="BV63" s="326"/>
      <c r="BW63" s="326"/>
      <c r="BX63" s="326"/>
      <c r="BY63" s="367">
        <v>340</v>
      </c>
      <c r="BZ63" s="368">
        <v>67.599999999999994</v>
      </c>
      <c r="CA63" s="368">
        <v>48.14</v>
      </c>
      <c r="CB63" s="368">
        <v>29.67</v>
      </c>
      <c r="CC63" s="368">
        <f>P63-BY63</f>
        <v>10.5</v>
      </c>
      <c r="CD63" s="368">
        <f>Q63-BZ63</f>
        <v>6.5200000000000102</v>
      </c>
      <c r="CE63" s="368">
        <f>R63-CA63</f>
        <v>14.729999999999997</v>
      </c>
      <c r="CF63" s="368">
        <f>S63-CB63</f>
        <v>17.159999999999997</v>
      </c>
      <c r="CG63" s="368">
        <f>SUM(CC63:CF63)</f>
        <v>48.910000000000004</v>
      </c>
      <c r="CH63" s="368">
        <f>0.32*(P63-BY63)+1.75*(Q63-BZ63)+1.13*(R63-CA63)+1.28*(S63-CB63)</f>
        <v>53.379700000000014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1520</v>
      </c>
      <c r="C64" s="86" t="s">
        <v>1521</v>
      </c>
      <c r="D64" s="256" t="s">
        <v>151</v>
      </c>
      <c r="E64" s="247" t="s">
        <v>171</v>
      </c>
      <c r="F64" s="175"/>
      <c r="G64" s="88"/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102">IF(COUNTBLANK(H64:M64),"",SUM(H64:M64))</f>
        <v>134</v>
      </c>
      <c r="O64" s="57">
        <v>3660</v>
      </c>
      <c r="P64" s="211">
        <v>342.9</v>
      </c>
      <c r="Q64" s="218">
        <v>76.48</v>
      </c>
      <c r="R64" s="218">
        <v>72.36</v>
      </c>
      <c r="S64" s="218">
        <v>38.94</v>
      </c>
      <c r="T64" s="218">
        <v>4.3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103">IF(AI64,2*AI64,"")</f>
        <v>80000</v>
      </c>
      <c r="AL64" s="176">
        <f>VLOOKUP(D64&amp;E64,计算辅助页面!$V$5:$Y$18,3,0)</f>
        <v>4</v>
      </c>
      <c r="AM64" s="182">
        <f t="shared" ref="AM64" si="104">IF(AN64="×",AN64,IF(AI64,6*AI64,""))</f>
        <v>240000</v>
      </c>
      <c r="AN64" s="182">
        <f>VLOOKUP(D64&amp;E64,计算辅助页面!$V$5:$Y$18,4,0)</f>
        <v>2</v>
      </c>
      <c r="AO64" s="175">
        <f t="shared" ref="AO64" si="105">IF(AI64,IF(AN64="×",4*(AI64*AJ64+AK64*AL64),4*(AI64*AJ64+AK64*AL64+AM64*AN64)),"")</f>
        <v>4640000</v>
      </c>
      <c r="AP64" s="196">
        <f t="shared" ref="AP64" si="106">IF(AND(AH64,AO64),AO64+AH64,"")</f>
        <v>10444120</v>
      </c>
      <c r="AQ64" s="365" t="s">
        <v>1068</v>
      </c>
      <c r="AR64" s="366" t="str">
        <f>TRIM(RIGHT(B64,LEN(B64)-LEN(AQ64)-1))</f>
        <v>MC12</v>
      </c>
      <c r="AS64" s="352" t="s">
        <v>1514</v>
      </c>
      <c r="AT64" s="353" t="s">
        <v>1522</v>
      </c>
      <c r="AU64" s="338" t="s">
        <v>712</v>
      </c>
      <c r="AW64" s="357">
        <v>357</v>
      </c>
      <c r="AY64" s="357">
        <v>466</v>
      </c>
      <c r="AZ64" s="384" t="s">
        <v>1540</v>
      </c>
      <c r="BA64" s="369"/>
      <c r="BB64" s="369"/>
      <c r="BC64" s="369"/>
      <c r="BD64" s="369"/>
      <c r="BE64" s="369"/>
      <c r="BF64" s="369"/>
      <c r="BG64" s="369"/>
      <c r="BH64" s="369"/>
      <c r="BI64" s="369"/>
      <c r="BJ64" s="369"/>
      <c r="BK64" s="369"/>
      <c r="BL64" s="369"/>
      <c r="BM64" s="369"/>
      <c r="BN64" s="369">
        <v>1</v>
      </c>
      <c r="BO64" s="369"/>
      <c r="BP64" s="369"/>
      <c r="BQ64" s="369"/>
      <c r="BR64" s="369"/>
      <c r="BS64" s="369"/>
      <c r="BT64" s="369"/>
      <c r="BU64" s="387"/>
      <c r="BV64" s="326"/>
      <c r="BW64" s="326"/>
      <c r="BX64" s="326"/>
      <c r="BY64" s="367"/>
      <c r="BZ64" s="368"/>
      <c r="CA64" s="368"/>
      <c r="CB64" s="368"/>
      <c r="CC64" s="368"/>
      <c r="CD64" s="368"/>
      <c r="CE64" s="368"/>
      <c r="CF64" s="368"/>
      <c r="CG64" s="368"/>
      <c r="CH64" s="368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591</v>
      </c>
      <c r="C65" s="86" t="s">
        <v>762</v>
      </c>
      <c r="D65" s="256" t="s">
        <v>198</v>
      </c>
      <c r="E65" s="247" t="s">
        <v>171</v>
      </c>
      <c r="F65" s="175">
        <f t="shared" si="100"/>
        <v>4</v>
      </c>
      <c r="G65" s="88" t="s">
        <v>64</v>
      </c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 t="shared" si="71"/>
        <v>134</v>
      </c>
      <c r="O65" s="57">
        <v>3665</v>
      </c>
      <c r="P65" s="211">
        <v>340.4</v>
      </c>
      <c r="Q65" s="218">
        <v>77.38</v>
      </c>
      <c r="R65" s="218">
        <v>67.260000000000005</v>
      </c>
      <c r="S65" s="218">
        <v>55.86</v>
      </c>
      <c r="T65" s="218">
        <v>5.73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2"/>
        <v>80000</v>
      </c>
      <c r="AL65" s="176">
        <f>VLOOKUP(D65&amp;E65,计算辅助页面!$V$5:$Y$18,3,0)</f>
        <v>4</v>
      </c>
      <c r="AM65" s="182">
        <f t="shared" si="73"/>
        <v>240000</v>
      </c>
      <c r="AN65" s="182">
        <f>VLOOKUP(D65&amp;E65,计算辅助页面!$V$5:$Y$18,4,0)</f>
        <v>2</v>
      </c>
      <c r="AO65" s="175">
        <f t="shared" si="74"/>
        <v>4640000</v>
      </c>
      <c r="AP65" s="196">
        <f t="shared" si="51"/>
        <v>10444120</v>
      </c>
      <c r="AQ65" s="365" t="s">
        <v>597</v>
      </c>
      <c r="AR65" s="366" t="str">
        <f t="shared" si="101"/>
        <v>Mulliner Bacalar</v>
      </c>
      <c r="AS65" s="352" t="s">
        <v>959</v>
      </c>
      <c r="AT65" s="353" t="s">
        <v>636</v>
      </c>
      <c r="AU65" s="338" t="s">
        <v>712</v>
      </c>
      <c r="AW65" s="357">
        <v>354</v>
      </c>
      <c r="AY65" s="357">
        <v>461</v>
      </c>
      <c r="AZ65" s="357" t="s">
        <v>1114</v>
      </c>
      <c r="BA65" s="369"/>
      <c r="BB65" s="369"/>
      <c r="BC65" s="369"/>
      <c r="BD65" s="369"/>
      <c r="BE65" s="369"/>
      <c r="BF65" s="369"/>
      <c r="BG65" s="369">
        <v>1</v>
      </c>
      <c r="BH65" s="369"/>
      <c r="BI65" s="369"/>
      <c r="BJ65" s="369"/>
      <c r="BK65" s="369"/>
      <c r="BL65" s="369"/>
      <c r="BM65" s="369"/>
      <c r="BN65" s="369"/>
      <c r="BO65" s="369">
        <v>1</v>
      </c>
      <c r="BP65" s="369"/>
      <c r="BQ65" s="369"/>
      <c r="BR65" s="369" t="s">
        <v>1146</v>
      </c>
      <c r="BS65" s="369"/>
      <c r="BT65" s="369"/>
      <c r="BU65" s="387" t="s">
        <v>1138</v>
      </c>
      <c r="BV65" s="326"/>
      <c r="BW65" s="326">
        <v>1</v>
      </c>
      <c r="BX65" s="326"/>
      <c r="BY65" s="367">
        <v>322</v>
      </c>
      <c r="BZ65" s="368">
        <v>67.599999999999994</v>
      </c>
      <c r="CA65" s="368">
        <v>46.32</v>
      </c>
      <c r="CB65" s="368">
        <v>36.229999999999997</v>
      </c>
      <c r="CC65" s="368">
        <f t="shared" si="75"/>
        <v>18.399999999999977</v>
      </c>
      <c r="CD65" s="368">
        <f t="shared" si="76"/>
        <v>9.7800000000000011</v>
      </c>
      <c r="CE65" s="368">
        <f t="shared" si="77"/>
        <v>20.940000000000005</v>
      </c>
      <c r="CF65" s="368">
        <f t="shared" si="78"/>
        <v>19.630000000000003</v>
      </c>
      <c r="CG65" s="368">
        <f t="shared" si="79"/>
        <v>68.749999999999986</v>
      </c>
      <c r="CH65" s="368">
        <f t="shared" si="80"/>
        <v>71.791600000000003</v>
      </c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1378</v>
      </c>
      <c r="C66" s="86" t="s">
        <v>1366</v>
      </c>
      <c r="D66" s="256" t="s">
        <v>198</v>
      </c>
      <c r="E66" s="247" t="s">
        <v>171</v>
      </c>
      <c r="F66" s="175"/>
      <c r="G66" s="88"/>
      <c r="H66" s="222" t="s">
        <v>449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ref="N66" si="107">IF(COUNTBLANK(H66:M66),"",SUM(H66:M66))</f>
        <v>133</v>
      </c>
      <c r="O66" s="57">
        <v>3690</v>
      </c>
      <c r="P66" s="211">
        <v>346.2</v>
      </c>
      <c r="Q66" s="218">
        <v>72.319999999999993</v>
      </c>
      <c r="R66" s="218">
        <v>54.97</v>
      </c>
      <c r="S66" s="218">
        <v>60.38</v>
      </c>
      <c r="T66" s="218">
        <v>6.07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ref="AK66:AK72" si="108">IF(AI66,2*AI66,"")</f>
        <v>80000</v>
      </c>
      <c r="AL66" s="176">
        <f>VLOOKUP(D66&amp;E66,计算辅助页面!$V$5:$Y$18,3,0)</f>
        <v>4</v>
      </c>
      <c r="AM66" s="182">
        <f t="shared" ref="AM66:AM72" si="109">IF(AN66="×",AN66,IF(AI66,6*AI66,""))</f>
        <v>240000</v>
      </c>
      <c r="AN66" s="182">
        <f>VLOOKUP(D66&amp;E66,计算辅助页面!$V$5:$Y$18,4,0)</f>
        <v>2</v>
      </c>
      <c r="AO66" s="175">
        <f t="shared" ref="AO66:AO72" si="110">IF(AI66,IF(AN66="×",4*(AI66*AJ66+AK66*AL66),4*(AI66*AJ66+AK66*AL66+AM66*AN66)),"")</f>
        <v>4640000</v>
      </c>
      <c r="AP66" s="196">
        <f t="shared" ref="AP66:AP72" si="111">IF(AND(AH66,AO66),AO66+AH66,"")</f>
        <v>10444120</v>
      </c>
      <c r="AQ66" s="365" t="s">
        <v>566</v>
      </c>
      <c r="AR66" s="366" t="str">
        <f t="shared" si="101"/>
        <v>Miura Concept🔑</v>
      </c>
      <c r="AS66" s="352" t="s">
        <v>1363</v>
      </c>
      <c r="AT66" s="353" t="s">
        <v>1367</v>
      </c>
      <c r="AU66" s="338" t="s">
        <v>712</v>
      </c>
      <c r="AW66" s="357">
        <v>361</v>
      </c>
      <c r="AY66" s="357">
        <v>473</v>
      </c>
      <c r="AZ66" s="384" t="s">
        <v>1280</v>
      </c>
      <c r="BA66" s="369"/>
      <c r="BB66" s="369"/>
      <c r="BC66" s="369"/>
      <c r="BD66" s="369"/>
      <c r="BE66" s="369"/>
      <c r="BF66" s="369"/>
      <c r="BG66" s="369"/>
      <c r="BH66" s="369"/>
      <c r="BI66" s="369"/>
      <c r="BJ66" s="369"/>
      <c r="BK66" s="369"/>
      <c r="BL66" s="369">
        <v>1</v>
      </c>
      <c r="BM66" s="369"/>
      <c r="BN66" s="369">
        <v>1</v>
      </c>
      <c r="BO66" s="369">
        <v>1</v>
      </c>
      <c r="BP66" s="369"/>
      <c r="BQ66" s="369"/>
      <c r="BR66" s="369"/>
      <c r="BS66" s="369"/>
      <c r="BT66" s="369"/>
      <c r="BU66" s="389" t="s">
        <v>1382</v>
      </c>
      <c r="BV66" s="326"/>
      <c r="BW66" s="326"/>
      <c r="BX66" s="326"/>
      <c r="BY66" s="367"/>
      <c r="BZ66" s="368"/>
      <c r="CA66" s="368"/>
      <c r="CB66" s="368"/>
      <c r="CC66" s="368"/>
      <c r="CD66" s="368"/>
      <c r="CE66" s="368"/>
      <c r="CF66" s="368"/>
      <c r="CG66" s="368"/>
      <c r="CH66" s="368"/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585</v>
      </c>
      <c r="C67" s="86" t="s">
        <v>763</v>
      </c>
      <c r="D67" s="256" t="s">
        <v>198</v>
      </c>
      <c r="E67" s="247" t="s">
        <v>171</v>
      </c>
      <c r="F67" s="175">
        <f t="shared" si="100"/>
        <v>4</v>
      </c>
      <c r="G67" s="88" t="s">
        <v>64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40</v>
      </c>
      <c r="M67" s="222" t="s">
        <v>59</v>
      </c>
      <c r="N67" s="226">
        <f t="shared" si="71"/>
        <v>133</v>
      </c>
      <c r="O67" s="57">
        <v>3727</v>
      </c>
      <c r="P67" s="211">
        <v>323.60000000000002</v>
      </c>
      <c r="Q67" s="218">
        <v>73.44</v>
      </c>
      <c r="R67" s="218">
        <v>87.24</v>
      </c>
      <c r="S67" s="218">
        <v>70.55</v>
      </c>
      <c r="T67" s="218">
        <v>8.5500000000000007</v>
      </c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108"/>
        <v>80000</v>
      </c>
      <c r="AL67" s="176">
        <f>VLOOKUP(D67&amp;E67,计算辅助页面!$V$5:$Y$18,3,0)</f>
        <v>4</v>
      </c>
      <c r="AM67" s="182">
        <f t="shared" si="109"/>
        <v>240000</v>
      </c>
      <c r="AN67" s="182">
        <f>VLOOKUP(D67&amp;E67,计算辅助页面!$V$5:$Y$18,4,0)</f>
        <v>2</v>
      </c>
      <c r="AO67" s="175">
        <f t="shared" si="110"/>
        <v>4640000</v>
      </c>
      <c r="AP67" s="196">
        <f t="shared" si="111"/>
        <v>10444120</v>
      </c>
      <c r="AQ67" s="365" t="s">
        <v>562</v>
      </c>
      <c r="AR67" s="366" t="str">
        <f t="shared" si="101"/>
        <v>718 Cayman GT4 ClubSport🔑</v>
      </c>
      <c r="AS67" s="352" t="s">
        <v>957</v>
      </c>
      <c r="AT67" s="353" t="s">
        <v>624</v>
      </c>
      <c r="AU67" s="338" t="s">
        <v>712</v>
      </c>
      <c r="AW67" s="357">
        <v>337</v>
      </c>
      <c r="AY67" s="357">
        <v>432</v>
      </c>
      <c r="AZ67" s="357" t="s">
        <v>1115</v>
      </c>
      <c r="BA67" s="369"/>
      <c r="BB67" s="369"/>
      <c r="BC67" s="369"/>
      <c r="BD67" s="369"/>
      <c r="BE67" s="369"/>
      <c r="BF67" s="369"/>
      <c r="BG67" s="369"/>
      <c r="BH67" s="369"/>
      <c r="BI67" s="369"/>
      <c r="BJ67" s="369"/>
      <c r="BK67" s="369"/>
      <c r="BL67" s="369">
        <v>1</v>
      </c>
      <c r="BM67" s="369"/>
      <c r="BN67" s="369">
        <v>1</v>
      </c>
      <c r="BO67" s="369">
        <v>1</v>
      </c>
      <c r="BP67" s="369"/>
      <c r="BQ67" s="369"/>
      <c r="BR67" s="369"/>
      <c r="BS67" s="369"/>
      <c r="BT67" s="369"/>
      <c r="BU67" s="387" t="s">
        <v>1132</v>
      </c>
      <c r="BV67" s="326"/>
      <c r="BW67" s="326"/>
      <c r="BX67" s="326"/>
      <c r="BY67" s="367">
        <v>304</v>
      </c>
      <c r="BZ67" s="368">
        <v>60.4</v>
      </c>
      <c r="CA67" s="368">
        <v>58.34</v>
      </c>
      <c r="CB67" s="368">
        <v>44.03</v>
      </c>
      <c r="CC67" s="368">
        <f t="shared" si="75"/>
        <v>19.600000000000023</v>
      </c>
      <c r="CD67" s="368">
        <f t="shared" si="76"/>
        <v>13.04</v>
      </c>
      <c r="CE67" s="368">
        <f t="shared" si="77"/>
        <v>28.899999999999991</v>
      </c>
      <c r="CF67" s="368">
        <f t="shared" si="78"/>
        <v>26.519999999999996</v>
      </c>
      <c r="CG67" s="368">
        <f t="shared" si="79"/>
        <v>88.06</v>
      </c>
      <c r="CH67" s="368">
        <f t="shared" si="80"/>
        <v>95.694599999999994</v>
      </c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587</v>
      </c>
      <c r="C68" s="86" t="s">
        <v>764</v>
      </c>
      <c r="D68" s="256" t="s">
        <v>198</v>
      </c>
      <c r="E68" s="247" t="s">
        <v>171</v>
      </c>
      <c r="F68" s="175">
        <f t="shared" si="100"/>
        <v>4</v>
      </c>
      <c r="G68" s="88" t="s">
        <v>64</v>
      </c>
      <c r="H68" s="236">
        <v>35</v>
      </c>
      <c r="I68" s="236">
        <v>15</v>
      </c>
      <c r="J68" s="236">
        <v>21</v>
      </c>
      <c r="K68" s="236">
        <v>28</v>
      </c>
      <c r="L68" s="236">
        <v>35</v>
      </c>
      <c r="M68" s="222" t="s">
        <v>59</v>
      </c>
      <c r="N68" s="226">
        <f t="shared" si="71"/>
        <v>134</v>
      </c>
      <c r="O68" s="57">
        <v>3787</v>
      </c>
      <c r="P68" s="211">
        <v>327.7</v>
      </c>
      <c r="Q68" s="218">
        <v>81.56</v>
      </c>
      <c r="R68" s="218">
        <v>60.15</v>
      </c>
      <c r="S68" s="218">
        <v>64.44</v>
      </c>
      <c r="T68" s="218">
        <v>7.1</v>
      </c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108"/>
        <v>80000</v>
      </c>
      <c r="AL68" s="176">
        <f>VLOOKUP(D68&amp;E68,计算辅助页面!$V$5:$Y$18,3,0)</f>
        <v>4</v>
      </c>
      <c r="AM68" s="182">
        <f t="shared" si="109"/>
        <v>240000</v>
      </c>
      <c r="AN68" s="182">
        <f>VLOOKUP(D68&amp;E68,计算辅助页面!$V$5:$Y$18,4,0)</f>
        <v>2</v>
      </c>
      <c r="AO68" s="175">
        <f t="shared" si="110"/>
        <v>4640000</v>
      </c>
      <c r="AP68" s="196">
        <f t="shared" si="111"/>
        <v>10444120</v>
      </c>
      <c r="AQ68" s="365" t="s">
        <v>906</v>
      </c>
      <c r="AR68" s="366" t="str">
        <f t="shared" si="101"/>
        <v>Stingray</v>
      </c>
      <c r="AS68" s="352" t="s">
        <v>961</v>
      </c>
      <c r="AT68" s="353" t="s">
        <v>625</v>
      </c>
      <c r="AU68" s="338" t="s">
        <v>712</v>
      </c>
      <c r="AW68" s="357">
        <v>341</v>
      </c>
      <c r="AY68" s="357">
        <v>439</v>
      </c>
      <c r="AZ68" s="357" t="s">
        <v>1114</v>
      </c>
      <c r="BA68" s="369"/>
      <c r="BB68" s="369"/>
      <c r="BC68" s="369"/>
      <c r="BD68" s="369"/>
      <c r="BE68" s="369"/>
      <c r="BF68" s="369"/>
      <c r="BG68" s="369">
        <v>1</v>
      </c>
      <c r="BH68" s="369"/>
      <c r="BI68" s="369"/>
      <c r="BJ68" s="369"/>
      <c r="BK68" s="369"/>
      <c r="BL68" s="369"/>
      <c r="BM68" s="369"/>
      <c r="BN68" s="369"/>
      <c r="BO68" s="369">
        <v>1</v>
      </c>
      <c r="BP68" s="369"/>
      <c r="BQ68" s="369"/>
      <c r="BR68" s="369"/>
      <c r="BS68" s="369"/>
      <c r="BT68" s="369"/>
      <c r="BU68" s="387" t="s">
        <v>1156</v>
      </c>
      <c r="BW68" s="326">
        <v>1</v>
      </c>
      <c r="BX68" s="326"/>
      <c r="BY68" s="367">
        <v>312</v>
      </c>
      <c r="BZ68" s="368">
        <v>73</v>
      </c>
      <c r="CA68" s="368">
        <v>45.3</v>
      </c>
      <c r="CB68" s="368">
        <v>48.59</v>
      </c>
      <c r="CC68" s="368">
        <f t="shared" si="75"/>
        <v>15.699999999999989</v>
      </c>
      <c r="CD68" s="368">
        <f t="shared" si="76"/>
        <v>8.5600000000000023</v>
      </c>
      <c r="CE68" s="368">
        <f t="shared" si="77"/>
        <v>14.850000000000001</v>
      </c>
      <c r="CF68" s="368">
        <f t="shared" si="78"/>
        <v>15.849999999999994</v>
      </c>
      <c r="CG68" s="368">
        <f t="shared" si="79"/>
        <v>54.959999999999987</v>
      </c>
      <c r="CH68" s="368">
        <f t="shared" si="80"/>
        <v>57.072499999999991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1360</v>
      </c>
      <c r="C69" s="86" t="s">
        <v>1336</v>
      </c>
      <c r="D69" s="256" t="s">
        <v>198</v>
      </c>
      <c r="E69" s="247" t="s">
        <v>171</v>
      </c>
      <c r="F69" s="175"/>
      <c r="G69" s="88"/>
      <c r="H69" s="392" t="s">
        <v>408</v>
      </c>
      <c r="I69" s="222">
        <v>25</v>
      </c>
      <c r="J69" s="222">
        <v>32</v>
      </c>
      <c r="K69" s="222">
        <v>36</v>
      </c>
      <c r="L69" s="222">
        <v>40</v>
      </c>
      <c r="M69" s="222" t="s">
        <v>59</v>
      </c>
      <c r="N69" s="226">
        <f t="shared" ref="N69" si="112">IF(COUNTBLANK(H69:M69),"",SUM(H69:M69))</f>
        <v>133</v>
      </c>
      <c r="O69" s="57">
        <v>3817</v>
      </c>
      <c r="P69" s="211">
        <v>322</v>
      </c>
      <c r="Q69" s="218">
        <v>83.93</v>
      </c>
      <c r="R69" s="218">
        <v>76.11</v>
      </c>
      <c r="S69" s="218">
        <v>75.7</v>
      </c>
      <c r="T69" s="218"/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108"/>
        <v>80000</v>
      </c>
      <c r="AL69" s="176">
        <f>VLOOKUP(D69&amp;E69,计算辅助页面!$V$5:$Y$18,3,0)</f>
        <v>4</v>
      </c>
      <c r="AM69" s="182">
        <f t="shared" si="109"/>
        <v>240000</v>
      </c>
      <c r="AN69" s="182">
        <f>VLOOKUP(D69&amp;E69,计算辅助页面!$V$5:$Y$18,4,0)</f>
        <v>2</v>
      </c>
      <c r="AO69" s="175">
        <f t="shared" si="110"/>
        <v>4640000</v>
      </c>
      <c r="AP69" s="196">
        <f t="shared" si="111"/>
        <v>10444120</v>
      </c>
      <c r="AQ69" s="365" t="s">
        <v>1337</v>
      </c>
      <c r="AR69" s="366" t="str">
        <f t="shared" si="101"/>
        <v>BT62🔑</v>
      </c>
      <c r="AS69" s="352" t="s">
        <v>1334</v>
      </c>
      <c r="AT69" s="353" t="s">
        <v>1338</v>
      </c>
      <c r="AU69" s="338" t="s">
        <v>712</v>
      </c>
      <c r="AW69" s="357">
        <v>335</v>
      </c>
      <c r="AY69" s="357">
        <v>429</v>
      </c>
      <c r="AZ69" s="384" t="s">
        <v>1280</v>
      </c>
      <c r="BA69" s="369"/>
      <c r="BB69" s="369"/>
      <c r="BC69" s="369"/>
      <c r="BD69" s="369"/>
      <c r="BE69" s="369"/>
      <c r="BF69" s="369"/>
      <c r="BG69" s="369"/>
      <c r="BH69" s="369"/>
      <c r="BI69" s="369"/>
      <c r="BJ69" s="369"/>
      <c r="BK69" s="369"/>
      <c r="BL69" s="369"/>
      <c r="BM69" s="369"/>
      <c r="BN69" s="369">
        <v>1</v>
      </c>
      <c r="BO69" s="369">
        <v>1</v>
      </c>
      <c r="BP69" s="369"/>
      <c r="BQ69" s="369"/>
      <c r="BR69" s="369"/>
      <c r="BS69" s="369"/>
      <c r="BT69" s="369"/>
      <c r="BU69" s="387"/>
      <c r="BW69" s="326"/>
      <c r="BX69" s="326"/>
      <c r="BY69" s="367"/>
      <c r="BZ69" s="368"/>
      <c r="CA69" s="368"/>
      <c r="CB69" s="368"/>
      <c r="CC69" s="368"/>
      <c r="CD69" s="368"/>
      <c r="CE69" s="368"/>
      <c r="CF69" s="368"/>
      <c r="CG69" s="368"/>
      <c r="CH69" s="368"/>
      <c r="CI69" s="42"/>
      <c r="CJ69" s="42"/>
      <c r="CK69" s="42"/>
      <c r="CL69" s="42"/>
    </row>
    <row r="70" spans="1:90" ht="21" customHeight="1" thickBot="1">
      <c r="A70" s="48">
        <v>68</v>
      </c>
      <c r="B70" s="55" t="s">
        <v>709</v>
      </c>
      <c r="C70" s="86" t="s">
        <v>765</v>
      </c>
      <c r="D70" s="256" t="s">
        <v>198</v>
      </c>
      <c r="E70" s="247" t="s">
        <v>171</v>
      </c>
      <c r="F70" s="175">
        <f t="shared" si="100"/>
        <v>4</v>
      </c>
      <c r="G70" s="88" t="s">
        <v>64</v>
      </c>
      <c r="H70" s="222" t="s">
        <v>449</v>
      </c>
      <c r="I70" s="222">
        <v>25</v>
      </c>
      <c r="J70" s="222">
        <v>32</v>
      </c>
      <c r="K70" s="222">
        <v>36</v>
      </c>
      <c r="L70" s="222">
        <v>41</v>
      </c>
      <c r="M70" s="222" t="s">
        <v>59</v>
      </c>
      <c r="N70" s="226">
        <f t="shared" si="71"/>
        <v>134</v>
      </c>
      <c r="O70" s="57">
        <v>3843</v>
      </c>
      <c r="P70" s="211">
        <v>322</v>
      </c>
      <c r="Q70" s="218">
        <v>80.98</v>
      </c>
      <c r="R70" s="218">
        <v>83.65</v>
      </c>
      <c r="S70" s="218">
        <v>70.81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 t="shared" si="108"/>
        <v>80000</v>
      </c>
      <c r="AL70" s="176">
        <f>VLOOKUP(D70&amp;E70,计算辅助页面!$V$5:$Y$18,3,0)</f>
        <v>4</v>
      </c>
      <c r="AM70" s="182">
        <f t="shared" si="109"/>
        <v>240000</v>
      </c>
      <c r="AN70" s="182">
        <f>VLOOKUP(D70&amp;E70,计算辅助页面!$V$5:$Y$18,4,0)</f>
        <v>2</v>
      </c>
      <c r="AO70" s="175">
        <f t="shared" si="110"/>
        <v>4640000</v>
      </c>
      <c r="AP70" s="196">
        <f t="shared" si="111"/>
        <v>10444120</v>
      </c>
      <c r="AQ70" s="365" t="s">
        <v>568</v>
      </c>
      <c r="AR70" s="366" t="str">
        <f t="shared" si="101"/>
        <v>599XX EVO🔑</v>
      </c>
      <c r="AS70" s="352" t="s">
        <v>702</v>
      </c>
      <c r="AT70" s="353" t="s">
        <v>704</v>
      </c>
      <c r="AU70" s="338" t="s">
        <v>712</v>
      </c>
      <c r="AW70" s="357">
        <v>335</v>
      </c>
      <c r="AY70" s="357">
        <v>429</v>
      </c>
      <c r="AZ70" s="357" t="s">
        <v>1115</v>
      </c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>
        <v>1</v>
      </c>
      <c r="BM70" s="369"/>
      <c r="BN70" s="369">
        <v>1</v>
      </c>
      <c r="BO70" s="369">
        <v>1</v>
      </c>
      <c r="BP70" s="369"/>
      <c r="BQ70" s="369"/>
      <c r="BR70" s="369"/>
      <c r="BS70" s="369"/>
      <c r="BT70" s="369"/>
      <c r="BU70" s="387" t="s">
        <v>1154</v>
      </c>
      <c r="BV70" s="326"/>
      <c r="BW70" s="326"/>
      <c r="BX70" s="326"/>
      <c r="BY70" s="367">
        <v>305</v>
      </c>
      <c r="BZ70" s="368">
        <v>71.2</v>
      </c>
      <c r="CA70" s="368">
        <v>58.47</v>
      </c>
      <c r="CB70" s="368">
        <v>49.68</v>
      </c>
      <c r="CC70" s="368">
        <f t="shared" si="75"/>
        <v>17</v>
      </c>
      <c r="CD70" s="368">
        <f t="shared" si="76"/>
        <v>9.7800000000000011</v>
      </c>
      <c r="CE70" s="368">
        <f t="shared" si="77"/>
        <v>25.180000000000007</v>
      </c>
      <c r="CF70" s="368">
        <f t="shared" si="78"/>
        <v>21.130000000000003</v>
      </c>
      <c r="CG70" s="368">
        <f t="shared" si="79"/>
        <v>73.09</v>
      </c>
      <c r="CH70" s="368">
        <f t="shared" si="80"/>
        <v>78.054800000000014</v>
      </c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1464</v>
      </c>
      <c r="C71" s="86" t="s">
        <v>1462</v>
      </c>
      <c r="D71" s="256" t="s">
        <v>198</v>
      </c>
      <c r="E71" s="247" t="s">
        <v>171</v>
      </c>
      <c r="F71" s="175">
        <f t="shared" ref="F71" si="113">9-LEN(E71)-LEN(SUBSTITUTE(E71,"★",""))</f>
        <v>4</v>
      </c>
      <c r="G71" s="88" t="s">
        <v>1463</v>
      </c>
      <c r="H71" s="222" t="s">
        <v>449</v>
      </c>
      <c r="I71" s="222">
        <v>25</v>
      </c>
      <c r="J71" s="222">
        <v>32</v>
      </c>
      <c r="K71" s="222">
        <v>36</v>
      </c>
      <c r="L71" s="222">
        <v>41</v>
      </c>
      <c r="M71" s="222" t="s">
        <v>59</v>
      </c>
      <c r="N71" s="226">
        <f t="shared" ref="N71" si="114">IF(COUNTBLANK(H71:M71),"",SUM(H71:M71))</f>
        <v>134</v>
      </c>
      <c r="O71" s="57">
        <v>3859</v>
      </c>
      <c r="P71" s="211">
        <v>307.8</v>
      </c>
      <c r="Q71" s="218">
        <v>89.55</v>
      </c>
      <c r="R71" s="218">
        <v>78.930000000000007</v>
      </c>
      <c r="S71" s="218">
        <v>68.930000000000007</v>
      </c>
      <c r="T71" s="218"/>
      <c r="U71" s="84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 t="shared" ref="AK71" si="115">IF(AI71,2*AI71,"")</f>
        <v>80000</v>
      </c>
      <c r="AL71" s="176">
        <f>VLOOKUP(D71&amp;E71,计算辅助页面!$V$5:$Y$18,3,0)</f>
        <v>4</v>
      </c>
      <c r="AM71" s="182">
        <f t="shared" ref="AM71" si="116">IF(AN71="×",AN71,IF(AI71,6*AI71,""))</f>
        <v>240000</v>
      </c>
      <c r="AN71" s="182">
        <f>VLOOKUP(D71&amp;E71,计算辅助页面!$V$5:$Y$18,4,0)</f>
        <v>2</v>
      </c>
      <c r="AO71" s="175">
        <f t="shared" ref="AO71" si="117">IF(AI71,IF(AN71="×",4*(AI71*AJ71+AK71*AL71),4*(AI71*AJ71+AK71*AL71+AM71*AN71)),"")</f>
        <v>4640000</v>
      </c>
      <c r="AP71" s="196">
        <f t="shared" ref="AP71" si="118">IF(AND(AH71,AO71),AO71+AH71,"")</f>
        <v>10444120</v>
      </c>
      <c r="AQ71" s="365" t="s">
        <v>1462</v>
      </c>
      <c r="AR71" s="366" t="str">
        <f t="shared" si="101"/>
        <v>S1🔑</v>
      </c>
      <c r="AS71" s="352" t="s">
        <v>1457</v>
      </c>
      <c r="AT71" s="353" t="s">
        <v>1465</v>
      </c>
      <c r="AU71" s="338" t="s">
        <v>712</v>
      </c>
      <c r="AW71" s="357">
        <v>333</v>
      </c>
      <c r="AY71" s="357">
        <v>422</v>
      </c>
      <c r="AZ71" s="384" t="s">
        <v>1280</v>
      </c>
      <c r="BA71" s="369"/>
      <c r="BB71" s="369"/>
      <c r="BC71" s="369"/>
      <c r="BD71" s="369"/>
      <c r="BE71" s="369"/>
      <c r="BF71" s="369"/>
      <c r="BG71" s="369"/>
      <c r="BH71" s="369"/>
      <c r="BI71" s="369"/>
      <c r="BJ71" s="369"/>
      <c r="BK71" s="369"/>
      <c r="BL71" s="369"/>
      <c r="BM71" s="369"/>
      <c r="BN71" s="369">
        <v>1</v>
      </c>
      <c r="BO71" s="369"/>
      <c r="BP71" s="369"/>
      <c r="BQ71" s="369"/>
      <c r="BR71" s="369"/>
      <c r="BS71" s="369"/>
      <c r="BT71" s="369"/>
      <c r="BU71" s="389" t="s">
        <v>1567</v>
      </c>
      <c r="BV71" s="326"/>
      <c r="BW71" s="326"/>
      <c r="BX71" s="326"/>
      <c r="BY71" s="367"/>
      <c r="BZ71" s="368"/>
      <c r="CA71" s="368"/>
      <c r="CB71" s="368"/>
      <c r="CC71" s="368"/>
      <c r="CD71" s="368"/>
      <c r="CE71" s="368"/>
      <c r="CF71" s="368"/>
      <c r="CG71" s="368"/>
      <c r="CH71" s="368"/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1368</v>
      </c>
      <c r="C72" s="86" t="s">
        <v>1369</v>
      </c>
      <c r="D72" s="256" t="s">
        <v>198</v>
      </c>
      <c r="E72" s="247" t="s">
        <v>171</v>
      </c>
      <c r="F72" s="175"/>
      <c r="G72" s="88"/>
      <c r="H72" s="222">
        <v>35</v>
      </c>
      <c r="I72" s="222">
        <v>15</v>
      </c>
      <c r="J72" s="222">
        <v>21</v>
      </c>
      <c r="K72" s="222">
        <v>28</v>
      </c>
      <c r="L72" s="222">
        <v>35</v>
      </c>
      <c r="M72" s="222" t="s">
        <v>59</v>
      </c>
      <c r="N72" s="226">
        <f>IF(COUNTBLANK(H72:M72),"",SUM(H72:M72))</f>
        <v>134</v>
      </c>
      <c r="O72" s="57">
        <v>3871</v>
      </c>
      <c r="P72" s="211">
        <v>348.6</v>
      </c>
      <c r="Q72" s="218">
        <v>74.03</v>
      </c>
      <c r="R72" s="218">
        <v>62.5</v>
      </c>
      <c r="S72" s="218">
        <v>58.63</v>
      </c>
      <c r="T72" s="218"/>
      <c r="U72" s="91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 t="shared" si="108"/>
        <v>80000</v>
      </c>
      <c r="AL72" s="176">
        <f>VLOOKUP(D72&amp;E72,计算辅助页面!$V$5:$Y$18,3,0)</f>
        <v>4</v>
      </c>
      <c r="AM72" s="182">
        <f t="shared" si="109"/>
        <v>240000</v>
      </c>
      <c r="AN72" s="182">
        <f>VLOOKUP(D72&amp;E72,计算辅助页面!$V$5:$Y$18,4,0)</f>
        <v>2</v>
      </c>
      <c r="AO72" s="175">
        <f t="shared" si="110"/>
        <v>4640000</v>
      </c>
      <c r="AP72" s="196">
        <f t="shared" si="111"/>
        <v>10444120</v>
      </c>
      <c r="AQ72" s="365" t="s">
        <v>566</v>
      </c>
      <c r="AR72" s="366" t="str">
        <f t="shared" si="101"/>
        <v>Diablo GT</v>
      </c>
      <c r="AS72" s="352" t="s">
        <v>1363</v>
      </c>
      <c r="AT72" s="353" t="s">
        <v>1370</v>
      </c>
      <c r="AU72" s="338" t="s">
        <v>712</v>
      </c>
      <c r="AW72" s="357">
        <v>363</v>
      </c>
      <c r="AY72" s="357">
        <v>475</v>
      </c>
      <c r="AZ72" s="384" t="s">
        <v>1429</v>
      </c>
      <c r="BA72" s="369"/>
      <c r="BB72" s="369"/>
      <c r="BC72" s="369"/>
      <c r="BD72" s="369"/>
      <c r="BE72" s="369"/>
      <c r="BF72" s="369"/>
      <c r="BG72" s="369"/>
      <c r="BH72" s="369"/>
      <c r="BI72" s="369"/>
      <c r="BJ72" s="369"/>
      <c r="BK72" s="369"/>
      <c r="BL72" s="369"/>
      <c r="BM72" s="369"/>
      <c r="BN72" s="369"/>
      <c r="BO72" s="369">
        <v>1</v>
      </c>
      <c r="BP72" s="369"/>
      <c r="BQ72" s="369"/>
      <c r="BR72" s="369"/>
      <c r="BS72" s="369"/>
      <c r="BT72" s="369"/>
      <c r="BU72" s="389" t="s">
        <v>1383</v>
      </c>
      <c r="BV72" s="326"/>
      <c r="BW72" s="326"/>
      <c r="BX72" s="326"/>
      <c r="BY72" s="367"/>
      <c r="BZ72" s="368"/>
      <c r="CA72" s="368"/>
      <c r="CB72" s="368"/>
      <c r="CC72" s="368"/>
      <c r="CD72" s="368"/>
      <c r="CE72" s="368"/>
      <c r="CF72" s="368"/>
      <c r="CG72" s="368"/>
      <c r="CH72" s="368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1062</v>
      </c>
      <c r="C73" s="86">
        <v>33</v>
      </c>
      <c r="D73" s="256" t="s">
        <v>198</v>
      </c>
      <c r="E73" s="247" t="s">
        <v>171</v>
      </c>
      <c r="F73" s="175">
        <f>9-LEN(E73)-LEN(SUBSTITUTE(E73,"★",""))</f>
        <v>4</v>
      </c>
      <c r="G73" s="88" t="s">
        <v>64</v>
      </c>
      <c r="H73" s="222">
        <v>35</v>
      </c>
      <c r="I73" s="222">
        <v>15</v>
      </c>
      <c r="J73" s="222">
        <v>21</v>
      </c>
      <c r="K73" s="222">
        <v>28</v>
      </c>
      <c r="L73" s="222">
        <v>35</v>
      </c>
      <c r="M73" s="222" t="s">
        <v>59</v>
      </c>
      <c r="N73" s="226">
        <f>IF(COUNTBLANK(H73:M73),"",SUM(H73:M73))</f>
        <v>134</v>
      </c>
      <c r="O73" s="57">
        <v>3897</v>
      </c>
      <c r="P73" s="211">
        <v>352.1</v>
      </c>
      <c r="Q73" s="218">
        <v>78.53</v>
      </c>
      <c r="R73" s="218">
        <v>59.47</v>
      </c>
      <c r="S73" s="218">
        <v>47.71</v>
      </c>
      <c r="T73" s="218">
        <v>4.9000000000000004</v>
      </c>
      <c r="U73" s="84">
        <v>7130</v>
      </c>
      <c r="V73" s="292">
        <f>VLOOKUP($U73,计算辅助页面!$Z$5:$AM$26,COLUMN()-20,0)</f>
        <v>11600</v>
      </c>
      <c r="W73" s="292">
        <f>VLOOKUP($U73,计算辅助页面!$Z$5:$AM$26,COLUMN()-20,0)</f>
        <v>18600</v>
      </c>
      <c r="X73" s="226">
        <f>VLOOKUP($U73,计算辅助页面!$Z$5:$AM$26,COLUMN()-20,0)</f>
        <v>27900</v>
      </c>
      <c r="Y73" s="226">
        <f>VLOOKUP($U73,计算辅助页面!$Z$5:$AM$26,COLUMN()-20,0)</f>
        <v>40300</v>
      </c>
      <c r="Z73" s="293">
        <f>VLOOKUP($U73,计算辅助页面!$Z$5:$AM$26,COLUMN()-20,0)</f>
        <v>56500</v>
      </c>
      <c r="AA73" s="226">
        <f>VLOOKUP($U73,计算辅助页面!$Z$5:$AM$26,COLUMN()-20,0)</f>
        <v>79000</v>
      </c>
      <c r="AB73" s="226">
        <f>VLOOKUP($U73,计算辅助页面!$Z$5:$AM$26,COLUMN()-20,0)</f>
        <v>110500</v>
      </c>
      <c r="AC73" s="226">
        <f>VLOOKUP($U73,计算辅助页面!$Z$5:$AM$26,COLUMN()-20,0)</f>
        <v>155000</v>
      </c>
      <c r="AD73" s="226">
        <f>VLOOKUP($U73,计算辅助页面!$Z$5:$AM$26,COLUMN()-20,0)</f>
        <v>216500</v>
      </c>
      <c r="AE73" s="226">
        <f>VLOOKUP($U73,计算辅助页面!$Z$5:$AM$26,COLUMN()-20,0)</f>
        <v>303000</v>
      </c>
      <c r="AF73" s="226">
        <f>VLOOKUP($U73,计算辅助页面!$Z$5:$AM$26,COLUMN()-20,0)</f>
        <v>425000</v>
      </c>
      <c r="AG73" s="226" t="str">
        <f>VLOOKUP($U73,计算辅助页面!$Z$5:$AM$26,COLUMN()-20,0)</f>
        <v>×</v>
      </c>
      <c r="AH73" s="173">
        <f>VLOOKUP($U73,计算辅助页面!$Z$5:$AM$26,COLUMN()-20,0)</f>
        <v>5804120</v>
      </c>
      <c r="AI73" s="269">
        <v>40000</v>
      </c>
      <c r="AJ73" s="261">
        <f>VLOOKUP(D73&amp;E73,计算辅助页面!$V$5:$Y$18,2,0)</f>
        <v>9</v>
      </c>
      <c r="AK73" s="176">
        <f>IF(AI73,2*AI73,"")</f>
        <v>80000</v>
      </c>
      <c r="AL73" s="176">
        <f>VLOOKUP(D73&amp;E73,计算辅助页面!$V$5:$Y$18,3,0)</f>
        <v>4</v>
      </c>
      <c r="AM73" s="182">
        <f>IF(AN73="×",AN73,IF(AI73,6*AI73,""))</f>
        <v>240000</v>
      </c>
      <c r="AN73" s="182">
        <f>VLOOKUP(D73&amp;E73,计算辅助页面!$V$5:$Y$18,4,0)</f>
        <v>2</v>
      </c>
      <c r="AO73" s="175">
        <f>IF(AI73,IF(AN73="×",4*(AI73*AJ73+AK73*AL73),4*(AI73*AJ73+AK73*AL73+AM73*AN73)),"")</f>
        <v>4640000</v>
      </c>
      <c r="AP73" s="196">
        <f>IF(AND(AH73,AO73),AO73+AH73,"")</f>
        <v>10444120</v>
      </c>
      <c r="AQ73" s="365" t="s">
        <v>1063</v>
      </c>
      <c r="AR73" s="366" t="str">
        <f>TRIM(RIGHT(B73,LEN(B73)-LEN(AQ73)-1))</f>
        <v>Hussarya 33</v>
      </c>
      <c r="AS73" s="352" t="s">
        <v>958</v>
      </c>
      <c r="AT73" s="353" t="s">
        <v>646</v>
      </c>
      <c r="AU73" s="338" t="s">
        <v>712</v>
      </c>
      <c r="AV73" s="357">
        <v>13</v>
      </c>
      <c r="AW73" s="357">
        <v>366</v>
      </c>
      <c r="AY73" s="357">
        <v>482</v>
      </c>
      <c r="AZ73" s="357" t="s">
        <v>1113</v>
      </c>
      <c r="BA73" s="369"/>
      <c r="BB73" s="369"/>
      <c r="BC73" s="369"/>
      <c r="BD73" s="369">
        <v>1</v>
      </c>
      <c r="BE73" s="369"/>
      <c r="BF73" s="369">
        <v>1</v>
      </c>
      <c r="BG73" s="369"/>
      <c r="BH73" s="369"/>
      <c r="BI73" s="369"/>
      <c r="BJ73" s="369"/>
      <c r="BK73" s="369"/>
      <c r="BL73" s="369"/>
      <c r="BM73" s="369"/>
      <c r="BN73" s="369"/>
      <c r="BO73" s="369"/>
      <c r="BP73" s="369"/>
      <c r="BQ73" s="369"/>
      <c r="BR73" s="369"/>
      <c r="BS73" s="369"/>
      <c r="BT73" s="369">
        <v>1</v>
      </c>
      <c r="BU73" s="387" t="s">
        <v>1157</v>
      </c>
      <c r="BV73" s="326"/>
      <c r="BW73" s="326"/>
      <c r="BX73" s="326"/>
      <c r="BY73" s="367">
        <v>340</v>
      </c>
      <c r="BZ73" s="368">
        <v>71.2</v>
      </c>
      <c r="CA73" s="368">
        <v>44.4</v>
      </c>
      <c r="CB73" s="368">
        <v>25.68</v>
      </c>
      <c r="CC73" s="368">
        <f>P73-BY73</f>
        <v>12.100000000000023</v>
      </c>
      <c r="CD73" s="368">
        <f>Q73-BZ73</f>
        <v>7.3299999999999983</v>
      </c>
      <c r="CE73" s="368">
        <f>R73-CA73</f>
        <v>15.07</v>
      </c>
      <c r="CF73" s="368">
        <f>S73-CB73</f>
        <v>22.03</v>
      </c>
      <c r="CG73" s="368">
        <f>SUM(CC73:CF73)</f>
        <v>56.530000000000022</v>
      </c>
      <c r="CH73" s="368">
        <f>0.32*(P73-BY73)+1.75*(Q73-BZ73)+1.13*(R73-CA73)+1.28*(S73-CB73)</f>
        <v>61.927000000000007</v>
      </c>
      <c r="CI73" s="42"/>
      <c r="CJ73" s="42"/>
      <c r="CK73" s="42"/>
      <c r="CL73" s="42"/>
    </row>
    <row r="74" spans="1:90" ht="21" customHeight="1" thickBot="1">
      <c r="A74" s="48">
        <v>72</v>
      </c>
      <c r="B74" s="398" t="s">
        <v>1491</v>
      </c>
      <c r="C74" s="399" t="s">
        <v>1397</v>
      </c>
      <c r="D74" s="256" t="s">
        <v>198</v>
      </c>
      <c r="E74" s="247" t="s">
        <v>171</v>
      </c>
      <c r="F74" s="175"/>
      <c r="G74" s="88"/>
      <c r="H74" s="397" t="s">
        <v>449</v>
      </c>
      <c r="I74" s="397">
        <v>25</v>
      </c>
      <c r="J74" s="397">
        <v>32</v>
      </c>
      <c r="K74" s="397">
        <v>36</v>
      </c>
      <c r="L74" s="397">
        <v>41</v>
      </c>
      <c r="M74" s="222" t="s">
        <v>59</v>
      </c>
      <c r="N74" s="226">
        <f>IF(COUNTBLANK(H74:M74),"",SUM(H74:M74))</f>
        <v>134</v>
      </c>
      <c r="O74" s="400">
        <v>3946</v>
      </c>
      <c r="P74" s="211">
        <v>348.4</v>
      </c>
      <c r="Q74" s="218">
        <v>74.12</v>
      </c>
      <c r="R74" s="218">
        <v>66.08</v>
      </c>
      <c r="S74" s="218">
        <v>58.15</v>
      </c>
      <c r="T74" s="218"/>
      <c r="U74" s="84">
        <v>7130</v>
      </c>
      <c r="V74" s="292">
        <f>VLOOKUP($U74,计算辅助页面!$Z$5:$AM$26,COLUMN()-20,0)</f>
        <v>11600</v>
      </c>
      <c r="W74" s="292">
        <f>VLOOKUP($U74,计算辅助页面!$Z$5:$AM$26,COLUMN()-20,0)</f>
        <v>18600</v>
      </c>
      <c r="X74" s="226">
        <f>VLOOKUP($U74,计算辅助页面!$Z$5:$AM$26,COLUMN()-20,0)</f>
        <v>27900</v>
      </c>
      <c r="Y74" s="226">
        <f>VLOOKUP($U74,计算辅助页面!$Z$5:$AM$26,COLUMN()-20,0)</f>
        <v>40300</v>
      </c>
      <c r="Z74" s="293">
        <f>VLOOKUP($U74,计算辅助页面!$Z$5:$AM$26,COLUMN()-20,0)</f>
        <v>56500</v>
      </c>
      <c r="AA74" s="226">
        <f>VLOOKUP($U74,计算辅助页面!$Z$5:$AM$26,COLUMN()-20,0)</f>
        <v>79000</v>
      </c>
      <c r="AB74" s="226">
        <f>VLOOKUP($U74,计算辅助页面!$Z$5:$AM$26,COLUMN()-20,0)</f>
        <v>110500</v>
      </c>
      <c r="AC74" s="226">
        <f>VLOOKUP($U74,计算辅助页面!$Z$5:$AM$26,COLUMN()-20,0)</f>
        <v>155000</v>
      </c>
      <c r="AD74" s="226">
        <f>VLOOKUP($U74,计算辅助页面!$Z$5:$AM$26,COLUMN()-20,0)</f>
        <v>216500</v>
      </c>
      <c r="AE74" s="226">
        <f>VLOOKUP($U74,计算辅助页面!$Z$5:$AM$26,COLUMN()-20,0)</f>
        <v>303000</v>
      </c>
      <c r="AF74" s="226">
        <f>VLOOKUP($U74,计算辅助页面!$Z$5:$AM$26,COLUMN()-20,0)</f>
        <v>425000</v>
      </c>
      <c r="AG74" s="226" t="str">
        <f>VLOOKUP($U74,计算辅助页面!$Z$5:$AM$26,COLUMN()-20,0)</f>
        <v>×</v>
      </c>
      <c r="AH74" s="173">
        <f>VLOOKUP($U74,计算辅助页面!$Z$5:$AM$26,COLUMN()-20,0)</f>
        <v>5804120</v>
      </c>
      <c r="AI74" s="269">
        <v>40000</v>
      </c>
      <c r="AJ74" s="261">
        <f>VLOOKUP(D74&amp;E74,计算辅助页面!$V$5:$Y$18,2,0)</f>
        <v>9</v>
      </c>
      <c r="AK74" s="176">
        <f>IF(AI74,2*AI74,"")</f>
        <v>80000</v>
      </c>
      <c r="AL74" s="176">
        <f>VLOOKUP(D74&amp;E74,计算辅助页面!$V$5:$Y$18,3,0)</f>
        <v>4</v>
      </c>
      <c r="AM74" s="182">
        <f>IF(AN74="×",AN74,IF(AI74,6*AI74,""))</f>
        <v>240000</v>
      </c>
      <c r="AN74" s="182">
        <f>VLOOKUP(D74&amp;E74,计算辅助页面!$V$5:$Y$18,4,0)</f>
        <v>2</v>
      </c>
      <c r="AO74" s="175">
        <f>IF(AI74,IF(AN74="×",4*(AI74*AJ74+AK74*AL74),4*(AI74*AJ74+AK74*AL74+AM74*AN74)),"")</f>
        <v>4640000</v>
      </c>
      <c r="AP74" s="196">
        <f>IF(AND(AH74,AO74),AO74+AH74,"")</f>
        <v>10444120</v>
      </c>
      <c r="AQ74" s="365" t="s">
        <v>721</v>
      </c>
      <c r="AR74" s="366" t="str">
        <f>TRIM(RIGHT(B74,LEN(B74)-LEN(AQ74)-1))</f>
        <v>EB110🔑</v>
      </c>
      <c r="AS74" s="352" t="s">
        <v>1392</v>
      </c>
      <c r="AT74" s="353" t="s">
        <v>1398</v>
      </c>
      <c r="AU74" s="338" t="s">
        <v>712</v>
      </c>
      <c r="AW74" s="357">
        <v>362</v>
      </c>
      <c r="AY74" s="357">
        <v>475</v>
      </c>
      <c r="AZ74" s="384" t="s">
        <v>1280</v>
      </c>
      <c r="BA74" s="369"/>
      <c r="BB74" s="369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>
        <v>1</v>
      </c>
      <c r="BM74" s="369"/>
      <c r="BN74" s="369">
        <v>1</v>
      </c>
      <c r="BO74" s="369">
        <v>1</v>
      </c>
      <c r="BP74" s="369"/>
      <c r="BQ74" s="369"/>
      <c r="BR74" s="369"/>
      <c r="BS74" s="369"/>
      <c r="BT74" s="369"/>
      <c r="BU74" s="389" t="s">
        <v>150</v>
      </c>
      <c r="BV74" s="326"/>
      <c r="BW74" s="326"/>
      <c r="BX74" s="326"/>
      <c r="BY74" s="367"/>
      <c r="BZ74" s="368"/>
      <c r="CA74" s="368"/>
      <c r="CB74" s="368"/>
      <c r="CC74" s="368"/>
      <c r="CD74" s="368"/>
      <c r="CE74" s="368"/>
      <c r="CF74" s="368"/>
      <c r="CG74" s="368"/>
      <c r="CH74" s="368"/>
      <c r="CI74" s="42"/>
      <c r="CJ74" s="42"/>
      <c r="CK74" s="42"/>
      <c r="CL74" s="42"/>
    </row>
    <row r="75" spans="1:90" ht="21" customHeight="1" thickBot="1">
      <c r="A75" s="80">
        <v>73</v>
      </c>
      <c r="B75" s="369" t="s">
        <v>1575</v>
      </c>
      <c r="C75" s="406" t="s">
        <v>1544</v>
      </c>
      <c r="D75" s="256" t="s">
        <v>198</v>
      </c>
      <c r="E75" s="247" t="s">
        <v>171</v>
      </c>
      <c r="F75" s="175"/>
      <c r="G75" s="88"/>
      <c r="H75" s="397" t="s">
        <v>449</v>
      </c>
      <c r="I75" s="397">
        <v>25</v>
      </c>
      <c r="J75" s="397">
        <v>32</v>
      </c>
      <c r="K75" s="397">
        <v>36</v>
      </c>
      <c r="L75" s="397">
        <v>41</v>
      </c>
      <c r="M75" s="222" t="s">
        <v>59</v>
      </c>
      <c r="N75" s="226">
        <f>IF(COUNTBLANK(H75:M75),"",SUM(H75:M75))</f>
        <v>134</v>
      </c>
      <c r="O75" s="407">
        <v>3971</v>
      </c>
      <c r="P75" s="211">
        <v>326.3</v>
      </c>
      <c r="Q75" s="218">
        <v>88.03</v>
      </c>
      <c r="R75" s="218">
        <v>72.48</v>
      </c>
      <c r="S75" s="218">
        <v>58.56</v>
      </c>
      <c r="T75" s="218">
        <v>6.1</v>
      </c>
      <c r="U75" s="84">
        <v>7130</v>
      </c>
      <c r="V75" s="292">
        <f>VLOOKUP($U75,计算辅助页面!$Z$5:$AM$26,COLUMN()-20,0)</f>
        <v>11600</v>
      </c>
      <c r="W75" s="292">
        <f>VLOOKUP($U75,计算辅助页面!$Z$5:$AM$26,COLUMN()-20,0)</f>
        <v>18600</v>
      </c>
      <c r="X75" s="226">
        <f>VLOOKUP($U75,计算辅助页面!$Z$5:$AM$26,COLUMN()-20,0)</f>
        <v>27900</v>
      </c>
      <c r="Y75" s="226">
        <f>VLOOKUP($U75,计算辅助页面!$Z$5:$AM$26,COLUMN()-20,0)</f>
        <v>40300</v>
      </c>
      <c r="Z75" s="293">
        <f>VLOOKUP($U75,计算辅助页面!$Z$5:$AM$26,COLUMN()-20,0)</f>
        <v>56500</v>
      </c>
      <c r="AA75" s="226">
        <f>VLOOKUP($U75,计算辅助页面!$Z$5:$AM$26,COLUMN()-20,0)</f>
        <v>79000</v>
      </c>
      <c r="AB75" s="226">
        <f>VLOOKUP($U75,计算辅助页面!$Z$5:$AM$26,COLUMN()-20,0)</f>
        <v>110500</v>
      </c>
      <c r="AC75" s="226">
        <f>VLOOKUP($U75,计算辅助页面!$Z$5:$AM$26,COLUMN()-20,0)</f>
        <v>155000</v>
      </c>
      <c r="AD75" s="226">
        <f>VLOOKUP($U75,计算辅助页面!$Z$5:$AM$26,COLUMN()-20,0)</f>
        <v>216500</v>
      </c>
      <c r="AE75" s="226">
        <f>VLOOKUP($U75,计算辅助页面!$Z$5:$AM$26,COLUMN()-20,0)</f>
        <v>303000</v>
      </c>
      <c r="AF75" s="226">
        <f>VLOOKUP($U75,计算辅助页面!$Z$5:$AM$26,COLUMN()-20,0)</f>
        <v>425000</v>
      </c>
      <c r="AG75" s="226" t="str">
        <f>VLOOKUP($U75,计算辅助页面!$Z$5:$AM$26,COLUMN()-20,0)</f>
        <v>×</v>
      </c>
      <c r="AH75" s="173">
        <f>VLOOKUP($U75,计算辅助页面!$Z$5:$AM$26,COLUMN()-20,0)</f>
        <v>5804120</v>
      </c>
      <c r="AI75" s="269">
        <v>40000</v>
      </c>
      <c r="AJ75" s="261">
        <f>VLOOKUP(D75&amp;E75,计算辅助页面!$V$5:$Y$18,2,0)</f>
        <v>9</v>
      </c>
      <c r="AK75" s="176">
        <f>IF(AI75,2*AI75,"")</f>
        <v>80000</v>
      </c>
      <c r="AL75" s="176">
        <f>VLOOKUP(D75&amp;E75,计算辅助页面!$V$5:$Y$18,3,0)</f>
        <v>4</v>
      </c>
      <c r="AM75" s="182">
        <f>IF(AN75="×",AN75,IF(AI75,6*AI75,""))</f>
        <v>240000</v>
      </c>
      <c r="AN75" s="182">
        <f>VLOOKUP(D75&amp;E75,计算辅助页面!$V$5:$Y$18,4,0)</f>
        <v>2</v>
      </c>
      <c r="AO75" s="175">
        <f>IF(AI75,IF(AN75="×",4*(AI75*AJ75+AK75*AL75),4*(AI75*AJ75+AK75*AL75+AM75*AN75)),"")</f>
        <v>4640000</v>
      </c>
      <c r="AP75" s="196">
        <f>IF(AND(AH75,AO75),AO75+AH75,"")</f>
        <v>10444120</v>
      </c>
      <c r="AQ75" s="365" t="s">
        <v>562</v>
      </c>
      <c r="AR75" s="366" t="str">
        <f>TRIM(RIGHT(B75,LEN(B75)-LEN(AQ75)-1))</f>
        <v>Panamera Turbo S🔑</v>
      </c>
      <c r="AS75" s="352" t="s">
        <v>1545</v>
      </c>
      <c r="AT75" s="353" t="s">
        <v>1546</v>
      </c>
      <c r="AU75" s="338" t="s">
        <v>1547</v>
      </c>
      <c r="AW75" s="357">
        <v>340</v>
      </c>
      <c r="AY75" s="357">
        <v>437</v>
      </c>
      <c r="AZ75" s="384" t="s">
        <v>1562</v>
      </c>
      <c r="BA75" s="369"/>
      <c r="BB75" s="369"/>
      <c r="BC75" s="369"/>
      <c r="BD75" s="369"/>
      <c r="BE75" s="369"/>
      <c r="BF75" s="369"/>
      <c r="BG75" s="369"/>
      <c r="BH75" s="369"/>
      <c r="BI75" s="369"/>
      <c r="BJ75" s="369"/>
      <c r="BK75" s="369"/>
      <c r="BL75" s="369"/>
      <c r="BM75" s="369"/>
      <c r="BN75" s="369">
        <v>1</v>
      </c>
      <c r="BO75" s="369"/>
      <c r="BP75" s="369"/>
      <c r="BQ75" s="369"/>
      <c r="BR75" s="369"/>
      <c r="BS75" s="369"/>
      <c r="BT75" s="369"/>
      <c r="BU75" s="389" t="s">
        <v>1566</v>
      </c>
      <c r="BV75" s="326"/>
      <c r="BW75" s="326"/>
      <c r="BX75" s="326"/>
      <c r="BY75" s="367"/>
      <c r="BZ75" s="368"/>
      <c r="CA75" s="368"/>
      <c r="CB75" s="368"/>
      <c r="CC75" s="368"/>
      <c r="CD75" s="368"/>
      <c r="CE75" s="368"/>
      <c r="CF75" s="368"/>
      <c r="CG75" s="368"/>
      <c r="CH75" s="368"/>
      <c r="CI75" s="42"/>
      <c r="CJ75" s="42"/>
      <c r="CK75" s="42"/>
      <c r="CL75" s="42"/>
    </row>
    <row r="76" spans="1:90" ht="21" customHeight="1" thickBot="1">
      <c r="A76" s="48">
        <v>74</v>
      </c>
      <c r="B76" s="55" t="s">
        <v>501</v>
      </c>
      <c r="C76" s="86" t="s">
        <v>766</v>
      </c>
      <c r="D76" s="256" t="s">
        <v>198</v>
      </c>
      <c r="E76" s="250" t="s">
        <v>171</v>
      </c>
      <c r="F76" s="178">
        <f t="shared" si="100"/>
        <v>4</v>
      </c>
      <c r="G76" s="89" t="s">
        <v>336</v>
      </c>
      <c r="H76" s="234">
        <v>35</v>
      </c>
      <c r="I76" s="234">
        <v>15</v>
      </c>
      <c r="J76" s="234">
        <v>21</v>
      </c>
      <c r="K76" s="234">
        <v>28</v>
      </c>
      <c r="L76" s="234">
        <v>35</v>
      </c>
      <c r="M76" s="234" t="s">
        <v>59</v>
      </c>
      <c r="N76" s="241">
        <f t="shared" si="71"/>
        <v>134</v>
      </c>
      <c r="O76" s="57">
        <v>3997</v>
      </c>
      <c r="P76" s="211">
        <v>340.7</v>
      </c>
      <c r="Q76" s="218">
        <v>76.56</v>
      </c>
      <c r="R76" s="218">
        <v>75.81</v>
      </c>
      <c r="S76" s="218">
        <v>59.69</v>
      </c>
      <c r="T76" s="218"/>
      <c r="U76" s="91">
        <v>7130</v>
      </c>
      <c r="V76" s="299">
        <f>VLOOKUP($U76,计算辅助页面!$Z$5:$AM$26,COLUMN()-20,0)</f>
        <v>11600</v>
      </c>
      <c r="W76" s="299">
        <f>VLOOKUP($U76,计算辅助页面!$Z$5:$AM$26,COLUMN()-20,0)</f>
        <v>18600</v>
      </c>
      <c r="X76" s="241">
        <f>VLOOKUP($U76,计算辅助页面!$Z$5:$AM$26,COLUMN()-20,0)</f>
        <v>27900</v>
      </c>
      <c r="Y76" s="241">
        <f>VLOOKUP($U76,计算辅助页面!$Z$5:$AM$26,COLUMN()-20,0)</f>
        <v>40300</v>
      </c>
      <c r="Z76" s="300">
        <f>VLOOKUP($U76,计算辅助页面!$Z$5:$AM$26,COLUMN()-20,0)</f>
        <v>56500</v>
      </c>
      <c r="AA76" s="241">
        <f>VLOOKUP($U76,计算辅助页面!$Z$5:$AM$26,COLUMN()-20,0)</f>
        <v>79000</v>
      </c>
      <c r="AB76" s="241">
        <f>VLOOKUP($U76,计算辅助页面!$Z$5:$AM$26,COLUMN()-20,0)</f>
        <v>110500</v>
      </c>
      <c r="AC76" s="241">
        <f>VLOOKUP($U76,计算辅助页面!$Z$5:$AM$26,COLUMN()-20,0)</f>
        <v>155000</v>
      </c>
      <c r="AD76" s="241">
        <f>VLOOKUP($U76,计算辅助页面!$Z$5:$AM$26,COLUMN()-20,0)</f>
        <v>216500</v>
      </c>
      <c r="AE76" s="241">
        <f>VLOOKUP($U76,计算辅助页面!$Z$5:$AM$26,COLUMN()-20,0)</f>
        <v>303000</v>
      </c>
      <c r="AF76" s="241">
        <f>VLOOKUP($U76,计算辅助页面!$Z$5:$AM$26,COLUMN()-20,0)</f>
        <v>425000</v>
      </c>
      <c r="AG76" s="241" t="str">
        <f>VLOOKUP($U76,计算辅助页面!$Z$5:$AM$26,COLUMN()-20,0)</f>
        <v>×</v>
      </c>
      <c r="AH76" s="186">
        <f>VLOOKUP($U76,计算辅助页面!$Z$5:$AM$26,COLUMN()-20,0)</f>
        <v>5804120</v>
      </c>
      <c r="AI76" s="270">
        <v>40000</v>
      </c>
      <c r="AJ76" s="262">
        <f>VLOOKUP(D76&amp;E76,计算辅助页面!$V$5:$Y$18,2,0)</f>
        <v>9</v>
      </c>
      <c r="AK76" s="177">
        <f t="shared" si="72"/>
        <v>80000</v>
      </c>
      <c r="AL76" s="177">
        <f>VLOOKUP(D76&amp;E76,计算辅助页面!$V$5:$Y$18,3,0)</f>
        <v>4</v>
      </c>
      <c r="AM76" s="191">
        <f t="shared" si="73"/>
        <v>240000</v>
      </c>
      <c r="AN76" s="191">
        <f>VLOOKUP(D76&amp;E76,计算辅助页面!$V$5:$Y$18,4,0)</f>
        <v>2</v>
      </c>
      <c r="AO76" s="178">
        <f t="shared" si="74"/>
        <v>4640000</v>
      </c>
      <c r="AP76" s="197">
        <f t="shared" si="51"/>
        <v>10444120</v>
      </c>
      <c r="AQ76" s="365" t="s">
        <v>566</v>
      </c>
      <c r="AR76" s="366" t="str">
        <f t="shared" si="101"/>
        <v>Gallardo LP 560-4</v>
      </c>
      <c r="AS76" s="352" t="s">
        <v>963</v>
      </c>
      <c r="AT76" s="353" t="s">
        <v>637</v>
      </c>
      <c r="AU76" s="338" t="s">
        <v>712</v>
      </c>
      <c r="AW76" s="357">
        <v>354</v>
      </c>
      <c r="AY76" s="357">
        <v>462</v>
      </c>
      <c r="AZ76" s="357" t="s">
        <v>1114</v>
      </c>
      <c r="BA76" s="369"/>
      <c r="BB76" s="369"/>
      <c r="BC76" s="369"/>
      <c r="BD76" s="369"/>
      <c r="BE76" s="369"/>
      <c r="BF76" s="369"/>
      <c r="BG76" s="369">
        <v>1</v>
      </c>
      <c r="BH76" s="369"/>
      <c r="BI76" s="369"/>
      <c r="BJ76" s="369"/>
      <c r="BK76" s="369"/>
      <c r="BL76" s="369"/>
      <c r="BM76" s="369"/>
      <c r="BN76" s="369"/>
      <c r="BO76" s="369">
        <v>1</v>
      </c>
      <c r="BP76" s="369"/>
      <c r="BQ76" s="369"/>
      <c r="BR76" s="369"/>
      <c r="BS76" s="369"/>
      <c r="BT76" s="369"/>
      <c r="BU76" s="387" t="s">
        <v>1158</v>
      </c>
      <c r="BW76" s="326">
        <v>1</v>
      </c>
      <c r="BX76" s="326"/>
      <c r="BY76" s="367">
        <v>325</v>
      </c>
      <c r="BZ76" s="368">
        <v>67.599999999999994</v>
      </c>
      <c r="CA76" s="368">
        <v>50.25</v>
      </c>
      <c r="CB76" s="368">
        <v>38.4</v>
      </c>
      <c r="CC76" s="368">
        <f t="shared" si="75"/>
        <v>15.699999999999989</v>
      </c>
      <c r="CD76" s="368">
        <f t="shared" si="76"/>
        <v>8.960000000000008</v>
      </c>
      <c r="CE76" s="368">
        <f t="shared" si="77"/>
        <v>25.560000000000002</v>
      </c>
      <c r="CF76" s="368">
        <f t="shared" si="78"/>
        <v>21.29</v>
      </c>
      <c r="CG76" s="368">
        <f t="shared" si="79"/>
        <v>71.509999999999991</v>
      </c>
      <c r="CH76" s="368">
        <f t="shared" si="80"/>
        <v>76.838000000000008</v>
      </c>
      <c r="CI76" s="42"/>
      <c r="CJ76" s="42"/>
      <c r="CK76" s="42"/>
      <c r="CL76" s="42"/>
    </row>
    <row r="77" spans="1:90" ht="21" customHeight="1" thickBot="1">
      <c r="A77" s="80">
        <v>75</v>
      </c>
      <c r="B77" s="55" t="s">
        <v>1310</v>
      </c>
      <c r="C77" s="86" t="s">
        <v>1311</v>
      </c>
      <c r="D77" s="256" t="s">
        <v>198</v>
      </c>
      <c r="E77" s="250" t="s">
        <v>171</v>
      </c>
      <c r="F77" s="175"/>
      <c r="G77" s="88"/>
      <c r="H77" s="317">
        <v>35</v>
      </c>
      <c r="I77" s="234">
        <v>15</v>
      </c>
      <c r="J77" s="234">
        <v>21</v>
      </c>
      <c r="K77" s="234">
        <v>28</v>
      </c>
      <c r="L77" s="234">
        <v>35</v>
      </c>
      <c r="M77" s="234" t="s">
        <v>59</v>
      </c>
      <c r="N77" s="241">
        <f t="shared" ref="N77" si="119">IF(COUNTBLANK(H77:M77),"",SUM(H77:M77))</f>
        <v>134</v>
      </c>
      <c r="O77" s="57">
        <v>4022</v>
      </c>
      <c r="P77" s="211">
        <v>339.1</v>
      </c>
      <c r="Q77" s="218">
        <v>80.98</v>
      </c>
      <c r="R77" s="218">
        <v>69.09</v>
      </c>
      <c r="S77" s="218">
        <v>57.31</v>
      </c>
      <c r="T77" s="218"/>
      <c r="U77" s="84">
        <v>7130</v>
      </c>
      <c r="V77" s="299">
        <f>VLOOKUP($U77,计算辅助页面!$Z$5:$AM$26,COLUMN()-20,0)</f>
        <v>11600</v>
      </c>
      <c r="W77" s="299">
        <f>VLOOKUP($U77,计算辅助页面!$Z$5:$AM$26,COLUMN()-20,0)</f>
        <v>18600</v>
      </c>
      <c r="X77" s="241">
        <f>VLOOKUP($U77,计算辅助页面!$Z$5:$AM$26,COLUMN()-20,0)</f>
        <v>27900</v>
      </c>
      <c r="Y77" s="241">
        <f>VLOOKUP($U77,计算辅助页面!$Z$5:$AM$26,COLUMN()-20,0)</f>
        <v>40300</v>
      </c>
      <c r="Z77" s="300">
        <f>VLOOKUP($U77,计算辅助页面!$Z$5:$AM$26,COLUMN()-20,0)</f>
        <v>56500</v>
      </c>
      <c r="AA77" s="241">
        <f>VLOOKUP($U77,计算辅助页面!$Z$5:$AM$26,COLUMN()-20,0)</f>
        <v>79000</v>
      </c>
      <c r="AB77" s="241">
        <f>VLOOKUP($U77,计算辅助页面!$Z$5:$AM$26,COLUMN()-20,0)</f>
        <v>110500</v>
      </c>
      <c r="AC77" s="241">
        <f>VLOOKUP($U77,计算辅助页面!$Z$5:$AM$26,COLUMN()-20,0)</f>
        <v>155000</v>
      </c>
      <c r="AD77" s="241">
        <f>VLOOKUP($U77,计算辅助页面!$Z$5:$AM$26,COLUMN()-20,0)</f>
        <v>216500</v>
      </c>
      <c r="AE77" s="241">
        <f>VLOOKUP($U77,计算辅助页面!$Z$5:$AM$26,COLUMN()-20,0)</f>
        <v>303000</v>
      </c>
      <c r="AF77" s="241">
        <f>VLOOKUP($U77,计算辅助页面!$Z$5:$AM$26,COLUMN()-20,0)</f>
        <v>425000</v>
      </c>
      <c r="AG77" s="241" t="str">
        <f>VLOOKUP($U77,计算辅助页面!$Z$5:$AM$26,COLUMN()-20,0)</f>
        <v>×</v>
      </c>
      <c r="AH77" s="186">
        <f>VLOOKUP($U77,计算辅助页面!$Z$5:$AM$26,COLUMN()-20,0)</f>
        <v>5804120</v>
      </c>
      <c r="AI77" s="269">
        <v>40000</v>
      </c>
      <c r="AJ77" s="262">
        <f>VLOOKUP(D77&amp;E77,计算辅助页面!$V$5:$Y$18,2,0)</f>
        <v>9</v>
      </c>
      <c r="AK77" s="176">
        <f>IF(AI77,2*AI77,"")</f>
        <v>80000</v>
      </c>
      <c r="AL77" s="177">
        <f>VLOOKUP(D77&amp;E77,计算辅助页面!$V$5:$Y$18,3,0)</f>
        <v>4</v>
      </c>
      <c r="AM77" s="191">
        <f t="shared" ref="AM77" si="120">IF(AN77="×",AN77,IF(AI77,6*AI77,""))</f>
        <v>240000</v>
      </c>
      <c r="AN77" s="191">
        <f>VLOOKUP(D77&amp;E77,计算辅助页面!$V$5:$Y$18,4,0)</f>
        <v>2</v>
      </c>
      <c r="AO77" s="178">
        <f t="shared" ref="AO77" si="121">IF(AI77,IF(AN77="×",4*(AI77*AJ77+AK77*AL77),4*(AI77*AJ77+AK77*AL77+AM77*AN77)),"")</f>
        <v>4640000</v>
      </c>
      <c r="AP77" s="197">
        <f t="shared" ref="AP77" si="122">IF(AND(AH77,AO77),AO77+AH77,"")</f>
        <v>10444120</v>
      </c>
      <c r="AQ77" s="365" t="s">
        <v>569</v>
      </c>
      <c r="AR77" s="366" t="str">
        <f t="shared" si="101"/>
        <v>GT</v>
      </c>
      <c r="AS77" s="352" t="s">
        <v>1308</v>
      </c>
      <c r="AT77" s="353" t="s">
        <v>1312</v>
      </c>
      <c r="AU77" s="338" t="s">
        <v>712</v>
      </c>
      <c r="AW77" s="357">
        <v>353</v>
      </c>
      <c r="AY77" s="357">
        <v>459</v>
      </c>
      <c r="AZ77" s="384" t="s">
        <v>1329</v>
      </c>
      <c r="BA77" s="369"/>
      <c r="BB77" s="369"/>
      <c r="BC77" s="369"/>
      <c r="BD77" s="369"/>
      <c r="BE77" s="369"/>
      <c r="BF77" s="369">
        <v>1</v>
      </c>
      <c r="BG77" s="369"/>
      <c r="BH77" s="369"/>
      <c r="BI77" s="369"/>
      <c r="BJ77" s="369"/>
      <c r="BK77" s="369"/>
      <c r="BL77" s="369"/>
      <c r="BM77" s="369"/>
      <c r="BN77" s="369"/>
      <c r="BO77" s="369"/>
      <c r="BP77" s="369"/>
      <c r="BQ77" s="369"/>
      <c r="BR77" s="369"/>
      <c r="BS77" s="369"/>
      <c r="BT77" s="369"/>
      <c r="BU77" s="389" t="s">
        <v>1356</v>
      </c>
      <c r="BV77" s="326"/>
      <c r="BW77" s="326"/>
      <c r="BX77" s="326"/>
      <c r="BY77" s="367"/>
      <c r="BZ77" s="368"/>
      <c r="CA77" s="368"/>
      <c r="CB77" s="368"/>
      <c r="CC77" s="368"/>
      <c r="CD77" s="368"/>
      <c r="CE77" s="368"/>
      <c r="CF77" s="368"/>
      <c r="CG77" s="368"/>
      <c r="CH77" s="368"/>
      <c r="CI77" s="42"/>
      <c r="CJ77" s="42"/>
      <c r="CK77" s="42"/>
      <c r="CL77" s="42"/>
    </row>
    <row r="78" spans="1:90" ht="21" customHeight="1" thickBot="1">
      <c r="A78" s="48">
        <v>76</v>
      </c>
      <c r="B78" s="55" t="s">
        <v>1492</v>
      </c>
      <c r="C78" s="86" t="s">
        <v>1486</v>
      </c>
      <c r="D78" s="256" t="s">
        <v>198</v>
      </c>
      <c r="E78" s="250" t="s">
        <v>171</v>
      </c>
      <c r="F78" s="175"/>
      <c r="G78" s="88"/>
      <c r="H78" s="222" t="s">
        <v>449</v>
      </c>
      <c r="I78" s="222">
        <v>25</v>
      </c>
      <c r="J78" s="222">
        <v>32</v>
      </c>
      <c r="K78" s="222">
        <v>36</v>
      </c>
      <c r="L78" s="222">
        <v>41</v>
      </c>
      <c r="M78" s="222" t="s">
        <v>59</v>
      </c>
      <c r="N78" s="226">
        <f t="shared" ref="N78" si="123">IF(COUNTBLANK(H78:M78),"",SUM(H78:M78))</f>
        <v>134</v>
      </c>
      <c r="O78" s="57">
        <v>4048</v>
      </c>
      <c r="P78" s="211">
        <v>335.7</v>
      </c>
      <c r="Q78" s="218">
        <v>81.790000000000006</v>
      </c>
      <c r="R78" s="218">
        <v>60.83</v>
      </c>
      <c r="S78" s="218">
        <v>65.62</v>
      </c>
      <c r="T78" s="218">
        <v>7.4</v>
      </c>
      <c r="U78" s="84">
        <v>7130</v>
      </c>
      <c r="V78" s="299">
        <f>VLOOKUP($U78,计算辅助页面!$Z$5:$AM$26,COLUMN()-20,0)</f>
        <v>11600</v>
      </c>
      <c r="W78" s="299">
        <f>VLOOKUP($U78,计算辅助页面!$Z$5:$AM$26,COLUMN()-20,0)</f>
        <v>18600</v>
      </c>
      <c r="X78" s="241">
        <f>VLOOKUP($U78,计算辅助页面!$Z$5:$AM$26,COLUMN()-20,0)</f>
        <v>27900</v>
      </c>
      <c r="Y78" s="241">
        <f>VLOOKUP($U78,计算辅助页面!$Z$5:$AM$26,COLUMN()-20,0)</f>
        <v>40300</v>
      </c>
      <c r="Z78" s="300">
        <f>VLOOKUP($U78,计算辅助页面!$Z$5:$AM$26,COLUMN()-20,0)</f>
        <v>56500</v>
      </c>
      <c r="AA78" s="241">
        <f>VLOOKUP($U78,计算辅助页面!$Z$5:$AM$26,COLUMN()-20,0)</f>
        <v>79000</v>
      </c>
      <c r="AB78" s="241">
        <f>VLOOKUP($U78,计算辅助页面!$Z$5:$AM$26,COLUMN()-20,0)</f>
        <v>110500</v>
      </c>
      <c r="AC78" s="241">
        <f>VLOOKUP($U78,计算辅助页面!$Z$5:$AM$26,COLUMN()-20,0)</f>
        <v>155000</v>
      </c>
      <c r="AD78" s="241">
        <f>VLOOKUP($U78,计算辅助页面!$Z$5:$AM$26,COLUMN()-20,0)</f>
        <v>216500</v>
      </c>
      <c r="AE78" s="241">
        <f>VLOOKUP($U78,计算辅助页面!$Z$5:$AM$26,COLUMN()-20,0)</f>
        <v>303000</v>
      </c>
      <c r="AF78" s="241">
        <f>VLOOKUP($U78,计算辅助页面!$Z$5:$AM$26,COLUMN()-20,0)</f>
        <v>425000</v>
      </c>
      <c r="AG78" s="241" t="str">
        <f>VLOOKUP($U78,计算辅助页面!$Z$5:$AM$26,COLUMN()-20,0)</f>
        <v>×</v>
      </c>
      <c r="AH78" s="186">
        <f>VLOOKUP($U78,计算辅助页面!$Z$5:$AM$26,COLUMN()-20,0)</f>
        <v>5804120</v>
      </c>
      <c r="AI78" s="269">
        <v>40000</v>
      </c>
      <c r="AJ78" s="262">
        <f>VLOOKUP(D78&amp;E78,计算辅助页面!$V$5:$Y$18,2,0)</f>
        <v>9</v>
      </c>
      <c r="AK78" s="176">
        <f>IF(AI78,2*AI78,"")</f>
        <v>80000</v>
      </c>
      <c r="AL78" s="177">
        <f>VLOOKUP(D78&amp;E78,计算辅助页面!$V$5:$Y$18,3,0)</f>
        <v>4</v>
      </c>
      <c r="AM78" s="191">
        <f t="shared" ref="AM78" si="124">IF(AN78="×",AN78,IF(AI78,6*AI78,""))</f>
        <v>240000</v>
      </c>
      <c r="AN78" s="191">
        <f>VLOOKUP(D78&amp;E78,计算辅助页面!$V$5:$Y$18,4,0)</f>
        <v>2</v>
      </c>
      <c r="AO78" s="178">
        <f t="shared" ref="AO78" si="125">IF(AI78,IF(AN78="×",4*(AI78*AJ78+AK78*AL78),4*(AI78*AJ78+AK78*AL78+AM78*AN78)),"")</f>
        <v>4640000</v>
      </c>
      <c r="AP78" s="197">
        <f t="shared" ref="AP78" si="126">IF(AND(AH78,AO78),AO78+AH78,"")</f>
        <v>10444120</v>
      </c>
      <c r="AQ78" s="365" t="s">
        <v>565</v>
      </c>
      <c r="AR78" s="366" t="str">
        <f t="shared" si="101"/>
        <v>Mercedes-AMG GT Black Series🔑</v>
      </c>
      <c r="AS78" s="352" t="s">
        <v>1487</v>
      </c>
      <c r="AT78" s="353" t="s">
        <v>1488</v>
      </c>
      <c r="AU78" s="338" t="s">
        <v>712</v>
      </c>
      <c r="AW78" s="357">
        <v>349</v>
      </c>
      <c r="AY78" s="357">
        <v>453</v>
      </c>
      <c r="AZ78" s="384" t="s">
        <v>1280</v>
      </c>
      <c r="BA78" s="369"/>
      <c r="BB78" s="369"/>
      <c r="BC78" s="369"/>
      <c r="BD78" s="369"/>
      <c r="BE78" s="369"/>
      <c r="BF78" s="369"/>
      <c r="BG78" s="369"/>
      <c r="BH78" s="369"/>
      <c r="BI78" s="369"/>
      <c r="BJ78" s="369"/>
      <c r="BK78" s="369"/>
      <c r="BL78" s="369"/>
      <c r="BM78" s="369"/>
      <c r="BN78" s="369">
        <v>1</v>
      </c>
      <c r="BO78" s="369"/>
      <c r="BP78" s="369"/>
      <c r="BQ78" s="369"/>
      <c r="BR78" s="369"/>
      <c r="BS78" s="369"/>
      <c r="BT78" s="369"/>
      <c r="BU78" s="389" t="s">
        <v>1510</v>
      </c>
      <c r="BW78" s="326"/>
      <c r="BX78" s="326"/>
      <c r="BY78" s="367"/>
      <c r="BZ78" s="368"/>
      <c r="CA78" s="368"/>
      <c r="CB78" s="368"/>
      <c r="CC78" s="368"/>
      <c r="CD78" s="368"/>
      <c r="CE78" s="368"/>
      <c r="CF78" s="368"/>
      <c r="CG78" s="368"/>
      <c r="CH78" s="368"/>
      <c r="CI78" s="42"/>
      <c r="CJ78" s="42"/>
      <c r="CK78" s="42"/>
      <c r="CL78" s="42"/>
    </row>
    <row r="79" spans="1:90" ht="21" customHeight="1" thickBot="1">
      <c r="A79" s="80">
        <v>77</v>
      </c>
      <c r="B79" s="405" t="s">
        <v>23</v>
      </c>
      <c r="C79" s="404">
        <v>911</v>
      </c>
      <c r="D79" s="254" t="s">
        <v>7</v>
      </c>
      <c r="E79" s="251" t="s">
        <v>44</v>
      </c>
      <c r="F79" s="180">
        <f t="shared" si="100"/>
        <v>6</v>
      </c>
      <c r="G79" s="92" t="s">
        <v>65</v>
      </c>
      <c r="H79" s="235">
        <v>30</v>
      </c>
      <c r="I79" s="235">
        <v>30</v>
      </c>
      <c r="J79" s="235">
        <v>70</v>
      </c>
      <c r="K79" s="235" t="s">
        <v>59</v>
      </c>
      <c r="L79" s="235" t="s">
        <v>59</v>
      </c>
      <c r="M79" s="235" t="s">
        <v>59</v>
      </c>
      <c r="N79" s="242">
        <f t="shared" si="71"/>
        <v>130</v>
      </c>
      <c r="O79" s="47">
        <v>2186</v>
      </c>
      <c r="P79" s="208">
        <v>328.8</v>
      </c>
      <c r="Q79" s="215">
        <v>71.209999999999994</v>
      </c>
      <c r="R79" s="215">
        <v>45.84</v>
      </c>
      <c r="S79" s="215">
        <v>56.6</v>
      </c>
      <c r="T79" s="215">
        <v>5.9829999999999988</v>
      </c>
      <c r="U79" s="93">
        <v>1840</v>
      </c>
      <c r="V79" s="301">
        <f>VLOOKUP($U79,计算辅助页面!$Z$5:$AM$26,COLUMN()-20,0)</f>
        <v>3000</v>
      </c>
      <c r="W79" s="301">
        <f>VLOOKUP($U79,计算辅助页面!$Z$5:$AM$26,COLUMN()-20,0)</f>
        <v>4800</v>
      </c>
      <c r="X79" s="242">
        <f>VLOOKUP($U79,计算辅助页面!$Z$5:$AM$26,COLUMN()-20,0)</f>
        <v>7200</v>
      </c>
      <c r="Y79" s="242">
        <f>VLOOKUP($U79,计算辅助页面!$Z$5:$AM$26,COLUMN()-20,0)</f>
        <v>10400</v>
      </c>
      <c r="Z79" s="302">
        <f>VLOOKUP($U79,计算辅助页面!$Z$5:$AM$26,COLUMN()-20,0)</f>
        <v>14500</v>
      </c>
      <c r="AA79" s="242">
        <f>VLOOKUP($U79,计算辅助页面!$Z$5:$AM$26,COLUMN()-20,0)</f>
        <v>20500</v>
      </c>
      <c r="AB79" s="242">
        <f>VLOOKUP($U79,计算辅助页面!$Z$5:$AM$26,COLUMN()-20,0)</f>
        <v>28500</v>
      </c>
      <c r="AC79" s="242">
        <f>VLOOKUP($U79,计算辅助页面!$Z$5:$AM$26,COLUMN()-20,0)</f>
        <v>40000</v>
      </c>
      <c r="AD79" s="242">
        <f>VLOOKUP($U79,计算辅助页面!$Z$5:$AM$26,COLUMN()-20,0)</f>
        <v>56000</v>
      </c>
      <c r="AE79" s="242" t="str">
        <f>VLOOKUP($U79,计算辅助页面!$Z$5:$AM$26,COLUMN()-20,0)</f>
        <v>×</v>
      </c>
      <c r="AF79" s="242" t="str">
        <f>VLOOKUP($U79,计算辅助页面!$Z$5:$AM$26,COLUMN()-20,0)</f>
        <v>×</v>
      </c>
      <c r="AG79" s="242" t="str">
        <f>VLOOKUP($U79,计算辅助页面!$Z$5:$AM$26,COLUMN()-20,0)</f>
        <v>×</v>
      </c>
      <c r="AH79" s="172">
        <f>VLOOKUP($U79,计算辅助页面!$Z$5:$AM$26,COLUMN()-20,0)</f>
        <v>746960</v>
      </c>
      <c r="AI79" s="271">
        <v>15000</v>
      </c>
      <c r="AJ79" s="263">
        <f>VLOOKUP(D79&amp;E79,计算辅助页面!$V$5:$Y$18,2,0)</f>
        <v>6</v>
      </c>
      <c r="AK79" s="188">
        <f t="shared" si="72"/>
        <v>30000</v>
      </c>
      <c r="AL79" s="188">
        <f>VLOOKUP(D79&amp;E79,计算辅助页面!$V$5:$Y$18,3,0)</f>
        <v>1</v>
      </c>
      <c r="AM79" s="192">
        <f t="shared" si="73"/>
        <v>90000</v>
      </c>
      <c r="AN79" s="192">
        <f>VLOOKUP(D79&amp;E79,计算辅助页面!$V$5:$Y$18,4,0)</f>
        <v>1</v>
      </c>
      <c r="AO79" s="180">
        <f t="shared" si="74"/>
        <v>840000</v>
      </c>
      <c r="AP79" s="198">
        <f t="shared" si="51"/>
        <v>1586960</v>
      </c>
      <c r="AQ79" s="365" t="s">
        <v>562</v>
      </c>
      <c r="AR79" s="366" t="str">
        <f t="shared" si="101"/>
        <v>911 GTS Coupe</v>
      </c>
      <c r="AS79" s="352" t="s">
        <v>603</v>
      </c>
      <c r="AT79" s="353" t="s">
        <v>626</v>
      </c>
      <c r="AU79" s="81" t="s">
        <v>710</v>
      </c>
      <c r="AV79" s="357">
        <v>4</v>
      </c>
      <c r="AW79" s="357">
        <v>342</v>
      </c>
      <c r="AY79" s="357">
        <v>441</v>
      </c>
      <c r="AZ79" s="357" t="s">
        <v>1110</v>
      </c>
      <c r="BA79" s="369">
        <v>1</v>
      </c>
      <c r="BB79" s="369"/>
      <c r="BC79" s="369">
        <v>1</v>
      </c>
      <c r="BD79" s="369">
        <v>1</v>
      </c>
      <c r="BE79" s="369"/>
      <c r="BF79" s="369"/>
      <c r="BG79" s="369"/>
      <c r="BH79" s="369"/>
      <c r="BI79" s="369"/>
      <c r="BJ79" s="369"/>
      <c r="BK79" s="369"/>
      <c r="BL79" s="369"/>
      <c r="BM79" s="369"/>
      <c r="BN79" s="369"/>
      <c r="BO79" s="369"/>
      <c r="BP79" s="369" t="s">
        <v>1387</v>
      </c>
      <c r="BQ79" s="369">
        <v>1</v>
      </c>
      <c r="BR79" s="369"/>
      <c r="BS79" s="369"/>
      <c r="BT79" s="369">
        <v>1</v>
      </c>
      <c r="BU79" s="387" t="s">
        <v>1132</v>
      </c>
      <c r="BV79" s="326"/>
      <c r="BW79" s="326"/>
      <c r="BX79" s="326"/>
      <c r="BY79" s="367">
        <v>312</v>
      </c>
      <c r="BZ79" s="368">
        <v>64.900000000000006</v>
      </c>
      <c r="CA79" s="368">
        <v>41.08</v>
      </c>
      <c r="CB79" s="368">
        <v>42.95</v>
      </c>
      <c r="CC79" s="368">
        <f t="shared" si="75"/>
        <v>16.800000000000011</v>
      </c>
      <c r="CD79" s="368">
        <f t="shared" si="76"/>
        <v>6.3099999999999881</v>
      </c>
      <c r="CE79" s="368">
        <f t="shared" si="77"/>
        <v>4.7600000000000051</v>
      </c>
      <c r="CF79" s="368">
        <f t="shared" si="78"/>
        <v>13.649999999999999</v>
      </c>
      <c r="CG79" s="368">
        <f t="shared" si="79"/>
        <v>41.52</v>
      </c>
      <c r="CH79" s="368">
        <f t="shared" si="80"/>
        <v>39.269299999999987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24</v>
      </c>
      <c r="C80" s="86" t="s">
        <v>767</v>
      </c>
      <c r="D80" s="255" t="s">
        <v>7</v>
      </c>
      <c r="E80" s="247" t="s">
        <v>44</v>
      </c>
      <c r="F80" s="173">
        <f t="shared" si="100"/>
        <v>6</v>
      </c>
      <c r="G80" s="83" t="s">
        <v>65</v>
      </c>
      <c r="H80" s="222">
        <v>30</v>
      </c>
      <c r="I80" s="222">
        <v>30</v>
      </c>
      <c r="J80" s="222">
        <v>70</v>
      </c>
      <c r="K80" s="222" t="s">
        <v>59</v>
      </c>
      <c r="L80" s="222" t="s">
        <v>59</v>
      </c>
      <c r="M80" s="222" t="s">
        <v>59</v>
      </c>
      <c r="N80" s="226">
        <f t="shared" si="71"/>
        <v>130</v>
      </c>
      <c r="O80" s="51">
        <v>2330</v>
      </c>
      <c r="P80" s="209">
        <v>340.6</v>
      </c>
      <c r="Q80" s="216">
        <v>74.2</v>
      </c>
      <c r="R80" s="216">
        <v>43.21</v>
      </c>
      <c r="S80" s="216">
        <v>55.4</v>
      </c>
      <c r="T80" s="216">
        <v>5.6660000000000004</v>
      </c>
      <c r="U80" s="84">
        <v>1840</v>
      </c>
      <c r="V80" s="292">
        <f>VLOOKUP($U80,计算辅助页面!$Z$5:$AM$26,COLUMN()-20,0)</f>
        <v>3000</v>
      </c>
      <c r="W80" s="292">
        <f>VLOOKUP($U80,计算辅助页面!$Z$5:$AM$26,COLUMN()-20,0)</f>
        <v>4800</v>
      </c>
      <c r="X80" s="226">
        <f>VLOOKUP($U80,计算辅助页面!$Z$5:$AM$26,COLUMN()-20,0)</f>
        <v>7200</v>
      </c>
      <c r="Y80" s="226">
        <f>VLOOKUP($U80,计算辅助页面!$Z$5:$AM$26,COLUMN()-20,0)</f>
        <v>10400</v>
      </c>
      <c r="Z80" s="293">
        <f>VLOOKUP($U80,计算辅助页面!$Z$5:$AM$26,COLUMN()-20,0)</f>
        <v>14500</v>
      </c>
      <c r="AA80" s="226">
        <f>VLOOKUP($U80,计算辅助页面!$Z$5:$AM$26,COLUMN()-20,0)</f>
        <v>20500</v>
      </c>
      <c r="AB80" s="226">
        <f>VLOOKUP($U80,计算辅助页面!$Z$5:$AM$26,COLUMN()-20,0)</f>
        <v>28500</v>
      </c>
      <c r="AC80" s="226">
        <f>VLOOKUP($U80,计算辅助页面!$Z$5:$AM$26,COLUMN()-20,0)</f>
        <v>40000</v>
      </c>
      <c r="AD80" s="226">
        <f>VLOOKUP($U80,计算辅助页面!$Z$5:$AM$26,COLUMN()-20,0)</f>
        <v>56000</v>
      </c>
      <c r="AE80" s="226" t="str">
        <f>VLOOKUP($U80,计算辅助页面!$Z$5:$AM$26,COLUMN()-20,0)</f>
        <v>×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746960</v>
      </c>
      <c r="AI80" s="267">
        <v>15000</v>
      </c>
      <c r="AJ80" s="260">
        <f>VLOOKUP(D80&amp;E80,计算辅助页面!$V$5:$Y$18,2,0)</f>
        <v>6</v>
      </c>
      <c r="AK80" s="174">
        <f t="shared" si="72"/>
        <v>30000</v>
      </c>
      <c r="AL80" s="174">
        <f>VLOOKUP(D80&amp;E80,计算辅助页面!$V$5:$Y$18,3,0)</f>
        <v>1</v>
      </c>
      <c r="AM80" s="179">
        <f t="shared" si="73"/>
        <v>90000</v>
      </c>
      <c r="AN80" s="179">
        <f>VLOOKUP(D80&amp;E80,计算辅助页面!$V$5:$Y$18,4,0)</f>
        <v>1</v>
      </c>
      <c r="AO80" s="173">
        <f t="shared" si="74"/>
        <v>840000</v>
      </c>
      <c r="AP80" s="195">
        <f t="shared" si="51"/>
        <v>1586960</v>
      </c>
      <c r="AQ80" s="365" t="s">
        <v>567</v>
      </c>
      <c r="AR80" s="366" t="str">
        <f t="shared" si="101"/>
        <v>DB11</v>
      </c>
      <c r="AS80" s="352" t="s">
        <v>603</v>
      </c>
      <c r="AT80" s="353" t="s">
        <v>281</v>
      </c>
      <c r="AU80" s="81" t="s">
        <v>710</v>
      </c>
      <c r="AV80" s="357">
        <v>5</v>
      </c>
      <c r="AW80" s="357">
        <v>354</v>
      </c>
      <c r="AY80" s="357">
        <v>462</v>
      </c>
      <c r="AZ80" s="357" t="s">
        <v>1110</v>
      </c>
      <c r="BA80" s="369"/>
      <c r="BB80" s="369"/>
      <c r="BC80" s="369">
        <v>1</v>
      </c>
      <c r="BD80" s="369">
        <v>1</v>
      </c>
      <c r="BE80" s="369"/>
      <c r="BF80" s="369"/>
      <c r="BG80" s="369"/>
      <c r="BH80" s="369"/>
      <c r="BI80" s="369"/>
      <c r="BJ80" s="369"/>
      <c r="BK80" s="369"/>
      <c r="BL80" s="369"/>
      <c r="BM80" s="369"/>
      <c r="BN80" s="369"/>
      <c r="BO80" s="369"/>
      <c r="BP80" s="369"/>
      <c r="BQ80" s="369"/>
      <c r="BR80" s="369"/>
      <c r="BS80" s="369"/>
      <c r="BT80" s="369">
        <v>1</v>
      </c>
      <c r="BU80" s="387" t="s">
        <v>1147</v>
      </c>
      <c r="BV80" s="326"/>
      <c r="BW80" s="326"/>
      <c r="BX80" s="326"/>
      <c r="BY80" s="367">
        <v>322</v>
      </c>
      <c r="BZ80" s="368">
        <v>66.7</v>
      </c>
      <c r="CA80" s="368">
        <v>38.03</v>
      </c>
      <c r="CB80" s="368">
        <v>43.92</v>
      </c>
      <c r="CC80" s="368">
        <f t="shared" si="75"/>
        <v>18.600000000000023</v>
      </c>
      <c r="CD80" s="368">
        <f t="shared" si="76"/>
        <v>7.5</v>
      </c>
      <c r="CE80" s="368">
        <f t="shared" si="77"/>
        <v>5.18</v>
      </c>
      <c r="CF80" s="368">
        <f t="shared" si="78"/>
        <v>11.479999999999997</v>
      </c>
      <c r="CG80" s="368">
        <f t="shared" si="79"/>
        <v>42.760000000000019</v>
      </c>
      <c r="CH80" s="368">
        <f t="shared" si="80"/>
        <v>39.6248</v>
      </c>
      <c r="CI80" s="42"/>
      <c r="CJ80" s="42"/>
      <c r="CK80" s="42"/>
      <c r="CL80" s="42"/>
    </row>
    <row r="81" spans="1:90" ht="21" customHeight="1">
      <c r="A81" s="80">
        <v>79</v>
      </c>
      <c r="B81" s="49" t="s">
        <v>25</v>
      </c>
      <c r="C81" s="86" t="s">
        <v>768</v>
      </c>
      <c r="D81" s="255" t="s">
        <v>7</v>
      </c>
      <c r="E81" s="247" t="s">
        <v>45</v>
      </c>
      <c r="F81" s="173">
        <f t="shared" si="100"/>
        <v>5</v>
      </c>
      <c r="G81" s="83" t="s">
        <v>67</v>
      </c>
      <c r="H81" s="222">
        <v>30</v>
      </c>
      <c r="I81" s="222">
        <v>18</v>
      </c>
      <c r="J81" s="222">
        <v>24</v>
      </c>
      <c r="K81" s="222">
        <v>36</v>
      </c>
      <c r="L81" s="222" t="s">
        <v>59</v>
      </c>
      <c r="M81" s="222" t="s">
        <v>59</v>
      </c>
      <c r="N81" s="226">
        <f t="shared" si="71"/>
        <v>108</v>
      </c>
      <c r="O81" s="51">
        <v>2500</v>
      </c>
      <c r="P81" s="209">
        <v>341</v>
      </c>
      <c r="Q81" s="216">
        <v>75.55</v>
      </c>
      <c r="R81" s="216">
        <v>49.28</v>
      </c>
      <c r="S81" s="216">
        <v>50.12</v>
      </c>
      <c r="T81" s="216">
        <v>5.1660000000000004</v>
      </c>
      <c r="U81" s="84">
        <v>2880</v>
      </c>
      <c r="V81" s="292">
        <f>VLOOKUP($U81,计算辅助页面!$Z$5:$AM$26,COLUMN()-20,0)</f>
        <v>4700</v>
      </c>
      <c r="W81" s="292">
        <f>VLOOKUP($U81,计算辅助页面!$Z$5:$AM$26,COLUMN()-20,0)</f>
        <v>7500</v>
      </c>
      <c r="X81" s="226">
        <f>VLOOKUP($U81,计算辅助页面!$Z$5:$AM$26,COLUMN()-20,0)</f>
        <v>11300</v>
      </c>
      <c r="Y81" s="226">
        <f>VLOOKUP($U81,计算辅助页面!$Z$5:$AM$26,COLUMN()-20,0)</f>
        <v>16300</v>
      </c>
      <c r="Z81" s="293">
        <f>VLOOKUP($U81,计算辅助页面!$Z$5:$AM$26,COLUMN()-20,0)</f>
        <v>23000</v>
      </c>
      <c r="AA81" s="226">
        <f>VLOOKUP($U81,计算辅助页面!$Z$5:$AM$26,COLUMN()-20,0)</f>
        <v>32000</v>
      </c>
      <c r="AB81" s="226">
        <f>VLOOKUP($U81,计算辅助页面!$Z$5:$AM$26,COLUMN()-20,0)</f>
        <v>44500</v>
      </c>
      <c r="AC81" s="226">
        <f>VLOOKUP($U81,计算辅助页面!$Z$5:$AM$26,COLUMN()-20,0)</f>
        <v>62500</v>
      </c>
      <c r="AD81" s="226">
        <f>VLOOKUP($U81,计算辅助页面!$Z$5:$AM$26,COLUMN()-20,0)</f>
        <v>87500</v>
      </c>
      <c r="AE81" s="226">
        <f>VLOOKUP($U81,计算辅助页面!$Z$5:$AM$26,COLUMN()-20,0)</f>
        <v>122000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1656720</v>
      </c>
      <c r="AI81" s="267">
        <v>20000</v>
      </c>
      <c r="AJ81" s="260">
        <f>VLOOKUP(D81&amp;E81,计算辅助页面!$V$5:$Y$18,2,0)</f>
        <v>6</v>
      </c>
      <c r="AK81" s="174">
        <f t="shared" si="72"/>
        <v>40000</v>
      </c>
      <c r="AL81" s="174">
        <f>VLOOKUP(D81&amp;E81,计算辅助页面!$V$5:$Y$18,3,0)</f>
        <v>4</v>
      </c>
      <c r="AM81" s="179">
        <f t="shared" si="73"/>
        <v>120000</v>
      </c>
      <c r="AN81" s="179">
        <f>VLOOKUP(D81&amp;E81,计算辅助页面!$V$5:$Y$18,4,0)</f>
        <v>2</v>
      </c>
      <c r="AO81" s="173">
        <f t="shared" si="74"/>
        <v>2080000</v>
      </c>
      <c r="AP81" s="195">
        <f t="shared" si="51"/>
        <v>3736720</v>
      </c>
      <c r="AQ81" s="365" t="s">
        <v>596</v>
      </c>
      <c r="AR81" s="366" t="str">
        <f t="shared" si="101"/>
        <v>F-type SVR</v>
      </c>
      <c r="AS81" s="352" t="s">
        <v>603</v>
      </c>
      <c r="AT81" s="353" t="s">
        <v>638</v>
      </c>
      <c r="AU81" s="229" t="s">
        <v>711</v>
      </c>
      <c r="AV81" s="357">
        <v>5</v>
      </c>
      <c r="AW81" s="357">
        <v>355</v>
      </c>
      <c r="AY81" s="357">
        <v>462</v>
      </c>
      <c r="AZ81" s="357" t="s">
        <v>1110</v>
      </c>
      <c r="BA81" s="369"/>
      <c r="BB81" s="369"/>
      <c r="BC81" s="369">
        <v>1</v>
      </c>
      <c r="BD81" s="369">
        <v>1</v>
      </c>
      <c r="BE81" s="369"/>
      <c r="BF81" s="369">
        <v>1</v>
      </c>
      <c r="BG81" s="369"/>
      <c r="BH81" s="369"/>
      <c r="BI81" s="369"/>
      <c r="BJ81" s="369"/>
      <c r="BK81" s="369"/>
      <c r="BL81" s="369"/>
      <c r="BM81" s="369"/>
      <c r="BN81" s="369"/>
      <c r="BO81" s="369"/>
      <c r="BP81" s="369"/>
      <c r="BQ81" s="369"/>
      <c r="BR81" s="369"/>
      <c r="BS81" s="369"/>
      <c r="BT81" s="369">
        <v>1</v>
      </c>
      <c r="BU81" s="387" t="s">
        <v>1159</v>
      </c>
      <c r="BV81" s="326"/>
      <c r="BW81" s="326"/>
      <c r="BX81" s="326"/>
      <c r="BY81" s="367">
        <v>322</v>
      </c>
      <c r="BZ81" s="368">
        <v>66.7</v>
      </c>
      <c r="CA81" s="368">
        <v>43.33</v>
      </c>
      <c r="CB81" s="368">
        <v>34.31</v>
      </c>
      <c r="CC81" s="368">
        <f t="shared" si="75"/>
        <v>19</v>
      </c>
      <c r="CD81" s="368">
        <f t="shared" si="76"/>
        <v>8.8499999999999943</v>
      </c>
      <c r="CE81" s="368">
        <f t="shared" si="77"/>
        <v>5.9500000000000028</v>
      </c>
      <c r="CF81" s="368">
        <f t="shared" si="78"/>
        <v>15.809999999999995</v>
      </c>
      <c r="CG81" s="368">
        <f t="shared" si="79"/>
        <v>49.609999999999992</v>
      </c>
      <c r="CH81" s="368">
        <f t="shared" si="80"/>
        <v>48.527799999999985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1489</v>
      </c>
      <c r="C82" s="86" t="s">
        <v>1490</v>
      </c>
      <c r="D82" s="255" t="s">
        <v>7</v>
      </c>
      <c r="E82" s="247" t="s">
        <v>45</v>
      </c>
      <c r="F82" s="230"/>
      <c r="G82" s="229"/>
      <c r="H82" s="236">
        <v>55</v>
      </c>
      <c r="I82" s="236">
        <v>35</v>
      </c>
      <c r="J82" s="236">
        <v>44</v>
      </c>
      <c r="K82" s="236">
        <v>54</v>
      </c>
      <c r="L82" s="222" t="s">
        <v>59</v>
      </c>
      <c r="M82" s="222" t="s">
        <v>59</v>
      </c>
      <c r="N82" s="226">
        <f t="shared" ref="N82" si="127">IF(COUNTBLANK(H82:M82),"",SUM(H82:M82))</f>
        <v>188</v>
      </c>
      <c r="O82" s="53">
        <v>2576</v>
      </c>
      <c r="P82" s="210">
        <v>338.9</v>
      </c>
      <c r="Q82" s="217">
        <v>73.849999999999994</v>
      </c>
      <c r="R82" s="217">
        <v>43.52</v>
      </c>
      <c r="S82" s="217">
        <v>61.42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128">IF(AI82,2*AI82,"")</f>
        <v>80000</v>
      </c>
      <c r="AL82" s="174">
        <f>VLOOKUP(D82&amp;E82,计算辅助页面!$V$5:$Y$18,3,0)</f>
        <v>4</v>
      </c>
      <c r="AM82" s="193">
        <f t="shared" ref="AM82" si="129">IF(AN82="×",AN82,IF(AI82,6*AI82,""))</f>
        <v>240000</v>
      </c>
      <c r="AN82" s="179">
        <f>VLOOKUP(D82&amp;E82,计算辅助页面!$V$5:$Y$18,4,0)</f>
        <v>2</v>
      </c>
      <c r="AO82" s="173">
        <f t="shared" ref="AO82" si="130">IF(AI82,IF(AN82="×",4*(AI82*AJ82+AK82*AL82),4*(AI82*AJ82+AK82*AL82+AM82*AN82)),"")</f>
        <v>4160000</v>
      </c>
      <c r="AP82" s="195">
        <f t="shared" ref="AP82" si="131">IF(AND(AH82,AO82),AO82+AH82,"")</f>
        <v>7472600</v>
      </c>
      <c r="AQ82" s="365" t="s">
        <v>568</v>
      </c>
      <c r="AR82" s="366" t="str">
        <f t="shared" si="101"/>
        <v>F50</v>
      </c>
      <c r="AS82" s="352" t="s">
        <v>1487</v>
      </c>
      <c r="AT82" s="353" t="s">
        <v>1493</v>
      </c>
      <c r="AU82" s="92" t="s">
        <v>711</v>
      </c>
      <c r="AW82" s="357">
        <v>353</v>
      </c>
      <c r="AY82" s="357">
        <v>459</v>
      </c>
      <c r="AZ82" s="384" t="s">
        <v>1274</v>
      </c>
      <c r="BA82" s="369"/>
      <c r="BB82" s="369"/>
      <c r="BC82" s="369"/>
      <c r="BD82" s="369"/>
      <c r="BE82" s="369"/>
      <c r="BF82" s="369"/>
      <c r="BG82" s="369"/>
      <c r="BH82" s="369"/>
      <c r="BI82" s="369"/>
      <c r="BJ82" s="369"/>
      <c r="BK82" s="369"/>
      <c r="BL82" s="369"/>
      <c r="BM82" s="369"/>
      <c r="BN82" s="369"/>
      <c r="BO82" s="369"/>
      <c r="BP82" s="369"/>
      <c r="BQ82" s="369"/>
      <c r="BR82" s="369"/>
      <c r="BS82" s="369"/>
      <c r="BT82" s="369"/>
      <c r="BU82" s="389" t="s">
        <v>869</v>
      </c>
      <c r="BV82" s="326"/>
      <c r="BW82" s="326"/>
      <c r="BX82" s="326"/>
      <c r="BY82" s="367"/>
      <c r="BZ82" s="368"/>
      <c r="CA82" s="368"/>
      <c r="CB82" s="368"/>
      <c r="CC82" s="368"/>
      <c r="CD82" s="368"/>
      <c r="CE82" s="368"/>
      <c r="CF82" s="368"/>
      <c r="CG82" s="368"/>
      <c r="CH82" s="368"/>
      <c r="CI82" s="42"/>
      <c r="CJ82" s="42"/>
      <c r="CK82" s="42"/>
      <c r="CL82" s="42"/>
    </row>
    <row r="83" spans="1:90" ht="21" customHeight="1">
      <c r="A83" s="80">
        <v>81</v>
      </c>
      <c r="B83" s="49" t="s">
        <v>27</v>
      </c>
      <c r="C83" s="86" t="s">
        <v>769</v>
      </c>
      <c r="D83" s="255" t="s">
        <v>7</v>
      </c>
      <c r="E83" s="247" t="s">
        <v>44</v>
      </c>
      <c r="F83" s="173">
        <f t="shared" si="100"/>
        <v>6</v>
      </c>
      <c r="G83" s="83" t="s">
        <v>64</v>
      </c>
      <c r="H83" s="222">
        <v>40</v>
      </c>
      <c r="I83" s="222">
        <v>30</v>
      </c>
      <c r="J83" s="222">
        <v>70</v>
      </c>
      <c r="K83" s="222" t="s">
        <v>59</v>
      </c>
      <c r="L83" s="222" t="s">
        <v>59</v>
      </c>
      <c r="M83" s="222" t="s">
        <v>59</v>
      </c>
      <c r="N83" s="226">
        <f t="shared" si="71"/>
        <v>140</v>
      </c>
      <c r="O83" s="51">
        <v>2633</v>
      </c>
      <c r="P83" s="209">
        <v>329.7</v>
      </c>
      <c r="Q83" s="216">
        <v>80.209999999999994</v>
      </c>
      <c r="R83" s="216">
        <v>45.2</v>
      </c>
      <c r="S83" s="216">
        <v>56.71</v>
      </c>
      <c r="T83" s="216">
        <v>5.9659999999999993</v>
      </c>
      <c r="U83" s="84">
        <v>1840</v>
      </c>
      <c r="V83" s="292">
        <f>VLOOKUP($U83,计算辅助页面!$Z$5:$AM$26,COLUMN()-20,0)</f>
        <v>3000</v>
      </c>
      <c r="W83" s="292">
        <f>VLOOKUP($U83,计算辅助页面!$Z$5:$AM$26,COLUMN()-20,0)</f>
        <v>4800</v>
      </c>
      <c r="X83" s="226">
        <f>VLOOKUP($U83,计算辅助页面!$Z$5:$AM$26,COLUMN()-20,0)</f>
        <v>7200</v>
      </c>
      <c r="Y83" s="226">
        <f>VLOOKUP($U83,计算辅助页面!$Z$5:$AM$26,COLUMN()-20,0)</f>
        <v>10400</v>
      </c>
      <c r="Z83" s="293">
        <f>VLOOKUP($U83,计算辅助页面!$Z$5:$AM$26,COLUMN()-20,0)</f>
        <v>14500</v>
      </c>
      <c r="AA83" s="226">
        <f>VLOOKUP($U83,计算辅助页面!$Z$5:$AM$26,COLUMN()-20,0)</f>
        <v>20500</v>
      </c>
      <c r="AB83" s="226">
        <f>VLOOKUP($U83,计算辅助页面!$Z$5:$AM$26,COLUMN()-20,0)</f>
        <v>28500</v>
      </c>
      <c r="AC83" s="226">
        <f>VLOOKUP($U83,计算辅助页面!$Z$5:$AM$26,COLUMN()-20,0)</f>
        <v>40000</v>
      </c>
      <c r="AD83" s="226">
        <f>VLOOKUP($U83,计算辅助页面!$Z$5:$AM$26,COLUMN()-20,0)</f>
        <v>56000</v>
      </c>
      <c r="AE83" s="226" t="str">
        <f>VLOOKUP($U83,计算辅助页面!$Z$5:$AM$26,COLUMN()-20,0)</f>
        <v>×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746960</v>
      </c>
      <c r="AI83" s="267">
        <v>15000</v>
      </c>
      <c r="AJ83" s="260">
        <f>VLOOKUP(D83&amp;E83,计算辅助页面!$V$5:$Y$18,2,0)</f>
        <v>6</v>
      </c>
      <c r="AK83" s="174">
        <f t="shared" si="72"/>
        <v>30000</v>
      </c>
      <c r="AL83" s="174">
        <f>VLOOKUP(D83&amp;E83,计算辅助页面!$V$5:$Y$18,3,0)</f>
        <v>1</v>
      </c>
      <c r="AM83" s="179">
        <f t="shared" si="73"/>
        <v>90000</v>
      </c>
      <c r="AN83" s="179">
        <f>VLOOKUP(D83&amp;E83,计算辅助页面!$V$5:$Y$18,4,0)</f>
        <v>1</v>
      </c>
      <c r="AO83" s="173">
        <f t="shared" si="74"/>
        <v>840000</v>
      </c>
      <c r="AP83" s="195">
        <f t="shared" si="51"/>
        <v>1586960</v>
      </c>
      <c r="AQ83" s="365" t="s">
        <v>1061</v>
      </c>
      <c r="AR83" s="366" t="str">
        <f t="shared" si="101"/>
        <v>W70</v>
      </c>
      <c r="AS83" s="352" t="s">
        <v>603</v>
      </c>
      <c r="AT83" s="353" t="s">
        <v>283</v>
      </c>
      <c r="AU83" s="81" t="s">
        <v>710</v>
      </c>
      <c r="AV83" s="357">
        <v>6</v>
      </c>
      <c r="AW83" s="357">
        <v>342</v>
      </c>
      <c r="AY83" s="357">
        <v>441</v>
      </c>
      <c r="AZ83" s="357" t="s">
        <v>1110</v>
      </c>
      <c r="BA83" s="369"/>
      <c r="BB83" s="369"/>
      <c r="BC83" s="369">
        <v>1</v>
      </c>
      <c r="BD83" s="369">
        <v>1</v>
      </c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>
        <v>1</v>
      </c>
      <c r="BU83" s="387" t="s">
        <v>1102</v>
      </c>
      <c r="BV83" s="326"/>
      <c r="BW83" s="326"/>
      <c r="BX83" s="326"/>
      <c r="BY83" s="367">
        <v>313</v>
      </c>
      <c r="BZ83" s="368">
        <v>73.900000000000006</v>
      </c>
      <c r="CA83" s="368">
        <v>40.46</v>
      </c>
      <c r="CB83" s="368">
        <v>43.05</v>
      </c>
      <c r="CC83" s="368">
        <f t="shared" si="75"/>
        <v>16.699999999999989</v>
      </c>
      <c r="CD83" s="368">
        <f t="shared" si="76"/>
        <v>6.3099999999999881</v>
      </c>
      <c r="CE83" s="368">
        <f t="shared" si="77"/>
        <v>4.740000000000002</v>
      </c>
      <c r="CF83" s="368">
        <f t="shared" si="78"/>
        <v>13.660000000000004</v>
      </c>
      <c r="CG83" s="368">
        <f t="shared" si="79"/>
        <v>41.409999999999982</v>
      </c>
      <c r="CH83" s="368">
        <f t="shared" si="80"/>
        <v>39.227499999999978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443</v>
      </c>
      <c r="C84" s="86" t="s">
        <v>770</v>
      </c>
      <c r="D84" s="255" t="s">
        <v>7</v>
      </c>
      <c r="E84" s="247" t="s">
        <v>45</v>
      </c>
      <c r="F84" s="173">
        <f t="shared" si="100"/>
        <v>5</v>
      </c>
      <c r="G84" s="83" t="s">
        <v>67</v>
      </c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si="71"/>
        <v>188</v>
      </c>
      <c r="O84" s="53">
        <v>2735</v>
      </c>
      <c r="P84" s="210">
        <v>329.8</v>
      </c>
      <c r="Q84" s="217">
        <v>75.150000000000006</v>
      </c>
      <c r="R84" s="217">
        <v>53.7</v>
      </c>
      <c r="S84" s="217">
        <v>68.88</v>
      </c>
      <c r="T84" s="310">
        <v>7.95</v>
      </c>
      <c r="U84" s="85">
        <v>5750</v>
      </c>
      <c r="V84" s="294">
        <f>VLOOKUP($U84,计算辅助页面!$Z$5:$AM$26,COLUMN()-20,0)</f>
        <v>9400</v>
      </c>
      <c r="W84" s="294">
        <f>VLOOKUP($U84,计算辅助页面!$Z$5:$AM$26,COLUMN()-20,0)</f>
        <v>15000</v>
      </c>
      <c r="X84" s="243">
        <f>VLOOKUP($U84,计算辅助页面!$Z$5:$AM$26,COLUMN()-20,0)</f>
        <v>22500</v>
      </c>
      <c r="Y84" s="243">
        <f>VLOOKUP($U84,计算辅助页面!$Z$5:$AM$26,COLUMN()-20,0)</f>
        <v>32500</v>
      </c>
      <c r="Z84" s="303">
        <f>VLOOKUP($U84,计算辅助页面!$Z$5:$AM$26,COLUMN()-20,0)</f>
        <v>45500</v>
      </c>
      <c r="AA84" s="243">
        <f>VLOOKUP($U84,计算辅助页面!$Z$5:$AM$26,COLUMN()-20,0)</f>
        <v>63500</v>
      </c>
      <c r="AB84" s="243">
        <f>VLOOKUP($U84,计算辅助页面!$Z$5:$AM$26,COLUMN()-20,0)</f>
        <v>89000</v>
      </c>
      <c r="AC84" s="243">
        <f>VLOOKUP($U84,计算辅助页面!$Z$5:$AM$26,COLUMN()-20,0)</f>
        <v>125000</v>
      </c>
      <c r="AD84" s="243">
        <f>VLOOKUP($U84,计算辅助页面!$Z$5:$AM$26,COLUMN()-20,0)</f>
        <v>175000</v>
      </c>
      <c r="AE84" s="243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89">
        <f t="shared" si="72"/>
        <v>80000</v>
      </c>
      <c r="AL84" s="174">
        <f>VLOOKUP(D84&amp;E84,计算辅助页面!$V$5:$Y$18,3,0)</f>
        <v>4</v>
      </c>
      <c r="AM84" s="193">
        <f t="shared" si="73"/>
        <v>240000</v>
      </c>
      <c r="AN84" s="179">
        <f>VLOOKUP(D84&amp;E84,计算辅助页面!$V$5:$Y$18,4,0)</f>
        <v>2</v>
      </c>
      <c r="AO84" s="173">
        <f t="shared" si="74"/>
        <v>4160000</v>
      </c>
      <c r="AP84" s="195">
        <f t="shared" si="51"/>
        <v>7472600</v>
      </c>
      <c r="AQ84" s="365" t="s">
        <v>562</v>
      </c>
      <c r="AR84" s="366" t="str">
        <f t="shared" si="101"/>
        <v>911 GT1 Evolution</v>
      </c>
      <c r="AS84" s="352" t="s">
        <v>957</v>
      </c>
      <c r="AT84" s="353" t="s">
        <v>629</v>
      </c>
      <c r="AU84" s="229" t="s">
        <v>711</v>
      </c>
      <c r="AW84" s="357">
        <v>343</v>
      </c>
      <c r="AY84" s="357">
        <v>443</v>
      </c>
      <c r="AZ84" s="357" t="s">
        <v>1113</v>
      </c>
      <c r="BA84" s="369"/>
      <c r="BB84" s="369"/>
      <c r="BC84" s="369"/>
      <c r="BD84" s="369"/>
      <c r="BE84" s="369"/>
      <c r="BF84" s="369">
        <v>1</v>
      </c>
      <c r="BG84" s="369"/>
      <c r="BH84" s="369"/>
      <c r="BI84" s="369"/>
      <c r="BJ84" s="369"/>
      <c r="BK84" s="369"/>
      <c r="BL84" s="369"/>
      <c r="BM84" s="369"/>
      <c r="BN84" s="369"/>
      <c r="BO84" s="369"/>
      <c r="BP84" s="369"/>
      <c r="BQ84" s="369"/>
      <c r="BR84" s="369"/>
      <c r="BS84" s="369"/>
      <c r="BT84" s="369"/>
      <c r="BU84" s="387" t="s">
        <v>1132</v>
      </c>
      <c r="BV84" s="326"/>
      <c r="BW84" s="326"/>
      <c r="BX84" s="326"/>
      <c r="BY84" s="367">
        <v>310</v>
      </c>
      <c r="BZ84" s="368">
        <v>66.7</v>
      </c>
      <c r="CA84" s="368">
        <v>45.1</v>
      </c>
      <c r="CB84" s="368">
        <v>55.86</v>
      </c>
      <c r="CC84" s="368">
        <f t="shared" si="75"/>
        <v>19.800000000000011</v>
      </c>
      <c r="CD84" s="368">
        <f t="shared" si="76"/>
        <v>8.4500000000000028</v>
      </c>
      <c r="CE84" s="368">
        <f t="shared" si="77"/>
        <v>8.6000000000000014</v>
      </c>
      <c r="CF84" s="368">
        <f t="shared" si="78"/>
        <v>13.019999999999996</v>
      </c>
      <c r="CG84" s="368">
        <f t="shared" si="79"/>
        <v>49.870000000000012</v>
      </c>
      <c r="CH84" s="368">
        <f t="shared" si="80"/>
        <v>47.507100000000001</v>
      </c>
      <c r="CI84" s="42"/>
      <c r="CJ84" s="42"/>
      <c r="CK84" s="42"/>
      <c r="CL84" s="42"/>
    </row>
    <row r="85" spans="1:90" ht="21" customHeight="1">
      <c r="A85" s="80">
        <v>83</v>
      </c>
      <c r="B85" s="49" t="s">
        <v>28</v>
      </c>
      <c r="C85" s="86" t="s">
        <v>771</v>
      </c>
      <c r="D85" s="255" t="s">
        <v>7</v>
      </c>
      <c r="E85" s="247" t="s">
        <v>45</v>
      </c>
      <c r="F85" s="173">
        <f t="shared" si="100"/>
        <v>5</v>
      </c>
      <c r="G85" s="83" t="s">
        <v>67</v>
      </c>
      <c r="H85" s="222">
        <v>35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71"/>
        <v>113</v>
      </c>
      <c r="O85" s="51">
        <v>2816</v>
      </c>
      <c r="P85" s="209">
        <v>362.8</v>
      </c>
      <c r="Q85" s="216">
        <v>79.150000000000006</v>
      </c>
      <c r="R85" s="216">
        <v>34.36</v>
      </c>
      <c r="S85" s="216">
        <v>54.49</v>
      </c>
      <c r="T85" s="216">
        <v>5.35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72"/>
        <v>40000</v>
      </c>
      <c r="AL85" s="174">
        <f>VLOOKUP(D85&amp;E85,计算辅助页面!$V$5:$Y$18,3,0)</f>
        <v>4</v>
      </c>
      <c r="AM85" s="179">
        <f t="shared" si="73"/>
        <v>120000</v>
      </c>
      <c r="AN85" s="179">
        <f>VLOOKUP(D85&amp;E85,计算辅助页面!$V$5:$Y$18,4,0)</f>
        <v>2</v>
      </c>
      <c r="AO85" s="173">
        <f t="shared" si="74"/>
        <v>2080000</v>
      </c>
      <c r="AP85" s="195">
        <f t="shared" si="51"/>
        <v>3736720</v>
      </c>
      <c r="AQ85" s="365" t="s">
        <v>564</v>
      </c>
      <c r="AR85" s="366" t="str">
        <f t="shared" si="101"/>
        <v>GT</v>
      </c>
      <c r="AS85" s="352" t="s">
        <v>603</v>
      </c>
      <c r="AT85" s="353" t="s">
        <v>657</v>
      </c>
      <c r="AU85" s="229" t="s">
        <v>711</v>
      </c>
      <c r="AV85" s="357">
        <v>7</v>
      </c>
      <c r="AW85" s="357">
        <v>377</v>
      </c>
      <c r="AY85" s="357">
        <v>500</v>
      </c>
      <c r="AZ85" s="357" t="s">
        <v>1110</v>
      </c>
      <c r="BA85" s="369"/>
      <c r="BB85" s="369"/>
      <c r="BC85" s="369">
        <v>1</v>
      </c>
      <c r="BD85" s="369">
        <v>1</v>
      </c>
      <c r="BE85" s="369"/>
      <c r="BF85" s="369">
        <v>1</v>
      </c>
      <c r="BG85" s="369"/>
      <c r="BH85" s="369"/>
      <c r="BI85" s="369"/>
      <c r="BJ85" s="369"/>
      <c r="BK85" s="369"/>
      <c r="BL85" s="369"/>
      <c r="BM85" s="369"/>
      <c r="BN85" s="369"/>
      <c r="BO85" s="369"/>
      <c r="BP85" s="369"/>
      <c r="BQ85" s="369"/>
      <c r="BR85" s="369"/>
      <c r="BS85" s="369"/>
      <c r="BT85" s="369">
        <v>1</v>
      </c>
      <c r="BU85" s="387" t="s">
        <v>1160</v>
      </c>
      <c r="BV85" s="326"/>
      <c r="BW85" s="326"/>
      <c r="BX85" s="326"/>
      <c r="BY85" s="367">
        <v>348</v>
      </c>
      <c r="BZ85" s="368">
        <v>70.3</v>
      </c>
      <c r="CA85" s="368">
        <v>29.92</v>
      </c>
      <c r="CB85" s="368">
        <v>38.29</v>
      </c>
      <c r="CC85" s="368">
        <f t="shared" si="75"/>
        <v>14.800000000000011</v>
      </c>
      <c r="CD85" s="368">
        <f t="shared" si="76"/>
        <v>8.8500000000000085</v>
      </c>
      <c r="CE85" s="368">
        <f t="shared" si="77"/>
        <v>4.4399999999999977</v>
      </c>
      <c r="CF85" s="368">
        <f t="shared" si="78"/>
        <v>16.200000000000003</v>
      </c>
      <c r="CG85" s="368">
        <f t="shared" si="79"/>
        <v>44.29000000000002</v>
      </c>
      <c r="CH85" s="368">
        <f t="shared" si="80"/>
        <v>45.976700000000022</v>
      </c>
      <c r="CI85" s="42"/>
      <c r="CJ85" s="42"/>
      <c r="CK85" s="42"/>
      <c r="CL85" s="42"/>
    </row>
    <row r="86" spans="1:90" ht="21" customHeight="1" thickBot="1">
      <c r="A86" s="48">
        <v>84</v>
      </c>
      <c r="B86" s="49" t="s">
        <v>29</v>
      </c>
      <c r="C86" s="86" t="s">
        <v>772</v>
      </c>
      <c r="D86" s="255" t="s">
        <v>7</v>
      </c>
      <c r="E86" s="247" t="s">
        <v>45</v>
      </c>
      <c r="F86" s="173">
        <f t="shared" si="100"/>
        <v>5</v>
      </c>
      <c r="G86" s="83" t="s">
        <v>67</v>
      </c>
      <c r="H86" s="222">
        <v>40</v>
      </c>
      <c r="I86" s="222">
        <v>18</v>
      </c>
      <c r="J86" s="222">
        <v>24</v>
      </c>
      <c r="K86" s="222">
        <v>36</v>
      </c>
      <c r="L86" s="222" t="s">
        <v>59</v>
      </c>
      <c r="M86" s="222" t="s">
        <v>59</v>
      </c>
      <c r="N86" s="226">
        <f t="shared" si="71"/>
        <v>118</v>
      </c>
      <c r="O86" s="51">
        <v>2983</v>
      </c>
      <c r="P86" s="209">
        <v>336.6</v>
      </c>
      <c r="Q86" s="216">
        <v>81.05</v>
      </c>
      <c r="R86" s="216">
        <v>45.56</v>
      </c>
      <c r="S86" s="216">
        <v>68.209999999999994</v>
      </c>
      <c r="T86" s="216">
        <v>7.6159999999999997</v>
      </c>
      <c r="U86" s="84">
        <v>2880</v>
      </c>
      <c r="V86" s="292">
        <f>VLOOKUP($U86,计算辅助页面!$Z$5:$AM$26,COLUMN()-20,0)</f>
        <v>4700</v>
      </c>
      <c r="W86" s="292">
        <f>VLOOKUP($U86,计算辅助页面!$Z$5:$AM$26,COLUMN()-20,0)</f>
        <v>7500</v>
      </c>
      <c r="X86" s="226">
        <f>VLOOKUP($U86,计算辅助页面!$Z$5:$AM$26,COLUMN()-20,0)</f>
        <v>11300</v>
      </c>
      <c r="Y86" s="226">
        <f>VLOOKUP($U86,计算辅助页面!$Z$5:$AM$26,COLUMN()-20,0)</f>
        <v>16300</v>
      </c>
      <c r="Z86" s="293">
        <f>VLOOKUP($U86,计算辅助页面!$Z$5:$AM$26,COLUMN()-20,0)</f>
        <v>23000</v>
      </c>
      <c r="AA86" s="226">
        <f>VLOOKUP($U86,计算辅助页面!$Z$5:$AM$26,COLUMN()-20,0)</f>
        <v>32000</v>
      </c>
      <c r="AB86" s="226">
        <f>VLOOKUP($U86,计算辅助页面!$Z$5:$AM$26,COLUMN()-20,0)</f>
        <v>44500</v>
      </c>
      <c r="AC86" s="226">
        <f>VLOOKUP($U86,计算辅助页面!$Z$5:$AM$26,COLUMN()-20,0)</f>
        <v>62500</v>
      </c>
      <c r="AD86" s="226">
        <f>VLOOKUP($U86,计算辅助页面!$Z$5:$AM$26,COLUMN()-20,0)</f>
        <v>87500</v>
      </c>
      <c r="AE86" s="226">
        <f>VLOOKUP($U86,计算辅助页面!$Z$5:$AM$26,COLUMN()-20,0)</f>
        <v>122000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1656720</v>
      </c>
      <c r="AI86" s="267">
        <v>20000</v>
      </c>
      <c r="AJ86" s="260">
        <f>VLOOKUP(D86&amp;E86,计算辅助页面!$V$5:$Y$18,2,0)</f>
        <v>6</v>
      </c>
      <c r="AK86" s="174">
        <f t="shared" si="72"/>
        <v>40000</v>
      </c>
      <c r="AL86" s="174">
        <f>VLOOKUP(D86&amp;E86,计算辅助页面!$V$5:$Y$18,3,0)</f>
        <v>4</v>
      </c>
      <c r="AM86" s="179">
        <f t="shared" si="73"/>
        <v>120000</v>
      </c>
      <c r="AN86" s="179">
        <f>VLOOKUP(D86&amp;E86,计算辅助页面!$V$5:$Y$18,4,0)</f>
        <v>2</v>
      </c>
      <c r="AO86" s="173">
        <f t="shared" si="74"/>
        <v>2080000</v>
      </c>
      <c r="AP86" s="195">
        <f t="shared" si="51"/>
        <v>3736720</v>
      </c>
      <c r="AQ86" s="365" t="s">
        <v>566</v>
      </c>
      <c r="AR86" s="366" t="str">
        <f t="shared" si="101"/>
        <v>Asterion</v>
      </c>
      <c r="AS86" s="352" t="s">
        <v>603</v>
      </c>
      <c r="AT86" s="353" t="s">
        <v>631</v>
      </c>
      <c r="AU86" s="229" t="s">
        <v>711</v>
      </c>
      <c r="AW86" s="357">
        <v>350</v>
      </c>
      <c r="AY86" s="357">
        <v>455</v>
      </c>
      <c r="AZ86" s="357" t="s">
        <v>1118</v>
      </c>
      <c r="BA86" s="369"/>
      <c r="BB86" s="369">
        <v>1</v>
      </c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>
        <v>1</v>
      </c>
      <c r="BR86" s="369"/>
      <c r="BS86" s="369"/>
      <c r="BT86" s="369"/>
      <c r="BU86" s="388" t="s">
        <v>1300</v>
      </c>
      <c r="BV86" s="326">
        <v>1</v>
      </c>
      <c r="BW86" s="326"/>
      <c r="BX86" s="326"/>
      <c r="BY86" s="367">
        <v>320</v>
      </c>
      <c r="BZ86" s="368">
        <v>73</v>
      </c>
      <c r="CA86" s="368">
        <v>37.51</v>
      </c>
      <c r="CB86" s="368">
        <v>58.07</v>
      </c>
      <c r="CC86" s="368">
        <f t="shared" si="75"/>
        <v>16.600000000000023</v>
      </c>
      <c r="CD86" s="368">
        <f t="shared" si="76"/>
        <v>8.0499999999999972</v>
      </c>
      <c r="CE86" s="368">
        <f t="shared" si="77"/>
        <v>8.0500000000000043</v>
      </c>
      <c r="CF86" s="368">
        <f t="shared" si="78"/>
        <v>10.139999999999993</v>
      </c>
      <c r="CG86" s="368">
        <f t="shared" si="79"/>
        <v>42.840000000000018</v>
      </c>
      <c r="CH86" s="368">
        <f t="shared" si="80"/>
        <v>41.475200000000001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893</v>
      </c>
      <c r="C87" s="86" t="s">
        <v>894</v>
      </c>
      <c r="D87" s="255" t="s">
        <v>7</v>
      </c>
      <c r="E87" s="247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si="71"/>
        <v>188</v>
      </c>
      <c r="O87" s="53">
        <v>3069</v>
      </c>
      <c r="P87" s="210">
        <v>331.7</v>
      </c>
      <c r="Q87" s="217">
        <v>77.45</v>
      </c>
      <c r="R87" s="217">
        <v>60.49</v>
      </c>
      <c r="S87" s="217">
        <v>66.78</v>
      </c>
      <c r="T87" s="217">
        <v>7.33</v>
      </c>
      <c r="U87" s="85">
        <v>5750</v>
      </c>
      <c r="V87" s="292">
        <f>VLOOKUP($U87,计算辅助页面!$Z$5:$AM$26,COLUMN()-20,0)</f>
        <v>9400</v>
      </c>
      <c r="W87" s="292">
        <f>VLOOKUP($U87,计算辅助页面!$Z$5:$AM$26,COLUMN()-20,0)</f>
        <v>15000</v>
      </c>
      <c r="X87" s="226">
        <f>VLOOKUP($U87,计算辅助页面!$Z$5:$AM$26,COLUMN()-20,0)</f>
        <v>22500</v>
      </c>
      <c r="Y87" s="226">
        <f>VLOOKUP($U87,计算辅助页面!$Z$5:$AM$26,COLUMN()-20,0)</f>
        <v>32500</v>
      </c>
      <c r="Z87" s="293">
        <f>VLOOKUP($U87,计算辅助页面!$Z$5:$AM$26,COLUMN()-20,0)</f>
        <v>45500</v>
      </c>
      <c r="AA87" s="226">
        <f>VLOOKUP($U87,计算辅助页面!$Z$5:$AM$26,COLUMN()-20,0)</f>
        <v>63500</v>
      </c>
      <c r="AB87" s="226">
        <f>VLOOKUP($U87,计算辅助页面!$Z$5:$AM$26,COLUMN()-20,0)</f>
        <v>89000</v>
      </c>
      <c r="AC87" s="226">
        <f>VLOOKUP($U87,计算辅助页面!$Z$5:$AM$26,COLUMN()-20,0)</f>
        <v>125000</v>
      </c>
      <c r="AD87" s="226">
        <f>VLOOKUP($U87,计算辅助页面!$Z$5:$AM$26,COLUMN()-20,0)</f>
        <v>175000</v>
      </c>
      <c r="AE87" s="226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74">
        <f t="shared" si="72"/>
        <v>80000</v>
      </c>
      <c r="AL87" s="174">
        <f>VLOOKUP(D87&amp;E87,计算辅助页面!$V$5:$Y$18,3,0)</f>
        <v>4</v>
      </c>
      <c r="AM87" s="179">
        <f t="shared" si="73"/>
        <v>240000</v>
      </c>
      <c r="AN87" s="179">
        <f>VLOOKUP(D87&amp;E87,计算辅助页面!$V$5:$Y$18,4,0)</f>
        <v>2</v>
      </c>
      <c r="AO87" s="173">
        <f t="shared" si="74"/>
        <v>4160000</v>
      </c>
      <c r="AP87" s="195">
        <f t="shared" si="51"/>
        <v>7472600</v>
      </c>
      <c r="AQ87" s="365" t="s">
        <v>895</v>
      </c>
      <c r="AR87" s="366" t="str">
        <f t="shared" si="101"/>
        <v>Roma</v>
      </c>
      <c r="AS87" s="352" t="s">
        <v>905</v>
      </c>
      <c r="AT87" s="353" t="s">
        <v>913</v>
      </c>
      <c r="AU87" s="229" t="s">
        <v>711</v>
      </c>
      <c r="AW87" s="357">
        <v>345</v>
      </c>
      <c r="AY87" s="357">
        <v>446</v>
      </c>
      <c r="AZ87" s="357" t="s">
        <v>1113</v>
      </c>
      <c r="BA87" s="369"/>
      <c r="BB87" s="369"/>
      <c r="BC87" s="369"/>
      <c r="BD87" s="369"/>
      <c r="BE87" s="369"/>
      <c r="BF87" s="369">
        <v>1</v>
      </c>
      <c r="BG87" s="369"/>
      <c r="BH87" s="369"/>
      <c r="BI87" s="369"/>
      <c r="BJ87" s="369"/>
      <c r="BK87" s="369"/>
      <c r="BL87" s="369"/>
      <c r="BM87" s="369"/>
      <c r="BN87" s="369"/>
      <c r="BO87" s="369"/>
      <c r="BP87" s="369"/>
      <c r="BQ87" s="369"/>
      <c r="BR87" s="369"/>
      <c r="BS87" s="369"/>
      <c r="BT87" s="369"/>
      <c r="BU87" s="387" t="s">
        <v>1161</v>
      </c>
      <c r="BV87" s="326"/>
      <c r="BW87" s="326"/>
      <c r="BX87" s="326"/>
      <c r="BY87" s="367">
        <v>320</v>
      </c>
      <c r="BZ87" s="368">
        <v>69.400000000000006</v>
      </c>
      <c r="CA87" s="368">
        <v>46.11</v>
      </c>
      <c r="CB87" s="368">
        <v>51.38</v>
      </c>
      <c r="CC87" s="368">
        <f t="shared" si="75"/>
        <v>11.699999999999989</v>
      </c>
      <c r="CD87" s="368">
        <f t="shared" si="76"/>
        <v>8.0499999999999972</v>
      </c>
      <c r="CE87" s="368">
        <f t="shared" si="77"/>
        <v>14.380000000000003</v>
      </c>
      <c r="CF87" s="368">
        <f t="shared" si="78"/>
        <v>15.399999999999999</v>
      </c>
      <c r="CG87" s="368">
        <f t="shared" si="79"/>
        <v>49.529999999999987</v>
      </c>
      <c r="CH87" s="368">
        <f t="shared" si="80"/>
        <v>53.792899999999989</v>
      </c>
      <c r="CI87" s="42"/>
      <c r="CJ87" s="42"/>
      <c r="CK87" s="42"/>
      <c r="CL87" s="42"/>
    </row>
    <row r="88" spans="1:90" ht="21" customHeight="1" thickBot="1">
      <c r="A88" s="48">
        <v>86</v>
      </c>
      <c r="B88" s="52" t="s">
        <v>1270</v>
      </c>
      <c r="C88" s="86" t="s">
        <v>1271</v>
      </c>
      <c r="D88" s="255" t="s">
        <v>7</v>
      </c>
      <c r="E88" s="247" t="s">
        <v>45</v>
      </c>
      <c r="F88" s="230"/>
      <c r="G88" s="229"/>
      <c r="H88" s="236">
        <v>55</v>
      </c>
      <c r="I88" s="236">
        <v>35</v>
      </c>
      <c r="J88" s="236">
        <v>44</v>
      </c>
      <c r="K88" s="236">
        <v>54</v>
      </c>
      <c r="L88" s="222" t="s">
        <v>59</v>
      </c>
      <c r="M88" s="222" t="s">
        <v>59</v>
      </c>
      <c r="N88" s="226">
        <f t="shared" ref="N88" si="132">IF(COUNTBLANK(H88:M88),"",SUM(H88:M88))</f>
        <v>188</v>
      </c>
      <c r="O88" s="53">
        <v>3112</v>
      </c>
      <c r="P88" s="210">
        <v>337</v>
      </c>
      <c r="Q88" s="217">
        <v>78.73</v>
      </c>
      <c r="R88" s="217">
        <v>50.41</v>
      </c>
      <c r="S88" s="217">
        <v>59.6</v>
      </c>
      <c r="T88" s="217"/>
      <c r="U88" s="85">
        <v>5750</v>
      </c>
      <c r="V88" s="292">
        <f>VLOOKUP($U88,计算辅助页面!$Z$5:$AM$26,COLUMN()-20,0)</f>
        <v>9400</v>
      </c>
      <c r="W88" s="292">
        <f>VLOOKUP($U88,计算辅助页面!$Z$5:$AM$26,COLUMN()-20,0)</f>
        <v>15000</v>
      </c>
      <c r="X88" s="226">
        <f>VLOOKUP($U88,计算辅助页面!$Z$5:$AM$26,COLUMN()-20,0)</f>
        <v>22500</v>
      </c>
      <c r="Y88" s="226">
        <f>VLOOKUP($U88,计算辅助页面!$Z$5:$AM$26,COLUMN()-20,0)</f>
        <v>32500</v>
      </c>
      <c r="Z88" s="293">
        <f>VLOOKUP($U88,计算辅助页面!$Z$5:$AM$26,COLUMN()-20,0)</f>
        <v>45500</v>
      </c>
      <c r="AA88" s="226">
        <f>VLOOKUP($U88,计算辅助页面!$Z$5:$AM$26,COLUMN()-20,0)</f>
        <v>63500</v>
      </c>
      <c r="AB88" s="226">
        <f>VLOOKUP($U88,计算辅助页面!$Z$5:$AM$26,COLUMN()-20,0)</f>
        <v>89000</v>
      </c>
      <c r="AC88" s="226">
        <f>VLOOKUP($U88,计算辅助页面!$Z$5:$AM$26,COLUMN()-20,0)</f>
        <v>125000</v>
      </c>
      <c r="AD88" s="226">
        <f>VLOOKUP($U88,计算辅助页面!$Z$5:$AM$26,COLUMN()-20,0)</f>
        <v>175000</v>
      </c>
      <c r="AE88" s="226">
        <f>VLOOKUP($U88,计算辅助页面!$Z$5:$AM$26,COLUMN()-20,0)</f>
        <v>245000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3312600</v>
      </c>
      <c r="AI88" s="268">
        <v>40000</v>
      </c>
      <c r="AJ88" s="260">
        <f>VLOOKUP(D88&amp;E88,计算辅助页面!$V$5:$Y$18,2,0)</f>
        <v>6</v>
      </c>
      <c r="AK88" s="174">
        <f t="shared" ref="AK88" si="133">IF(AI88,2*AI88,"")</f>
        <v>80000</v>
      </c>
      <c r="AL88" s="174">
        <f>VLOOKUP(D88&amp;E88,计算辅助页面!$V$5:$Y$18,3,0)</f>
        <v>4</v>
      </c>
      <c r="AM88" s="179">
        <f t="shared" ref="AM88" si="134">IF(AN88="×",AN88,IF(AI88,6*AI88,""))</f>
        <v>240000</v>
      </c>
      <c r="AN88" s="179">
        <f>VLOOKUP(D88&amp;E88,计算辅助页面!$V$5:$Y$18,4,0)</f>
        <v>2</v>
      </c>
      <c r="AO88" s="173">
        <f t="shared" ref="AO88" si="135">IF(AI88,IF(AN88="×",4*(AI88*AJ88+AK88*AL88),4*(AI88*AJ88+AK88*AL88+AM88*AN88)),"")</f>
        <v>4160000</v>
      </c>
      <c r="AP88" s="195">
        <f t="shared" si="51"/>
        <v>7472600</v>
      </c>
      <c r="AQ88" s="365" t="s">
        <v>1272</v>
      </c>
      <c r="AR88" s="366" t="str">
        <f t="shared" si="101"/>
        <v>AF10</v>
      </c>
      <c r="AS88" s="352" t="s">
        <v>1268</v>
      </c>
      <c r="AT88" s="353" t="s">
        <v>1273</v>
      </c>
      <c r="AU88" s="229" t="s">
        <v>711</v>
      </c>
      <c r="AW88" s="357">
        <v>351</v>
      </c>
      <c r="AY88" s="357">
        <v>455</v>
      </c>
      <c r="AZ88" s="357" t="s">
        <v>1274</v>
      </c>
      <c r="BA88" s="369"/>
      <c r="BB88" s="369"/>
      <c r="BC88" s="369"/>
      <c r="BD88" s="369"/>
      <c r="BE88" s="369"/>
      <c r="BF88" s="369"/>
      <c r="BG88" s="369"/>
      <c r="BH88" s="369"/>
      <c r="BI88" s="369"/>
      <c r="BJ88" s="369"/>
      <c r="BK88" s="369"/>
      <c r="BL88" s="369"/>
      <c r="BM88" s="369"/>
      <c r="BN88" s="369"/>
      <c r="BO88" s="369"/>
      <c r="BP88" s="369"/>
      <c r="BQ88" s="369"/>
      <c r="BR88" s="369"/>
      <c r="BS88" s="369"/>
      <c r="BT88" s="369"/>
      <c r="BU88" s="389" t="s">
        <v>1271</v>
      </c>
      <c r="BV88" s="326"/>
      <c r="BW88" s="326"/>
      <c r="BX88" s="326"/>
      <c r="BY88" s="367"/>
      <c r="BZ88" s="368"/>
      <c r="CA88" s="368"/>
      <c r="CB88" s="368"/>
      <c r="CC88" s="368"/>
      <c r="CD88" s="368"/>
      <c r="CE88" s="368"/>
      <c r="CF88" s="368"/>
      <c r="CG88" s="368"/>
      <c r="CH88" s="368"/>
      <c r="CI88" s="42"/>
      <c r="CJ88" s="42"/>
      <c r="CK88" s="42"/>
      <c r="CL88" s="42"/>
    </row>
    <row r="89" spans="1:90" ht="21" customHeight="1">
      <c r="A89" s="80">
        <v>87</v>
      </c>
      <c r="B89" s="49" t="s">
        <v>30</v>
      </c>
      <c r="C89" s="86" t="s">
        <v>773</v>
      </c>
      <c r="D89" s="255" t="s">
        <v>7</v>
      </c>
      <c r="E89" s="252" t="s">
        <v>45</v>
      </c>
      <c r="F89" s="173">
        <f>9-LEN(E89)-LEN(SUBSTITUTE(E89,"★",""))</f>
        <v>5</v>
      </c>
      <c r="G89" s="83" t="s">
        <v>66</v>
      </c>
      <c r="H89" s="222">
        <v>40</v>
      </c>
      <c r="I89" s="222">
        <v>18</v>
      </c>
      <c r="J89" s="222">
        <v>24</v>
      </c>
      <c r="K89" s="222">
        <v>36</v>
      </c>
      <c r="L89" s="222" t="s">
        <v>59</v>
      </c>
      <c r="M89" s="222" t="s">
        <v>59</v>
      </c>
      <c r="N89" s="226">
        <f t="shared" si="71"/>
        <v>118</v>
      </c>
      <c r="O89" s="51">
        <v>3115</v>
      </c>
      <c r="P89" s="209">
        <v>368</v>
      </c>
      <c r="Q89" s="216">
        <v>76.55</v>
      </c>
      <c r="R89" s="216">
        <v>36.14</v>
      </c>
      <c r="S89" s="216">
        <v>61.1</v>
      </c>
      <c r="T89" s="216">
        <v>5.9329999999999998</v>
      </c>
      <c r="U89" s="84">
        <v>2880</v>
      </c>
      <c r="V89" s="292">
        <f>VLOOKUP($U89,计算辅助页面!$Z$5:$AM$26,COLUMN()-20,0)</f>
        <v>4700</v>
      </c>
      <c r="W89" s="292">
        <f>VLOOKUP($U89,计算辅助页面!$Z$5:$AM$26,COLUMN()-20,0)</f>
        <v>7500</v>
      </c>
      <c r="X89" s="226">
        <f>VLOOKUP($U89,计算辅助页面!$Z$5:$AM$26,COLUMN()-20,0)</f>
        <v>11300</v>
      </c>
      <c r="Y89" s="226">
        <f>VLOOKUP($U89,计算辅助页面!$Z$5:$AM$26,COLUMN()-20,0)</f>
        <v>16300</v>
      </c>
      <c r="Z89" s="293">
        <f>VLOOKUP($U89,计算辅助页面!$Z$5:$AM$26,COLUMN()-20,0)</f>
        <v>23000</v>
      </c>
      <c r="AA89" s="226">
        <f>VLOOKUP($U89,计算辅助页面!$Z$5:$AM$26,COLUMN()-20,0)</f>
        <v>32000</v>
      </c>
      <c r="AB89" s="226">
        <f>VLOOKUP($U89,计算辅助页面!$Z$5:$AM$26,COLUMN()-20,0)</f>
        <v>44500</v>
      </c>
      <c r="AC89" s="226">
        <f>VLOOKUP($U89,计算辅助页面!$Z$5:$AM$26,COLUMN()-20,0)</f>
        <v>62500</v>
      </c>
      <c r="AD89" s="226">
        <f>VLOOKUP($U89,计算辅助页面!$Z$5:$AM$26,COLUMN()-20,0)</f>
        <v>87500</v>
      </c>
      <c r="AE89" s="226">
        <f>VLOOKUP($U89,计算辅助页面!$Z$5:$AM$26,COLUMN()-20,0)</f>
        <v>122000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1656720</v>
      </c>
      <c r="AI89" s="267">
        <v>20000</v>
      </c>
      <c r="AJ89" s="260">
        <f>VLOOKUP(D89&amp;E89,计算辅助页面!$V$5:$Y$18,2,0)</f>
        <v>6</v>
      </c>
      <c r="AK89" s="174">
        <f t="shared" si="72"/>
        <v>40000</v>
      </c>
      <c r="AL89" s="174">
        <f>VLOOKUP(D89&amp;E89,计算辅助页面!$V$5:$Y$18,3,0)</f>
        <v>4</v>
      </c>
      <c r="AM89" s="179">
        <f t="shared" si="73"/>
        <v>120000</v>
      </c>
      <c r="AN89" s="179">
        <f>VLOOKUP(D89&amp;E89,计算辅助页面!$V$5:$Y$18,4,0)</f>
        <v>2</v>
      </c>
      <c r="AO89" s="173">
        <f t="shared" si="74"/>
        <v>2080000</v>
      </c>
      <c r="AP89" s="195">
        <f t="shared" si="51"/>
        <v>3736720</v>
      </c>
      <c r="AQ89" s="365" t="s">
        <v>1060</v>
      </c>
      <c r="AR89" s="366" t="str">
        <f t="shared" si="101"/>
        <v>Cien Concept</v>
      </c>
      <c r="AS89" s="352" t="s">
        <v>603</v>
      </c>
      <c r="AT89" s="353" t="s">
        <v>668</v>
      </c>
      <c r="AU89" s="229" t="s">
        <v>711</v>
      </c>
      <c r="AW89" s="357">
        <v>383</v>
      </c>
      <c r="AY89" s="357">
        <v>509</v>
      </c>
      <c r="AZ89" s="357" t="s">
        <v>1116</v>
      </c>
      <c r="BA89" s="369"/>
      <c r="BB89" s="369"/>
      <c r="BC89" s="369"/>
      <c r="BD89" s="369"/>
      <c r="BE89" s="369">
        <v>1</v>
      </c>
      <c r="BF89" s="369"/>
      <c r="BG89" s="369"/>
      <c r="BH89" s="369"/>
      <c r="BI89" s="369"/>
      <c r="BJ89" s="369"/>
      <c r="BK89" s="369"/>
      <c r="BL89" s="369"/>
      <c r="BM89" s="369"/>
      <c r="BN89" s="369"/>
      <c r="BO89" s="369"/>
      <c r="BP89" s="369"/>
      <c r="BQ89" s="369"/>
      <c r="BR89" s="369"/>
      <c r="BS89" s="369"/>
      <c r="BT89" s="369"/>
      <c r="BU89" s="387" t="s">
        <v>1162</v>
      </c>
      <c r="BV89" s="326">
        <v>1</v>
      </c>
      <c r="BW89" s="326"/>
      <c r="BX89" s="326"/>
      <c r="BY89" s="367">
        <v>350</v>
      </c>
      <c r="BZ89" s="368">
        <v>68.5</v>
      </c>
      <c r="CA89" s="368">
        <v>30.04</v>
      </c>
      <c r="CB89" s="368">
        <v>50.68</v>
      </c>
      <c r="CC89" s="368">
        <f t="shared" si="75"/>
        <v>18</v>
      </c>
      <c r="CD89" s="368">
        <f t="shared" si="76"/>
        <v>8.0499999999999972</v>
      </c>
      <c r="CE89" s="368">
        <f t="shared" si="77"/>
        <v>6.1000000000000014</v>
      </c>
      <c r="CF89" s="368">
        <f t="shared" si="78"/>
        <v>10.420000000000002</v>
      </c>
      <c r="CG89" s="368">
        <f t="shared" si="79"/>
        <v>42.57</v>
      </c>
      <c r="CH89" s="368">
        <f t="shared" si="80"/>
        <v>40.078099999999999</v>
      </c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1554</v>
      </c>
      <c r="C90" s="86" t="s">
        <v>1555</v>
      </c>
      <c r="D90" s="255" t="s">
        <v>7</v>
      </c>
      <c r="E90" s="252" t="s">
        <v>45</v>
      </c>
      <c r="F90" s="230"/>
      <c r="G90" s="229"/>
      <c r="H90" s="236">
        <v>55</v>
      </c>
      <c r="I90" s="236">
        <v>35</v>
      </c>
      <c r="J90" s="236">
        <v>44</v>
      </c>
      <c r="K90" s="236">
        <v>54</v>
      </c>
      <c r="L90" s="222" t="s">
        <v>59</v>
      </c>
      <c r="M90" s="222" t="s">
        <v>59</v>
      </c>
      <c r="N90" s="226">
        <f t="shared" si="71"/>
        <v>188</v>
      </c>
      <c r="O90" s="53">
        <v>3134</v>
      </c>
      <c r="P90" s="210">
        <v>333.3</v>
      </c>
      <c r="Q90" s="217">
        <v>79.459999999999994</v>
      </c>
      <c r="R90" s="217">
        <v>53.36</v>
      </c>
      <c r="S90" s="217">
        <v>63.69</v>
      </c>
      <c r="T90" s="217">
        <v>6.6</v>
      </c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ref="AK90" si="136">IF(AI90,2*AI90,"")</f>
        <v>80000</v>
      </c>
      <c r="AL90" s="174">
        <f>VLOOKUP(D90&amp;E90,计算辅助页面!$V$5:$Y$18,3,0)</f>
        <v>4</v>
      </c>
      <c r="AM90" s="193">
        <f t="shared" ref="AM90" si="137">IF(AN90="×",AN90,IF(AI90,6*AI90,""))</f>
        <v>240000</v>
      </c>
      <c r="AN90" s="179">
        <f>VLOOKUP(D90&amp;E90,计算辅助页面!$V$5:$Y$18,4,0)</f>
        <v>2</v>
      </c>
      <c r="AO90" s="173">
        <f t="shared" ref="AO90" si="138">IF(AI90,IF(AN90="×",4*(AI90*AJ90+AK90*AL90),4*(AI90*AJ90+AK90*AL90+AM90*AN90)),"")</f>
        <v>4160000</v>
      </c>
      <c r="AP90" s="195">
        <f t="shared" ref="AP90" si="139">IF(AND(AH90,AO90),AO90+AH90,"")</f>
        <v>7472600</v>
      </c>
      <c r="AQ90" s="365" t="s">
        <v>558</v>
      </c>
      <c r="AR90" s="366" t="str">
        <f t="shared" si="101"/>
        <v>M4 GT3</v>
      </c>
      <c r="AS90" s="352" t="s">
        <v>1545</v>
      </c>
      <c r="AT90" s="353" t="s">
        <v>1556</v>
      </c>
      <c r="AU90" s="229" t="s">
        <v>711</v>
      </c>
      <c r="AW90" s="357">
        <v>347</v>
      </c>
      <c r="AY90" s="357">
        <v>449</v>
      </c>
      <c r="AZ90" s="384" t="s">
        <v>1563</v>
      </c>
      <c r="BA90" s="369"/>
      <c r="BB90" s="369"/>
      <c r="BC90" s="369"/>
      <c r="BD90" s="369"/>
      <c r="BE90" s="369"/>
      <c r="BF90" s="369"/>
      <c r="BG90" s="369"/>
      <c r="BH90" s="369"/>
      <c r="BI90" s="369"/>
      <c r="BJ90" s="369"/>
      <c r="BK90" s="369"/>
      <c r="BL90" s="369"/>
      <c r="BM90" s="369"/>
      <c r="BN90" s="369"/>
      <c r="BO90" s="369"/>
      <c r="BP90" s="369"/>
      <c r="BQ90" s="369"/>
      <c r="BR90" s="369"/>
      <c r="BS90" s="369"/>
      <c r="BT90" s="369"/>
      <c r="BU90" s="389" t="s">
        <v>1570</v>
      </c>
      <c r="BV90" s="326"/>
      <c r="BW90" s="326"/>
      <c r="BX90" s="326"/>
      <c r="BY90" s="367"/>
      <c r="BZ90" s="368"/>
      <c r="CA90" s="368"/>
      <c r="CB90" s="368"/>
      <c r="CC90" s="368"/>
      <c r="CD90" s="368"/>
      <c r="CE90" s="368"/>
      <c r="CF90" s="368"/>
      <c r="CG90" s="368"/>
      <c r="CH90" s="368"/>
      <c r="CI90" s="42"/>
      <c r="CJ90" s="42"/>
      <c r="CK90" s="42"/>
      <c r="CL90" s="42"/>
    </row>
    <row r="91" spans="1:90" ht="21" customHeight="1">
      <c r="A91" s="80">
        <v>89</v>
      </c>
      <c r="B91" s="52" t="s">
        <v>601</v>
      </c>
      <c r="C91" s="86" t="s">
        <v>774</v>
      </c>
      <c r="D91" s="255" t="s">
        <v>7</v>
      </c>
      <c r="E91" s="252" t="s">
        <v>45</v>
      </c>
      <c r="F91" s="173">
        <f>9-LEN(E91)-LEN(SUBSTITUTE(E91,"★",""))</f>
        <v>5</v>
      </c>
      <c r="G91" s="83" t="s">
        <v>66</v>
      </c>
      <c r="H91" s="236" t="s">
        <v>449</v>
      </c>
      <c r="I91" s="236">
        <v>35</v>
      </c>
      <c r="J91" s="236">
        <v>55</v>
      </c>
      <c r="K91" s="236">
        <v>85</v>
      </c>
      <c r="L91" s="222" t="s">
        <v>59</v>
      </c>
      <c r="M91" s="222" t="s">
        <v>59</v>
      </c>
      <c r="N91" s="226">
        <f t="shared" si="71"/>
        <v>175</v>
      </c>
      <c r="O91" s="53">
        <v>3200</v>
      </c>
      <c r="P91" s="210">
        <v>315.5</v>
      </c>
      <c r="Q91" s="217">
        <v>86.26</v>
      </c>
      <c r="R91" s="217">
        <v>79</v>
      </c>
      <c r="S91" s="217">
        <v>67.88</v>
      </c>
      <c r="T91" s="217">
        <v>8</v>
      </c>
      <c r="U91" s="85">
        <v>5750</v>
      </c>
      <c r="V91" s="294">
        <f>VLOOKUP($U91,计算辅助页面!$Z$5:$AM$26,COLUMN()-20,0)</f>
        <v>9400</v>
      </c>
      <c r="W91" s="294">
        <f>VLOOKUP($U91,计算辅助页面!$Z$5:$AM$26,COLUMN()-20,0)</f>
        <v>15000</v>
      </c>
      <c r="X91" s="243">
        <f>VLOOKUP($U91,计算辅助页面!$Z$5:$AM$26,COLUMN()-20,0)</f>
        <v>22500</v>
      </c>
      <c r="Y91" s="243">
        <f>VLOOKUP($U91,计算辅助页面!$Z$5:$AM$26,COLUMN()-20,0)</f>
        <v>32500</v>
      </c>
      <c r="Z91" s="303">
        <f>VLOOKUP($U91,计算辅助页面!$Z$5:$AM$26,COLUMN()-20,0)</f>
        <v>45500</v>
      </c>
      <c r="AA91" s="243">
        <f>VLOOKUP($U91,计算辅助页面!$Z$5:$AM$26,COLUMN()-20,0)</f>
        <v>63500</v>
      </c>
      <c r="AB91" s="243">
        <f>VLOOKUP($U91,计算辅助页面!$Z$5:$AM$26,COLUMN()-20,0)</f>
        <v>89000</v>
      </c>
      <c r="AC91" s="243">
        <f>VLOOKUP($U91,计算辅助页面!$Z$5:$AM$26,COLUMN()-20,0)</f>
        <v>125000</v>
      </c>
      <c r="AD91" s="243">
        <f>VLOOKUP($U91,计算辅助页面!$Z$5:$AM$26,COLUMN()-20,0)</f>
        <v>175000</v>
      </c>
      <c r="AE91" s="243">
        <f>VLOOKUP($U91,计算辅助页面!$Z$5:$AM$26,COLUMN()-20,0)</f>
        <v>245000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3312600</v>
      </c>
      <c r="AI91" s="268">
        <v>40000</v>
      </c>
      <c r="AJ91" s="260">
        <f>VLOOKUP(D91&amp;E91,计算辅助页面!$V$5:$Y$18,2,0)</f>
        <v>6</v>
      </c>
      <c r="AK91" s="189">
        <f t="shared" si="72"/>
        <v>80000</v>
      </c>
      <c r="AL91" s="174">
        <f>VLOOKUP(D91&amp;E91,计算辅助页面!$V$5:$Y$18,3,0)</f>
        <v>4</v>
      </c>
      <c r="AM91" s="193">
        <f t="shared" si="73"/>
        <v>240000</v>
      </c>
      <c r="AN91" s="179">
        <f>VLOOKUP(D91&amp;E91,计算辅助页面!$V$5:$Y$18,4,0)</f>
        <v>2</v>
      </c>
      <c r="AO91" s="173">
        <f t="shared" si="74"/>
        <v>4160000</v>
      </c>
      <c r="AP91" s="195">
        <f t="shared" si="51"/>
        <v>7472600</v>
      </c>
      <c r="AQ91" s="365" t="s">
        <v>564</v>
      </c>
      <c r="AR91" s="366" t="str">
        <f t="shared" si="101"/>
        <v>GT MKII🔑</v>
      </c>
      <c r="AS91" s="352" t="s">
        <v>961</v>
      </c>
      <c r="AT91" s="353" t="s">
        <v>620</v>
      </c>
      <c r="AU91" s="229" t="s">
        <v>711</v>
      </c>
      <c r="AW91" s="357">
        <v>329</v>
      </c>
      <c r="AY91" s="357">
        <v>419</v>
      </c>
      <c r="AZ91" s="357" t="s">
        <v>1115</v>
      </c>
      <c r="BA91" s="369"/>
      <c r="BB91" s="369"/>
      <c r="BC91" s="369"/>
      <c r="BD91" s="369"/>
      <c r="BE91" s="369"/>
      <c r="BF91" s="369"/>
      <c r="BG91" s="369"/>
      <c r="BH91" s="369"/>
      <c r="BI91" s="369"/>
      <c r="BJ91" s="369"/>
      <c r="BK91" s="369"/>
      <c r="BL91" s="369">
        <v>1</v>
      </c>
      <c r="BM91" s="369"/>
      <c r="BN91" s="369">
        <v>1</v>
      </c>
      <c r="BO91" s="369">
        <v>1</v>
      </c>
      <c r="BP91" s="369"/>
      <c r="BQ91" s="369"/>
      <c r="BR91" s="369"/>
      <c r="BS91" s="369"/>
      <c r="BT91" s="369"/>
      <c r="BU91" s="387" t="s">
        <v>1163</v>
      </c>
      <c r="BV91" s="326"/>
      <c r="BW91" s="326"/>
      <c r="BX91" s="326"/>
      <c r="BY91" s="367">
        <v>300</v>
      </c>
      <c r="BZ91" s="368">
        <v>76.599999999999994</v>
      </c>
      <c r="CA91" s="368">
        <v>57.8</v>
      </c>
      <c r="CB91" s="368">
        <v>49.12</v>
      </c>
      <c r="CC91" s="368">
        <f t="shared" si="75"/>
        <v>15.5</v>
      </c>
      <c r="CD91" s="368">
        <f t="shared" si="76"/>
        <v>9.6600000000000108</v>
      </c>
      <c r="CE91" s="368">
        <f t="shared" si="77"/>
        <v>21.200000000000003</v>
      </c>
      <c r="CF91" s="368">
        <f t="shared" si="78"/>
        <v>18.759999999999998</v>
      </c>
      <c r="CG91" s="368">
        <f t="shared" si="79"/>
        <v>65.12</v>
      </c>
      <c r="CH91" s="368">
        <f t="shared" si="80"/>
        <v>69.833800000000025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395</v>
      </c>
      <c r="C92" s="86" t="s">
        <v>775</v>
      </c>
      <c r="D92" s="255" t="s">
        <v>7</v>
      </c>
      <c r="E92" s="247" t="s">
        <v>45</v>
      </c>
      <c r="F92" s="173">
        <f>9-LEN(E92)-LEN(SUBSTITUTE(E92,"★",""))</f>
        <v>5</v>
      </c>
      <c r="G92" s="83" t="s">
        <v>66</v>
      </c>
      <c r="H92" s="236">
        <v>40</v>
      </c>
      <c r="I92" s="236">
        <v>35</v>
      </c>
      <c r="J92" s="236">
        <v>44</v>
      </c>
      <c r="K92" s="236">
        <v>54</v>
      </c>
      <c r="L92" s="222" t="s">
        <v>59</v>
      </c>
      <c r="M92" s="222" t="s">
        <v>59</v>
      </c>
      <c r="N92" s="226">
        <f t="shared" si="71"/>
        <v>173</v>
      </c>
      <c r="O92" s="53">
        <v>3245</v>
      </c>
      <c r="P92" s="210">
        <v>341</v>
      </c>
      <c r="Q92" s="217">
        <v>79.25</v>
      </c>
      <c r="R92" s="217">
        <v>58.34</v>
      </c>
      <c r="S92" s="217">
        <v>54.1</v>
      </c>
      <c r="T92" s="217">
        <v>5.54</v>
      </c>
      <c r="U92" s="85">
        <v>5750</v>
      </c>
      <c r="V92" s="294">
        <f>VLOOKUP($U92,计算辅助页面!$Z$5:$AM$26,COLUMN()-20,0)</f>
        <v>9400</v>
      </c>
      <c r="W92" s="294">
        <f>VLOOKUP($U92,计算辅助页面!$Z$5:$AM$26,COLUMN()-20,0)</f>
        <v>15000</v>
      </c>
      <c r="X92" s="243">
        <f>VLOOKUP($U92,计算辅助页面!$Z$5:$AM$26,COLUMN()-20,0)</f>
        <v>22500</v>
      </c>
      <c r="Y92" s="243">
        <f>VLOOKUP($U92,计算辅助页面!$Z$5:$AM$26,COLUMN()-20,0)</f>
        <v>32500</v>
      </c>
      <c r="Z92" s="303">
        <f>VLOOKUP($U92,计算辅助页面!$Z$5:$AM$26,COLUMN()-20,0)</f>
        <v>45500</v>
      </c>
      <c r="AA92" s="243">
        <f>VLOOKUP($U92,计算辅助页面!$Z$5:$AM$26,COLUMN()-20,0)</f>
        <v>63500</v>
      </c>
      <c r="AB92" s="243">
        <f>VLOOKUP($U92,计算辅助页面!$Z$5:$AM$26,COLUMN()-20,0)</f>
        <v>89000</v>
      </c>
      <c r="AC92" s="243">
        <f>VLOOKUP($U92,计算辅助页面!$Z$5:$AM$26,COLUMN()-20,0)</f>
        <v>125000</v>
      </c>
      <c r="AD92" s="243">
        <f>VLOOKUP($U92,计算辅助页面!$Z$5:$AM$26,COLUMN()-20,0)</f>
        <v>175000</v>
      </c>
      <c r="AE92" s="243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89">
        <f t="shared" si="72"/>
        <v>80000</v>
      </c>
      <c r="AL92" s="174">
        <f>VLOOKUP(D92&amp;E92,计算辅助页面!$V$5:$Y$18,3,0)</f>
        <v>4</v>
      </c>
      <c r="AM92" s="193">
        <f t="shared" si="73"/>
        <v>240000</v>
      </c>
      <c r="AN92" s="179">
        <f>VLOOKUP(D92&amp;E92,计算辅助页面!$V$5:$Y$18,4,0)</f>
        <v>2</v>
      </c>
      <c r="AO92" s="173">
        <f t="shared" si="74"/>
        <v>4160000</v>
      </c>
      <c r="AP92" s="195">
        <f t="shared" si="51"/>
        <v>7472600</v>
      </c>
      <c r="AQ92" s="365" t="s">
        <v>888</v>
      </c>
      <c r="AR92" s="366" t="str">
        <f t="shared" si="101"/>
        <v>Zerouno</v>
      </c>
      <c r="AS92" s="352" t="s">
        <v>960</v>
      </c>
      <c r="AT92" s="353" t="s">
        <v>639</v>
      </c>
      <c r="AU92" s="229" t="s">
        <v>711</v>
      </c>
      <c r="AV92" s="357">
        <v>8</v>
      </c>
      <c r="AW92" s="357">
        <v>355</v>
      </c>
      <c r="AY92" s="357">
        <v>462</v>
      </c>
      <c r="AZ92" s="357" t="s">
        <v>1110</v>
      </c>
      <c r="BA92" s="369"/>
      <c r="BB92" s="369"/>
      <c r="BC92" s="369">
        <v>1</v>
      </c>
      <c r="BD92" s="369">
        <v>1</v>
      </c>
      <c r="BE92" s="369"/>
      <c r="BF92" s="369">
        <v>1</v>
      </c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>
        <v>1</v>
      </c>
      <c r="BU92" s="387" t="s">
        <v>1164</v>
      </c>
      <c r="BV92" s="326"/>
      <c r="BW92" s="326"/>
      <c r="BX92" s="326"/>
      <c r="BY92" s="367">
        <v>330</v>
      </c>
      <c r="BZ92" s="368">
        <v>71.2</v>
      </c>
      <c r="CA92" s="368">
        <v>47.13</v>
      </c>
      <c r="CB92" s="368">
        <v>38.82</v>
      </c>
      <c r="CC92" s="368">
        <f t="shared" si="75"/>
        <v>11</v>
      </c>
      <c r="CD92" s="368">
        <f t="shared" si="76"/>
        <v>8.0499999999999972</v>
      </c>
      <c r="CE92" s="368">
        <f t="shared" si="77"/>
        <v>11.21</v>
      </c>
      <c r="CF92" s="368">
        <f t="shared" si="78"/>
        <v>15.280000000000001</v>
      </c>
      <c r="CG92" s="368">
        <f t="shared" si="79"/>
        <v>45.54</v>
      </c>
      <c r="CH92" s="368">
        <f t="shared" si="80"/>
        <v>49.833199999999991</v>
      </c>
      <c r="CI92" s="42"/>
      <c r="CJ92" s="42"/>
      <c r="CK92" s="42"/>
      <c r="CL92" s="42"/>
    </row>
    <row r="93" spans="1:90" ht="21" customHeight="1">
      <c r="A93" s="80">
        <v>91</v>
      </c>
      <c r="B93" s="52" t="s">
        <v>1632</v>
      </c>
      <c r="C93" s="86" t="s">
        <v>1633</v>
      </c>
      <c r="D93" s="255" t="s">
        <v>7</v>
      </c>
      <c r="E93" s="247" t="s">
        <v>45</v>
      </c>
      <c r="F93" s="230"/>
      <c r="G93" s="229"/>
      <c r="H93" s="236">
        <v>55</v>
      </c>
      <c r="I93" s="236">
        <v>35</v>
      </c>
      <c r="J93" s="236">
        <v>44</v>
      </c>
      <c r="K93" s="236">
        <v>54</v>
      </c>
      <c r="L93" s="222" t="s">
        <v>59</v>
      </c>
      <c r="M93" s="222" t="s">
        <v>59</v>
      </c>
      <c r="N93" s="226">
        <f t="shared" ref="N93" si="140">IF(COUNTBLANK(H93:M93),"",SUM(H93:M93))</f>
        <v>188</v>
      </c>
      <c r="O93" s="53">
        <v>3267</v>
      </c>
      <c r="P93" s="210">
        <v>337.7</v>
      </c>
      <c r="Q93" s="217">
        <v>81.05</v>
      </c>
      <c r="R93" s="217">
        <v>68.33</v>
      </c>
      <c r="S93" s="217">
        <v>47.34</v>
      </c>
      <c r="T93" s="217"/>
      <c r="U93" s="85">
        <v>5750</v>
      </c>
      <c r="V93" s="294">
        <f>VLOOKUP($U93,计算辅助页面!$Z$5:$AM$26,COLUMN()-20,0)</f>
        <v>9400</v>
      </c>
      <c r="W93" s="294">
        <f>VLOOKUP($U93,计算辅助页面!$Z$5:$AM$26,COLUMN()-20,0)</f>
        <v>15000</v>
      </c>
      <c r="X93" s="243">
        <f>VLOOKUP($U93,计算辅助页面!$Z$5:$AM$26,COLUMN()-20,0)</f>
        <v>22500</v>
      </c>
      <c r="Y93" s="243">
        <f>VLOOKUP($U93,计算辅助页面!$Z$5:$AM$26,COLUMN()-20,0)</f>
        <v>32500</v>
      </c>
      <c r="Z93" s="303">
        <f>VLOOKUP($U93,计算辅助页面!$Z$5:$AM$26,COLUMN()-20,0)</f>
        <v>45500</v>
      </c>
      <c r="AA93" s="243">
        <f>VLOOKUP($U93,计算辅助页面!$Z$5:$AM$26,COLUMN()-20,0)</f>
        <v>63500</v>
      </c>
      <c r="AB93" s="243">
        <f>VLOOKUP($U93,计算辅助页面!$Z$5:$AM$26,COLUMN()-20,0)</f>
        <v>89000</v>
      </c>
      <c r="AC93" s="243">
        <f>VLOOKUP($U93,计算辅助页面!$Z$5:$AM$26,COLUMN()-20,0)</f>
        <v>125000</v>
      </c>
      <c r="AD93" s="243">
        <f>VLOOKUP($U93,计算辅助页面!$Z$5:$AM$26,COLUMN()-20,0)</f>
        <v>175000</v>
      </c>
      <c r="AE93" s="243">
        <f>VLOOKUP($U93,计算辅助页面!$Z$5:$AM$26,COLUMN()-20,0)</f>
        <v>245000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3312600</v>
      </c>
      <c r="AI93" s="268">
        <v>40000</v>
      </c>
      <c r="AJ93" s="260">
        <f>VLOOKUP(D93&amp;E93,计算辅助页面!$V$5:$Y$18,2,0)</f>
        <v>6</v>
      </c>
      <c r="AK93" s="189">
        <f t="shared" ref="AK93" si="141">IF(AI93,2*AI93,"")</f>
        <v>80000</v>
      </c>
      <c r="AL93" s="174">
        <f>VLOOKUP(D93&amp;E93,计算辅助页面!$V$5:$Y$18,3,0)</f>
        <v>4</v>
      </c>
      <c r="AM93" s="193">
        <f t="shared" ref="AM93" si="142">IF(AN93="×",AN93,IF(AI93,6*AI93,""))</f>
        <v>240000</v>
      </c>
      <c r="AN93" s="179">
        <f>VLOOKUP(D93&amp;E93,计算辅助页面!$V$5:$Y$18,4,0)</f>
        <v>2</v>
      </c>
      <c r="AO93" s="173">
        <f t="shared" ref="AO93" si="143">IF(AI93,IF(AN93="×",4*(AI93*AJ93+AK93*AL93),4*(AI93*AJ93+AK93*AL93+AM93*AN93)),"")</f>
        <v>4160000</v>
      </c>
      <c r="AP93" s="195">
        <f t="shared" ref="AP93" si="144">IF(AND(AH93,AO93),AO93+AH93,"")</f>
        <v>7472600</v>
      </c>
      <c r="AQ93" s="365" t="s">
        <v>569</v>
      </c>
      <c r="AR93" s="366" t="str">
        <f t="shared" si="101"/>
        <v>Artura</v>
      </c>
      <c r="AS93" s="352" t="s">
        <v>1622</v>
      </c>
      <c r="AT93" s="353" t="s">
        <v>1634</v>
      </c>
      <c r="AU93" s="229" t="s">
        <v>711</v>
      </c>
      <c r="AZ93" s="384" t="s">
        <v>1274</v>
      </c>
      <c r="BA93" s="369"/>
      <c r="BB93" s="369"/>
      <c r="BC93" s="369"/>
      <c r="BD93" s="369"/>
      <c r="BE93" s="369"/>
      <c r="BF93" s="369"/>
      <c r="BG93" s="369"/>
      <c r="BH93" s="369"/>
      <c r="BI93" s="369"/>
      <c r="BJ93" s="369"/>
      <c r="BK93" s="369"/>
      <c r="BL93" s="369"/>
      <c r="BM93" s="369"/>
      <c r="BN93" s="369"/>
      <c r="BO93" s="369"/>
      <c r="BP93" s="369"/>
      <c r="BQ93" s="369"/>
      <c r="BR93" s="369"/>
      <c r="BS93" s="369"/>
      <c r="BT93" s="369"/>
      <c r="BU93" s="387"/>
      <c r="BV93" s="326"/>
      <c r="BW93" s="326"/>
      <c r="BX93" s="326"/>
      <c r="BY93" s="367"/>
      <c r="BZ93" s="368"/>
      <c r="CA93" s="368"/>
      <c r="CB93" s="368"/>
      <c r="CC93" s="368"/>
      <c r="CD93" s="368"/>
      <c r="CE93" s="368"/>
      <c r="CF93" s="368"/>
      <c r="CG93" s="368"/>
      <c r="CH93" s="368"/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1361</v>
      </c>
      <c r="C94" s="86" t="s">
        <v>1339</v>
      </c>
      <c r="D94" s="255" t="s">
        <v>7</v>
      </c>
      <c r="E94" s="247" t="s">
        <v>45</v>
      </c>
      <c r="F94" s="230"/>
      <c r="G94" s="229"/>
      <c r="H94" s="236" t="s">
        <v>449</v>
      </c>
      <c r="I94" s="236">
        <v>35</v>
      </c>
      <c r="J94" s="236">
        <v>55</v>
      </c>
      <c r="K94" s="236">
        <v>85</v>
      </c>
      <c r="L94" s="222" t="s">
        <v>59</v>
      </c>
      <c r="M94" s="222" t="s">
        <v>59</v>
      </c>
      <c r="N94" s="226">
        <f t="shared" si="71"/>
        <v>175</v>
      </c>
      <c r="O94" s="53">
        <v>3289</v>
      </c>
      <c r="P94" s="210">
        <v>332.6</v>
      </c>
      <c r="Q94" s="217">
        <v>76.739999999999995</v>
      </c>
      <c r="R94" s="217">
        <v>66.010000000000005</v>
      </c>
      <c r="S94" s="217">
        <v>76.94</v>
      </c>
      <c r="T94" s="217"/>
      <c r="U94" s="85">
        <v>5750</v>
      </c>
      <c r="V94" s="294">
        <f>VLOOKUP($U94,计算辅助页面!$Z$5:$AM$26,COLUMN()-20,0)</f>
        <v>9400</v>
      </c>
      <c r="W94" s="294">
        <f>VLOOKUP($U94,计算辅助页面!$Z$5:$AM$26,COLUMN()-20,0)</f>
        <v>15000</v>
      </c>
      <c r="X94" s="243">
        <f>VLOOKUP($U94,计算辅助页面!$Z$5:$AM$26,COLUMN()-20,0)</f>
        <v>22500</v>
      </c>
      <c r="Y94" s="243">
        <f>VLOOKUP($U94,计算辅助页面!$Z$5:$AM$26,COLUMN()-20,0)</f>
        <v>32500</v>
      </c>
      <c r="Z94" s="303">
        <f>VLOOKUP($U94,计算辅助页面!$Z$5:$AM$26,COLUMN()-20,0)</f>
        <v>45500</v>
      </c>
      <c r="AA94" s="243">
        <f>VLOOKUP($U94,计算辅助页面!$Z$5:$AM$26,COLUMN()-20,0)</f>
        <v>63500</v>
      </c>
      <c r="AB94" s="243">
        <f>VLOOKUP($U94,计算辅助页面!$Z$5:$AM$26,COLUMN()-20,0)</f>
        <v>89000</v>
      </c>
      <c r="AC94" s="243">
        <f>VLOOKUP($U94,计算辅助页面!$Z$5:$AM$26,COLUMN()-20,0)</f>
        <v>125000</v>
      </c>
      <c r="AD94" s="243">
        <f>VLOOKUP($U94,计算辅助页面!$Z$5:$AM$26,COLUMN()-20,0)</f>
        <v>175000</v>
      </c>
      <c r="AE94" s="243">
        <f>VLOOKUP($U94,计算辅助页面!$Z$5:$AM$26,COLUMN()-20,0)</f>
        <v>245000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3312600</v>
      </c>
      <c r="AI94" s="268">
        <v>40000</v>
      </c>
      <c r="AJ94" s="260">
        <f>VLOOKUP(D94&amp;E94,计算辅助页面!$V$5:$Y$18,2,0)</f>
        <v>6</v>
      </c>
      <c r="AK94" s="189">
        <f t="shared" ref="AK94" si="145">IF(AI94,2*AI94,"")</f>
        <v>80000</v>
      </c>
      <c r="AL94" s="174">
        <f>VLOOKUP(D94&amp;E94,计算辅助页面!$V$5:$Y$18,3,0)</f>
        <v>4</v>
      </c>
      <c r="AM94" s="193">
        <f t="shared" ref="AM94" si="146">IF(AN94="×",AN94,IF(AI94,6*AI94,""))</f>
        <v>240000</v>
      </c>
      <c r="AN94" s="179">
        <f>VLOOKUP(D94&amp;E94,计算辅助页面!$V$5:$Y$18,4,0)</f>
        <v>2</v>
      </c>
      <c r="AO94" s="173">
        <f t="shared" ref="AO94" si="147">IF(AI94,IF(AN94="×",4*(AI94*AJ94+AK94*AL94),4*(AI94*AJ94+AK94*AL94+AM94*AN94)),"")</f>
        <v>4160000</v>
      </c>
      <c r="AP94" s="195">
        <f t="shared" ref="AP94" si="148">IF(AND(AH94,AO94),AO94+AH94,"")</f>
        <v>7472600</v>
      </c>
      <c r="AQ94" s="365" t="s">
        <v>1272</v>
      </c>
      <c r="AR94" s="366" t="str">
        <f t="shared" si="101"/>
        <v>AF8 Falcon Edition🔑</v>
      </c>
      <c r="AS94" s="352" t="s">
        <v>1334</v>
      </c>
      <c r="AT94" s="353" t="s">
        <v>1340</v>
      </c>
      <c r="AU94" s="229" t="s">
        <v>711</v>
      </c>
      <c r="AW94" s="357">
        <v>346</v>
      </c>
      <c r="AY94" s="357">
        <v>448</v>
      </c>
      <c r="AZ94" s="384" t="s">
        <v>1280</v>
      </c>
      <c r="BA94" s="369"/>
      <c r="BB94" s="369"/>
      <c r="BC94" s="369"/>
      <c r="BD94" s="369"/>
      <c r="BE94" s="369"/>
      <c r="BF94" s="369"/>
      <c r="BG94" s="369">
        <v>1</v>
      </c>
      <c r="BH94" s="369"/>
      <c r="BI94" s="369"/>
      <c r="BJ94" s="369"/>
      <c r="BK94" s="369"/>
      <c r="BL94" s="369"/>
      <c r="BM94" s="369"/>
      <c r="BN94" s="369">
        <v>1</v>
      </c>
      <c r="BO94" s="369">
        <v>1</v>
      </c>
      <c r="BP94" s="369"/>
      <c r="BQ94" s="369"/>
      <c r="BR94" s="369"/>
      <c r="BS94" s="369"/>
      <c r="BT94" s="369"/>
      <c r="BU94" s="389" t="s">
        <v>1271</v>
      </c>
      <c r="BV94" s="326"/>
      <c r="BW94" s="326"/>
      <c r="BX94" s="326"/>
      <c r="BY94" s="367"/>
      <c r="BZ94" s="368"/>
      <c r="CA94" s="368"/>
      <c r="CB94" s="368"/>
      <c r="CC94" s="368"/>
      <c r="CD94" s="368"/>
      <c r="CE94" s="368"/>
      <c r="CF94" s="368"/>
      <c r="CG94" s="368"/>
      <c r="CH94" s="368"/>
      <c r="CI94" s="42"/>
      <c r="CJ94" s="42"/>
      <c r="CK94" s="42"/>
      <c r="CL94" s="42"/>
    </row>
    <row r="95" spans="1:90" ht="21" customHeight="1">
      <c r="A95" s="80">
        <v>93</v>
      </c>
      <c r="B95" s="49" t="s">
        <v>32</v>
      </c>
      <c r="C95" s="86">
        <v>488</v>
      </c>
      <c r="D95" s="255" t="s">
        <v>7</v>
      </c>
      <c r="E95" s="247" t="s">
        <v>45</v>
      </c>
      <c r="F95" s="173">
        <f>9-LEN(E95)-LEN(SUBSTITUTE(E95,"★",""))</f>
        <v>5</v>
      </c>
      <c r="G95" s="83" t="s">
        <v>66</v>
      </c>
      <c r="H95" s="222">
        <v>40</v>
      </c>
      <c r="I95" s="222">
        <v>18</v>
      </c>
      <c r="J95" s="222">
        <v>24</v>
      </c>
      <c r="K95" s="222">
        <v>36</v>
      </c>
      <c r="L95" s="222" t="s">
        <v>59</v>
      </c>
      <c r="M95" s="222" t="s">
        <v>59</v>
      </c>
      <c r="N95" s="226">
        <f t="shared" si="71"/>
        <v>118</v>
      </c>
      <c r="O95" s="51">
        <v>3334</v>
      </c>
      <c r="P95" s="209">
        <v>347.6</v>
      </c>
      <c r="Q95" s="216">
        <v>80.239999999999995</v>
      </c>
      <c r="R95" s="216">
        <v>48.38</v>
      </c>
      <c r="S95" s="216">
        <v>65.84</v>
      </c>
      <c r="T95" s="216">
        <v>6.5</v>
      </c>
      <c r="U95" s="84">
        <v>2880</v>
      </c>
      <c r="V95" s="292">
        <f>VLOOKUP($U95,计算辅助页面!$Z$5:$AM$26,COLUMN()-20,0)</f>
        <v>4700</v>
      </c>
      <c r="W95" s="292">
        <f>VLOOKUP($U95,计算辅助页面!$Z$5:$AM$26,COLUMN()-20,0)</f>
        <v>7500</v>
      </c>
      <c r="X95" s="226">
        <f>VLOOKUP($U95,计算辅助页面!$Z$5:$AM$26,COLUMN()-20,0)</f>
        <v>11300</v>
      </c>
      <c r="Y95" s="226">
        <f>VLOOKUP($U95,计算辅助页面!$Z$5:$AM$26,COLUMN()-20,0)</f>
        <v>16300</v>
      </c>
      <c r="Z95" s="293">
        <f>VLOOKUP($U95,计算辅助页面!$Z$5:$AM$26,COLUMN()-20,0)</f>
        <v>23000</v>
      </c>
      <c r="AA95" s="226">
        <f>VLOOKUP($U95,计算辅助页面!$Z$5:$AM$26,COLUMN()-20,0)</f>
        <v>32000</v>
      </c>
      <c r="AB95" s="226">
        <f>VLOOKUP($U95,计算辅助页面!$Z$5:$AM$26,COLUMN()-20,0)</f>
        <v>44500</v>
      </c>
      <c r="AC95" s="226">
        <f>VLOOKUP($U95,计算辅助页面!$Z$5:$AM$26,COLUMN()-20,0)</f>
        <v>62500</v>
      </c>
      <c r="AD95" s="226">
        <f>VLOOKUP($U95,计算辅助页面!$Z$5:$AM$26,COLUMN()-20,0)</f>
        <v>87500</v>
      </c>
      <c r="AE95" s="226">
        <f>VLOOKUP($U95,计算辅助页面!$Z$5:$AM$26,COLUMN()-20,0)</f>
        <v>122000</v>
      </c>
      <c r="AF95" s="226" t="str">
        <f>VLOOKUP($U95,计算辅助页面!$Z$5:$AM$26,COLUMN()-20,0)</f>
        <v>×</v>
      </c>
      <c r="AG95" s="226" t="str">
        <f>VLOOKUP($U95,计算辅助页面!$Z$5:$AM$26,COLUMN()-20,0)</f>
        <v>×</v>
      </c>
      <c r="AH95" s="173">
        <f>VLOOKUP($U95,计算辅助页面!$Z$5:$AM$26,COLUMN()-20,0)</f>
        <v>1656720</v>
      </c>
      <c r="AI95" s="267">
        <v>20000</v>
      </c>
      <c r="AJ95" s="260">
        <f>VLOOKUP(D95&amp;E95,计算辅助页面!$V$5:$Y$18,2,0)</f>
        <v>6</v>
      </c>
      <c r="AK95" s="174">
        <f t="shared" si="72"/>
        <v>40000</v>
      </c>
      <c r="AL95" s="174">
        <f>VLOOKUP(D95&amp;E95,计算辅助页面!$V$5:$Y$18,3,0)</f>
        <v>4</v>
      </c>
      <c r="AM95" s="179">
        <f t="shared" si="73"/>
        <v>120000</v>
      </c>
      <c r="AN95" s="179">
        <f>VLOOKUP(D95&amp;E95,计算辅助页面!$V$5:$Y$18,4,0)</f>
        <v>2</v>
      </c>
      <c r="AO95" s="173">
        <f t="shared" si="74"/>
        <v>2080000</v>
      </c>
      <c r="AP95" s="195">
        <f t="shared" si="51"/>
        <v>3736720</v>
      </c>
      <c r="AQ95" s="365" t="s">
        <v>568</v>
      </c>
      <c r="AR95" s="366" t="str">
        <f t="shared" si="101"/>
        <v>488 GTB</v>
      </c>
      <c r="AS95" s="352" t="s">
        <v>603</v>
      </c>
      <c r="AT95" s="353" t="s">
        <v>642</v>
      </c>
      <c r="AU95" s="229" t="s">
        <v>711</v>
      </c>
      <c r="AV95" s="357">
        <v>8</v>
      </c>
      <c r="AW95" s="357">
        <v>362</v>
      </c>
      <c r="AY95" s="357">
        <v>474</v>
      </c>
      <c r="AZ95" s="357" t="s">
        <v>1110</v>
      </c>
      <c r="BA95" s="369"/>
      <c r="BB95" s="369"/>
      <c r="BC95" s="369">
        <v>1</v>
      </c>
      <c r="BD95" s="369">
        <v>1</v>
      </c>
      <c r="BE95" s="369"/>
      <c r="BF95" s="369">
        <v>1</v>
      </c>
      <c r="BG95" s="369"/>
      <c r="BH95" s="369"/>
      <c r="BI95" s="369"/>
      <c r="BJ95" s="369"/>
      <c r="BK95" s="369"/>
      <c r="BL95" s="369"/>
      <c r="BM95" s="369"/>
      <c r="BN95" s="369"/>
      <c r="BO95" s="369"/>
      <c r="BP95" s="369"/>
      <c r="BQ95" s="369"/>
      <c r="BR95" s="369"/>
      <c r="BS95" s="369"/>
      <c r="BT95" s="369">
        <v>1</v>
      </c>
      <c r="BU95" s="387" t="s">
        <v>1154</v>
      </c>
      <c r="BV95" s="326"/>
      <c r="BW95" s="326"/>
      <c r="BX95" s="326"/>
      <c r="BY95" s="367">
        <v>330</v>
      </c>
      <c r="BZ95" s="368">
        <v>73</v>
      </c>
      <c r="CA95" s="368">
        <v>42</v>
      </c>
      <c r="CB95" s="368">
        <v>56.41</v>
      </c>
      <c r="CC95" s="368">
        <f t="shared" si="75"/>
        <v>17.600000000000023</v>
      </c>
      <c r="CD95" s="368">
        <f t="shared" si="76"/>
        <v>7.2399999999999949</v>
      </c>
      <c r="CE95" s="368">
        <f t="shared" si="77"/>
        <v>6.3800000000000026</v>
      </c>
      <c r="CF95" s="368">
        <f t="shared" si="78"/>
        <v>9.4300000000000068</v>
      </c>
      <c r="CG95" s="368">
        <f t="shared" si="79"/>
        <v>40.650000000000027</v>
      </c>
      <c r="CH95" s="368">
        <f t="shared" si="80"/>
        <v>37.581800000000008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1523</v>
      </c>
      <c r="C96" s="86" t="s">
        <v>1524</v>
      </c>
      <c r="D96" s="255" t="s">
        <v>7</v>
      </c>
      <c r="E96" s="247" t="s">
        <v>45</v>
      </c>
      <c r="F96" s="230"/>
      <c r="G96" s="229"/>
      <c r="H96" s="236">
        <v>55</v>
      </c>
      <c r="I96" s="236">
        <v>35</v>
      </c>
      <c r="J96" s="236">
        <v>44</v>
      </c>
      <c r="K96" s="236">
        <v>54</v>
      </c>
      <c r="L96" s="222" t="s">
        <v>59</v>
      </c>
      <c r="M96" s="222" t="s">
        <v>59</v>
      </c>
      <c r="N96" s="226">
        <f t="shared" si="71"/>
        <v>188</v>
      </c>
      <c r="O96" s="53">
        <v>3380</v>
      </c>
      <c r="P96" s="210">
        <v>338.5</v>
      </c>
      <c r="Q96" s="217">
        <v>86.45</v>
      </c>
      <c r="R96" s="217">
        <v>48.72</v>
      </c>
      <c r="S96" s="217">
        <v>61.18</v>
      </c>
      <c r="T96" s="217"/>
      <c r="U96" s="85">
        <v>5750</v>
      </c>
      <c r="V96" s="292">
        <f>VLOOKUP($U96,计算辅助页面!$Z$5:$AM$26,COLUMN()-20,0)</f>
        <v>9400</v>
      </c>
      <c r="W96" s="292">
        <f>VLOOKUP($U96,计算辅助页面!$Z$5:$AM$26,COLUMN()-20,0)</f>
        <v>15000</v>
      </c>
      <c r="X96" s="226">
        <f>VLOOKUP($U96,计算辅助页面!$Z$5:$AM$26,COLUMN()-20,0)</f>
        <v>22500</v>
      </c>
      <c r="Y96" s="226">
        <f>VLOOKUP($U96,计算辅助页面!$Z$5:$AM$26,COLUMN()-20,0)</f>
        <v>32500</v>
      </c>
      <c r="Z96" s="293">
        <f>VLOOKUP($U96,计算辅助页面!$Z$5:$AM$26,COLUMN()-20,0)</f>
        <v>45500</v>
      </c>
      <c r="AA96" s="226">
        <f>VLOOKUP($U96,计算辅助页面!$Z$5:$AM$26,COLUMN()-20,0)</f>
        <v>63500</v>
      </c>
      <c r="AB96" s="226">
        <f>VLOOKUP($U96,计算辅助页面!$Z$5:$AM$26,COLUMN()-20,0)</f>
        <v>89000</v>
      </c>
      <c r="AC96" s="226">
        <f>VLOOKUP($U96,计算辅助页面!$Z$5:$AM$26,COLUMN()-20,0)</f>
        <v>125000</v>
      </c>
      <c r="AD96" s="226">
        <f>VLOOKUP($U96,计算辅助页面!$Z$5:$AM$26,COLUMN()-20,0)</f>
        <v>175000</v>
      </c>
      <c r="AE96" s="226">
        <f>VLOOKUP($U96,计算辅助页面!$Z$5:$AM$26,COLUMN()-20,0)</f>
        <v>245000</v>
      </c>
      <c r="AF96" s="226" t="str">
        <f>VLOOKUP($U96,计算辅助页面!$Z$5:$AM$26,COLUMN()-20,0)</f>
        <v>×</v>
      </c>
      <c r="AG96" s="226" t="str">
        <f>VLOOKUP($U96,计算辅助页面!$Z$5:$AM$26,COLUMN()-20,0)</f>
        <v>×</v>
      </c>
      <c r="AH96" s="173">
        <f>VLOOKUP($U96,计算辅助页面!$Z$5:$AM$26,COLUMN()-20,0)</f>
        <v>3312600</v>
      </c>
      <c r="AI96" s="268">
        <v>40000</v>
      </c>
      <c r="AJ96" s="260">
        <f>VLOOKUP(D96&amp;E96,计算辅助页面!$V$5:$Y$18,2,0)</f>
        <v>6</v>
      </c>
      <c r="AK96" s="174">
        <f t="shared" si="72"/>
        <v>80000</v>
      </c>
      <c r="AL96" s="174">
        <f>VLOOKUP(D96&amp;E96,计算辅助页面!$V$5:$Y$18,3,0)</f>
        <v>4</v>
      </c>
      <c r="AM96" s="179">
        <f t="shared" si="73"/>
        <v>240000</v>
      </c>
      <c r="AN96" s="179">
        <f>VLOOKUP(D96&amp;E96,计算辅助页面!$V$5:$Y$18,4,0)</f>
        <v>2</v>
      </c>
      <c r="AO96" s="173">
        <f t="shared" si="74"/>
        <v>4160000</v>
      </c>
      <c r="AP96" s="195">
        <f t="shared" ref="AP96" si="149">IF(AND(AH96,AO96),AO96+AH96,"")</f>
        <v>7472600</v>
      </c>
      <c r="AQ96" s="365" t="s">
        <v>1525</v>
      </c>
      <c r="AR96" s="366" t="str">
        <f t="shared" si="101"/>
        <v>Motion</v>
      </c>
      <c r="AS96" s="352" t="s">
        <v>1514</v>
      </c>
      <c r="AT96" s="353" t="s">
        <v>1526</v>
      </c>
      <c r="AU96" s="229" t="s">
        <v>711</v>
      </c>
      <c r="AW96" s="357">
        <v>352</v>
      </c>
      <c r="AY96" s="357">
        <v>458</v>
      </c>
      <c r="AZ96" s="384" t="s">
        <v>1539</v>
      </c>
      <c r="BA96" s="369"/>
      <c r="BB96" s="369"/>
      <c r="BC96" s="369"/>
      <c r="BD96" s="369"/>
      <c r="BE96" s="369"/>
      <c r="BF96" s="369"/>
      <c r="BG96" s="369"/>
      <c r="BH96" s="369"/>
      <c r="BI96" s="369"/>
      <c r="BJ96" s="369"/>
      <c r="BK96" s="369"/>
      <c r="BL96" s="369"/>
      <c r="BM96" s="369"/>
      <c r="BN96" s="369"/>
      <c r="BO96" s="369"/>
      <c r="BP96" s="369"/>
      <c r="BQ96" s="369"/>
      <c r="BR96" s="369"/>
      <c r="BS96" s="369"/>
      <c r="BT96" s="369"/>
      <c r="BU96" s="389" t="s">
        <v>1543</v>
      </c>
      <c r="BV96" s="326"/>
      <c r="BW96" s="326"/>
      <c r="BX96" s="326"/>
      <c r="BY96" s="367"/>
      <c r="BZ96" s="368"/>
      <c r="CA96" s="368"/>
      <c r="CB96" s="368"/>
      <c r="CC96" s="368"/>
      <c r="CD96" s="368"/>
      <c r="CE96" s="368"/>
      <c r="CF96" s="368"/>
      <c r="CG96" s="368"/>
      <c r="CH96" s="368"/>
      <c r="CI96" s="42"/>
      <c r="CJ96" s="42"/>
      <c r="CK96" s="42"/>
      <c r="CL96" s="42"/>
    </row>
    <row r="97" spans="1:90" ht="21" customHeight="1">
      <c r="A97" s="80">
        <v>95</v>
      </c>
      <c r="B97" s="52" t="s">
        <v>1086</v>
      </c>
      <c r="C97" s="86" t="s">
        <v>1087</v>
      </c>
      <c r="D97" s="255" t="s">
        <v>7</v>
      </c>
      <c r="E97" s="247" t="s">
        <v>45</v>
      </c>
      <c r="F97" s="230"/>
      <c r="G97" s="229"/>
      <c r="H97" s="236">
        <v>55</v>
      </c>
      <c r="I97" s="236">
        <v>35</v>
      </c>
      <c r="J97" s="236">
        <v>44</v>
      </c>
      <c r="K97" s="236">
        <v>54</v>
      </c>
      <c r="L97" s="222" t="s">
        <v>59</v>
      </c>
      <c r="M97" s="222" t="s">
        <v>59</v>
      </c>
      <c r="N97" s="226">
        <f t="shared" ref="N97" si="150">IF(COUNTBLANK(H97:M97),"",SUM(H97:M97))</f>
        <v>188</v>
      </c>
      <c r="O97" s="53">
        <v>3425</v>
      </c>
      <c r="P97" s="210">
        <v>346.2</v>
      </c>
      <c r="Q97" s="217">
        <v>81.849999999999994</v>
      </c>
      <c r="R97" s="217">
        <v>47.31</v>
      </c>
      <c r="S97" s="217">
        <v>61.18</v>
      </c>
      <c r="T97" s="217"/>
      <c r="U97" s="85">
        <v>5750</v>
      </c>
      <c r="V97" s="292">
        <f>VLOOKUP($U97,计算辅助页面!$Z$5:$AM$26,COLUMN()-20,0)</f>
        <v>9400</v>
      </c>
      <c r="W97" s="292">
        <f>VLOOKUP($U97,计算辅助页面!$Z$5:$AM$26,COLUMN()-20,0)</f>
        <v>15000</v>
      </c>
      <c r="X97" s="226">
        <f>VLOOKUP($U97,计算辅助页面!$Z$5:$AM$26,COLUMN()-20,0)</f>
        <v>22500</v>
      </c>
      <c r="Y97" s="226">
        <f>VLOOKUP($U97,计算辅助页面!$Z$5:$AM$26,COLUMN()-20,0)</f>
        <v>32500</v>
      </c>
      <c r="Z97" s="293">
        <f>VLOOKUP($U97,计算辅助页面!$Z$5:$AM$26,COLUMN()-20,0)</f>
        <v>45500</v>
      </c>
      <c r="AA97" s="226">
        <f>VLOOKUP($U97,计算辅助页面!$Z$5:$AM$26,COLUMN()-20,0)</f>
        <v>63500</v>
      </c>
      <c r="AB97" s="226">
        <f>VLOOKUP($U97,计算辅助页面!$Z$5:$AM$26,COLUMN()-20,0)</f>
        <v>89000</v>
      </c>
      <c r="AC97" s="226">
        <f>VLOOKUP($U97,计算辅助页面!$Z$5:$AM$26,COLUMN()-20,0)</f>
        <v>125000</v>
      </c>
      <c r="AD97" s="226">
        <f>VLOOKUP($U97,计算辅助页面!$Z$5:$AM$26,COLUMN()-20,0)</f>
        <v>175000</v>
      </c>
      <c r="AE97" s="226">
        <f>VLOOKUP($U97,计算辅助页面!$Z$5:$AM$26,COLUMN()-20,0)</f>
        <v>245000</v>
      </c>
      <c r="AF97" s="226" t="str">
        <f>VLOOKUP($U97,计算辅助页面!$Z$5:$AM$26,COLUMN()-20,0)</f>
        <v>×</v>
      </c>
      <c r="AG97" s="226" t="str">
        <f>VLOOKUP($U97,计算辅助页面!$Z$5:$AM$26,COLUMN()-20,0)</f>
        <v>×</v>
      </c>
      <c r="AH97" s="173">
        <f>VLOOKUP($U97,计算辅助页面!$Z$5:$AM$26,COLUMN()-20,0)</f>
        <v>3312600</v>
      </c>
      <c r="AI97" s="268">
        <v>40000</v>
      </c>
      <c r="AJ97" s="260">
        <f>VLOOKUP(D97&amp;E97,计算辅助页面!$V$5:$Y$18,2,0)</f>
        <v>6</v>
      </c>
      <c r="AK97" s="174">
        <f t="shared" ref="AK97" si="151">IF(AI97,2*AI97,"")</f>
        <v>80000</v>
      </c>
      <c r="AL97" s="174">
        <f>VLOOKUP(D97&amp;E97,计算辅助页面!$V$5:$Y$18,3,0)</f>
        <v>4</v>
      </c>
      <c r="AM97" s="179">
        <f t="shared" ref="AM97" si="152">IF(AN97="×",AN97,IF(AI97,6*AI97,""))</f>
        <v>240000</v>
      </c>
      <c r="AN97" s="179">
        <f>VLOOKUP(D97&amp;E97,计算辅助页面!$V$5:$Y$18,4,0)</f>
        <v>2</v>
      </c>
      <c r="AO97" s="173">
        <f t="shared" ref="AO97" si="153">IF(AI97,IF(AN97="×",4*(AI97*AJ97+AK97*AL97),4*(AI97*AJ97+AK97*AL97+AM97*AN97)),"")</f>
        <v>4160000</v>
      </c>
      <c r="AP97" s="195">
        <f t="shared" si="51"/>
        <v>7472600</v>
      </c>
      <c r="AQ97" s="365" t="s">
        <v>1088</v>
      </c>
      <c r="AR97" s="366" t="str">
        <f t="shared" si="101"/>
        <v>GTE</v>
      </c>
      <c r="AS97" s="352" t="s">
        <v>1082</v>
      </c>
      <c r="AT97" s="353" t="s">
        <v>1089</v>
      </c>
      <c r="AU97" s="229" t="s">
        <v>711</v>
      </c>
      <c r="AW97" s="357">
        <v>360</v>
      </c>
      <c r="AY97" s="357">
        <v>471</v>
      </c>
      <c r="AZ97" s="357" t="s">
        <v>1113</v>
      </c>
      <c r="BA97" s="369"/>
      <c r="BB97" s="369"/>
      <c r="BC97" s="369"/>
      <c r="BD97" s="369"/>
      <c r="BE97" s="369"/>
      <c r="BF97" s="369">
        <v>1</v>
      </c>
      <c r="BG97" s="369"/>
      <c r="BH97" s="369"/>
      <c r="BI97" s="369"/>
      <c r="BJ97" s="369"/>
      <c r="BK97" s="369"/>
      <c r="BL97" s="369"/>
      <c r="BM97" s="369"/>
      <c r="BN97" s="369"/>
      <c r="BO97" s="369"/>
      <c r="BP97" s="369"/>
      <c r="BQ97" s="369"/>
      <c r="BR97" s="369"/>
      <c r="BS97" s="369"/>
      <c r="BT97" s="369"/>
      <c r="BU97" s="387"/>
      <c r="BV97" s="326"/>
      <c r="BW97" s="326"/>
      <c r="BX97" s="326"/>
      <c r="BY97" s="367"/>
      <c r="BZ97" s="368"/>
      <c r="CA97" s="368"/>
      <c r="CB97" s="368"/>
      <c r="CC97" s="368"/>
      <c r="CD97" s="368"/>
      <c r="CE97" s="368"/>
      <c r="CF97" s="368"/>
      <c r="CG97" s="368"/>
      <c r="CH97" s="368"/>
      <c r="CI97" s="42"/>
      <c r="CJ97" s="42"/>
      <c r="CK97" s="42"/>
      <c r="CL97" s="42"/>
    </row>
    <row r="98" spans="1:90" ht="21" customHeight="1" thickBot="1">
      <c r="A98" s="48">
        <v>96</v>
      </c>
      <c r="B98" s="49" t="s">
        <v>33</v>
      </c>
      <c r="C98" s="86" t="s">
        <v>776</v>
      </c>
      <c r="D98" s="255" t="s">
        <v>7</v>
      </c>
      <c r="E98" s="247" t="s">
        <v>45</v>
      </c>
      <c r="F98" s="173">
        <f>9-LEN(E98)-LEN(SUBSTITUTE(E98,"★",""))</f>
        <v>5</v>
      </c>
      <c r="G98" s="83" t="s">
        <v>66</v>
      </c>
      <c r="H98" s="222">
        <v>40</v>
      </c>
      <c r="I98" s="222">
        <v>18</v>
      </c>
      <c r="J98" s="222">
        <v>24</v>
      </c>
      <c r="K98" s="222">
        <v>36</v>
      </c>
      <c r="L98" s="222" t="s">
        <v>59</v>
      </c>
      <c r="M98" s="222" t="s">
        <v>59</v>
      </c>
      <c r="N98" s="226">
        <f t="shared" si="71"/>
        <v>118</v>
      </c>
      <c r="O98" s="51">
        <v>3519</v>
      </c>
      <c r="P98" s="209">
        <v>368.8</v>
      </c>
      <c r="Q98" s="216">
        <v>79.44</v>
      </c>
      <c r="R98" s="216">
        <v>38.58</v>
      </c>
      <c r="S98" s="216">
        <v>63.11</v>
      </c>
      <c r="T98" s="216">
        <v>6.1659999999999995</v>
      </c>
      <c r="U98" s="84">
        <v>2880</v>
      </c>
      <c r="V98" s="292">
        <f>VLOOKUP($U98,计算辅助页面!$Z$5:$AM$26,COLUMN()-20,0)</f>
        <v>4700</v>
      </c>
      <c r="W98" s="292">
        <f>VLOOKUP($U98,计算辅助页面!$Z$5:$AM$26,COLUMN()-20,0)</f>
        <v>7500</v>
      </c>
      <c r="X98" s="226">
        <f>VLOOKUP($U98,计算辅助页面!$Z$5:$AM$26,COLUMN()-20,0)</f>
        <v>11300</v>
      </c>
      <c r="Y98" s="226">
        <f>VLOOKUP($U98,计算辅助页面!$Z$5:$AM$26,COLUMN()-20,0)</f>
        <v>16300</v>
      </c>
      <c r="Z98" s="293">
        <f>VLOOKUP($U98,计算辅助页面!$Z$5:$AM$26,COLUMN()-20,0)</f>
        <v>23000</v>
      </c>
      <c r="AA98" s="226">
        <f>VLOOKUP($U98,计算辅助页面!$Z$5:$AM$26,COLUMN()-20,0)</f>
        <v>32000</v>
      </c>
      <c r="AB98" s="226">
        <f>VLOOKUP($U98,计算辅助页面!$Z$5:$AM$26,COLUMN()-20,0)</f>
        <v>44500</v>
      </c>
      <c r="AC98" s="226">
        <f>VLOOKUP($U98,计算辅助页面!$Z$5:$AM$26,COLUMN()-20,0)</f>
        <v>62500</v>
      </c>
      <c r="AD98" s="226">
        <f>VLOOKUP($U98,计算辅助页面!$Z$5:$AM$26,COLUMN()-20,0)</f>
        <v>87500</v>
      </c>
      <c r="AE98" s="226">
        <f>VLOOKUP($U98,计算辅助页面!$Z$5:$AM$26,COLUMN()-20,0)</f>
        <v>122000</v>
      </c>
      <c r="AF98" s="226" t="str">
        <f>VLOOKUP($U98,计算辅助页面!$Z$5:$AM$26,COLUMN()-20,0)</f>
        <v>×</v>
      </c>
      <c r="AG98" s="226" t="str">
        <f>VLOOKUP($U98,计算辅助页面!$Z$5:$AM$26,COLUMN()-20,0)</f>
        <v>×</v>
      </c>
      <c r="AH98" s="173">
        <f>VLOOKUP($U98,计算辅助页面!$Z$5:$AM$26,COLUMN()-20,0)</f>
        <v>1656720</v>
      </c>
      <c r="AI98" s="267">
        <v>20000</v>
      </c>
      <c r="AJ98" s="260">
        <f>VLOOKUP(D98&amp;E98,计算辅助页面!$V$5:$Y$18,2,0)</f>
        <v>6</v>
      </c>
      <c r="AK98" s="174">
        <f t="shared" si="72"/>
        <v>40000</v>
      </c>
      <c r="AL98" s="174">
        <f>VLOOKUP(D98&amp;E98,计算辅助页面!$V$5:$Y$18,3,0)</f>
        <v>4</v>
      </c>
      <c r="AM98" s="179">
        <f t="shared" si="73"/>
        <v>120000</v>
      </c>
      <c r="AN98" s="179">
        <f>VLOOKUP(D98&amp;E98,计算辅助页面!$V$5:$Y$18,4,0)</f>
        <v>2</v>
      </c>
      <c r="AO98" s="173">
        <f t="shared" si="74"/>
        <v>2080000</v>
      </c>
      <c r="AP98" s="195">
        <f t="shared" si="51"/>
        <v>3736720</v>
      </c>
      <c r="AQ98" s="365" t="s">
        <v>1059</v>
      </c>
      <c r="AR98" s="366" t="str">
        <f t="shared" si="101"/>
        <v>003S</v>
      </c>
      <c r="AS98" s="352" t="s">
        <v>603</v>
      </c>
      <c r="AT98" s="353" t="s">
        <v>287</v>
      </c>
      <c r="AU98" s="229" t="s">
        <v>711</v>
      </c>
      <c r="AV98" s="357">
        <v>10</v>
      </c>
      <c r="AW98" s="357">
        <v>383</v>
      </c>
      <c r="AY98" s="357">
        <v>510</v>
      </c>
      <c r="AZ98" s="357" t="s">
        <v>1110</v>
      </c>
      <c r="BA98" s="369"/>
      <c r="BB98" s="369"/>
      <c r="BC98" s="369">
        <v>1</v>
      </c>
      <c r="BD98" s="369">
        <v>1</v>
      </c>
      <c r="BE98" s="369"/>
      <c r="BF98" s="369">
        <v>1</v>
      </c>
      <c r="BG98" s="369"/>
      <c r="BH98" s="369"/>
      <c r="BI98" s="369"/>
      <c r="BJ98" s="369"/>
      <c r="BK98" s="369"/>
      <c r="BL98" s="369"/>
      <c r="BM98" s="369"/>
      <c r="BN98" s="369"/>
      <c r="BO98" s="369"/>
      <c r="BP98" s="369"/>
      <c r="BQ98" s="369"/>
      <c r="BR98" s="369"/>
      <c r="BS98" s="369"/>
      <c r="BT98" s="369">
        <v>1</v>
      </c>
      <c r="BU98" s="387"/>
      <c r="BV98" s="326"/>
      <c r="BW98" s="326"/>
      <c r="BX98" s="326"/>
      <c r="BY98" s="367">
        <v>350</v>
      </c>
      <c r="BZ98" s="368">
        <v>73</v>
      </c>
      <c r="CA98" s="368">
        <v>32.33</v>
      </c>
      <c r="CB98" s="368">
        <v>50.68</v>
      </c>
      <c r="CC98" s="368">
        <f t="shared" si="75"/>
        <v>18.800000000000011</v>
      </c>
      <c r="CD98" s="368">
        <f t="shared" si="76"/>
        <v>6.4399999999999977</v>
      </c>
      <c r="CE98" s="368">
        <f t="shared" si="77"/>
        <v>6.25</v>
      </c>
      <c r="CF98" s="368">
        <f t="shared" si="78"/>
        <v>12.43</v>
      </c>
      <c r="CG98" s="368">
        <f t="shared" si="79"/>
        <v>43.920000000000009</v>
      </c>
      <c r="CH98" s="368">
        <f t="shared" si="80"/>
        <v>40.258899999999997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989</v>
      </c>
      <c r="C99" s="86" t="s">
        <v>990</v>
      </c>
      <c r="D99" s="255" t="s">
        <v>7</v>
      </c>
      <c r="E99" s="247" t="s">
        <v>78</v>
      </c>
      <c r="F99" s="230"/>
      <c r="G99" s="229"/>
      <c r="H99" s="222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si="71"/>
        <v>162</v>
      </c>
      <c r="O99" s="53">
        <v>3533</v>
      </c>
      <c r="P99" s="210">
        <v>339.1</v>
      </c>
      <c r="Q99" s="217">
        <v>81.31</v>
      </c>
      <c r="R99" s="217">
        <v>75.510000000000005</v>
      </c>
      <c r="S99" s="217">
        <v>65.900000000000006</v>
      </c>
      <c r="T99" s="217"/>
      <c r="U99" s="85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72"/>
        <v>100000</v>
      </c>
      <c r="AL99" s="174">
        <f>VLOOKUP(D99&amp;E99,计算辅助页面!$V$5:$Y$18,3,0)</f>
        <v>5</v>
      </c>
      <c r="AM99" s="179">
        <f t="shared" si="73"/>
        <v>300000</v>
      </c>
      <c r="AN99" s="179">
        <f>VLOOKUP(D99&amp;E99,计算辅助页面!$V$5:$Y$18,4,0)</f>
        <v>2</v>
      </c>
      <c r="AO99" s="173">
        <f t="shared" si="74"/>
        <v>6000000</v>
      </c>
      <c r="AP99" s="195">
        <f t="shared" si="51"/>
        <v>12369280</v>
      </c>
      <c r="AQ99" s="365" t="s">
        <v>569</v>
      </c>
      <c r="AR99" s="366" t="str">
        <f t="shared" si="101"/>
        <v>Elva</v>
      </c>
      <c r="AS99" s="352" t="s">
        <v>991</v>
      </c>
      <c r="AT99" s="353" t="s">
        <v>993</v>
      </c>
      <c r="AU99" s="229" t="s">
        <v>712</v>
      </c>
      <c r="AW99" s="357">
        <v>353</v>
      </c>
      <c r="AY99" s="357">
        <v>459</v>
      </c>
      <c r="AZ99" s="357" t="s">
        <v>1114</v>
      </c>
      <c r="BA99" s="369"/>
      <c r="BB99" s="369"/>
      <c r="BC99" s="369"/>
      <c r="BD99" s="369"/>
      <c r="BE99" s="369"/>
      <c r="BF99" s="369"/>
      <c r="BG99" s="369">
        <v>1</v>
      </c>
      <c r="BH99" s="369"/>
      <c r="BI99" s="369"/>
      <c r="BJ99" s="369"/>
      <c r="BK99" s="369"/>
      <c r="BL99" s="369"/>
      <c r="BM99" s="369"/>
      <c r="BN99" s="369"/>
      <c r="BO99" s="369">
        <v>1</v>
      </c>
      <c r="BP99" s="369"/>
      <c r="BQ99" s="369"/>
      <c r="BR99" s="369" t="s">
        <v>1146</v>
      </c>
      <c r="BS99" s="369"/>
      <c r="BT99" s="369"/>
      <c r="BU99" s="387" t="s">
        <v>1165</v>
      </c>
      <c r="BV99" s="326"/>
      <c r="BW99" s="326"/>
      <c r="BX99" s="326"/>
      <c r="BY99" s="367"/>
      <c r="BZ99" s="368"/>
      <c r="CA99" s="368"/>
      <c r="CB99" s="368"/>
      <c r="CC99" s="368"/>
      <c r="CD99" s="368"/>
      <c r="CE99" s="368"/>
      <c r="CF99" s="368"/>
      <c r="CG99" s="368"/>
      <c r="CH99" s="368"/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1453</v>
      </c>
      <c r="C100" s="86" t="s">
        <v>1436</v>
      </c>
      <c r="D100" s="255" t="s">
        <v>7</v>
      </c>
      <c r="E100" s="247" t="s">
        <v>78</v>
      </c>
      <c r="F100" s="230"/>
      <c r="G100" s="229"/>
      <c r="H100" s="392" t="s">
        <v>408</v>
      </c>
      <c r="I100" s="236">
        <v>26</v>
      </c>
      <c r="J100" s="236">
        <v>34</v>
      </c>
      <c r="K100" s="236">
        <v>40</v>
      </c>
      <c r="L100" s="236">
        <v>62</v>
      </c>
      <c r="M100" s="222" t="s">
        <v>59</v>
      </c>
      <c r="N100" s="226">
        <f t="shared" si="71"/>
        <v>162</v>
      </c>
      <c r="O100" s="53">
        <v>3627</v>
      </c>
      <c r="P100" s="210">
        <v>373.5</v>
      </c>
      <c r="Q100" s="217">
        <v>76.72</v>
      </c>
      <c r="R100" s="217">
        <v>52.63</v>
      </c>
      <c r="S100" s="217">
        <v>55.45</v>
      </c>
      <c r="T100" s="217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72"/>
        <v>100000</v>
      </c>
      <c r="AL100" s="174">
        <f>VLOOKUP(D100&amp;E100,计算辅助页面!$V$5:$Y$18,3,0)</f>
        <v>5</v>
      </c>
      <c r="AM100" s="179">
        <f t="shared" si="73"/>
        <v>300000</v>
      </c>
      <c r="AN100" s="179">
        <f>VLOOKUP(D100&amp;E100,计算辅助页面!$V$5:$Y$18,4,0)</f>
        <v>2</v>
      </c>
      <c r="AO100" s="173">
        <f t="shared" si="74"/>
        <v>6000000</v>
      </c>
      <c r="AP100" s="195">
        <f t="shared" si="51"/>
        <v>12369280</v>
      </c>
      <c r="AQ100" s="365" t="s">
        <v>560</v>
      </c>
      <c r="AR100" s="366" t="str">
        <f t="shared" si="101"/>
        <v>R390 GT1🔑</v>
      </c>
      <c r="AS100" s="352" t="s">
        <v>1427</v>
      </c>
      <c r="AT100" s="353" t="s">
        <v>1441</v>
      </c>
      <c r="AU100" s="229" t="s">
        <v>712</v>
      </c>
      <c r="AW100" s="357">
        <v>388</v>
      </c>
      <c r="AY100" s="357">
        <v>519</v>
      </c>
      <c r="AZ100" s="384" t="s">
        <v>1280</v>
      </c>
      <c r="BA100" s="369"/>
      <c r="BB100" s="369"/>
      <c r="BC100" s="369"/>
      <c r="BD100" s="369"/>
      <c r="BE100" s="369"/>
      <c r="BF100" s="369"/>
      <c r="BG100" s="369"/>
      <c r="BH100" s="369"/>
      <c r="BI100" s="369"/>
      <c r="BJ100" s="369"/>
      <c r="BK100" s="369"/>
      <c r="BL100" s="369"/>
      <c r="BM100" s="369"/>
      <c r="BN100" s="369">
        <v>1</v>
      </c>
      <c r="BO100" s="369"/>
      <c r="BP100" s="369"/>
      <c r="BQ100" s="369"/>
      <c r="BR100" s="369"/>
      <c r="BS100" s="369"/>
      <c r="BT100" s="369"/>
      <c r="BU100" s="389" t="s">
        <v>1442</v>
      </c>
      <c r="BV100" s="326"/>
      <c r="BW100" s="326"/>
      <c r="BX100" s="326"/>
      <c r="BY100" s="367"/>
      <c r="BZ100" s="368"/>
      <c r="CA100" s="368"/>
      <c r="CB100" s="368"/>
      <c r="CC100" s="368"/>
      <c r="CD100" s="368"/>
      <c r="CE100" s="368"/>
      <c r="CF100" s="368"/>
      <c r="CG100" s="368"/>
      <c r="CH100" s="368"/>
      <c r="CI100" s="42"/>
      <c r="CJ100" s="42"/>
      <c r="CK100" s="42"/>
      <c r="CL100" s="42"/>
    </row>
    <row r="101" spans="1:90" ht="21" customHeight="1">
      <c r="A101" s="80">
        <v>99</v>
      </c>
      <c r="B101" s="49" t="s">
        <v>34</v>
      </c>
      <c r="C101" s="86" t="s">
        <v>777</v>
      </c>
      <c r="D101" s="255" t="s">
        <v>7</v>
      </c>
      <c r="E101" s="247" t="s">
        <v>78</v>
      </c>
      <c r="F101" s="173">
        <f t="shared" ref="F101:F115" si="154">9-LEN(E101)-LEN(SUBSTITUTE(E101,"★",""))</f>
        <v>4</v>
      </c>
      <c r="G101" s="83" t="s">
        <v>68</v>
      </c>
      <c r="H101" s="222">
        <v>30</v>
      </c>
      <c r="I101" s="222">
        <v>9</v>
      </c>
      <c r="J101" s="222">
        <v>13</v>
      </c>
      <c r="K101" s="222">
        <v>21</v>
      </c>
      <c r="L101" s="222">
        <v>32</v>
      </c>
      <c r="M101" s="222" t="s">
        <v>59</v>
      </c>
      <c r="N101" s="226">
        <f t="shared" si="71"/>
        <v>105</v>
      </c>
      <c r="O101" s="51">
        <v>3724</v>
      </c>
      <c r="P101" s="209">
        <v>360.5</v>
      </c>
      <c r="Q101" s="216">
        <v>78.38</v>
      </c>
      <c r="R101" s="216">
        <v>40.130000000000003</v>
      </c>
      <c r="S101" s="216">
        <v>80.180000000000007</v>
      </c>
      <c r="T101" s="216">
        <v>9.6660000000000004</v>
      </c>
      <c r="U101" s="84">
        <v>3910</v>
      </c>
      <c r="V101" s="292">
        <f>VLOOKUP($U101,计算辅助页面!$Z$5:$AM$26,COLUMN()-20,0)</f>
        <v>6400</v>
      </c>
      <c r="W101" s="292">
        <f>VLOOKUP($U101,计算辅助页面!$Z$5:$AM$26,COLUMN()-20,0)</f>
        <v>10200</v>
      </c>
      <c r="X101" s="226">
        <f>VLOOKUP($U101,计算辅助页面!$Z$5:$AM$26,COLUMN()-20,0)</f>
        <v>15300</v>
      </c>
      <c r="Y101" s="226">
        <f>VLOOKUP($U101,计算辅助页面!$Z$5:$AM$26,COLUMN()-20,0)</f>
        <v>22100</v>
      </c>
      <c r="Z101" s="293">
        <f>VLOOKUP($U101,计算辅助页面!$Z$5:$AM$26,COLUMN()-20,0)</f>
        <v>31000</v>
      </c>
      <c r="AA101" s="226">
        <f>VLOOKUP($U101,计算辅助页面!$Z$5:$AM$26,COLUMN()-20,0)</f>
        <v>43500</v>
      </c>
      <c r="AB101" s="226">
        <f>VLOOKUP($U101,计算辅助页面!$Z$5:$AM$26,COLUMN()-20,0)</f>
        <v>60500</v>
      </c>
      <c r="AC101" s="226">
        <f>VLOOKUP($U101,计算辅助页面!$Z$5:$AM$26,COLUMN()-20,0)</f>
        <v>85000</v>
      </c>
      <c r="AD101" s="226">
        <f>VLOOKUP($U101,计算辅助页面!$Z$5:$AM$26,COLUMN()-20,0)</f>
        <v>119000</v>
      </c>
      <c r="AE101" s="226">
        <f>VLOOKUP($U101,计算辅助页面!$Z$5:$AM$26,COLUMN()-20,0)</f>
        <v>166000</v>
      </c>
      <c r="AF101" s="226">
        <f>VLOOKUP($U101,计算辅助页面!$Z$5:$AM$26,COLUMN()-20,0)</f>
        <v>233000</v>
      </c>
      <c r="AG101" s="226" t="str">
        <f>VLOOKUP($U101,计算辅助页面!$Z$5:$AM$26,COLUMN()-20,0)</f>
        <v>×</v>
      </c>
      <c r="AH101" s="173">
        <f>VLOOKUP($U101,计算辅助页面!$Z$5:$AM$26,COLUMN()-20,0)</f>
        <v>3183640</v>
      </c>
      <c r="AI101" s="267">
        <v>25000</v>
      </c>
      <c r="AJ101" s="260">
        <f>VLOOKUP(D101&amp;E101,计算辅助页面!$V$5:$Y$18,2,0)</f>
        <v>8</v>
      </c>
      <c r="AK101" s="174">
        <f t="shared" ref="AK101:AK141" si="155">IF(AI101,2*AI101,"")</f>
        <v>50000</v>
      </c>
      <c r="AL101" s="174">
        <f>VLOOKUP(D101&amp;E101,计算辅助页面!$V$5:$Y$18,3,0)</f>
        <v>5</v>
      </c>
      <c r="AM101" s="179">
        <f t="shared" ref="AM101:AM141" si="156">IF(AN101="×",AN101,IF(AI101,6*AI101,""))</f>
        <v>150000</v>
      </c>
      <c r="AN101" s="179">
        <f>VLOOKUP(D101&amp;E101,计算辅助页面!$V$5:$Y$18,4,0)</f>
        <v>2</v>
      </c>
      <c r="AO101" s="173">
        <f t="shared" ref="AO101:AO141" si="157">IF(AI101,IF(AN101="×",4*(AI101*AJ101+AK101*AL101),4*(AI101*AJ101+AK101*AL101+AM101*AN101)),"")</f>
        <v>3000000</v>
      </c>
      <c r="AP101" s="195">
        <f t="shared" ref="AP101:AP141" si="158">IF(AND(AH101,AO101),AO101+AH101,"")</f>
        <v>6183640</v>
      </c>
      <c r="AQ101" s="365" t="s">
        <v>568</v>
      </c>
      <c r="AR101" s="366" t="str">
        <f t="shared" si="101"/>
        <v>F12tdf</v>
      </c>
      <c r="AS101" s="352" t="s">
        <v>603</v>
      </c>
      <c r="AT101" s="353" t="s">
        <v>654</v>
      </c>
      <c r="AU101" s="229" t="s">
        <v>712</v>
      </c>
      <c r="AV101" s="357">
        <v>12</v>
      </c>
      <c r="AW101" s="357">
        <v>375</v>
      </c>
      <c r="AY101" s="357">
        <v>496</v>
      </c>
      <c r="AZ101" s="357" t="s">
        <v>1110</v>
      </c>
      <c r="BA101" s="369"/>
      <c r="BB101" s="369"/>
      <c r="BC101" s="369">
        <v>1</v>
      </c>
      <c r="BD101" s="369">
        <v>1</v>
      </c>
      <c r="BE101" s="369"/>
      <c r="BF101" s="369">
        <v>1</v>
      </c>
      <c r="BG101" s="369"/>
      <c r="BH101" s="369"/>
      <c r="BI101" s="369"/>
      <c r="BJ101" s="369"/>
      <c r="BK101" s="369"/>
      <c r="BL101" s="369"/>
      <c r="BM101" s="369"/>
      <c r="BN101" s="369"/>
      <c r="BO101" s="369"/>
      <c r="BP101" s="369"/>
      <c r="BQ101" s="369"/>
      <c r="BR101" s="369"/>
      <c r="BS101" s="369"/>
      <c r="BT101" s="369">
        <v>1</v>
      </c>
      <c r="BU101" s="387" t="s">
        <v>1166</v>
      </c>
      <c r="BV101" s="326"/>
      <c r="BW101" s="326"/>
      <c r="BX101" s="326"/>
      <c r="BY101" s="367">
        <v>340</v>
      </c>
      <c r="BZ101" s="368">
        <v>73.900000000000006</v>
      </c>
      <c r="CA101" s="368">
        <v>31.67</v>
      </c>
      <c r="CB101" s="368">
        <v>69.61</v>
      </c>
      <c r="CC101" s="368">
        <f t="shared" ref="CC101:CC141" si="159">P101-BY101</f>
        <v>20.5</v>
      </c>
      <c r="CD101" s="368">
        <f t="shared" ref="CD101:CD141" si="160">Q101-BZ101</f>
        <v>4.4799999999999898</v>
      </c>
      <c r="CE101" s="368">
        <f t="shared" ref="CE101:CE141" si="161">R101-CA101</f>
        <v>8.4600000000000009</v>
      </c>
      <c r="CF101" s="368">
        <f t="shared" ref="CF101:CF141" si="162">S101-CB101</f>
        <v>10.570000000000007</v>
      </c>
      <c r="CG101" s="368">
        <f t="shared" ref="CG101:CG141" si="163">SUM(CC101:CF101)</f>
        <v>44.01</v>
      </c>
      <c r="CH101" s="368">
        <f t="shared" ref="CH101:CH141" si="164">0.32*(P101-BY101)+1.75*(Q101-BZ101)+1.13*(R101-CA101)+1.28*(S101-CB101)</f>
        <v>37.489399999999989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5" t="s">
        <v>1635</v>
      </c>
      <c r="C102" s="86" t="s">
        <v>1636</v>
      </c>
      <c r="D102" s="255" t="s">
        <v>7</v>
      </c>
      <c r="E102" s="247" t="s">
        <v>78</v>
      </c>
      <c r="F102" s="230"/>
      <c r="G102" s="229"/>
      <c r="H102" s="397">
        <v>45</v>
      </c>
      <c r="I102" s="397">
        <v>17</v>
      </c>
      <c r="J102" s="397">
        <v>23</v>
      </c>
      <c r="K102" s="397">
        <v>32</v>
      </c>
      <c r="L102" s="397">
        <v>45</v>
      </c>
      <c r="M102" s="222" t="s">
        <v>59</v>
      </c>
      <c r="N102" s="226">
        <f>IF(COUNTBLANK(H102:M102),"",SUM(H102:M102))</f>
        <v>162</v>
      </c>
      <c r="O102" s="57">
        <v>3773</v>
      </c>
      <c r="P102" s="211">
        <v>335.7</v>
      </c>
      <c r="Q102" s="218">
        <v>81.63</v>
      </c>
      <c r="R102" s="218">
        <v>80.790000000000006</v>
      </c>
      <c r="S102" s="218">
        <v>75.84</v>
      </c>
      <c r="T102" s="218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55"/>
        <v>100000</v>
      </c>
      <c r="AL102" s="174">
        <f>VLOOKUP(D102&amp;E102,计算辅助页面!$V$5:$Y$18,3,0)</f>
        <v>5</v>
      </c>
      <c r="AM102" s="179">
        <f t="shared" si="156"/>
        <v>300000</v>
      </c>
      <c r="AN102" s="179">
        <f>VLOOKUP(D102&amp;E102,计算辅助页面!$V$5:$Y$18,4,0)</f>
        <v>2</v>
      </c>
      <c r="AO102" s="173">
        <f t="shared" si="157"/>
        <v>6000000</v>
      </c>
      <c r="AP102" s="195">
        <f t="shared" si="158"/>
        <v>12369280</v>
      </c>
      <c r="AQ102" s="365" t="s">
        <v>1068</v>
      </c>
      <c r="AR102" s="366" t="str">
        <f t="shared" si="101"/>
        <v>MC20</v>
      </c>
      <c r="AS102" s="352" t="s">
        <v>1622</v>
      </c>
      <c r="AT102" s="353" t="s">
        <v>1637</v>
      </c>
      <c r="AU102" s="229" t="s">
        <v>712</v>
      </c>
      <c r="BA102" s="369"/>
      <c r="BB102" s="369"/>
      <c r="BC102" s="369"/>
      <c r="BD102" s="369"/>
      <c r="BE102" s="369"/>
      <c r="BF102" s="369"/>
      <c r="BG102" s="369"/>
      <c r="BH102" s="369"/>
      <c r="BI102" s="369"/>
      <c r="BJ102" s="369"/>
      <c r="BK102" s="369"/>
      <c r="BL102" s="369"/>
      <c r="BM102" s="369"/>
      <c r="BN102" s="369"/>
      <c r="BO102" s="369"/>
      <c r="BP102" s="369"/>
      <c r="BQ102" s="369"/>
      <c r="BR102" s="369"/>
      <c r="BS102" s="369"/>
      <c r="BT102" s="369"/>
      <c r="BU102" s="387"/>
      <c r="BV102" s="326"/>
      <c r="BW102" s="326"/>
      <c r="BX102" s="326"/>
      <c r="BY102" s="367"/>
      <c r="BZ102" s="368"/>
      <c r="CA102" s="368"/>
      <c r="CB102" s="368"/>
      <c r="CC102" s="368"/>
      <c r="CD102" s="368"/>
      <c r="CE102" s="368"/>
      <c r="CF102" s="368"/>
      <c r="CG102" s="368"/>
      <c r="CH102" s="368"/>
      <c r="CI102" s="42"/>
      <c r="CJ102" s="42"/>
      <c r="CK102" s="42"/>
      <c r="CL102" s="42"/>
    </row>
    <row r="103" spans="1:90" ht="21" customHeight="1">
      <c r="A103" s="80">
        <v>101</v>
      </c>
      <c r="B103" s="55" t="s">
        <v>890</v>
      </c>
      <c r="C103" s="86" t="s">
        <v>891</v>
      </c>
      <c r="D103" s="256" t="s">
        <v>7</v>
      </c>
      <c r="E103" s="247" t="s">
        <v>78</v>
      </c>
      <c r="F103" s="173">
        <f>9-LEN(E103)-LEN(SUBSTITUTE(E103,"★",""))</f>
        <v>4</v>
      </c>
      <c r="G103" s="83" t="s">
        <v>892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>IF(COUNTBLANK(H103:M103),"",SUM(H103:M103))</f>
        <v>162</v>
      </c>
      <c r="O103" s="57">
        <v>3792</v>
      </c>
      <c r="P103" s="211">
        <v>354.1</v>
      </c>
      <c r="Q103" s="218">
        <v>77.540000000000006</v>
      </c>
      <c r="R103" s="218">
        <v>67.180000000000007</v>
      </c>
      <c r="S103" s="218">
        <v>61.13</v>
      </c>
      <c r="T103" s="218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>IF(AI103,2*AI103,"")</f>
        <v>100000</v>
      </c>
      <c r="AL103" s="174">
        <f>VLOOKUP(D103&amp;E103,计算辅助页面!$V$5:$Y$18,3,0)</f>
        <v>5</v>
      </c>
      <c r="AM103" s="179">
        <f>IF(AN103="×",AN103,IF(AI103,6*AI103,""))</f>
        <v>300000</v>
      </c>
      <c r="AN103" s="179">
        <f>VLOOKUP(D103&amp;E103,计算辅助页面!$V$5:$Y$18,4,0)</f>
        <v>2</v>
      </c>
      <c r="AO103" s="173">
        <f>IF(AI103,IF(AN103="×",4*(AI103*AJ103+AK103*AL103),4*(AI103*AJ103+AK103*AL103+AM103*AN103)),"")</f>
        <v>6000000</v>
      </c>
      <c r="AP103" s="195">
        <f>IF(AND(AH103,AO103),AO103+AH103,"")</f>
        <v>12369280</v>
      </c>
      <c r="AQ103" s="365" t="s">
        <v>566</v>
      </c>
      <c r="AR103" s="366" t="str">
        <f>TRIM(RIGHT(B103,LEN(B103)-LEN(AQ103)-1))</f>
        <v>Murcielago LP 640 Roadster</v>
      </c>
      <c r="AS103" s="352" t="s">
        <v>905</v>
      </c>
      <c r="AT103" s="353" t="s">
        <v>914</v>
      </c>
      <c r="AU103" s="229" t="s">
        <v>712</v>
      </c>
      <c r="AW103" s="357">
        <v>368</v>
      </c>
      <c r="AY103" s="357">
        <v>484</v>
      </c>
      <c r="AZ103" s="357" t="s">
        <v>1114</v>
      </c>
      <c r="BA103" s="369"/>
      <c r="BB103" s="369"/>
      <c r="BC103" s="369"/>
      <c r="BD103" s="369"/>
      <c r="BE103" s="369"/>
      <c r="BF103" s="369"/>
      <c r="BG103" s="369">
        <v>1</v>
      </c>
      <c r="BH103" s="369"/>
      <c r="BI103" s="369"/>
      <c r="BJ103" s="369"/>
      <c r="BK103" s="369"/>
      <c r="BL103" s="369"/>
      <c r="BM103" s="369"/>
      <c r="BN103" s="369"/>
      <c r="BO103" s="369">
        <v>1</v>
      </c>
      <c r="BP103" s="369"/>
      <c r="BQ103" s="369"/>
      <c r="BR103" s="369" t="s">
        <v>1146</v>
      </c>
      <c r="BS103" s="369"/>
      <c r="BT103" s="369"/>
      <c r="BU103" s="387" t="s">
        <v>1167</v>
      </c>
      <c r="BW103" s="326">
        <v>1</v>
      </c>
      <c r="BX103" s="326"/>
      <c r="BY103" s="367">
        <v>342.3</v>
      </c>
      <c r="BZ103" s="368">
        <v>69.400000000000006</v>
      </c>
      <c r="CA103" s="368">
        <v>49.88</v>
      </c>
      <c r="CB103" s="368">
        <v>37.840000000000003</v>
      </c>
      <c r="CC103" s="368">
        <f>P103-BY103</f>
        <v>11.800000000000011</v>
      </c>
      <c r="CD103" s="368">
        <f>Q103-BZ103</f>
        <v>8.14</v>
      </c>
      <c r="CE103" s="368">
        <f>R103-CA103</f>
        <v>17.300000000000004</v>
      </c>
      <c r="CF103" s="368">
        <f>S103-CB103</f>
        <v>23.29</v>
      </c>
      <c r="CG103" s="368">
        <f>SUM(CC103:CF103)</f>
        <v>60.530000000000015</v>
      </c>
      <c r="CH103" s="368">
        <f>0.32*(P103-BY103)+1.75*(Q103-BZ103)+1.13*(R103-CA103)+1.28*(S103-CB103)</f>
        <v>67.381200000000007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5" t="s">
        <v>1399</v>
      </c>
      <c r="C104" s="86" t="s">
        <v>1400</v>
      </c>
      <c r="D104" s="256" t="s">
        <v>178</v>
      </c>
      <c r="E104" s="394" t="s">
        <v>171</v>
      </c>
      <c r="F104" s="230">
        <v>45</v>
      </c>
      <c r="G104" s="229" t="s">
        <v>1401</v>
      </c>
      <c r="H104" s="397">
        <v>45</v>
      </c>
      <c r="I104" s="397">
        <v>17</v>
      </c>
      <c r="J104" s="397">
        <v>23</v>
      </c>
      <c r="K104" s="397">
        <v>32</v>
      </c>
      <c r="L104" s="397">
        <v>45</v>
      </c>
      <c r="M104" s="222" t="s">
        <v>59</v>
      </c>
      <c r="N104" s="226">
        <f>IF(COUNTBLANK(H104:M104),"",SUM(H104:M104))</f>
        <v>162</v>
      </c>
      <c r="O104" s="57">
        <v>3821</v>
      </c>
      <c r="P104" s="211">
        <v>349.5</v>
      </c>
      <c r="Q104" s="218">
        <v>80.5</v>
      </c>
      <c r="R104" s="218">
        <v>70.61</v>
      </c>
      <c r="S104" s="218">
        <v>62.26</v>
      </c>
      <c r="T104" s="218"/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>IF(AI104,2*AI104,"")</f>
        <v>100000</v>
      </c>
      <c r="AL104" s="174">
        <f>VLOOKUP(D104&amp;E104,计算辅助页面!$V$5:$Y$18,3,0)</f>
        <v>5</v>
      </c>
      <c r="AM104" s="179">
        <f>IF(AN104="×",AN104,IF(AI104,6*AI104,""))</f>
        <v>300000</v>
      </c>
      <c r="AN104" s="179">
        <f>VLOOKUP(D104&amp;E104,计算辅助页面!$V$5:$Y$18,4,0)</f>
        <v>2</v>
      </c>
      <c r="AO104" s="173">
        <f>IF(AI104,IF(AN104="×",4*(AI104*AJ104+AK104*AL104),4*(AI104*AJ104+AK104*AL104+AM104*AN104)),"")</f>
        <v>6000000</v>
      </c>
      <c r="AP104" s="195">
        <f>IF(AND(AH104,AO104),AO104+AH104,"")</f>
        <v>12369280</v>
      </c>
      <c r="AQ104" s="365" t="s">
        <v>569</v>
      </c>
      <c r="AR104" s="366" t="str">
        <f>TRIM(RIGHT(B104,LEN(B104)-LEN(AQ104)-1))</f>
        <v>765LT</v>
      </c>
      <c r="AS104" s="352" t="s">
        <v>1392</v>
      </c>
      <c r="AT104" s="353" t="s">
        <v>1402</v>
      </c>
      <c r="AU104" s="229" t="s">
        <v>712</v>
      </c>
      <c r="AW104" s="357">
        <v>363</v>
      </c>
      <c r="AY104" s="357">
        <v>477</v>
      </c>
      <c r="AZ104" s="384" t="s">
        <v>1412</v>
      </c>
      <c r="BA104" s="369"/>
      <c r="BB104" s="369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>
        <v>1</v>
      </c>
      <c r="BN104" s="369"/>
      <c r="BO104" s="369"/>
      <c r="BP104" s="369"/>
      <c r="BQ104" s="369"/>
      <c r="BR104" s="369"/>
      <c r="BS104" s="369"/>
      <c r="BT104" s="369"/>
      <c r="BU104" s="389" t="s">
        <v>1356</v>
      </c>
      <c r="BW104" s="326"/>
      <c r="BX104" s="326"/>
      <c r="BY104" s="367"/>
      <c r="BZ104" s="368"/>
      <c r="CA104" s="368"/>
      <c r="CB104" s="368"/>
      <c r="CC104" s="368"/>
      <c r="CD104" s="368"/>
      <c r="CE104" s="368"/>
      <c r="CF104" s="368"/>
      <c r="CG104" s="368"/>
      <c r="CH104" s="368"/>
      <c r="CI104" s="42"/>
      <c r="CJ104" s="42"/>
      <c r="CK104" s="42"/>
      <c r="CL104" s="42"/>
    </row>
    <row r="105" spans="1:90" ht="21" customHeight="1">
      <c r="A105" s="80">
        <v>103</v>
      </c>
      <c r="B105" s="55" t="s">
        <v>396</v>
      </c>
      <c r="C105" s="86" t="s">
        <v>778</v>
      </c>
      <c r="D105" s="256" t="s">
        <v>7</v>
      </c>
      <c r="E105" s="247" t="s">
        <v>78</v>
      </c>
      <c r="F105" s="173">
        <f t="shared" si="154"/>
        <v>4</v>
      </c>
      <c r="G105" s="83" t="s">
        <v>68</v>
      </c>
      <c r="H105" s="222">
        <v>30</v>
      </c>
      <c r="I105" s="222">
        <v>9</v>
      </c>
      <c r="J105" s="222">
        <v>13</v>
      </c>
      <c r="K105" s="222">
        <v>21</v>
      </c>
      <c r="L105" s="222">
        <v>32</v>
      </c>
      <c r="M105" s="222" t="s">
        <v>59</v>
      </c>
      <c r="N105" s="226">
        <f t="shared" si="71"/>
        <v>105</v>
      </c>
      <c r="O105" s="57">
        <v>3921</v>
      </c>
      <c r="P105" s="211">
        <v>331.2</v>
      </c>
      <c r="Q105" s="218">
        <v>76.55</v>
      </c>
      <c r="R105" s="218">
        <v>92.99</v>
      </c>
      <c r="S105" s="218">
        <v>80.87</v>
      </c>
      <c r="T105" s="218">
        <v>11.63</v>
      </c>
      <c r="U105" s="84">
        <v>3910</v>
      </c>
      <c r="V105" s="292">
        <f>VLOOKUP($U105,计算辅助页面!$Z$5:$AM$26,COLUMN()-20,0)</f>
        <v>6400</v>
      </c>
      <c r="W105" s="292">
        <f>VLOOKUP($U105,计算辅助页面!$Z$5:$AM$26,COLUMN()-20,0)</f>
        <v>10200</v>
      </c>
      <c r="X105" s="226">
        <f>VLOOKUP($U105,计算辅助页面!$Z$5:$AM$26,COLUMN()-20,0)</f>
        <v>15300</v>
      </c>
      <c r="Y105" s="226">
        <f>VLOOKUP($U105,计算辅助页面!$Z$5:$AM$26,COLUMN()-20,0)</f>
        <v>22100</v>
      </c>
      <c r="Z105" s="293">
        <f>VLOOKUP($U105,计算辅助页面!$Z$5:$AM$26,COLUMN()-20,0)</f>
        <v>31000</v>
      </c>
      <c r="AA105" s="226">
        <f>VLOOKUP($U105,计算辅助页面!$Z$5:$AM$26,COLUMN()-20,0)</f>
        <v>43500</v>
      </c>
      <c r="AB105" s="226">
        <f>VLOOKUP($U105,计算辅助页面!$Z$5:$AM$26,COLUMN()-20,0)</f>
        <v>60500</v>
      </c>
      <c r="AC105" s="226">
        <f>VLOOKUP($U105,计算辅助页面!$Z$5:$AM$26,COLUMN()-20,0)</f>
        <v>85000</v>
      </c>
      <c r="AD105" s="226">
        <f>VLOOKUP($U105,计算辅助页面!$Z$5:$AM$26,COLUMN()-20,0)</f>
        <v>119000</v>
      </c>
      <c r="AE105" s="226">
        <f>VLOOKUP($U105,计算辅助页面!$Z$5:$AM$26,COLUMN()-20,0)</f>
        <v>166000</v>
      </c>
      <c r="AF105" s="226">
        <f>VLOOKUP($U105,计算辅助页面!$Z$5:$AM$26,COLUMN()-20,0)</f>
        <v>233000</v>
      </c>
      <c r="AG105" s="226" t="str">
        <f>VLOOKUP($U105,计算辅助页面!$Z$5:$AM$26,COLUMN()-20,0)</f>
        <v>×</v>
      </c>
      <c r="AH105" s="173">
        <f>VLOOKUP($U105,计算辅助页面!$Z$5:$AM$26,COLUMN()-20,0)</f>
        <v>3183640</v>
      </c>
      <c r="AI105" s="267">
        <v>25000</v>
      </c>
      <c r="AJ105" s="260">
        <f>VLOOKUP(D105&amp;E105,计算辅助页面!$V$5:$Y$18,2,0)</f>
        <v>8</v>
      </c>
      <c r="AK105" s="174">
        <f t="shared" si="155"/>
        <v>50000</v>
      </c>
      <c r="AL105" s="174">
        <f>VLOOKUP(D105&amp;E105,计算辅助页面!$V$5:$Y$18,3,0)</f>
        <v>5</v>
      </c>
      <c r="AM105" s="179">
        <f t="shared" si="156"/>
        <v>150000</v>
      </c>
      <c r="AN105" s="179">
        <f>VLOOKUP(D105&amp;E105,计算辅助页面!$V$5:$Y$18,4,0)</f>
        <v>2</v>
      </c>
      <c r="AO105" s="173">
        <f t="shared" si="157"/>
        <v>3000000</v>
      </c>
      <c r="AP105" s="195">
        <f t="shared" si="158"/>
        <v>6183640</v>
      </c>
      <c r="AQ105" s="365" t="s">
        <v>906</v>
      </c>
      <c r="AR105" s="366" t="str">
        <f t="shared" si="101"/>
        <v>Grand Sport</v>
      </c>
      <c r="AS105" s="352" t="s">
        <v>603</v>
      </c>
      <c r="AT105" s="353" t="s">
        <v>693</v>
      </c>
      <c r="AU105" s="229" t="s">
        <v>712</v>
      </c>
      <c r="AV105" s="357">
        <v>13</v>
      </c>
      <c r="AW105" s="357">
        <v>345</v>
      </c>
      <c r="AY105" s="357">
        <v>445</v>
      </c>
      <c r="AZ105" s="357" t="s">
        <v>1110</v>
      </c>
      <c r="BA105" s="369"/>
      <c r="BB105" s="369"/>
      <c r="BC105" s="369">
        <v>1</v>
      </c>
      <c r="BD105" s="369">
        <v>1</v>
      </c>
      <c r="BE105" s="369"/>
      <c r="BF105" s="369">
        <v>1</v>
      </c>
      <c r="BG105" s="369"/>
      <c r="BH105" s="369"/>
      <c r="BI105" s="369"/>
      <c r="BJ105" s="369"/>
      <c r="BK105" s="369"/>
      <c r="BL105" s="369"/>
      <c r="BM105" s="369"/>
      <c r="BN105" s="369"/>
      <c r="BO105" s="369"/>
      <c r="BP105" s="369"/>
      <c r="BQ105" s="369">
        <v>1</v>
      </c>
      <c r="BR105" s="369" t="s">
        <v>1124</v>
      </c>
      <c r="BS105" s="369"/>
      <c r="BT105" s="369">
        <v>1</v>
      </c>
      <c r="BU105" s="387" t="s">
        <v>1168</v>
      </c>
      <c r="BV105" s="326"/>
      <c r="BW105" s="326"/>
      <c r="BX105" s="326"/>
      <c r="BY105" s="367">
        <v>314</v>
      </c>
      <c r="BZ105" s="368">
        <v>67.599999999999994</v>
      </c>
      <c r="CA105" s="368">
        <v>70.28</v>
      </c>
      <c r="CB105" s="368">
        <v>66.739999999999995</v>
      </c>
      <c r="CC105" s="368">
        <f t="shared" si="159"/>
        <v>17.199999999999989</v>
      </c>
      <c r="CD105" s="368">
        <f t="shared" si="160"/>
        <v>8.9500000000000028</v>
      </c>
      <c r="CE105" s="368">
        <f t="shared" si="161"/>
        <v>22.709999999999994</v>
      </c>
      <c r="CF105" s="368">
        <f t="shared" si="162"/>
        <v>14.13000000000001</v>
      </c>
      <c r="CG105" s="368">
        <f t="shared" si="163"/>
        <v>62.989999999999995</v>
      </c>
      <c r="CH105" s="368">
        <f t="shared" si="164"/>
        <v>64.915199999999999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5" t="s">
        <v>593</v>
      </c>
      <c r="C106" s="86" t="s">
        <v>779</v>
      </c>
      <c r="D106" s="256" t="s">
        <v>7</v>
      </c>
      <c r="E106" s="247" t="s">
        <v>78</v>
      </c>
      <c r="F106" s="173">
        <f t="shared" si="154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:N152" si="165">IF(COUNTBLANK(H106:M106),"",SUM(H106:M106))</f>
        <v>162</v>
      </c>
      <c r="O106" s="57">
        <v>3946</v>
      </c>
      <c r="P106" s="211">
        <v>335.1</v>
      </c>
      <c r="Q106" s="218">
        <v>80.959999999999994</v>
      </c>
      <c r="R106" s="218">
        <v>89.37</v>
      </c>
      <c r="S106" s="218">
        <v>75.16</v>
      </c>
      <c r="T106" s="218">
        <v>9.33</v>
      </c>
      <c r="U106" s="84">
        <v>7820</v>
      </c>
      <c r="V106" s="292">
        <f>VLOOKUP($U107,计算辅助页面!$Z$5:$AM$26,COLUMN()-20,0)</f>
        <v>12800</v>
      </c>
      <c r="W106" s="292">
        <f>VLOOKUP($U107,计算辅助页面!$Z$5:$AM$26,COLUMN()-20,0)</f>
        <v>20400</v>
      </c>
      <c r="X106" s="226">
        <f>VLOOKUP($U107,计算辅助页面!$Z$5:$AM$26,COLUMN()-20,0)</f>
        <v>30600</v>
      </c>
      <c r="Y106" s="226">
        <f>VLOOKUP($U107,计算辅助页面!$Z$5:$AM$26,COLUMN()-20,0)</f>
        <v>44200</v>
      </c>
      <c r="Z106" s="293">
        <f>VLOOKUP($U107,计算辅助页面!$Z$5:$AM$26,COLUMN()-20,0)</f>
        <v>62000</v>
      </c>
      <c r="AA106" s="226">
        <f>VLOOKUP($U107,计算辅助页面!$Z$5:$AM$26,COLUMN()-20,0)</f>
        <v>86500</v>
      </c>
      <c r="AB106" s="226">
        <f>VLOOKUP($U107,计算辅助页面!$Z$5:$AM$26,COLUMN()-20,0)</f>
        <v>121500</v>
      </c>
      <c r="AC106" s="226">
        <f>VLOOKUP($U107,计算辅助页面!$Z$5:$AM$26,COLUMN()-20,0)</f>
        <v>170000</v>
      </c>
      <c r="AD106" s="226">
        <f>VLOOKUP($U107,计算辅助页面!$Z$5:$AM$26,COLUMN()-20,0)</f>
        <v>237500</v>
      </c>
      <c r="AE106" s="226">
        <f>VLOOKUP($U107,计算辅助页面!$Z$5:$AM$26,COLUMN()-20,0)</f>
        <v>333000</v>
      </c>
      <c r="AF106" s="226">
        <f>VLOOKUP($U107,计算辅助页面!$Z$5:$AM$26,COLUMN()-20,0)</f>
        <v>466000</v>
      </c>
      <c r="AG106" s="226" t="str">
        <f>VLOOKUP($U107,计算辅助页面!$Z$5:$AM$26,COLUMN()-20,0)</f>
        <v>×</v>
      </c>
      <c r="AH106" s="173">
        <f>VLOOKUP($U107,计算辅助页面!$Z$5:$AM$26,COLUMN()-20,0)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55"/>
        <v>100000</v>
      </c>
      <c r="AL106" s="174">
        <f>VLOOKUP(D106&amp;E106,计算辅助页面!$V$5:$Y$18,3,0)</f>
        <v>5</v>
      </c>
      <c r="AM106" s="179">
        <f t="shared" si="156"/>
        <v>300000</v>
      </c>
      <c r="AN106" s="179">
        <f>VLOOKUP(D106&amp;E106,计算辅助页面!$V$5:$Y$18,4,0)</f>
        <v>2</v>
      </c>
      <c r="AO106" s="173">
        <f t="shared" si="157"/>
        <v>6000000</v>
      </c>
      <c r="AP106" s="195">
        <f t="shared" si="158"/>
        <v>12369280</v>
      </c>
      <c r="AQ106" s="365" t="s">
        <v>1057</v>
      </c>
      <c r="AR106" s="366" t="str">
        <f t="shared" si="101"/>
        <v>AP-0</v>
      </c>
      <c r="AS106" s="352" t="s">
        <v>959</v>
      </c>
      <c r="AT106" s="353" t="s">
        <v>694</v>
      </c>
      <c r="AU106" s="229" t="s">
        <v>712</v>
      </c>
      <c r="AW106" s="357">
        <v>349</v>
      </c>
      <c r="AX106" s="357">
        <v>358</v>
      </c>
      <c r="AY106" s="357">
        <v>465</v>
      </c>
      <c r="AZ106" s="357" t="s">
        <v>1113</v>
      </c>
      <c r="BA106" s="369"/>
      <c r="BB106" s="369"/>
      <c r="BC106" s="369"/>
      <c r="BD106" s="369"/>
      <c r="BE106" s="369"/>
      <c r="BF106" s="369"/>
      <c r="BG106" s="369"/>
      <c r="BH106" s="369"/>
      <c r="BI106" s="369"/>
      <c r="BJ106" s="369"/>
      <c r="BK106" s="369"/>
      <c r="BL106" s="369"/>
      <c r="BM106" s="369"/>
      <c r="BN106" s="369"/>
      <c r="BO106" s="369"/>
      <c r="BP106" s="369"/>
      <c r="BQ106" s="369"/>
      <c r="BR106" s="369"/>
      <c r="BS106" s="369"/>
      <c r="BT106" s="369"/>
      <c r="BU106" s="387"/>
      <c r="BV106" s="326"/>
      <c r="BW106" s="326"/>
      <c r="BX106" s="326"/>
      <c r="BY106" s="367">
        <v>320</v>
      </c>
      <c r="BZ106" s="368">
        <v>71.2</v>
      </c>
      <c r="CA106" s="368">
        <v>60.46</v>
      </c>
      <c r="CB106" s="368">
        <v>57.11</v>
      </c>
      <c r="CC106" s="368">
        <f t="shared" si="159"/>
        <v>15.100000000000023</v>
      </c>
      <c r="CD106" s="368">
        <f t="shared" si="160"/>
        <v>9.7599999999999909</v>
      </c>
      <c r="CE106" s="368">
        <f t="shared" si="161"/>
        <v>28.910000000000004</v>
      </c>
      <c r="CF106" s="368">
        <f t="shared" si="162"/>
        <v>18.049999999999997</v>
      </c>
      <c r="CG106" s="368">
        <f t="shared" si="163"/>
        <v>71.820000000000022</v>
      </c>
      <c r="CH106" s="368">
        <f t="shared" si="164"/>
        <v>77.684299999999993</v>
      </c>
      <c r="CI106" s="42"/>
      <c r="CJ106" s="42"/>
      <c r="CK106" s="42"/>
      <c r="CL106" s="42"/>
    </row>
    <row r="107" spans="1:90" ht="21" customHeight="1">
      <c r="A107" s="80">
        <v>105</v>
      </c>
      <c r="B107" s="55" t="s">
        <v>330</v>
      </c>
      <c r="C107" s="86" t="s">
        <v>780</v>
      </c>
      <c r="D107" s="255" t="s">
        <v>7</v>
      </c>
      <c r="E107" s="247" t="s">
        <v>78</v>
      </c>
      <c r="F107" s="173">
        <f t="shared" si="154"/>
        <v>4</v>
      </c>
      <c r="G107" s="83" t="s">
        <v>168</v>
      </c>
      <c r="H107" s="222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si="165"/>
        <v>162</v>
      </c>
      <c r="O107" s="57">
        <v>3946</v>
      </c>
      <c r="P107" s="211">
        <v>337.8</v>
      </c>
      <c r="Q107" s="218">
        <v>78.260000000000005</v>
      </c>
      <c r="R107" s="218">
        <v>86.85</v>
      </c>
      <c r="S107" s="218">
        <v>80.459999999999994</v>
      </c>
      <c r="T107" s="218">
        <v>11.13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55"/>
        <v>100000</v>
      </c>
      <c r="AL107" s="174">
        <f>VLOOKUP(D107&amp;E107,计算辅助页面!$V$5:$Y$18,3,0)</f>
        <v>5</v>
      </c>
      <c r="AM107" s="179">
        <f t="shared" si="156"/>
        <v>300000</v>
      </c>
      <c r="AN107" s="179">
        <f>VLOOKUP(D107&amp;E107,计算辅助页面!$V$5:$Y$18,4,0)</f>
        <v>2</v>
      </c>
      <c r="AO107" s="173">
        <f t="shared" si="157"/>
        <v>6000000</v>
      </c>
      <c r="AP107" s="195">
        <f t="shared" si="158"/>
        <v>12369280</v>
      </c>
      <c r="AQ107" s="365" t="s">
        <v>567</v>
      </c>
      <c r="AR107" s="366" t="str">
        <f t="shared" ref="AR107:AR136" si="166">TRIM(RIGHT(B107,LEN(B107)-LEN(AQ107)-1))</f>
        <v>Vantage GT12</v>
      </c>
      <c r="AS107" s="352" t="s">
        <v>958</v>
      </c>
      <c r="AT107" s="353" t="s">
        <v>632</v>
      </c>
      <c r="AU107" s="229" t="s">
        <v>712</v>
      </c>
      <c r="AV107" s="357">
        <v>14</v>
      </c>
      <c r="AW107" s="357">
        <v>352</v>
      </c>
      <c r="AY107" s="357">
        <v>457</v>
      </c>
      <c r="AZ107" s="357" t="s">
        <v>1119</v>
      </c>
      <c r="BA107" s="369"/>
      <c r="BB107" s="369"/>
      <c r="BC107" s="369"/>
      <c r="BD107" s="369">
        <v>1</v>
      </c>
      <c r="BE107" s="369"/>
      <c r="BF107" s="369">
        <v>1</v>
      </c>
      <c r="BG107" s="369"/>
      <c r="BH107" s="369"/>
      <c r="BI107" s="369"/>
      <c r="BJ107" s="369"/>
      <c r="BK107" s="369"/>
      <c r="BL107" s="369"/>
      <c r="BM107" s="369"/>
      <c r="BN107" s="369"/>
      <c r="BO107" s="369"/>
      <c r="BP107" s="369"/>
      <c r="BQ107" s="369"/>
      <c r="BR107" s="369"/>
      <c r="BS107" s="369"/>
      <c r="BT107" s="369">
        <v>1</v>
      </c>
      <c r="BU107" s="387" t="s">
        <v>1147</v>
      </c>
      <c r="BV107" s="326"/>
      <c r="BW107" s="326"/>
      <c r="BX107" s="326"/>
      <c r="BY107" s="367">
        <v>322</v>
      </c>
      <c r="BZ107" s="368">
        <v>68.5</v>
      </c>
      <c r="CA107" s="368">
        <v>64.33</v>
      </c>
      <c r="CB107" s="368">
        <v>61.21</v>
      </c>
      <c r="CC107" s="368">
        <f t="shared" si="159"/>
        <v>15.800000000000011</v>
      </c>
      <c r="CD107" s="368">
        <f t="shared" si="160"/>
        <v>9.7600000000000051</v>
      </c>
      <c r="CE107" s="368">
        <f t="shared" si="161"/>
        <v>22.519999999999996</v>
      </c>
      <c r="CF107" s="368">
        <f t="shared" si="162"/>
        <v>19.249999999999993</v>
      </c>
      <c r="CG107" s="368">
        <f t="shared" si="163"/>
        <v>67.330000000000013</v>
      </c>
      <c r="CH107" s="368">
        <f t="shared" si="164"/>
        <v>72.22359999999999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5" t="s">
        <v>716</v>
      </c>
      <c r="C108" s="86" t="s">
        <v>781</v>
      </c>
      <c r="D108" s="255" t="s">
        <v>7</v>
      </c>
      <c r="E108" s="247" t="s">
        <v>78</v>
      </c>
      <c r="F108" s="173">
        <f t="shared" si="154"/>
        <v>4</v>
      </c>
      <c r="G108" s="83" t="s">
        <v>168</v>
      </c>
      <c r="H108" s="222">
        <v>45</v>
      </c>
      <c r="I108" s="222">
        <v>17</v>
      </c>
      <c r="J108" s="222">
        <v>23</v>
      </c>
      <c r="K108" s="222">
        <v>32</v>
      </c>
      <c r="L108" s="222">
        <v>45</v>
      </c>
      <c r="M108" s="222" t="s">
        <v>59</v>
      </c>
      <c r="N108" s="226">
        <f t="shared" si="165"/>
        <v>162</v>
      </c>
      <c r="O108" s="57">
        <v>3953</v>
      </c>
      <c r="P108" s="211">
        <v>348.3</v>
      </c>
      <c r="Q108" s="218">
        <v>84.65</v>
      </c>
      <c r="R108" s="218">
        <v>73.17</v>
      </c>
      <c r="S108" s="218">
        <v>69.12</v>
      </c>
      <c r="T108" s="218">
        <v>7.46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55"/>
        <v>100000</v>
      </c>
      <c r="AL108" s="174">
        <f>VLOOKUP(D108&amp;E108,计算辅助页面!$V$5:$Y$18,3,0)</f>
        <v>5</v>
      </c>
      <c r="AM108" s="179">
        <f t="shared" si="156"/>
        <v>300000</v>
      </c>
      <c r="AN108" s="179">
        <f>VLOOKUP(D108&amp;E108,计算辅助页面!$V$5:$Y$18,4,0)</f>
        <v>2</v>
      </c>
      <c r="AO108" s="173">
        <f t="shared" si="157"/>
        <v>6000000</v>
      </c>
      <c r="AP108" s="195">
        <f t="shared" si="158"/>
        <v>12369280</v>
      </c>
      <c r="AQ108" s="365" t="s">
        <v>722</v>
      </c>
      <c r="AR108" s="366" t="str">
        <f t="shared" si="166"/>
        <v>IE</v>
      </c>
      <c r="AS108" s="352" t="s">
        <v>723</v>
      </c>
      <c r="AT108" s="353" t="s">
        <v>878</v>
      </c>
      <c r="AU108" s="229" t="s">
        <v>712</v>
      </c>
      <c r="AW108" s="357">
        <v>362</v>
      </c>
      <c r="AY108" s="357">
        <v>475</v>
      </c>
      <c r="AZ108" s="357" t="s">
        <v>1114</v>
      </c>
      <c r="BA108" s="369"/>
      <c r="BB108" s="369"/>
      <c r="BC108" s="369"/>
      <c r="BD108" s="369"/>
      <c r="BE108" s="369"/>
      <c r="BF108" s="369"/>
      <c r="BG108" s="369">
        <v>1</v>
      </c>
      <c r="BH108" s="369"/>
      <c r="BI108" s="369"/>
      <c r="BJ108" s="369"/>
      <c r="BK108" s="369"/>
      <c r="BL108" s="369"/>
      <c r="BM108" s="369"/>
      <c r="BN108" s="369"/>
      <c r="BO108" s="369">
        <v>1</v>
      </c>
      <c r="BP108" s="369"/>
      <c r="BQ108" s="369"/>
      <c r="BR108" s="369"/>
      <c r="BS108" s="369"/>
      <c r="BT108" s="369"/>
      <c r="BU108" s="387" t="s">
        <v>1169</v>
      </c>
      <c r="BW108" s="326">
        <v>1</v>
      </c>
      <c r="BX108" s="326"/>
      <c r="BY108" s="367">
        <v>335</v>
      </c>
      <c r="BZ108" s="368">
        <v>75.7</v>
      </c>
      <c r="CA108" s="368">
        <v>47.64</v>
      </c>
      <c r="CB108" s="368">
        <v>51.09</v>
      </c>
      <c r="CC108" s="368">
        <f t="shared" si="159"/>
        <v>13.300000000000011</v>
      </c>
      <c r="CD108" s="368">
        <f t="shared" si="160"/>
        <v>8.9500000000000028</v>
      </c>
      <c r="CE108" s="368">
        <f t="shared" si="161"/>
        <v>25.53</v>
      </c>
      <c r="CF108" s="368">
        <f t="shared" si="162"/>
        <v>18.03</v>
      </c>
      <c r="CG108" s="368">
        <f t="shared" si="163"/>
        <v>65.810000000000016</v>
      </c>
      <c r="CH108" s="368">
        <f t="shared" si="164"/>
        <v>71.845800000000011</v>
      </c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164</v>
      </c>
      <c r="C109" s="86" t="s">
        <v>782</v>
      </c>
      <c r="D109" s="255" t="s">
        <v>7</v>
      </c>
      <c r="E109" s="247" t="s">
        <v>171</v>
      </c>
      <c r="F109" s="173">
        <f t="shared" si="154"/>
        <v>4</v>
      </c>
      <c r="G109" s="83" t="s">
        <v>168</v>
      </c>
      <c r="H109" s="222">
        <v>30</v>
      </c>
      <c r="I109" s="222">
        <v>9</v>
      </c>
      <c r="J109" s="222">
        <v>13</v>
      </c>
      <c r="K109" s="222">
        <v>21</v>
      </c>
      <c r="L109" s="222">
        <v>32</v>
      </c>
      <c r="M109" s="222" t="s">
        <v>59</v>
      </c>
      <c r="N109" s="226">
        <f t="shared" si="165"/>
        <v>105</v>
      </c>
      <c r="O109" s="51">
        <v>3971</v>
      </c>
      <c r="P109" s="209">
        <v>370.6</v>
      </c>
      <c r="Q109" s="216">
        <v>77.040000000000006</v>
      </c>
      <c r="R109" s="216">
        <v>45.74</v>
      </c>
      <c r="S109" s="216">
        <v>85</v>
      </c>
      <c r="T109" s="216">
        <v>10.7</v>
      </c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si="155"/>
        <v>100000</v>
      </c>
      <c r="AL109" s="174">
        <f>VLOOKUP(D109&amp;E109,计算辅助页面!$V$5:$Y$18,3,0)</f>
        <v>5</v>
      </c>
      <c r="AM109" s="179">
        <f t="shared" si="156"/>
        <v>300000</v>
      </c>
      <c r="AN109" s="179">
        <f>VLOOKUP(D109&amp;E109,计算辅助页面!$V$5:$Y$18,4,0)</f>
        <v>2</v>
      </c>
      <c r="AO109" s="173">
        <f t="shared" si="157"/>
        <v>6000000</v>
      </c>
      <c r="AP109" s="195">
        <f t="shared" si="158"/>
        <v>12369280</v>
      </c>
      <c r="AQ109" s="365" t="s">
        <v>1058</v>
      </c>
      <c r="AR109" s="366" t="str">
        <f t="shared" si="166"/>
        <v>R1 550</v>
      </c>
      <c r="AS109" s="352" t="s">
        <v>858</v>
      </c>
      <c r="AT109" s="353">
        <v>550</v>
      </c>
      <c r="AU109" s="229" t="s">
        <v>712</v>
      </c>
      <c r="AW109" s="357">
        <v>384</v>
      </c>
      <c r="AY109" s="357">
        <v>511</v>
      </c>
      <c r="AZ109" s="357" t="s">
        <v>1111</v>
      </c>
      <c r="BA109" s="369"/>
      <c r="BB109" s="369"/>
      <c r="BC109" s="369"/>
      <c r="BD109" s="369">
        <v>1</v>
      </c>
      <c r="BE109" s="369"/>
      <c r="BF109" s="369"/>
      <c r="BG109" s="369"/>
      <c r="BH109" s="369"/>
      <c r="BI109" s="369"/>
      <c r="BJ109" s="369"/>
      <c r="BK109" s="369"/>
      <c r="BL109" s="369"/>
      <c r="BM109" s="369"/>
      <c r="BN109" s="369"/>
      <c r="BO109" s="369"/>
      <c r="BP109" s="369"/>
      <c r="BQ109" s="369"/>
      <c r="BR109" s="369"/>
      <c r="BS109" s="369"/>
      <c r="BT109" s="369">
        <v>1</v>
      </c>
      <c r="BU109" s="387"/>
      <c r="BV109" s="326">
        <v>1</v>
      </c>
      <c r="BW109" s="326"/>
      <c r="BX109" s="326"/>
      <c r="BY109" s="367">
        <v>353.2</v>
      </c>
      <c r="BZ109" s="368">
        <v>69.569999999999993</v>
      </c>
      <c r="CA109" s="368">
        <v>38.03</v>
      </c>
      <c r="CB109" s="368">
        <v>67.05</v>
      </c>
      <c r="CC109" s="368">
        <f t="shared" si="159"/>
        <v>17.400000000000034</v>
      </c>
      <c r="CD109" s="368">
        <f t="shared" si="160"/>
        <v>7.4700000000000131</v>
      </c>
      <c r="CE109" s="368">
        <f t="shared" si="161"/>
        <v>7.7100000000000009</v>
      </c>
      <c r="CF109" s="368">
        <f t="shared" si="162"/>
        <v>17.950000000000003</v>
      </c>
      <c r="CG109" s="368">
        <f t="shared" si="163"/>
        <v>50.530000000000051</v>
      </c>
      <c r="CH109" s="368">
        <f t="shared" si="164"/>
        <v>50.328800000000044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1379</v>
      </c>
      <c r="C110" s="86" t="s">
        <v>1371</v>
      </c>
      <c r="D110" s="255" t="s">
        <v>7</v>
      </c>
      <c r="E110" s="247" t="s">
        <v>171</v>
      </c>
      <c r="F110" s="230"/>
      <c r="G110" s="229"/>
      <c r="H110" s="222" t="s">
        <v>449</v>
      </c>
      <c r="I110" s="236">
        <v>26</v>
      </c>
      <c r="J110" s="236">
        <v>34</v>
      </c>
      <c r="K110" s="236">
        <v>40</v>
      </c>
      <c r="L110" s="236">
        <v>62</v>
      </c>
      <c r="M110" s="222" t="s">
        <v>59</v>
      </c>
      <c r="N110" s="226">
        <f t="shared" ref="N110" si="167">IF(COUNTBLANK(H110:M110),"",SUM(H110:M110))</f>
        <v>162</v>
      </c>
      <c r="O110" s="53">
        <v>3984</v>
      </c>
      <c r="P110" s="210">
        <v>356.3</v>
      </c>
      <c r="Q110" s="217">
        <v>78.349999999999994</v>
      </c>
      <c r="R110" s="217">
        <v>67.650000000000006</v>
      </c>
      <c r="S110" s="217">
        <v>74.41</v>
      </c>
      <c r="T110" s="217"/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ref="AK110" si="168">IF(AI110,2*AI110,"")</f>
        <v>100000</v>
      </c>
      <c r="AL110" s="174">
        <f>VLOOKUP(D110&amp;E110,计算辅助页面!$V$5:$Y$18,3,0)</f>
        <v>5</v>
      </c>
      <c r="AM110" s="179">
        <f t="shared" ref="AM110" si="169">IF(AN110="×",AN110,IF(AI110,6*AI110,""))</f>
        <v>300000</v>
      </c>
      <c r="AN110" s="179">
        <f>VLOOKUP(D110&amp;E110,计算辅助页面!$V$5:$Y$18,4,0)</f>
        <v>2</v>
      </c>
      <c r="AO110" s="173">
        <f t="shared" ref="AO110" si="170">IF(AI110,IF(AN110="×",4*(AI110*AJ110+AK110*AL110),4*(AI110*AJ110+AK110*AL110+AM110*AN110)),"")</f>
        <v>6000000</v>
      </c>
      <c r="AP110" s="195">
        <f t="shared" ref="AP110" si="171">IF(AND(AH110,AO110),AO110+AH110,"")</f>
        <v>12369280</v>
      </c>
      <c r="AQ110" s="365" t="s">
        <v>566</v>
      </c>
      <c r="AR110" s="366" t="str">
        <f t="shared" si="166"/>
        <v>Reventon Roadster🔑</v>
      </c>
      <c r="AS110" s="352" t="s">
        <v>1363</v>
      </c>
      <c r="AT110" s="353" t="s">
        <v>1372</v>
      </c>
      <c r="AU110" s="229" t="s">
        <v>712</v>
      </c>
      <c r="AW110" s="357">
        <v>371</v>
      </c>
      <c r="AY110" s="357">
        <v>489</v>
      </c>
      <c r="AZ110" s="384" t="s">
        <v>1280</v>
      </c>
      <c r="BA110" s="369"/>
      <c r="BB110" s="369"/>
      <c r="BC110" s="369"/>
      <c r="BD110" s="369"/>
      <c r="BE110" s="369"/>
      <c r="BF110" s="369"/>
      <c r="BG110" s="369"/>
      <c r="BH110" s="369"/>
      <c r="BI110" s="369"/>
      <c r="BJ110" s="369"/>
      <c r="BK110" s="369"/>
      <c r="BL110" s="369">
        <v>1</v>
      </c>
      <c r="BM110" s="369"/>
      <c r="BN110" s="369">
        <v>1</v>
      </c>
      <c r="BO110" s="369">
        <v>1</v>
      </c>
      <c r="BP110" s="369"/>
      <c r="BQ110" s="369"/>
      <c r="BR110" s="393" t="s">
        <v>1385</v>
      </c>
      <c r="BS110" s="369"/>
      <c r="BT110" s="369"/>
      <c r="BU110" s="389" t="s">
        <v>1382</v>
      </c>
      <c r="BV110" s="326"/>
      <c r="BW110" s="326"/>
      <c r="BX110" s="326"/>
      <c r="BY110" s="367"/>
      <c r="BZ110" s="368"/>
      <c r="CA110" s="368"/>
      <c r="CB110" s="368"/>
      <c r="CC110" s="368"/>
      <c r="CD110" s="368"/>
      <c r="CE110" s="368"/>
      <c r="CF110" s="368"/>
      <c r="CG110" s="368"/>
      <c r="CH110" s="368"/>
      <c r="CI110" s="42"/>
      <c r="CJ110" s="42"/>
      <c r="CK110" s="42"/>
      <c r="CL110" s="42"/>
    </row>
    <row r="111" spans="1:90" ht="21" customHeight="1">
      <c r="A111" s="80">
        <v>109</v>
      </c>
      <c r="B111" s="52" t="s">
        <v>699</v>
      </c>
      <c r="C111" s="86" t="s">
        <v>783</v>
      </c>
      <c r="D111" s="255" t="s">
        <v>7</v>
      </c>
      <c r="E111" s="247" t="s">
        <v>171</v>
      </c>
      <c r="F111" s="173">
        <f t="shared" si="154"/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65"/>
        <v>162</v>
      </c>
      <c r="O111" s="53">
        <v>4009</v>
      </c>
      <c r="P111" s="210">
        <v>364.8</v>
      </c>
      <c r="Q111" s="217">
        <v>75.290000000000006</v>
      </c>
      <c r="R111" s="217">
        <v>64.95</v>
      </c>
      <c r="S111" s="217">
        <v>72.260000000000005</v>
      </c>
      <c r="T111" s="217">
        <v>7.37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55"/>
        <v>100000</v>
      </c>
      <c r="AL111" s="174">
        <f>VLOOKUP(D111&amp;E111,计算辅助页面!$V$5:$Y$18,3,0)</f>
        <v>5</v>
      </c>
      <c r="AM111" s="179">
        <f t="shared" si="156"/>
        <v>300000</v>
      </c>
      <c r="AN111" s="179">
        <f>VLOOKUP(D111&amp;E111,计算辅助页面!$V$5:$Y$18,4,0)</f>
        <v>2</v>
      </c>
      <c r="AO111" s="173">
        <f t="shared" si="157"/>
        <v>6000000</v>
      </c>
      <c r="AP111" s="195">
        <f t="shared" si="158"/>
        <v>12369280</v>
      </c>
      <c r="AQ111" s="365" t="s">
        <v>568</v>
      </c>
      <c r="AR111" s="366" t="str">
        <f t="shared" si="166"/>
        <v>Enzo Ferrari</v>
      </c>
      <c r="AS111" s="352" t="s">
        <v>702</v>
      </c>
      <c r="AT111" s="353" t="s">
        <v>705</v>
      </c>
      <c r="AU111" s="229" t="s">
        <v>712</v>
      </c>
      <c r="AW111" s="357">
        <v>379</v>
      </c>
      <c r="AY111" s="357">
        <v>503</v>
      </c>
      <c r="AZ111" s="357" t="s">
        <v>1114</v>
      </c>
      <c r="BA111" s="369"/>
      <c r="BB111" s="369"/>
      <c r="BC111" s="369"/>
      <c r="BD111" s="369"/>
      <c r="BE111" s="369"/>
      <c r="BF111" s="369"/>
      <c r="BG111" s="369">
        <v>1</v>
      </c>
      <c r="BH111" s="369"/>
      <c r="BI111" s="369"/>
      <c r="BJ111" s="369"/>
      <c r="BK111" s="369"/>
      <c r="BL111" s="369"/>
      <c r="BM111" s="369"/>
      <c r="BN111" s="369"/>
      <c r="BO111" s="369">
        <v>1</v>
      </c>
      <c r="BP111" s="369"/>
      <c r="BQ111" s="369"/>
      <c r="BR111" s="369"/>
      <c r="BS111" s="369"/>
      <c r="BT111" s="369"/>
      <c r="BU111" s="387" t="s">
        <v>1170</v>
      </c>
      <c r="BW111" s="326">
        <v>1</v>
      </c>
      <c r="BX111" s="326"/>
      <c r="BY111" s="367">
        <v>350</v>
      </c>
      <c r="BZ111" s="368">
        <v>67.150000000000006</v>
      </c>
      <c r="CA111" s="368">
        <v>49.16</v>
      </c>
      <c r="CB111" s="368">
        <v>60.88</v>
      </c>
      <c r="CC111" s="368">
        <f t="shared" si="159"/>
        <v>14.800000000000011</v>
      </c>
      <c r="CD111" s="368">
        <f t="shared" si="160"/>
        <v>8.14</v>
      </c>
      <c r="CE111" s="368">
        <f t="shared" si="161"/>
        <v>15.790000000000006</v>
      </c>
      <c r="CF111" s="368">
        <f t="shared" si="162"/>
        <v>11.380000000000003</v>
      </c>
      <c r="CG111" s="368">
        <f t="shared" si="163"/>
        <v>50.110000000000021</v>
      </c>
      <c r="CH111" s="368">
        <f t="shared" si="164"/>
        <v>51.390100000000011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1313</v>
      </c>
      <c r="C112" s="86" t="s">
        <v>1314</v>
      </c>
      <c r="D112" s="255" t="s">
        <v>7</v>
      </c>
      <c r="E112" s="247" t="s">
        <v>171</v>
      </c>
      <c r="F112" s="230"/>
      <c r="G112" s="229"/>
      <c r="H112" s="222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ref="N112" si="172">IF(COUNTBLANK(H112:M112),"",SUM(H112:M112))</f>
        <v>162</v>
      </c>
      <c r="O112" s="53">
        <v>4022</v>
      </c>
      <c r="P112" s="210">
        <v>363.5</v>
      </c>
      <c r="Q112" s="217">
        <v>79.34</v>
      </c>
      <c r="R112" s="217">
        <v>68.7</v>
      </c>
      <c r="S112" s="217">
        <v>56.61</v>
      </c>
      <c r="T112" s="217"/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ref="AK112" si="173">IF(AI112,2*AI112,"")</f>
        <v>100000</v>
      </c>
      <c r="AL112" s="174">
        <f>VLOOKUP(D112&amp;E112,计算辅助页面!$V$5:$Y$18,3,0)</f>
        <v>5</v>
      </c>
      <c r="AM112" s="179">
        <f t="shared" ref="AM112" si="174">IF(AN112="×",AN112,IF(AI112,6*AI112,""))</f>
        <v>300000</v>
      </c>
      <c r="AN112" s="179">
        <f>VLOOKUP(D112&amp;E112,计算辅助页面!$V$5:$Y$18,4,0)</f>
        <v>2</v>
      </c>
      <c r="AO112" s="173">
        <f t="shared" ref="AO112" si="175">IF(AI112,IF(AN112="×",4*(AI112*AJ112+AK112*AL112),4*(AI112*AJ112+AK112*AL112+AM112*AN112)),"")</f>
        <v>6000000</v>
      </c>
      <c r="AP112" s="195">
        <f t="shared" ref="AP112" si="176">IF(AND(AH112,AO112),AO112+AH112,"")</f>
        <v>12369280</v>
      </c>
      <c r="AQ112" s="365" t="s">
        <v>567</v>
      </c>
      <c r="AR112" s="366" t="str">
        <f t="shared" si="166"/>
        <v>One77</v>
      </c>
      <c r="AS112" s="352" t="s">
        <v>1308</v>
      </c>
      <c r="AT112" s="353" t="s">
        <v>1315</v>
      </c>
      <c r="AU112" s="229" t="s">
        <v>712</v>
      </c>
      <c r="AW112" s="357">
        <v>378</v>
      </c>
      <c r="AY112" s="357">
        <v>501</v>
      </c>
      <c r="AZ112" s="384" t="s">
        <v>1274</v>
      </c>
      <c r="BA112" s="369"/>
      <c r="BB112" s="369"/>
      <c r="BC112" s="369"/>
      <c r="BD112" s="369"/>
      <c r="BE112" s="369"/>
      <c r="BF112" s="369"/>
      <c r="BG112" s="369">
        <v>1</v>
      </c>
      <c r="BH112" s="369"/>
      <c r="BI112" s="369"/>
      <c r="BJ112" s="369"/>
      <c r="BK112" s="369"/>
      <c r="BL112" s="369"/>
      <c r="BM112" s="369"/>
      <c r="BN112" s="369"/>
      <c r="BO112" s="369"/>
      <c r="BP112" s="369"/>
      <c r="BQ112" s="369"/>
      <c r="BR112" s="369"/>
      <c r="BS112" s="369"/>
      <c r="BT112" s="369"/>
      <c r="BU112" s="389" t="s">
        <v>1357</v>
      </c>
      <c r="BW112" s="326"/>
      <c r="BX112" s="326"/>
      <c r="BY112" s="367"/>
      <c r="BZ112" s="368"/>
      <c r="CA112" s="368"/>
      <c r="CB112" s="368"/>
      <c r="CC112" s="368"/>
      <c r="CD112" s="368"/>
      <c r="CE112" s="368"/>
      <c r="CF112" s="368"/>
      <c r="CG112" s="368"/>
      <c r="CH112" s="368"/>
      <c r="CI112" s="42"/>
      <c r="CJ112" s="42"/>
      <c r="CK112" s="42"/>
      <c r="CL112" s="42"/>
    </row>
    <row r="113" spans="1:90" ht="21" customHeight="1">
      <c r="A113" s="80">
        <v>111</v>
      </c>
      <c r="B113" s="49" t="s">
        <v>180</v>
      </c>
      <c r="C113" s="86" t="s">
        <v>784</v>
      </c>
      <c r="D113" s="255" t="s">
        <v>178</v>
      </c>
      <c r="E113" s="247" t="s">
        <v>78</v>
      </c>
      <c r="F113" s="173">
        <f t="shared" si="154"/>
        <v>4</v>
      </c>
      <c r="G113" s="83" t="s">
        <v>168</v>
      </c>
      <c r="H113" s="222">
        <v>30</v>
      </c>
      <c r="I113" s="222">
        <v>9</v>
      </c>
      <c r="J113" s="222">
        <v>13</v>
      </c>
      <c r="K113" s="222">
        <v>21</v>
      </c>
      <c r="L113" s="222">
        <v>32</v>
      </c>
      <c r="M113" s="222" t="s">
        <v>59</v>
      </c>
      <c r="N113" s="226">
        <f t="shared" si="165"/>
        <v>105</v>
      </c>
      <c r="O113" s="51">
        <v>4047</v>
      </c>
      <c r="P113" s="209">
        <v>374.1</v>
      </c>
      <c r="Q113" s="216">
        <v>80.319999999999993</v>
      </c>
      <c r="R113" s="216">
        <v>58.13</v>
      </c>
      <c r="S113" s="216">
        <v>60.57</v>
      </c>
      <c r="T113" s="216">
        <v>5.8160000000000007</v>
      </c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si="155"/>
        <v>100000</v>
      </c>
      <c r="AL113" s="174">
        <f>VLOOKUP(D113&amp;E113,计算辅助页面!$V$5:$Y$18,3,0)</f>
        <v>5</v>
      </c>
      <c r="AM113" s="179">
        <f t="shared" si="156"/>
        <v>300000</v>
      </c>
      <c r="AN113" s="179">
        <f>VLOOKUP(D113&amp;E113,计算辅助页面!$V$5:$Y$18,4,0)</f>
        <v>2</v>
      </c>
      <c r="AO113" s="173">
        <f t="shared" si="157"/>
        <v>6000000</v>
      </c>
      <c r="AP113" s="195">
        <f t="shared" si="158"/>
        <v>12369280</v>
      </c>
      <c r="AQ113" s="365" t="s">
        <v>722</v>
      </c>
      <c r="AR113" s="366" t="str">
        <f t="shared" si="166"/>
        <v>N</v>
      </c>
      <c r="AS113" s="352" t="s">
        <v>962</v>
      </c>
      <c r="AT113" s="353" t="s">
        <v>674</v>
      </c>
      <c r="AU113" s="229" t="s">
        <v>712</v>
      </c>
      <c r="AV113" s="357">
        <v>14</v>
      </c>
      <c r="AW113" s="357">
        <v>389</v>
      </c>
      <c r="AY113" s="357">
        <v>520</v>
      </c>
      <c r="AZ113" s="357" t="s">
        <v>1119</v>
      </c>
      <c r="BA113" s="369"/>
      <c r="BB113" s="369"/>
      <c r="BC113" s="369"/>
      <c r="BD113" s="369">
        <v>1</v>
      </c>
      <c r="BE113" s="369"/>
      <c r="BF113" s="369">
        <v>1</v>
      </c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>
        <v>1</v>
      </c>
      <c r="BU113" s="387" t="s">
        <v>1169</v>
      </c>
      <c r="BV113" s="326"/>
      <c r="BW113" s="326"/>
      <c r="BX113" s="326"/>
      <c r="BY113" s="367">
        <v>360</v>
      </c>
      <c r="BZ113" s="368">
        <v>73</v>
      </c>
      <c r="CA113" s="368">
        <v>42.36</v>
      </c>
      <c r="CB113" s="368">
        <v>47.57</v>
      </c>
      <c r="CC113" s="368">
        <f t="shared" si="159"/>
        <v>14.100000000000023</v>
      </c>
      <c r="CD113" s="368">
        <f t="shared" si="160"/>
        <v>7.3199999999999932</v>
      </c>
      <c r="CE113" s="368">
        <f t="shared" si="161"/>
        <v>15.770000000000003</v>
      </c>
      <c r="CF113" s="368">
        <f t="shared" si="162"/>
        <v>13</v>
      </c>
      <c r="CG113" s="368">
        <f t="shared" si="163"/>
        <v>50.190000000000019</v>
      </c>
      <c r="CH113" s="368">
        <f t="shared" si="164"/>
        <v>51.7821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49" t="s">
        <v>183</v>
      </c>
      <c r="C114" s="86" t="s">
        <v>785</v>
      </c>
      <c r="D114" s="255" t="s">
        <v>178</v>
      </c>
      <c r="E114" s="247" t="s">
        <v>78</v>
      </c>
      <c r="F114" s="173">
        <f t="shared" si="154"/>
        <v>4</v>
      </c>
      <c r="G114" s="83" t="s">
        <v>168</v>
      </c>
      <c r="H114" s="222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si="165"/>
        <v>162</v>
      </c>
      <c r="O114" s="51">
        <v>4058</v>
      </c>
      <c r="P114" s="209">
        <v>353.3</v>
      </c>
      <c r="Q114" s="216">
        <v>78.180000000000007</v>
      </c>
      <c r="R114" s="216">
        <v>66.599999999999994</v>
      </c>
      <c r="S114" s="216">
        <v>79.540000000000006</v>
      </c>
      <c r="T114" s="216">
        <v>9.8169999999999984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55"/>
        <v>100000</v>
      </c>
      <c r="AL114" s="174">
        <f>VLOOKUP(D114&amp;E114,计算辅助页面!$V$5:$Y$18,3,0)</f>
        <v>5</v>
      </c>
      <c r="AM114" s="179">
        <f t="shared" si="156"/>
        <v>300000</v>
      </c>
      <c r="AN114" s="179">
        <f>VLOOKUP(D114&amp;E114,计算辅助页面!$V$5:$Y$18,4,0)</f>
        <v>2</v>
      </c>
      <c r="AO114" s="173">
        <f t="shared" si="157"/>
        <v>6000000</v>
      </c>
      <c r="AP114" s="195">
        <f t="shared" si="158"/>
        <v>12369280</v>
      </c>
      <c r="AQ114" s="365" t="s">
        <v>565</v>
      </c>
      <c r="AR114" s="366" t="str">
        <f t="shared" si="166"/>
        <v>SLR McLaren</v>
      </c>
      <c r="AS114" s="352" t="s">
        <v>964</v>
      </c>
      <c r="AT114" s="353" t="s">
        <v>647</v>
      </c>
      <c r="AU114" s="229" t="s">
        <v>712</v>
      </c>
      <c r="AW114" s="357">
        <v>367</v>
      </c>
      <c r="AY114" s="357">
        <v>484</v>
      </c>
      <c r="AZ114" s="357" t="s">
        <v>1120</v>
      </c>
      <c r="BA114" s="369"/>
      <c r="BB114" s="369"/>
      <c r="BC114" s="369"/>
      <c r="BD114" s="369"/>
      <c r="BE114" s="369"/>
      <c r="BF114" s="369"/>
      <c r="BG114" s="369"/>
      <c r="BH114" s="369"/>
      <c r="BI114" s="369">
        <v>1</v>
      </c>
      <c r="BJ114" s="369"/>
      <c r="BK114" s="369"/>
      <c r="BL114" s="369"/>
      <c r="BM114" s="369"/>
      <c r="BN114" s="369"/>
      <c r="BO114" s="369"/>
      <c r="BP114" s="369"/>
      <c r="BQ114" s="369"/>
      <c r="BR114" s="369" t="s">
        <v>1124</v>
      </c>
      <c r="BS114" s="369"/>
      <c r="BT114" s="369"/>
      <c r="BU114" s="390" t="s">
        <v>91</v>
      </c>
      <c r="BV114" s="326"/>
      <c r="BW114" s="326"/>
      <c r="BX114" s="326"/>
      <c r="BY114" s="367">
        <v>334</v>
      </c>
      <c r="BZ114" s="368">
        <v>67.599999999999994</v>
      </c>
      <c r="CA114" s="368">
        <v>43.84</v>
      </c>
      <c r="CB114" s="368">
        <v>54.93</v>
      </c>
      <c r="CC114" s="368">
        <f t="shared" si="159"/>
        <v>19.300000000000011</v>
      </c>
      <c r="CD114" s="368">
        <f t="shared" si="160"/>
        <v>10.580000000000013</v>
      </c>
      <c r="CE114" s="368">
        <f t="shared" si="161"/>
        <v>22.759999999999991</v>
      </c>
      <c r="CF114" s="368">
        <f t="shared" si="162"/>
        <v>24.610000000000007</v>
      </c>
      <c r="CG114" s="368">
        <f t="shared" si="163"/>
        <v>77.250000000000028</v>
      </c>
      <c r="CH114" s="368">
        <f t="shared" si="164"/>
        <v>81.910600000000017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378</v>
      </c>
      <c r="C115" s="86" t="s">
        <v>786</v>
      </c>
      <c r="D115" s="255" t="s">
        <v>178</v>
      </c>
      <c r="E115" s="247" t="s">
        <v>78</v>
      </c>
      <c r="F115" s="173">
        <f t="shared" si="154"/>
        <v>4</v>
      </c>
      <c r="G115" s="83" t="s">
        <v>387</v>
      </c>
      <c r="H115" s="236">
        <v>45</v>
      </c>
      <c r="I115" s="222">
        <v>17</v>
      </c>
      <c r="J115" s="222">
        <v>23</v>
      </c>
      <c r="K115" s="222">
        <v>32</v>
      </c>
      <c r="L115" s="222">
        <v>45</v>
      </c>
      <c r="M115" s="222" t="s">
        <v>59</v>
      </c>
      <c r="N115" s="226">
        <f t="shared" si="165"/>
        <v>162</v>
      </c>
      <c r="O115" s="53">
        <v>4059</v>
      </c>
      <c r="P115" s="210">
        <v>355.4</v>
      </c>
      <c r="Q115" s="217">
        <v>79.16</v>
      </c>
      <c r="R115" s="217">
        <v>70.739999999999995</v>
      </c>
      <c r="S115" s="217">
        <v>73.88</v>
      </c>
      <c r="T115" s="224">
        <v>8</v>
      </c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si="155"/>
        <v>100000</v>
      </c>
      <c r="AL115" s="174">
        <f>VLOOKUP(D115&amp;E115,计算辅助页面!$V$5:$Y$18,3,0)</f>
        <v>5</v>
      </c>
      <c r="AM115" s="179">
        <f t="shared" si="156"/>
        <v>300000</v>
      </c>
      <c r="AN115" s="179">
        <f>VLOOKUP(D115&amp;E115,计算辅助页面!$V$5:$Y$18,4,0)</f>
        <v>2</v>
      </c>
      <c r="AO115" s="173">
        <f t="shared" si="157"/>
        <v>6000000</v>
      </c>
      <c r="AP115" s="195">
        <f t="shared" si="158"/>
        <v>12369280</v>
      </c>
      <c r="AQ115" s="365" t="s">
        <v>567</v>
      </c>
      <c r="AR115" s="366" t="str">
        <f t="shared" si="166"/>
        <v>DBS SuperLeggera</v>
      </c>
      <c r="AS115" s="352" t="s">
        <v>965</v>
      </c>
      <c r="AT115" s="353" t="s">
        <v>650</v>
      </c>
      <c r="AU115" s="229" t="s">
        <v>712</v>
      </c>
      <c r="AV115" s="357">
        <v>15</v>
      </c>
      <c r="AW115" s="357">
        <v>370</v>
      </c>
      <c r="AY115" s="357">
        <v>487</v>
      </c>
      <c r="AZ115" s="357" t="s">
        <v>1119</v>
      </c>
      <c r="BA115" s="369"/>
      <c r="BB115" s="369"/>
      <c r="BC115" s="369"/>
      <c r="BD115" s="369">
        <v>1</v>
      </c>
      <c r="BE115" s="369"/>
      <c r="BF115" s="369"/>
      <c r="BG115" s="369"/>
      <c r="BH115" s="369"/>
      <c r="BI115" s="369"/>
      <c r="BJ115" s="369"/>
      <c r="BK115" s="369"/>
      <c r="BL115" s="369"/>
      <c r="BM115" s="369"/>
      <c r="BN115" s="369"/>
      <c r="BO115" s="369"/>
      <c r="BP115" s="369"/>
      <c r="BQ115" s="369"/>
      <c r="BR115" s="369"/>
      <c r="BS115" s="369"/>
      <c r="BT115" s="369">
        <v>1</v>
      </c>
      <c r="BU115" s="387" t="s">
        <v>1171</v>
      </c>
      <c r="BV115" s="326"/>
      <c r="BW115" s="326"/>
      <c r="BX115" s="326"/>
      <c r="BY115" s="367">
        <v>339</v>
      </c>
      <c r="BZ115" s="368">
        <v>69.400000000000006</v>
      </c>
      <c r="CA115" s="368">
        <v>48.04</v>
      </c>
      <c r="CB115" s="368">
        <v>51.53</v>
      </c>
      <c r="CC115" s="368">
        <f t="shared" si="159"/>
        <v>16.399999999999977</v>
      </c>
      <c r="CD115" s="368">
        <f t="shared" si="160"/>
        <v>9.7599999999999909</v>
      </c>
      <c r="CE115" s="368">
        <f t="shared" si="161"/>
        <v>22.699999999999996</v>
      </c>
      <c r="CF115" s="368">
        <f t="shared" si="162"/>
        <v>22.349999999999994</v>
      </c>
      <c r="CG115" s="368">
        <f t="shared" si="163"/>
        <v>71.209999999999951</v>
      </c>
      <c r="CH115" s="368">
        <f t="shared" si="164"/>
        <v>76.586999999999961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52" t="s">
        <v>918</v>
      </c>
      <c r="C116" s="86" t="s">
        <v>897</v>
      </c>
      <c r="D116" s="255" t="s">
        <v>178</v>
      </c>
      <c r="E116" s="247" t="s">
        <v>78</v>
      </c>
      <c r="F116" s="230"/>
      <c r="G116" s="229"/>
      <c r="H116" s="222" t="s">
        <v>449</v>
      </c>
      <c r="I116" s="236">
        <v>26</v>
      </c>
      <c r="J116" s="236">
        <v>35</v>
      </c>
      <c r="K116" s="236">
        <v>40</v>
      </c>
      <c r="L116" s="236">
        <v>62</v>
      </c>
      <c r="M116" s="222" t="s">
        <v>59</v>
      </c>
      <c r="N116" s="226">
        <f t="shared" si="165"/>
        <v>163</v>
      </c>
      <c r="O116" s="53">
        <v>4061</v>
      </c>
      <c r="P116" s="210">
        <v>340.5</v>
      </c>
      <c r="Q116" s="217">
        <v>85.1</v>
      </c>
      <c r="R116" s="217">
        <v>75.81</v>
      </c>
      <c r="S116" s="217">
        <v>74.78</v>
      </c>
      <c r="T116" s="224"/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si="155"/>
        <v>100000</v>
      </c>
      <c r="AL116" s="174">
        <f>VLOOKUP(D116&amp;E116,计算辅助页面!$V$5:$Y$18,3,0)</f>
        <v>5</v>
      </c>
      <c r="AM116" s="179">
        <f t="shared" si="156"/>
        <v>300000</v>
      </c>
      <c r="AN116" s="179">
        <f>VLOOKUP(D116&amp;E116,计算辅助页面!$V$5:$Y$18,4,0)</f>
        <v>2</v>
      </c>
      <c r="AO116" s="173">
        <f t="shared" si="157"/>
        <v>6000000</v>
      </c>
      <c r="AP116" s="195">
        <f t="shared" si="158"/>
        <v>12369280</v>
      </c>
      <c r="AQ116" s="365" t="s">
        <v>566</v>
      </c>
      <c r="AR116" s="366" t="str">
        <f t="shared" si="166"/>
        <v>Essenza SCV12🔑</v>
      </c>
      <c r="AS116" s="352" t="s">
        <v>905</v>
      </c>
      <c r="AT116" s="353" t="s">
        <v>915</v>
      </c>
      <c r="AU116" s="229" t="s">
        <v>712</v>
      </c>
      <c r="AW116" s="357">
        <v>355</v>
      </c>
      <c r="AY116" s="357">
        <v>462</v>
      </c>
      <c r="AZ116" s="357" t="s">
        <v>1115</v>
      </c>
      <c r="BA116" s="369"/>
      <c r="BB116" s="369"/>
      <c r="BC116" s="369"/>
      <c r="BD116" s="369"/>
      <c r="BE116" s="369"/>
      <c r="BF116" s="369"/>
      <c r="BG116" s="369"/>
      <c r="BH116" s="369"/>
      <c r="BI116" s="369"/>
      <c r="BJ116" s="369"/>
      <c r="BK116" s="369"/>
      <c r="BL116" s="369">
        <v>1</v>
      </c>
      <c r="BM116" s="369"/>
      <c r="BN116" s="369">
        <v>1</v>
      </c>
      <c r="BO116" s="369">
        <v>1</v>
      </c>
      <c r="BP116" s="369"/>
      <c r="BQ116" s="369"/>
      <c r="BR116" s="369"/>
      <c r="BS116" s="369"/>
      <c r="BT116" s="369"/>
      <c r="BU116" s="387" t="s">
        <v>1172</v>
      </c>
      <c r="BV116" s="326"/>
      <c r="BW116" s="326"/>
      <c r="BX116" s="326"/>
      <c r="BY116" s="367">
        <v>318</v>
      </c>
      <c r="BZ116" s="368">
        <v>76.150000000000006</v>
      </c>
      <c r="CA116" s="368">
        <v>49.51</v>
      </c>
      <c r="CB116" s="368">
        <v>47.37</v>
      </c>
      <c r="CC116" s="368">
        <f t="shared" si="159"/>
        <v>22.5</v>
      </c>
      <c r="CD116" s="368">
        <f t="shared" si="160"/>
        <v>8.9499999999999886</v>
      </c>
      <c r="CE116" s="368">
        <f t="shared" si="161"/>
        <v>26.300000000000004</v>
      </c>
      <c r="CF116" s="368">
        <f t="shared" si="162"/>
        <v>27.410000000000004</v>
      </c>
      <c r="CG116" s="368">
        <f t="shared" si="163"/>
        <v>85.16</v>
      </c>
      <c r="CH116" s="368">
        <f t="shared" si="164"/>
        <v>87.666299999999978</v>
      </c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1494</v>
      </c>
      <c r="C117" s="86" t="s">
        <v>1495</v>
      </c>
      <c r="D117" s="255" t="s">
        <v>178</v>
      </c>
      <c r="E117" s="247" t="s">
        <v>78</v>
      </c>
      <c r="F117" s="230"/>
      <c r="G117" s="229"/>
      <c r="H117" s="236">
        <v>45</v>
      </c>
      <c r="I117" s="222">
        <v>17</v>
      </c>
      <c r="J117" s="222">
        <v>23</v>
      </c>
      <c r="K117" s="222">
        <v>32</v>
      </c>
      <c r="L117" s="222">
        <v>45</v>
      </c>
      <c r="M117" s="222" t="s">
        <v>59</v>
      </c>
      <c r="N117" s="226">
        <f t="shared" ref="N117:N118" si="177">IF(COUNTBLANK(H117:M117),"",SUM(H117:M117))</f>
        <v>162</v>
      </c>
      <c r="O117" s="53">
        <v>4075</v>
      </c>
      <c r="P117" s="210">
        <v>340.5</v>
      </c>
      <c r="Q117" s="217">
        <v>86.11</v>
      </c>
      <c r="R117" s="217">
        <v>83.17</v>
      </c>
      <c r="S117" s="217">
        <v>74.540000000000006</v>
      </c>
      <c r="T117" s="224"/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ref="AK117" si="178">IF(AI117,2*AI117,"")</f>
        <v>100000</v>
      </c>
      <c r="AL117" s="174">
        <f>VLOOKUP(D117&amp;E117,计算辅助页面!$V$5:$Y$18,3,0)</f>
        <v>5</v>
      </c>
      <c r="AM117" s="179">
        <f t="shared" ref="AM117" si="179">IF(AN117="×",AN117,IF(AI117,6*AI117,""))</f>
        <v>300000</v>
      </c>
      <c r="AN117" s="179">
        <f>VLOOKUP(D117&amp;E117,计算辅助页面!$V$5:$Y$18,4,0)</f>
        <v>2</v>
      </c>
      <c r="AO117" s="173">
        <f t="shared" ref="AO117" si="180">IF(AI117,IF(AN117="×",4*(AI117*AJ117+AK117*AL117),4*(AI117*AJ117+AK117*AL117+AM117*AN117)),"")</f>
        <v>6000000</v>
      </c>
      <c r="AP117" s="195">
        <f t="shared" ref="AP117" si="181">IF(AND(AH117,AO117),AO117+AH117,"")</f>
        <v>12369280</v>
      </c>
      <c r="AQ117" s="365" t="s">
        <v>569</v>
      </c>
      <c r="AR117" s="366" t="str">
        <f t="shared" si="166"/>
        <v>600LT Spider</v>
      </c>
      <c r="AS117" s="352" t="s">
        <v>1487</v>
      </c>
      <c r="AT117" s="353" t="s">
        <v>1495</v>
      </c>
      <c r="AU117" s="229" t="s">
        <v>712</v>
      </c>
      <c r="AW117" s="357">
        <v>354</v>
      </c>
      <c r="AY117" s="357">
        <v>461</v>
      </c>
      <c r="AZ117" s="384" t="s">
        <v>1537</v>
      </c>
      <c r="BA117" s="369"/>
      <c r="BB117" s="369"/>
      <c r="BC117" s="369"/>
      <c r="BD117" s="369"/>
      <c r="BE117" s="369"/>
      <c r="BF117" s="369"/>
      <c r="BG117" s="369"/>
      <c r="BH117" s="369"/>
      <c r="BI117" s="369"/>
      <c r="BJ117" s="369"/>
      <c r="BK117" s="369"/>
      <c r="BL117" s="369"/>
      <c r="BM117" s="369"/>
      <c r="BN117" s="369"/>
      <c r="BO117" s="369"/>
      <c r="BP117" s="369"/>
      <c r="BQ117" s="369"/>
      <c r="BR117" s="369"/>
      <c r="BS117" s="369"/>
      <c r="BT117" s="369"/>
      <c r="BU117" s="389" t="s">
        <v>1356</v>
      </c>
      <c r="BV117" s="326"/>
      <c r="BW117" s="326"/>
      <c r="BX117" s="326"/>
      <c r="BY117" s="367"/>
      <c r="BZ117" s="368"/>
      <c r="CA117" s="368"/>
      <c r="CB117" s="368"/>
      <c r="CC117" s="368"/>
      <c r="CD117" s="368"/>
      <c r="CE117" s="368"/>
      <c r="CF117" s="368"/>
      <c r="CG117" s="368"/>
      <c r="CH117" s="368"/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1591</v>
      </c>
      <c r="C118" s="86" t="s">
        <v>1590</v>
      </c>
      <c r="D118" s="255" t="s">
        <v>178</v>
      </c>
      <c r="E118" s="247" t="s">
        <v>78</v>
      </c>
      <c r="F118" s="230"/>
      <c r="G118" s="229"/>
      <c r="H118" s="222" t="s">
        <v>449</v>
      </c>
      <c r="I118" s="236">
        <v>26</v>
      </c>
      <c r="J118" s="236">
        <v>35</v>
      </c>
      <c r="K118" s="236">
        <v>40</v>
      </c>
      <c r="L118" s="236">
        <v>62</v>
      </c>
      <c r="M118" s="222" t="s">
        <v>59</v>
      </c>
      <c r="N118" s="226">
        <f t="shared" si="177"/>
        <v>163</v>
      </c>
      <c r="O118" s="53">
        <v>4076</v>
      </c>
      <c r="P118" s="210">
        <v>335.4</v>
      </c>
      <c r="Q118" s="217">
        <v>89.3</v>
      </c>
      <c r="R118" s="217">
        <v>83.12</v>
      </c>
      <c r="S118" s="217">
        <v>76.83</v>
      </c>
      <c r="T118" s="224"/>
      <c r="U118" s="84">
        <v>7820</v>
      </c>
      <c r="V118" s="292">
        <f>VLOOKUP($U118,计算辅助页面!$Z$5:$AM$26,COLUMN()-20,0)</f>
        <v>12800</v>
      </c>
      <c r="W118" s="292">
        <f>VLOOKUP($U118,计算辅助页面!$Z$5:$AM$26,COLUMN()-20,0)</f>
        <v>20400</v>
      </c>
      <c r="X118" s="226">
        <f>VLOOKUP($U118,计算辅助页面!$Z$5:$AM$26,COLUMN()-20,0)</f>
        <v>30600</v>
      </c>
      <c r="Y118" s="226">
        <f>VLOOKUP($U118,计算辅助页面!$Z$5:$AM$26,COLUMN()-20,0)</f>
        <v>44200</v>
      </c>
      <c r="Z118" s="293">
        <f>VLOOKUP($U118,计算辅助页面!$Z$5:$AM$26,COLUMN()-20,0)</f>
        <v>62000</v>
      </c>
      <c r="AA118" s="226">
        <f>VLOOKUP($U118,计算辅助页面!$Z$5:$AM$26,COLUMN()-20,0)</f>
        <v>86500</v>
      </c>
      <c r="AB118" s="226">
        <f>VLOOKUP($U118,计算辅助页面!$Z$5:$AM$26,COLUMN()-20,0)</f>
        <v>121500</v>
      </c>
      <c r="AC118" s="226">
        <f>VLOOKUP($U118,计算辅助页面!$Z$5:$AM$26,COLUMN()-20,0)</f>
        <v>170000</v>
      </c>
      <c r="AD118" s="226">
        <f>VLOOKUP($U118,计算辅助页面!$Z$5:$AM$26,COLUMN()-20,0)</f>
        <v>237500</v>
      </c>
      <c r="AE118" s="226">
        <f>VLOOKUP($U118,计算辅助页面!$Z$5:$AM$26,COLUMN()-20,0)</f>
        <v>333000</v>
      </c>
      <c r="AF118" s="226">
        <f>VLOOKUP($U118,计算辅助页面!$Z$5:$AM$26,COLUMN()-20,0)</f>
        <v>466000</v>
      </c>
      <c r="AG118" s="226" t="str">
        <f>VLOOKUP($U118,计算辅助页面!$Z$5:$AM$26,COLUMN()-20,0)</f>
        <v>×</v>
      </c>
      <c r="AH118" s="173">
        <f>VLOOKUP($U118,计算辅助页面!$Z$5:$AM$26,COLUMN()-20,0)</f>
        <v>6369280</v>
      </c>
      <c r="AI118" s="267">
        <v>50000</v>
      </c>
      <c r="AJ118" s="260">
        <f>VLOOKUP(D118&amp;E118,计算辅助页面!$V$5:$Y$18,2,0)</f>
        <v>8</v>
      </c>
      <c r="AK118" s="174">
        <f t="shared" ref="AK118" si="182">IF(AI118,2*AI118,"")</f>
        <v>100000</v>
      </c>
      <c r="AL118" s="174">
        <f>VLOOKUP(D118&amp;E118,计算辅助页面!$V$5:$Y$18,3,0)</f>
        <v>5</v>
      </c>
      <c r="AM118" s="179">
        <f t="shared" ref="AM118" si="183">IF(AN118="×",AN118,IF(AI118,6*AI118,""))</f>
        <v>300000</v>
      </c>
      <c r="AN118" s="179">
        <f>VLOOKUP(D118&amp;E118,计算辅助页面!$V$5:$Y$18,4,0)</f>
        <v>2</v>
      </c>
      <c r="AO118" s="173">
        <f t="shared" ref="AO118" si="184">IF(AI118,IF(AN118="×",4*(AI118*AJ118+AK118*AL118),4*(AI118*AJ118+AK118*AL118+AM118*AN118)),"")</f>
        <v>6000000</v>
      </c>
      <c r="AP118" s="195">
        <f t="shared" ref="AP118" si="185">IF(AND(AH118,AO118),AO118+AH118,"")</f>
        <v>12369280</v>
      </c>
      <c r="AQ118" s="365" t="s">
        <v>569</v>
      </c>
      <c r="AR118" s="366" t="str">
        <f t="shared" si="166"/>
        <v>Solus GT🔑</v>
      </c>
      <c r="AS118" s="352" t="s">
        <v>1585</v>
      </c>
      <c r="AT118" s="353" t="s">
        <v>1589</v>
      </c>
      <c r="AU118" s="229" t="s">
        <v>712</v>
      </c>
      <c r="AW118" s="357">
        <v>349</v>
      </c>
      <c r="AY118" s="357">
        <v>453</v>
      </c>
      <c r="AZ118" s="384" t="s">
        <v>1614</v>
      </c>
      <c r="BA118" s="369"/>
      <c r="BB118" s="369"/>
      <c r="BC118" s="369"/>
      <c r="BD118" s="369"/>
      <c r="BE118" s="369"/>
      <c r="BF118" s="369"/>
      <c r="BG118" s="369"/>
      <c r="BH118" s="369"/>
      <c r="BI118" s="369"/>
      <c r="BJ118" s="369"/>
      <c r="BK118" s="369"/>
      <c r="BL118" s="369"/>
      <c r="BM118" s="369"/>
      <c r="BN118" s="369">
        <v>1</v>
      </c>
      <c r="BO118" s="369"/>
      <c r="BP118" s="369"/>
      <c r="BQ118" s="369"/>
      <c r="BR118" s="369"/>
      <c r="BS118" s="369"/>
      <c r="BT118" s="369"/>
      <c r="BU118" s="389" t="s">
        <v>1605</v>
      </c>
      <c r="BV118" s="326"/>
      <c r="BW118" s="326"/>
      <c r="BX118" s="326"/>
      <c r="BY118" s="367"/>
      <c r="BZ118" s="368"/>
      <c r="CA118" s="368"/>
      <c r="CB118" s="368"/>
      <c r="CC118" s="368"/>
      <c r="CD118" s="368"/>
      <c r="CE118" s="368"/>
      <c r="CF118" s="368"/>
      <c r="CG118" s="368"/>
      <c r="CH118" s="368"/>
      <c r="CI118" s="42"/>
      <c r="CJ118" s="42"/>
      <c r="CK118" s="42"/>
      <c r="CL118" s="42"/>
    </row>
    <row r="119" spans="1:90" ht="21" customHeight="1">
      <c r="A119" s="80">
        <v>117</v>
      </c>
      <c r="B119" s="52" t="s">
        <v>1341</v>
      </c>
      <c r="C119" s="86" t="s">
        <v>1342</v>
      </c>
      <c r="D119" s="255" t="s">
        <v>178</v>
      </c>
      <c r="E119" s="247" t="s">
        <v>78</v>
      </c>
      <c r="F119" s="230"/>
      <c r="G119" s="229"/>
      <c r="H119" s="222">
        <v>45</v>
      </c>
      <c r="I119" s="222">
        <v>17</v>
      </c>
      <c r="J119" s="222">
        <v>23</v>
      </c>
      <c r="K119" s="222">
        <v>32</v>
      </c>
      <c r="L119" s="222">
        <v>45</v>
      </c>
      <c r="M119" s="222" t="s">
        <v>59</v>
      </c>
      <c r="N119" s="226">
        <f t="shared" ref="N119" si="186">IF(COUNTBLANK(H119:M119),"",SUM(H119:M119))</f>
        <v>162</v>
      </c>
      <c r="O119" s="53">
        <v>4076</v>
      </c>
      <c r="P119" s="210">
        <v>349.5</v>
      </c>
      <c r="Q119" s="217">
        <v>83.43</v>
      </c>
      <c r="R119" s="217">
        <v>82.74</v>
      </c>
      <c r="S119" s="217">
        <v>69.66</v>
      </c>
      <c r="T119" s="224"/>
      <c r="U119" s="84">
        <v>7820</v>
      </c>
      <c r="V119" s="292">
        <f>VLOOKUP($U119,计算辅助页面!$Z$5:$AM$26,COLUMN()-20,0)</f>
        <v>12800</v>
      </c>
      <c r="W119" s="292">
        <f>VLOOKUP($U119,计算辅助页面!$Z$5:$AM$26,COLUMN()-20,0)</f>
        <v>20400</v>
      </c>
      <c r="X119" s="226">
        <f>VLOOKUP($U119,计算辅助页面!$Z$5:$AM$26,COLUMN()-20,0)</f>
        <v>30600</v>
      </c>
      <c r="Y119" s="226">
        <f>VLOOKUP($U119,计算辅助页面!$Z$5:$AM$26,COLUMN()-20,0)</f>
        <v>44200</v>
      </c>
      <c r="Z119" s="293">
        <f>VLOOKUP($U119,计算辅助页面!$Z$5:$AM$26,COLUMN()-20,0)</f>
        <v>62000</v>
      </c>
      <c r="AA119" s="226">
        <f>VLOOKUP($U119,计算辅助页面!$Z$5:$AM$26,COLUMN()-20,0)</f>
        <v>86500</v>
      </c>
      <c r="AB119" s="226">
        <f>VLOOKUP($U119,计算辅助页面!$Z$5:$AM$26,COLUMN()-20,0)</f>
        <v>121500</v>
      </c>
      <c r="AC119" s="226">
        <f>VLOOKUP($U119,计算辅助页面!$Z$5:$AM$26,COLUMN()-20,0)</f>
        <v>170000</v>
      </c>
      <c r="AD119" s="226">
        <f>VLOOKUP($U119,计算辅助页面!$Z$5:$AM$26,COLUMN()-20,0)</f>
        <v>237500</v>
      </c>
      <c r="AE119" s="226">
        <f>VLOOKUP($U119,计算辅助页面!$Z$5:$AM$26,COLUMN()-20,0)</f>
        <v>333000</v>
      </c>
      <c r="AF119" s="226">
        <f>VLOOKUP($U119,计算辅助页面!$Z$5:$AM$26,COLUMN()-20,0)</f>
        <v>466000</v>
      </c>
      <c r="AG119" s="226" t="str">
        <f>VLOOKUP($U119,计算辅助页面!$Z$5:$AM$26,COLUMN()-20,0)</f>
        <v>×</v>
      </c>
      <c r="AH119" s="173">
        <f>VLOOKUP($U119,计算辅助页面!$Z$5:$AM$26,COLUMN()-20,0)</f>
        <v>6369280</v>
      </c>
      <c r="AI119" s="267">
        <v>50000</v>
      </c>
      <c r="AJ119" s="260">
        <f>VLOOKUP(D119&amp;E119,计算辅助页面!$V$5:$Y$18,2,0)</f>
        <v>8</v>
      </c>
      <c r="AK119" s="174">
        <f t="shared" ref="AK119" si="187">IF(AI119,2*AI119,"")</f>
        <v>100000</v>
      </c>
      <c r="AL119" s="174">
        <f>VLOOKUP(D119&amp;E119,计算辅助页面!$V$5:$Y$18,3,0)</f>
        <v>5</v>
      </c>
      <c r="AM119" s="179">
        <f t="shared" ref="AM119" si="188">IF(AN119="×",AN119,IF(AI119,6*AI119,""))</f>
        <v>300000</v>
      </c>
      <c r="AN119" s="179">
        <f>VLOOKUP(D119&amp;E119,计算辅助页面!$V$5:$Y$18,4,0)</f>
        <v>2</v>
      </c>
      <c r="AO119" s="173">
        <f t="shared" ref="AO119" si="189">IF(AI119,IF(AN119="×",4*(AI119*AJ119+AK119*AL119),4*(AI119*AJ119+AK119*AL119+AM119*AN119)),"")</f>
        <v>6000000</v>
      </c>
      <c r="AP119" s="195">
        <f t="shared" ref="AP119" si="190">IF(AND(AH119,AO119),AO119+AH119,"")</f>
        <v>12369280</v>
      </c>
      <c r="AQ119" s="365" t="s">
        <v>1343</v>
      </c>
      <c r="AR119" s="366" t="str">
        <f t="shared" si="166"/>
        <v>Berlinetta</v>
      </c>
      <c r="AS119" s="352" t="s">
        <v>1334</v>
      </c>
      <c r="AT119" s="353" t="s">
        <v>1344</v>
      </c>
      <c r="AU119" s="229" t="s">
        <v>712</v>
      </c>
      <c r="AW119" s="357">
        <v>362</v>
      </c>
      <c r="AY119" s="357">
        <v>474</v>
      </c>
      <c r="AZ119" s="384" t="s">
        <v>1274</v>
      </c>
      <c r="BA119" s="369"/>
      <c r="BB119" s="369"/>
      <c r="BC119" s="369"/>
      <c r="BD119" s="369"/>
      <c r="BE119" s="369"/>
      <c r="BF119" s="369"/>
      <c r="BG119" s="369"/>
      <c r="BH119" s="369"/>
      <c r="BI119" s="369"/>
      <c r="BJ119" s="369"/>
      <c r="BK119" s="369"/>
      <c r="BL119" s="369"/>
      <c r="BM119" s="369"/>
      <c r="BN119" s="369"/>
      <c r="BO119" s="369"/>
      <c r="BP119" s="369"/>
      <c r="BQ119" s="369"/>
      <c r="BR119" s="369"/>
      <c r="BS119" s="369"/>
      <c r="BT119" s="369"/>
      <c r="BU119" s="387"/>
      <c r="BV119" s="326"/>
      <c r="BW119" s="326"/>
      <c r="BX119" s="326"/>
      <c r="BY119" s="367"/>
      <c r="BZ119" s="368"/>
      <c r="CA119" s="368"/>
      <c r="CB119" s="368"/>
      <c r="CC119" s="368"/>
      <c r="CD119" s="368"/>
      <c r="CE119" s="368"/>
      <c r="CF119" s="368"/>
      <c r="CG119" s="368"/>
      <c r="CH119" s="368"/>
      <c r="CI119" s="42"/>
      <c r="CJ119" s="42"/>
      <c r="CK119" s="42"/>
      <c r="CL119" s="42"/>
    </row>
    <row r="120" spans="1:90" ht="21" customHeight="1" thickBot="1">
      <c r="A120" s="48">
        <v>118</v>
      </c>
      <c r="B120" s="49" t="s">
        <v>260</v>
      </c>
      <c r="C120" s="86" t="s">
        <v>787</v>
      </c>
      <c r="D120" s="257" t="s">
        <v>178</v>
      </c>
      <c r="E120" s="247" t="s">
        <v>171</v>
      </c>
      <c r="F120" s="173">
        <f>9-LEN(E120)-LEN(SUBSTITUTE(E120,"★",""))</f>
        <v>4</v>
      </c>
      <c r="G120" s="83" t="s">
        <v>168</v>
      </c>
      <c r="H120" s="222">
        <v>45</v>
      </c>
      <c r="I120" s="222">
        <v>17</v>
      </c>
      <c r="J120" s="222">
        <v>23</v>
      </c>
      <c r="K120" s="222">
        <v>32</v>
      </c>
      <c r="L120" s="222">
        <v>45</v>
      </c>
      <c r="M120" s="222" t="s">
        <v>59</v>
      </c>
      <c r="N120" s="226">
        <f t="shared" si="165"/>
        <v>162</v>
      </c>
      <c r="O120" s="51">
        <v>4109</v>
      </c>
      <c r="P120" s="209">
        <v>344</v>
      </c>
      <c r="Q120" s="216">
        <v>84.31</v>
      </c>
      <c r="R120" s="216">
        <v>75.97</v>
      </c>
      <c r="S120" s="216">
        <v>82.43</v>
      </c>
      <c r="T120" s="216">
        <v>11.517000000000001</v>
      </c>
      <c r="U120" s="84">
        <v>7820</v>
      </c>
      <c r="V120" s="292">
        <f>VLOOKUP($U120,计算辅助页面!$Z$5:$AM$26,COLUMN()-20,0)</f>
        <v>12800</v>
      </c>
      <c r="W120" s="292">
        <f>VLOOKUP($U120,计算辅助页面!$Z$5:$AM$26,COLUMN()-20,0)</f>
        <v>20400</v>
      </c>
      <c r="X120" s="226">
        <f>VLOOKUP($U120,计算辅助页面!$Z$5:$AM$26,COLUMN()-20,0)</f>
        <v>30600</v>
      </c>
      <c r="Y120" s="226">
        <f>VLOOKUP($U120,计算辅助页面!$Z$5:$AM$26,COLUMN()-20,0)</f>
        <v>44200</v>
      </c>
      <c r="Z120" s="293">
        <f>VLOOKUP($U120,计算辅助页面!$Z$5:$AM$26,COLUMN()-20,0)</f>
        <v>62000</v>
      </c>
      <c r="AA120" s="226">
        <f>VLOOKUP($U120,计算辅助页面!$Z$5:$AM$26,COLUMN()-20,0)</f>
        <v>86500</v>
      </c>
      <c r="AB120" s="226">
        <f>VLOOKUP($U120,计算辅助页面!$Z$5:$AM$26,COLUMN()-20,0)</f>
        <v>121500</v>
      </c>
      <c r="AC120" s="226">
        <f>VLOOKUP($U120,计算辅助页面!$Z$5:$AM$26,COLUMN()-20,0)</f>
        <v>170000</v>
      </c>
      <c r="AD120" s="226">
        <f>VLOOKUP($U120,计算辅助页面!$Z$5:$AM$26,COLUMN()-20,0)</f>
        <v>237500</v>
      </c>
      <c r="AE120" s="226">
        <f>VLOOKUP($U120,计算辅助页面!$Z$5:$AM$26,COLUMN()-20,0)</f>
        <v>333000</v>
      </c>
      <c r="AF120" s="226">
        <f>VLOOKUP($U120,计算辅助页面!$Z$5:$AM$26,COLUMN()-20,0)</f>
        <v>466000</v>
      </c>
      <c r="AG120" s="226" t="str">
        <f>VLOOKUP($U120,计算辅助页面!$Z$5:$AM$26,COLUMN()-20,0)</f>
        <v>×</v>
      </c>
      <c r="AH120" s="173">
        <f>VLOOKUP($U120,计算辅助页面!$Z$5:$AM$26,COLUMN()-20,0)</f>
        <v>6369280</v>
      </c>
      <c r="AI120" s="267">
        <v>50000</v>
      </c>
      <c r="AJ120" s="260">
        <f>VLOOKUP(D120&amp;E120,计算辅助页面!$V$5:$Y$18,2,0)</f>
        <v>8</v>
      </c>
      <c r="AK120" s="174">
        <f t="shared" si="155"/>
        <v>100000</v>
      </c>
      <c r="AL120" s="174">
        <f>VLOOKUP(D120&amp;E120,计算辅助页面!$V$5:$Y$18,3,0)</f>
        <v>5</v>
      </c>
      <c r="AM120" s="179">
        <f t="shared" si="156"/>
        <v>300000</v>
      </c>
      <c r="AN120" s="179">
        <f>VLOOKUP(D120&amp;E120,计算辅助页面!$V$5:$Y$18,4,0)</f>
        <v>2</v>
      </c>
      <c r="AO120" s="173">
        <f t="shared" si="157"/>
        <v>6000000</v>
      </c>
      <c r="AP120" s="195">
        <f t="shared" si="158"/>
        <v>12369280</v>
      </c>
      <c r="AQ120" s="365" t="s">
        <v>566</v>
      </c>
      <c r="AR120" s="366" t="str">
        <f t="shared" si="166"/>
        <v>Huracan EVO Spyder</v>
      </c>
      <c r="AS120" s="352" t="s">
        <v>966</v>
      </c>
      <c r="AT120" s="353" t="s">
        <v>641</v>
      </c>
      <c r="AU120" s="229" t="s">
        <v>712</v>
      </c>
      <c r="AV120" s="357">
        <v>16</v>
      </c>
      <c r="AW120" s="357">
        <v>358</v>
      </c>
      <c r="AY120" s="357">
        <v>468</v>
      </c>
      <c r="AZ120" s="357" t="s">
        <v>1119</v>
      </c>
      <c r="BA120" s="369"/>
      <c r="BB120" s="369"/>
      <c r="BC120" s="369"/>
      <c r="BD120" s="369">
        <v>1</v>
      </c>
      <c r="BE120" s="369"/>
      <c r="BF120" s="369"/>
      <c r="BG120" s="369"/>
      <c r="BH120" s="369"/>
      <c r="BI120" s="369"/>
      <c r="BJ120" s="369"/>
      <c r="BK120" s="369"/>
      <c r="BL120" s="369"/>
      <c r="BM120" s="369"/>
      <c r="BN120" s="369"/>
      <c r="BO120" s="369"/>
      <c r="BP120" s="369"/>
      <c r="BQ120" s="369">
        <v>1</v>
      </c>
      <c r="BR120" s="369" t="s">
        <v>1124</v>
      </c>
      <c r="BS120" s="369"/>
      <c r="BT120" s="369">
        <v>1</v>
      </c>
      <c r="BU120" s="388" t="s">
        <v>1301</v>
      </c>
      <c r="BV120" s="326"/>
      <c r="BW120" s="326"/>
      <c r="BX120" s="326"/>
      <c r="BY120" s="367">
        <v>325</v>
      </c>
      <c r="BZ120" s="368">
        <v>72.099999999999994</v>
      </c>
      <c r="CA120" s="368">
        <v>46.62</v>
      </c>
      <c r="CB120" s="368">
        <v>51.94</v>
      </c>
      <c r="CC120" s="368">
        <f t="shared" si="159"/>
        <v>19</v>
      </c>
      <c r="CD120" s="368">
        <f t="shared" si="160"/>
        <v>12.210000000000008</v>
      </c>
      <c r="CE120" s="368">
        <f t="shared" si="161"/>
        <v>29.35</v>
      </c>
      <c r="CF120" s="368">
        <f t="shared" si="162"/>
        <v>30.490000000000009</v>
      </c>
      <c r="CG120" s="368">
        <f t="shared" si="163"/>
        <v>91.050000000000011</v>
      </c>
      <c r="CH120" s="368">
        <f t="shared" si="164"/>
        <v>99.640200000000021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446</v>
      </c>
      <c r="C121" s="86" t="s">
        <v>788</v>
      </c>
      <c r="D121" s="257" t="s">
        <v>178</v>
      </c>
      <c r="E121" s="247" t="s">
        <v>78</v>
      </c>
      <c r="F121" s="173">
        <f>9-LEN(E121)-LEN(SUBSTITUTE(E121,"★",""))</f>
        <v>4</v>
      </c>
      <c r="G121" s="83" t="s">
        <v>168</v>
      </c>
      <c r="H121" s="236">
        <v>45</v>
      </c>
      <c r="I121" s="222">
        <v>17</v>
      </c>
      <c r="J121" s="222">
        <v>23</v>
      </c>
      <c r="K121" s="222">
        <v>32</v>
      </c>
      <c r="L121" s="222">
        <v>45</v>
      </c>
      <c r="M121" s="222" t="s">
        <v>59</v>
      </c>
      <c r="N121" s="226">
        <f t="shared" si="165"/>
        <v>162</v>
      </c>
      <c r="O121" s="53">
        <v>4126</v>
      </c>
      <c r="P121" s="210">
        <v>347.8</v>
      </c>
      <c r="Q121" s="217">
        <v>78.67</v>
      </c>
      <c r="R121" s="217">
        <v>84.88</v>
      </c>
      <c r="S121" s="217">
        <v>82.91</v>
      </c>
      <c r="T121" s="217">
        <v>11.45</v>
      </c>
      <c r="U121" s="84">
        <v>7820</v>
      </c>
      <c r="V121" s="292">
        <f>VLOOKUP($U121,计算辅助页面!$Z$5:$AM$26,COLUMN()-20,0)</f>
        <v>12800</v>
      </c>
      <c r="W121" s="292">
        <f>VLOOKUP($U121,计算辅助页面!$Z$5:$AM$26,COLUMN()-20,0)</f>
        <v>20400</v>
      </c>
      <c r="X121" s="226">
        <f>VLOOKUP($U121,计算辅助页面!$Z$5:$AM$26,COLUMN()-20,0)</f>
        <v>30600</v>
      </c>
      <c r="Y121" s="226">
        <f>VLOOKUP($U121,计算辅助页面!$Z$5:$AM$26,COLUMN()-20,0)</f>
        <v>44200</v>
      </c>
      <c r="Z121" s="293">
        <f>VLOOKUP($U121,计算辅助页面!$Z$5:$AM$26,COLUMN()-20,0)</f>
        <v>62000</v>
      </c>
      <c r="AA121" s="226">
        <f>VLOOKUP($U121,计算辅助页面!$Z$5:$AM$26,COLUMN()-20,0)</f>
        <v>86500</v>
      </c>
      <c r="AB121" s="226">
        <f>VLOOKUP($U121,计算辅助页面!$Z$5:$AM$26,COLUMN()-20,0)</f>
        <v>121500</v>
      </c>
      <c r="AC121" s="226">
        <f>VLOOKUP($U121,计算辅助页面!$Z$5:$AM$26,COLUMN()-20,0)</f>
        <v>170000</v>
      </c>
      <c r="AD121" s="226">
        <f>VLOOKUP($U121,计算辅助页面!$Z$5:$AM$26,COLUMN()-20,0)</f>
        <v>237500</v>
      </c>
      <c r="AE121" s="226">
        <f>VLOOKUP($U121,计算辅助页面!$Z$5:$AM$26,COLUMN()-20,0)</f>
        <v>333000</v>
      </c>
      <c r="AF121" s="226">
        <f>VLOOKUP($U121,计算辅助页面!$Z$5:$AM$26,COLUMN()-20,0)</f>
        <v>466000</v>
      </c>
      <c r="AG121" s="226" t="str">
        <f>VLOOKUP($U121,计算辅助页面!$Z$5:$AM$26,COLUMN()-20,0)</f>
        <v>×</v>
      </c>
      <c r="AH121" s="173">
        <f>VLOOKUP($U121,计算辅助页面!$Z$5:$AM$26,COLUMN()-20,0)</f>
        <v>6369280</v>
      </c>
      <c r="AI121" s="267">
        <v>50000</v>
      </c>
      <c r="AJ121" s="260">
        <f>VLOOKUP(D121&amp;E121,计算辅助页面!$V$5:$Y$18,2,0)</f>
        <v>8</v>
      </c>
      <c r="AK121" s="174">
        <f t="shared" si="155"/>
        <v>100000</v>
      </c>
      <c r="AL121" s="174">
        <f>VLOOKUP(D121&amp;E121,计算辅助页面!$V$5:$Y$18,3,0)</f>
        <v>5</v>
      </c>
      <c r="AM121" s="179">
        <f t="shared" si="156"/>
        <v>300000</v>
      </c>
      <c r="AN121" s="179">
        <f>VLOOKUP(D121&amp;E121,计算辅助页面!$V$5:$Y$18,4,0)</f>
        <v>2</v>
      </c>
      <c r="AO121" s="173">
        <f t="shared" si="157"/>
        <v>6000000</v>
      </c>
      <c r="AP121" s="195">
        <f t="shared" si="158"/>
        <v>12369280</v>
      </c>
      <c r="AQ121" s="365" t="s">
        <v>562</v>
      </c>
      <c r="AR121" s="366" t="str">
        <f t="shared" si="166"/>
        <v>Carrera GT</v>
      </c>
      <c r="AS121" s="352" t="s">
        <v>957</v>
      </c>
      <c r="AT121" s="353" t="s">
        <v>643</v>
      </c>
      <c r="AU121" s="229" t="s">
        <v>712</v>
      </c>
      <c r="AW121" s="357">
        <v>362</v>
      </c>
      <c r="AY121" s="357">
        <v>474</v>
      </c>
      <c r="AZ121" s="357" t="s">
        <v>1121</v>
      </c>
      <c r="BA121" s="369"/>
      <c r="BB121" s="369"/>
      <c r="BC121" s="369"/>
      <c r="BD121" s="369"/>
      <c r="BE121" s="369"/>
      <c r="BF121" s="369"/>
      <c r="BG121" s="369"/>
      <c r="BH121" s="369"/>
      <c r="BI121" s="369"/>
      <c r="BJ121" s="369"/>
      <c r="BK121" s="369">
        <v>1</v>
      </c>
      <c r="BL121" s="369"/>
      <c r="BM121" s="369"/>
      <c r="BN121" s="369"/>
      <c r="BO121" s="369"/>
      <c r="BP121" s="369"/>
      <c r="BQ121" s="369"/>
      <c r="BR121" s="369"/>
      <c r="BS121" s="369"/>
      <c r="BT121" s="369"/>
      <c r="BU121" s="387" t="s">
        <v>1173</v>
      </c>
      <c r="BV121" s="326"/>
      <c r="BW121" s="326"/>
      <c r="BX121" s="326"/>
      <c r="BY121" s="367">
        <v>330</v>
      </c>
      <c r="BZ121" s="368">
        <v>68.5</v>
      </c>
      <c r="CA121" s="368">
        <v>61.79</v>
      </c>
      <c r="CB121" s="368">
        <v>60.32</v>
      </c>
      <c r="CC121" s="368">
        <f t="shared" si="159"/>
        <v>17.800000000000011</v>
      </c>
      <c r="CD121" s="368">
        <f t="shared" si="160"/>
        <v>10.170000000000002</v>
      </c>
      <c r="CE121" s="368">
        <f t="shared" si="161"/>
        <v>23.089999999999996</v>
      </c>
      <c r="CF121" s="368">
        <f t="shared" si="162"/>
        <v>22.589999999999996</v>
      </c>
      <c r="CG121" s="368">
        <f t="shared" si="163"/>
        <v>73.650000000000006</v>
      </c>
      <c r="CH121" s="368">
        <f t="shared" si="164"/>
        <v>78.500399999999999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52" t="s">
        <v>1275</v>
      </c>
      <c r="C122" s="86" t="s">
        <v>1276</v>
      </c>
      <c r="D122" s="257" t="s">
        <v>178</v>
      </c>
      <c r="E122" s="247" t="s">
        <v>78</v>
      </c>
      <c r="F122" s="230"/>
      <c r="G122" s="229"/>
      <c r="H122" s="236">
        <v>45</v>
      </c>
      <c r="I122" s="222">
        <v>17</v>
      </c>
      <c r="J122" s="222">
        <v>23</v>
      </c>
      <c r="K122" s="222">
        <v>32</v>
      </c>
      <c r="L122" s="222">
        <v>45</v>
      </c>
      <c r="M122" s="222" t="s">
        <v>59</v>
      </c>
      <c r="N122" s="226">
        <f t="shared" ref="N122" si="191">IF(COUNTBLANK(H122:M122),"",SUM(H122:M122))</f>
        <v>162</v>
      </c>
      <c r="O122" s="53">
        <v>4153</v>
      </c>
      <c r="P122" s="210">
        <v>349.5</v>
      </c>
      <c r="Q122" s="217">
        <v>86.36</v>
      </c>
      <c r="R122" s="217">
        <v>73.86</v>
      </c>
      <c r="S122" s="217">
        <v>64.59</v>
      </c>
      <c r="T122" s="217">
        <v>6.6</v>
      </c>
      <c r="U122" s="84">
        <v>7820</v>
      </c>
      <c r="V122" s="292">
        <f>VLOOKUP($U122,计算辅助页面!$Z$5:$AM$26,COLUMN()-20,0)</f>
        <v>12800</v>
      </c>
      <c r="W122" s="292">
        <f>VLOOKUP($U122,计算辅助页面!$Z$5:$AM$26,COLUMN()-20,0)</f>
        <v>20400</v>
      </c>
      <c r="X122" s="226">
        <f>VLOOKUP($U122,计算辅助页面!$Z$5:$AM$26,COLUMN()-20,0)</f>
        <v>30600</v>
      </c>
      <c r="Y122" s="226">
        <f>VLOOKUP($U122,计算辅助页面!$Z$5:$AM$26,COLUMN()-20,0)</f>
        <v>44200</v>
      </c>
      <c r="Z122" s="293">
        <f>VLOOKUP($U122,计算辅助页面!$Z$5:$AM$26,COLUMN()-20,0)</f>
        <v>62000</v>
      </c>
      <c r="AA122" s="226">
        <f>VLOOKUP($U122,计算辅助页面!$Z$5:$AM$26,COLUMN()-20,0)</f>
        <v>86500</v>
      </c>
      <c r="AB122" s="226">
        <f>VLOOKUP($U122,计算辅助页面!$Z$5:$AM$26,COLUMN()-20,0)</f>
        <v>121500</v>
      </c>
      <c r="AC122" s="226">
        <f>VLOOKUP($U122,计算辅助页面!$Z$5:$AM$26,COLUMN()-20,0)</f>
        <v>170000</v>
      </c>
      <c r="AD122" s="226">
        <f>VLOOKUP($U122,计算辅助页面!$Z$5:$AM$26,COLUMN()-20,0)</f>
        <v>237500</v>
      </c>
      <c r="AE122" s="226">
        <f>VLOOKUP($U122,计算辅助页面!$Z$5:$AM$26,COLUMN()-20,0)</f>
        <v>333000</v>
      </c>
      <c r="AF122" s="226">
        <f>VLOOKUP($U122,计算辅助页面!$Z$5:$AM$26,COLUMN()-20,0)</f>
        <v>466000</v>
      </c>
      <c r="AG122" s="226" t="str">
        <f>VLOOKUP($U122,计算辅助页面!$Z$5:$AM$26,COLUMN()-20,0)</f>
        <v>×</v>
      </c>
      <c r="AH122" s="173">
        <f>VLOOKUP($U122,计算辅助页面!$Z$5:$AM$26,COLUMN()-20,0)</f>
        <v>6369280</v>
      </c>
      <c r="AI122" s="267">
        <v>50000</v>
      </c>
      <c r="AJ122" s="260">
        <f>VLOOKUP(D122&amp;E122,计算辅助页面!$V$5:$Y$18,2,0)</f>
        <v>8</v>
      </c>
      <c r="AK122" s="174">
        <f t="shared" ref="AK122" si="192">IF(AI122,2*AI122,"")</f>
        <v>100000</v>
      </c>
      <c r="AL122" s="174">
        <f>VLOOKUP(D122&amp;E122,计算辅助页面!$V$5:$Y$18,3,0)</f>
        <v>5</v>
      </c>
      <c r="AM122" s="179">
        <f t="shared" ref="AM122" si="193">IF(AN122="×",AN122,IF(AI122,6*AI122,""))</f>
        <v>300000</v>
      </c>
      <c r="AN122" s="179">
        <f>VLOOKUP(D122&amp;E122,计算辅助页面!$V$5:$Y$18,4,0)</f>
        <v>2</v>
      </c>
      <c r="AO122" s="173">
        <f t="shared" ref="AO122" si="194">IF(AI122,IF(AN122="×",4*(AI122*AJ122+AK122*AL122),4*(AI122*AJ122+AK122*AL122+AM122*AN122)),"")</f>
        <v>6000000</v>
      </c>
      <c r="AP122" s="195">
        <f t="shared" ref="AP122" si="195">IF(AND(AH122,AO122),AO122+AH122,"")</f>
        <v>12369280</v>
      </c>
      <c r="AQ122" s="365" t="s">
        <v>560</v>
      </c>
      <c r="AR122" s="366" t="str">
        <f t="shared" si="166"/>
        <v>GTR-50 Italdesign</v>
      </c>
      <c r="AS122" s="352" t="s">
        <v>1268</v>
      </c>
      <c r="AT122" s="353" t="s">
        <v>1277</v>
      </c>
      <c r="AU122" s="229" t="s">
        <v>712</v>
      </c>
      <c r="AW122" s="357">
        <v>363</v>
      </c>
      <c r="AY122" s="357">
        <v>477</v>
      </c>
      <c r="AZ122" s="384" t="s">
        <v>1305</v>
      </c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91" t="s">
        <v>1302</v>
      </c>
      <c r="BV122" s="326"/>
      <c r="BW122" s="326"/>
      <c r="BX122" s="326"/>
      <c r="BY122" s="367"/>
      <c r="BZ122" s="368"/>
      <c r="CA122" s="368"/>
      <c r="CB122" s="368"/>
      <c r="CC122" s="368"/>
      <c r="CD122" s="368"/>
      <c r="CE122" s="368"/>
      <c r="CF122" s="368"/>
      <c r="CG122" s="368"/>
      <c r="CH122" s="368"/>
      <c r="CI122" s="42"/>
      <c r="CJ122" s="42"/>
      <c r="CK122" s="42"/>
      <c r="CL122" s="42"/>
    </row>
    <row r="123" spans="1:90" ht="21" customHeight="1">
      <c r="A123" s="80">
        <v>121</v>
      </c>
      <c r="B123" s="52" t="s">
        <v>983</v>
      </c>
      <c r="C123" s="86" t="s">
        <v>971</v>
      </c>
      <c r="D123" s="257" t="s">
        <v>178</v>
      </c>
      <c r="E123" s="247" t="s">
        <v>78</v>
      </c>
      <c r="F123" s="230"/>
      <c r="G123" s="229"/>
      <c r="H123" s="222" t="s">
        <v>449</v>
      </c>
      <c r="I123" s="236">
        <v>26</v>
      </c>
      <c r="J123" s="236">
        <v>35</v>
      </c>
      <c r="K123" s="236">
        <v>40</v>
      </c>
      <c r="L123" s="236">
        <v>62</v>
      </c>
      <c r="M123" s="222" t="s">
        <v>59</v>
      </c>
      <c r="N123" s="226">
        <f t="shared" si="165"/>
        <v>163</v>
      </c>
      <c r="O123" s="53">
        <v>4171</v>
      </c>
      <c r="P123" s="210">
        <v>342.4</v>
      </c>
      <c r="Q123" s="217">
        <v>85.38</v>
      </c>
      <c r="R123" s="217">
        <v>82.88</v>
      </c>
      <c r="S123" s="217">
        <v>67.36</v>
      </c>
      <c r="T123" s="217">
        <v>7.16</v>
      </c>
      <c r="U123" s="84">
        <v>7820</v>
      </c>
      <c r="V123" s="292">
        <f>VLOOKUP($U123,计算辅助页面!$Z$5:$AM$26,COLUMN()-20,0)</f>
        <v>12800</v>
      </c>
      <c r="W123" s="292">
        <f>VLOOKUP($U123,计算辅助页面!$Z$5:$AM$26,COLUMN()-20,0)</f>
        <v>20400</v>
      </c>
      <c r="X123" s="226">
        <f>VLOOKUP($U123,计算辅助页面!$Z$5:$AM$26,COLUMN()-20,0)</f>
        <v>30600</v>
      </c>
      <c r="Y123" s="226">
        <f>VLOOKUP($U123,计算辅助页面!$Z$5:$AM$26,COLUMN()-20,0)</f>
        <v>44200</v>
      </c>
      <c r="Z123" s="293">
        <f>VLOOKUP($U123,计算辅助页面!$Z$5:$AM$26,COLUMN()-20,0)</f>
        <v>62000</v>
      </c>
      <c r="AA123" s="226">
        <f>VLOOKUP($U123,计算辅助页面!$Z$5:$AM$26,COLUMN()-20,0)</f>
        <v>86500</v>
      </c>
      <c r="AB123" s="226">
        <f>VLOOKUP($U123,计算辅助页面!$Z$5:$AM$26,COLUMN()-20,0)</f>
        <v>121500</v>
      </c>
      <c r="AC123" s="226">
        <f>VLOOKUP($U123,计算辅助页面!$Z$5:$AM$26,COLUMN()-20,0)</f>
        <v>170000</v>
      </c>
      <c r="AD123" s="226">
        <f>VLOOKUP($U123,计算辅助页面!$Z$5:$AM$26,COLUMN()-20,0)</f>
        <v>237500</v>
      </c>
      <c r="AE123" s="226">
        <f>VLOOKUP($U123,计算辅助页面!$Z$5:$AM$26,COLUMN()-20,0)</f>
        <v>333000</v>
      </c>
      <c r="AF123" s="226">
        <f>VLOOKUP($U123,计算辅助页面!$Z$5:$AM$26,COLUMN()-20,0)</f>
        <v>466000</v>
      </c>
      <c r="AG123" s="226" t="str">
        <f>VLOOKUP($U123,计算辅助页面!$Z$5:$AM$26,COLUMN()-20,0)</f>
        <v>×</v>
      </c>
      <c r="AH123" s="173">
        <f>VLOOKUP($U123,计算辅助页面!$Z$5:$AM$26,COLUMN()-20,0)</f>
        <v>6369280</v>
      </c>
      <c r="AI123" s="267">
        <v>50000</v>
      </c>
      <c r="AJ123" s="260">
        <f>VLOOKUP(D123&amp;E123,计算辅助页面!$V$5:$Y$18,2,0)</f>
        <v>8</v>
      </c>
      <c r="AK123" s="174">
        <f t="shared" si="155"/>
        <v>100000</v>
      </c>
      <c r="AL123" s="174">
        <f>VLOOKUP(D123&amp;E123,计算辅助页面!$V$5:$Y$18,3,0)</f>
        <v>5</v>
      </c>
      <c r="AM123" s="179">
        <f t="shared" si="156"/>
        <v>300000</v>
      </c>
      <c r="AN123" s="179">
        <f>VLOOKUP(D123&amp;E123,计算辅助页面!$V$5:$Y$18,4,0)</f>
        <v>2</v>
      </c>
      <c r="AO123" s="173">
        <f t="shared" si="157"/>
        <v>6000000</v>
      </c>
      <c r="AP123" s="195">
        <f t="shared" si="158"/>
        <v>12369280</v>
      </c>
      <c r="AQ123" s="365" t="s">
        <v>972</v>
      </c>
      <c r="AR123" s="366" t="str">
        <f t="shared" si="166"/>
        <v>TSR-S🔑</v>
      </c>
      <c r="AS123" s="352" t="s">
        <v>975</v>
      </c>
      <c r="AT123" s="353" t="s">
        <v>981</v>
      </c>
      <c r="AU123" s="229" t="s">
        <v>712</v>
      </c>
      <c r="AW123" s="357">
        <v>359</v>
      </c>
      <c r="AX123" s="357">
        <v>366</v>
      </c>
      <c r="AY123" s="357">
        <v>478</v>
      </c>
      <c r="AZ123" s="357" t="s">
        <v>1115</v>
      </c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>
        <v>1</v>
      </c>
      <c r="BM123" s="369"/>
      <c r="BN123" s="369">
        <v>1</v>
      </c>
      <c r="BO123" s="369">
        <v>1</v>
      </c>
      <c r="BP123" s="369"/>
      <c r="BQ123" s="369"/>
      <c r="BR123" s="369"/>
      <c r="BS123" s="369"/>
      <c r="BT123" s="369"/>
      <c r="BU123" s="387" t="s">
        <v>1174</v>
      </c>
      <c r="BV123" s="326"/>
      <c r="BW123" s="326"/>
      <c r="BX123" s="326"/>
      <c r="BY123" s="367">
        <v>325</v>
      </c>
      <c r="BZ123" s="368">
        <v>74.8</v>
      </c>
      <c r="CA123" s="368">
        <v>50.25</v>
      </c>
      <c r="CB123" s="368">
        <v>40.340000000000003</v>
      </c>
      <c r="CC123" s="368">
        <f t="shared" si="159"/>
        <v>17.399999999999977</v>
      </c>
      <c r="CD123" s="368">
        <f t="shared" si="160"/>
        <v>10.579999999999998</v>
      </c>
      <c r="CE123" s="368">
        <f t="shared" si="161"/>
        <v>32.629999999999995</v>
      </c>
      <c r="CF123" s="368">
        <f t="shared" si="162"/>
        <v>27.019999999999996</v>
      </c>
      <c r="CG123" s="368">
        <f t="shared" si="163"/>
        <v>87.629999999999967</v>
      </c>
      <c r="CH123" s="368">
        <f t="shared" si="164"/>
        <v>95.54049999999998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1373</v>
      </c>
      <c r="C124" s="86" t="s">
        <v>1374</v>
      </c>
      <c r="D124" s="257" t="s">
        <v>178</v>
      </c>
      <c r="E124" s="247" t="s">
        <v>79</v>
      </c>
      <c r="F124" s="230"/>
      <c r="G124" s="229"/>
      <c r="H124" s="222">
        <v>55</v>
      </c>
      <c r="I124" s="222">
        <v>18</v>
      </c>
      <c r="J124" s="222">
        <v>24</v>
      </c>
      <c r="K124" s="222">
        <v>32</v>
      </c>
      <c r="L124" s="222">
        <v>47</v>
      </c>
      <c r="M124" s="222">
        <v>50</v>
      </c>
      <c r="N124" s="226">
        <f t="shared" ref="N124" si="196">IF(COUNTBLANK(H124:M124),"",SUM(H124:M124))</f>
        <v>226</v>
      </c>
      <c r="O124" s="53">
        <v>4183</v>
      </c>
      <c r="P124" s="210">
        <v>346.5</v>
      </c>
      <c r="Q124" s="217">
        <v>87.26</v>
      </c>
      <c r="R124" s="217">
        <v>70.27</v>
      </c>
      <c r="S124" s="217">
        <v>74.760000000000005</v>
      </c>
      <c r="T124" s="217"/>
      <c r="U124" s="84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97">IF(AI124,2*AI124,"")</f>
        <v>140000</v>
      </c>
      <c r="AL124" s="174">
        <f>VLOOKUP(D124&amp;E124,计算辅助页面!$V$5:$Y$18,3,0)</f>
        <v>5</v>
      </c>
      <c r="AM124" s="179">
        <f t="shared" ref="AM124" si="198">IF(AN124="×",AN124,IF(AI124,6*AI124,""))</f>
        <v>420000</v>
      </c>
      <c r="AN124" s="179">
        <f>VLOOKUP(D124&amp;E124,计算辅助页面!$V$5:$Y$18,4,0)</f>
        <v>3</v>
      </c>
      <c r="AO124" s="173">
        <f t="shared" ref="AO124" si="199">IF(AI124,IF(AN124="×",4*(AI124*AJ124+AK124*AL124),4*(AI124*AJ124+AK124*AL124+AM124*AN124)),"")</f>
        <v>10080000</v>
      </c>
      <c r="AP124" s="195">
        <f t="shared" ref="AP124" si="200">IF(AND(AH124,AO124),AO124+AH124,"")</f>
        <v>22003560</v>
      </c>
      <c r="AQ124" s="365" t="s">
        <v>566</v>
      </c>
      <c r="AR124" s="366" t="str">
        <f t="shared" si="166"/>
        <v>Sesto Elemento</v>
      </c>
      <c r="AS124" s="352" t="s">
        <v>1363</v>
      </c>
      <c r="AT124" s="353" t="s">
        <v>1375</v>
      </c>
      <c r="AU124" s="229" t="s">
        <v>712</v>
      </c>
      <c r="AW124" s="357">
        <v>360</v>
      </c>
      <c r="AY124" s="357">
        <v>472</v>
      </c>
      <c r="AZ124" s="384" t="s">
        <v>1330</v>
      </c>
      <c r="BA124" s="369"/>
      <c r="BB124" s="369"/>
      <c r="BC124" s="369"/>
      <c r="BD124" s="369"/>
      <c r="BE124" s="369"/>
      <c r="BF124" s="369"/>
      <c r="BG124" s="369"/>
      <c r="BH124" s="369"/>
      <c r="BI124" s="369"/>
      <c r="BJ124" s="369"/>
      <c r="BK124" s="369"/>
      <c r="BL124" s="369"/>
      <c r="BM124" s="369"/>
      <c r="BN124" s="369"/>
      <c r="BO124" s="369">
        <v>1</v>
      </c>
      <c r="BP124" s="369"/>
      <c r="BQ124" s="369"/>
      <c r="BR124" s="369"/>
      <c r="BS124" s="369"/>
      <c r="BT124" s="369"/>
      <c r="BU124" s="389" t="s">
        <v>1384</v>
      </c>
      <c r="BV124" s="326"/>
      <c r="BW124" s="326"/>
      <c r="BX124" s="326"/>
      <c r="BY124" s="367"/>
      <c r="BZ124" s="368"/>
      <c r="CA124" s="368"/>
      <c r="CB124" s="368"/>
      <c r="CC124" s="368"/>
      <c r="CD124" s="368"/>
      <c r="CE124" s="368"/>
      <c r="CF124" s="368"/>
      <c r="CG124" s="368"/>
      <c r="CH124" s="368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332</v>
      </c>
      <c r="C125" s="86" t="s">
        <v>789</v>
      </c>
      <c r="D125" s="257" t="s">
        <v>178</v>
      </c>
      <c r="E125" s="247" t="s">
        <v>79</v>
      </c>
      <c r="F125" s="173">
        <f>9-LEN(E125)-LEN(SUBSTITUTE(E125,"★",""))</f>
        <v>3</v>
      </c>
      <c r="G125" s="83" t="s">
        <v>69</v>
      </c>
      <c r="H125" s="222">
        <v>55</v>
      </c>
      <c r="I125" s="222">
        <v>18</v>
      </c>
      <c r="J125" s="222">
        <v>24</v>
      </c>
      <c r="K125" s="222">
        <v>32</v>
      </c>
      <c r="L125" s="222">
        <v>47</v>
      </c>
      <c r="M125" s="222">
        <v>50</v>
      </c>
      <c r="N125" s="226">
        <f t="shared" si="165"/>
        <v>226</v>
      </c>
      <c r="O125" s="51">
        <v>4211</v>
      </c>
      <c r="P125" s="209">
        <v>339.4</v>
      </c>
      <c r="Q125" s="216">
        <v>85.84</v>
      </c>
      <c r="R125" s="216">
        <v>92.97</v>
      </c>
      <c r="S125" s="216">
        <v>86.39</v>
      </c>
      <c r="T125" s="216">
        <v>14.23</v>
      </c>
      <c r="U125" s="84">
        <v>9890</v>
      </c>
      <c r="V125" s="292">
        <f>VLOOKUP($U125,计算辅助页面!$Z$5:$AM$26,COLUMN()-20,0)</f>
        <v>16100</v>
      </c>
      <c r="W125" s="292">
        <f>VLOOKUP($U125,计算辅助页面!$Z$5:$AM$26,COLUMN()-20,0)</f>
        <v>25800</v>
      </c>
      <c r="X125" s="226">
        <f>VLOOKUP($U125,计算辅助页面!$Z$5:$AM$26,COLUMN()-20,0)</f>
        <v>38700</v>
      </c>
      <c r="Y125" s="226">
        <f>VLOOKUP($U125,计算辅助页面!$Z$5:$AM$26,COLUMN()-20,0)</f>
        <v>55900</v>
      </c>
      <c r="Z125" s="293">
        <f>VLOOKUP($U125,计算辅助页面!$Z$5:$AM$26,COLUMN()-20,0)</f>
        <v>78500</v>
      </c>
      <c r="AA125" s="226">
        <f>VLOOKUP($U125,计算辅助页面!$Z$5:$AM$26,COLUMN()-20,0)</f>
        <v>109500</v>
      </c>
      <c r="AB125" s="226">
        <f>VLOOKUP($U125,计算辅助页面!$Z$5:$AM$26,COLUMN()-20,0)</f>
        <v>153500</v>
      </c>
      <c r="AC125" s="226">
        <f>VLOOKUP($U125,计算辅助页面!$Z$5:$AM$26,COLUMN()-20,0)</f>
        <v>214500</v>
      </c>
      <c r="AD125" s="226">
        <f>VLOOKUP($U125,计算辅助页面!$Z$5:$AM$26,COLUMN()-20,0)</f>
        <v>300500</v>
      </c>
      <c r="AE125" s="226">
        <f>VLOOKUP($U125,计算辅助页面!$Z$5:$AM$26,COLUMN()-20,0)</f>
        <v>421000</v>
      </c>
      <c r="AF125" s="226">
        <f>VLOOKUP($U125,计算辅助页面!$Z$5:$AM$26,COLUMN()-20,0)</f>
        <v>589000</v>
      </c>
      <c r="AG125" s="243">
        <f>VLOOKUP($U125,计算辅助页面!$Z$5:$AM$26,COLUMN()-20,0)</f>
        <v>968000</v>
      </c>
      <c r="AH125" s="173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55"/>
        <v>140000</v>
      </c>
      <c r="AL125" s="174">
        <f>VLOOKUP(D125&amp;E125,计算辅助页面!$V$5:$Y$18,3,0)</f>
        <v>5</v>
      </c>
      <c r="AM125" s="179">
        <f t="shared" si="156"/>
        <v>420000</v>
      </c>
      <c r="AN125" s="179">
        <f>VLOOKUP(D125&amp;E125,计算辅助页面!$V$5:$Y$18,4,0)</f>
        <v>3</v>
      </c>
      <c r="AO125" s="173">
        <f t="shared" si="157"/>
        <v>10080000</v>
      </c>
      <c r="AP125" s="195">
        <f t="shared" si="158"/>
        <v>22003560</v>
      </c>
      <c r="AQ125" s="365" t="s">
        <v>562</v>
      </c>
      <c r="AR125" s="366" t="str">
        <f t="shared" si="166"/>
        <v>911 GT3 RS</v>
      </c>
      <c r="AS125" s="352" t="s">
        <v>958</v>
      </c>
      <c r="AT125" s="353" t="s">
        <v>634</v>
      </c>
      <c r="AU125" s="229" t="s">
        <v>712</v>
      </c>
      <c r="AW125" s="357">
        <v>353</v>
      </c>
      <c r="AY125" s="357">
        <v>460</v>
      </c>
      <c r="AZ125" s="357" t="s">
        <v>1122</v>
      </c>
      <c r="BA125" s="369"/>
      <c r="BB125" s="369"/>
      <c r="BC125" s="369"/>
      <c r="BD125" s="369"/>
      <c r="BE125" s="369"/>
      <c r="BF125" s="369"/>
      <c r="BG125" s="369"/>
      <c r="BH125" s="369"/>
      <c r="BI125" s="369"/>
      <c r="BJ125" s="369"/>
      <c r="BK125" s="369"/>
      <c r="BL125" s="369"/>
      <c r="BM125" s="369"/>
      <c r="BN125" s="369"/>
      <c r="BO125" s="369"/>
      <c r="BP125" s="369"/>
      <c r="BQ125" s="369"/>
      <c r="BR125" s="369"/>
      <c r="BS125" s="369"/>
      <c r="BT125" s="369"/>
      <c r="BU125" s="387" t="s">
        <v>1175</v>
      </c>
      <c r="BV125" s="326"/>
      <c r="BW125" s="326"/>
      <c r="BX125" s="326"/>
      <c r="BY125" s="367">
        <v>312</v>
      </c>
      <c r="BZ125" s="368">
        <v>71.2</v>
      </c>
      <c r="CA125" s="368">
        <v>52.35</v>
      </c>
      <c r="CB125" s="368">
        <v>52.35</v>
      </c>
      <c r="CC125" s="368">
        <f t="shared" si="159"/>
        <v>27.399999999999977</v>
      </c>
      <c r="CD125" s="368">
        <f t="shared" si="160"/>
        <v>14.64</v>
      </c>
      <c r="CE125" s="368">
        <f t="shared" si="161"/>
        <v>40.619999999999997</v>
      </c>
      <c r="CF125" s="368">
        <f t="shared" si="162"/>
        <v>34.04</v>
      </c>
      <c r="CG125" s="368">
        <f t="shared" si="163"/>
        <v>116.69999999999996</v>
      </c>
      <c r="CH125" s="368">
        <f t="shared" si="164"/>
        <v>123.85979999999998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708</v>
      </c>
      <c r="C126" s="86" t="s">
        <v>790</v>
      </c>
      <c r="D126" s="257" t="s">
        <v>178</v>
      </c>
      <c r="E126" s="247" t="s">
        <v>79</v>
      </c>
      <c r="F126" s="173">
        <f>9-LEN(E126)-LEN(SUBSTITUTE(E126,"★",""))</f>
        <v>3</v>
      </c>
      <c r="G126" s="83" t="s">
        <v>69</v>
      </c>
      <c r="H126" s="222" t="s">
        <v>449</v>
      </c>
      <c r="I126" s="222">
        <v>26</v>
      </c>
      <c r="J126" s="222">
        <v>34</v>
      </c>
      <c r="K126" s="222">
        <v>46</v>
      </c>
      <c r="L126" s="222">
        <v>61</v>
      </c>
      <c r="M126" s="222">
        <v>78</v>
      </c>
      <c r="N126" s="226">
        <f t="shared" si="165"/>
        <v>245</v>
      </c>
      <c r="O126" s="53">
        <v>4255</v>
      </c>
      <c r="P126" s="210">
        <v>351.2</v>
      </c>
      <c r="Q126" s="217">
        <v>82.76</v>
      </c>
      <c r="R126" s="217">
        <v>77.11</v>
      </c>
      <c r="S126" s="217">
        <v>76.98</v>
      </c>
      <c r="T126" s="217">
        <v>8.9499999999999993</v>
      </c>
      <c r="U126" s="91">
        <v>9890</v>
      </c>
      <c r="V126" s="292">
        <f>VLOOKUP($U126,计算辅助页面!$Z$5:$AM$26,COLUMN()-20,0)</f>
        <v>16100</v>
      </c>
      <c r="W126" s="292">
        <f>VLOOKUP($U126,计算辅助页面!$Z$5:$AM$26,COLUMN()-20,0)</f>
        <v>25800</v>
      </c>
      <c r="X126" s="226">
        <f>VLOOKUP($U126,计算辅助页面!$Z$5:$AM$26,COLUMN()-20,0)</f>
        <v>38700</v>
      </c>
      <c r="Y126" s="226">
        <f>VLOOKUP($U126,计算辅助页面!$Z$5:$AM$26,COLUMN()-20,0)</f>
        <v>55900</v>
      </c>
      <c r="Z126" s="293">
        <f>VLOOKUP($U126,计算辅助页面!$Z$5:$AM$26,COLUMN()-20,0)</f>
        <v>78500</v>
      </c>
      <c r="AA126" s="226">
        <f>VLOOKUP($U126,计算辅助页面!$Z$5:$AM$26,COLUMN()-20,0)</f>
        <v>109500</v>
      </c>
      <c r="AB126" s="226">
        <f>VLOOKUP($U126,计算辅助页面!$Z$5:$AM$26,COLUMN()-20,0)</f>
        <v>153500</v>
      </c>
      <c r="AC126" s="226">
        <f>VLOOKUP($U126,计算辅助页面!$Z$5:$AM$26,COLUMN()-20,0)</f>
        <v>214500</v>
      </c>
      <c r="AD126" s="226">
        <f>VLOOKUP($U126,计算辅助页面!$Z$5:$AM$26,COLUMN()-20,0)</f>
        <v>300500</v>
      </c>
      <c r="AE126" s="226">
        <f>VLOOKUP($U126,计算辅助页面!$Z$5:$AM$26,COLUMN()-20,0)</f>
        <v>421000</v>
      </c>
      <c r="AF126" s="226">
        <f>VLOOKUP($U126,计算辅助页面!$Z$5:$AM$26,COLUMN()-20,0)</f>
        <v>589000</v>
      </c>
      <c r="AG126" s="243">
        <f>VLOOKUP($U126,计算辅助页面!$Z$5:$AM$26,COLUMN()-20,0)</f>
        <v>968000</v>
      </c>
      <c r="AH126" s="173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si="155"/>
        <v>140000</v>
      </c>
      <c r="AL126" s="174">
        <f>VLOOKUP(D126&amp;E126,计算辅助页面!$V$5:$Y$18,3,0)</f>
        <v>5</v>
      </c>
      <c r="AM126" s="179">
        <f t="shared" si="156"/>
        <v>420000</v>
      </c>
      <c r="AN126" s="179">
        <f>VLOOKUP(D126&amp;E126,计算辅助页面!$V$5:$Y$18,4,0)</f>
        <v>3</v>
      </c>
      <c r="AO126" s="173">
        <f t="shared" si="157"/>
        <v>10080000</v>
      </c>
      <c r="AP126" s="195">
        <f t="shared" si="158"/>
        <v>22003560</v>
      </c>
      <c r="AQ126" s="365" t="s">
        <v>568</v>
      </c>
      <c r="AR126" s="366" t="str">
        <f t="shared" si="166"/>
        <v>488 GTB Challenge EVO🔑</v>
      </c>
      <c r="AS126" s="352" t="s">
        <v>702</v>
      </c>
      <c r="AT126" s="353" t="s">
        <v>953</v>
      </c>
      <c r="AU126" s="229" t="s">
        <v>712</v>
      </c>
      <c r="AW126" s="357">
        <v>365</v>
      </c>
      <c r="AY126" s="357">
        <v>480</v>
      </c>
      <c r="AZ126" s="357" t="s">
        <v>1115</v>
      </c>
      <c r="BA126" s="369"/>
      <c r="BB126" s="369"/>
      <c r="BC126" s="369"/>
      <c r="BD126" s="369"/>
      <c r="BE126" s="369"/>
      <c r="BF126" s="369"/>
      <c r="BG126" s="369"/>
      <c r="BH126" s="369"/>
      <c r="BI126" s="369"/>
      <c r="BJ126" s="369"/>
      <c r="BK126" s="369"/>
      <c r="BL126" s="369">
        <v>1</v>
      </c>
      <c r="BM126" s="369"/>
      <c r="BN126" s="369">
        <v>1</v>
      </c>
      <c r="BO126" s="369">
        <v>1</v>
      </c>
      <c r="BP126" s="369"/>
      <c r="BQ126" s="369"/>
      <c r="BR126" s="369"/>
      <c r="BS126" s="369"/>
      <c r="BT126" s="369"/>
      <c r="BU126" s="387" t="s">
        <v>1154</v>
      </c>
      <c r="BV126" s="326"/>
      <c r="BW126" s="326"/>
      <c r="BX126" s="326"/>
      <c r="BY126" s="367">
        <v>330</v>
      </c>
      <c r="BZ126" s="368">
        <v>73</v>
      </c>
      <c r="CA126" s="368">
        <v>47.13</v>
      </c>
      <c r="CB126" s="368">
        <v>50.55</v>
      </c>
      <c r="CC126" s="368">
        <f t="shared" si="159"/>
        <v>21.199999999999989</v>
      </c>
      <c r="CD126" s="368">
        <f t="shared" si="160"/>
        <v>9.7600000000000051</v>
      </c>
      <c r="CE126" s="368">
        <f t="shared" si="161"/>
        <v>29.979999999999997</v>
      </c>
      <c r="CF126" s="368">
        <f t="shared" si="162"/>
        <v>26.430000000000007</v>
      </c>
      <c r="CG126" s="368">
        <f t="shared" si="163"/>
        <v>87.37</v>
      </c>
      <c r="CH126" s="368">
        <f t="shared" si="164"/>
        <v>91.57180000000001</v>
      </c>
      <c r="CI126" s="42"/>
      <c r="CJ126" s="42"/>
      <c r="CK126" s="42"/>
      <c r="CL126" s="42"/>
    </row>
    <row r="127" spans="1:90" ht="21" customHeight="1" thickBot="1">
      <c r="A127" s="80">
        <v>125</v>
      </c>
      <c r="B127" s="52" t="s">
        <v>1551</v>
      </c>
      <c r="C127" s="86" t="s">
        <v>1552</v>
      </c>
      <c r="D127" s="257" t="s">
        <v>178</v>
      </c>
      <c r="E127" s="247" t="s">
        <v>79</v>
      </c>
      <c r="F127" s="230"/>
      <c r="G127" s="229"/>
      <c r="H127" s="222">
        <v>55</v>
      </c>
      <c r="I127" s="222">
        <v>18</v>
      </c>
      <c r="J127" s="222">
        <v>24</v>
      </c>
      <c r="K127" s="222">
        <v>32</v>
      </c>
      <c r="L127" s="222">
        <v>50</v>
      </c>
      <c r="M127" s="222">
        <v>61</v>
      </c>
      <c r="N127" s="226">
        <f t="shared" ref="N127" si="201">IF(COUNTBLANK(H127:M127),"",SUM(H127:M127))</f>
        <v>240</v>
      </c>
      <c r="O127" s="53">
        <v>4265</v>
      </c>
      <c r="P127" s="210">
        <v>355</v>
      </c>
      <c r="Q127" s="217">
        <v>85.46</v>
      </c>
      <c r="R127" s="217">
        <v>70.34</v>
      </c>
      <c r="S127" s="217">
        <v>65.790000000000006</v>
      </c>
      <c r="T127" s="217">
        <v>6.6</v>
      </c>
      <c r="U127" s="91">
        <v>9890</v>
      </c>
      <c r="V127" s="292">
        <f>VLOOKUP($U127,计算辅助页面!$Z$5:$AM$26,COLUMN()-20,0)</f>
        <v>16100</v>
      </c>
      <c r="W127" s="292">
        <f>VLOOKUP($U127,计算辅助页面!$Z$5:$AM$26,COLUMN()-20,0)</f>
        <v>25800</v>
      </c>
      <c r="X127" s="226">
        <f>VLOOKUP($U127,计算辅助页面!$Z$5:$AM$26,COLUMN()-20,0)</f>
        <v>38700</v>
      </c>
      <c r="Y127" s="226">
        <f>VLOOKUP($U127,计算辅助页面!$Z$5:$AM$26,COLUMN()-20,0)</f>
        <v>55900</v>
      </c>
      <c r="Z127" s="293">
        <f>VLOOKUP($U127,计算辅助页面!$Z$5:$AM$26,COLUMN()-20,0)</f>
        <v>78500</v>
      </c>
      <c r="AA127" s="226">
        <f>VLOOKUP($U127,计算辅助页面!$Z$5:$AM$26,COLUMN()-20,0)</f>
        <v>109500</v>
      </c>
      <c r="AB127" s="226">
        <f>VLOOKUP($U127,计算辅助页面!$Z$5:$AM$26,COLUMN()-20,0)</f>
        <v>153500</v>
      </c>
      <c r="AC127" s="226">
        <f>VLOOKUP($U127,计算辅助页面!$Z$5:$AM$26,COLUMN()-20,0)</f>
        <v>214500</v>
      </c>
      <c r="AD127" s="226">
        <f>VLOOKUP($U127,计算辅助页面!$Z$5:$AM$26,COLUMN()-20,0)</f>
        <v>300500</v>
      </c>
      <c r="AE127" s="226">
        <f>VLOOKUP($U127,计算辅助页面!$Z$5:$AM$26,COLUMN()-20,0)</f>
        <v>421000</v>
      </c>
      <c r="AF127" s="226">
        <f>VLOOKUP($U127,计算辅助页面!$Z$5:$AM$26,COLUMN()-20,0)</f>
        <v>589000</v>
      </c>
      <c r="AG127" s="243">
        <f>VLOOKUP($U127,计算辅助页面!$Z$5:$AM$26,COLUMN()-20,0)</f>
        <v>968000</v>
      </c>
      <c r="AH127" s="173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202">IF(AI127,2*AI127,"")</f>
        <v>140000</v>
      </c>
      <c r="AL127" s="174">
        <f>VLOOKUP(D127&amp;E127,计算辅助页面!$V$5:$Y$18,3,0)</f>
        <v>5</v>
      </c>
      <c r="AM127" s="179">
        <f t="shared" ref="AM127" si="203">IF(AN127="×",AN127,IF(AI127,6*AI127,""))</f>
        <v>420000</v>
      </c>
      <c r="AN127" s="179">
        <f>VLOOKUP(D127&amp;E127,计算辅助页面!$V$5:$Y$18,4,0)</f>
        <v>3</v>
      </c>
      <c r="AO127" s="173">
        <f t="shared" ref="AO127" si="204">IF(AI127,IF(AN127="×",4*(AI127*AJ127+AK127*AL127),4*(AI127*AJ127+AK127*AL127+AM127*AN127)),"")</f>
        <v>10080000</v>
      </c>
      <c r="AP127" s="195">
        <f t="shared" ref="AP127" si="205">IF(AND(AH127,AO127),AO127+AH127,"")</f>
        <v>22003560</v>
      </c>
      <c r="AQ127" s="365" t="s">
        <v>722</v>
      </c>
      <c r="AR127" s="366" t="str">
        <f t="shared" si="166"/>
        <v>EVO</v>
      </c>
      <c r="AS127" s="352" t="s">
        <v>1545</v>
      </c>
      <c r="AT127" s="353" t="s">
        <v>1553</v>
      </c>
      <c r="AU127" s="229" t="s">
        <v>712</v>
      </c>
      <c r="AW127" s="357">
        <v>369</v>
      </c>
      <c r="AY127" s="357">
        <v>487</v>
      </c>
      <c r="AZ127" s="384" t="s">
        <v>1564</v>
      </c>
      <c r="BA127" s="369"/>
      <c r="BB127" s="369"/>
      <c r="BC127" s="369"/>
      <c r="BD127" s="369"/>
      <c r="BE127" s="369"/>
      <c r="BF127" s="369"/>
      <c r="BG127" s="369"/>
      <c r="BH127" s="369"/>
      <c r="BI127" s="369"/>
      <c r="BJ127" s="369"/>
      <c r="BK127" s="369"/>
      <c r="BL127" s="369"/>
      <c r="BM127" s="369"/>
      <c r="BN127" s="369"/>
      <c r="BO127" s="369"/>
      <c r="BP127" s="369"/>
      <c r="BQ127" s="369"/>
      <c r="BR127" s="369"/>
      <c r="BS127" s="369"/>
      <c r="BT127" s="369"/>
      <c r="BU127" s="389" t="s">
        <v>1569</v>
      </c>
      <c r="BV127" s="326"/>
      <c r="BW127" s="326"/>
      <c r="BX127" s="326"/>
      <c r="BY127" s="367"/>
      <c r="BZ127" s="368"/>
      <c r="CA127" s="368"/>
      <c r="CB127" s="368"/>
      <c r="CC127" s="368"/>
      <c r="CD127" s="368"/>
      <c r="CE127" s="368"/>
      <c r="CF127" s="368"/>
      <c r="CG127" s="368"/>
      <c r="CH127" s="368"/>
      <c r="CI127" s="42"/>
      <c r="CJ127" s="42"/>
      <c r="CK127" s="42"/>
      <c r="CL127" s="42"/>
    </row>
    <row r="128" spans="1:90" ht="21" customHeight="1" thickBot="1">
      <c r="A128" s="48">
        <v>126</v>
      </c>
      <c r="B128" s="49" t="s">
        <v>509</v>
      </c>
      <c r="C128" s="86" t="s">
        <v>791</v>
      </c>
      <c r="D128" s="257" t="s">
        <v>178</v>
      </c>
      <c r="E128" s="247" t="s">
        <v>79</v>
      </c>
      <c r="F128" s="173">
        <f>9-LEN(E128)-LEN(SUBSTITUTE(E128,"★",""))</f>
        <v>3</v>
      </c>
      <c r="G128" s="83" t="s">
        <v>512</v>
      </c>
      <c r="H128" s="222">
        <v>55</v>
      </c>
      <c r="I128" s="222">
        <v>18</v>
      </c>
      <c r="J128" s="222">
        <v>24</v>
      </c>
      <c r="K128" s="222">
        <v>32</v>
      </c>
      <c r="L128" s="222">
        <v>50</v>
      </c>
      <c r="M128" s="222">
        <v>61</v>
      </c>
      <c r="N128" s="226">
        <f t="shared" si="165"/>
        <v>240</v>
      </c>
      <c r="O128" s="51">
        <v>4276</v>
      </c>
      <c r="P128" s="209">
        <v>368.1</v>
      </c>
      <c r="Q128" s="216">
        <v>81.14</v>
      </c>
      <c r="R128" s="216">
        <v>65.02</v>
      </c>
      <c r="S128" s="216">
        <v>63.31</v>
      </c>
      <c r="T128" s="216">
        <v>6.22</v>
      </c>
      <c r="U128" s="84">
        <v>9890</v>
      </c>
      <c r="V128" s="292">
        <f>VLOOKUP($U128,计算辅助页面!$Z$5:$AM$26,COLUMN()-20,0)</f>
        <v>16100</v>
      </c>
      <c r="W128" s="292">
        <f>VLOOKUP($U128,计算辅助页面!$Z$5:$AM$26,COLUMN()-20,0)</f>
        <v>25800</v>
      </c>
      <c r="X128" s="226">
        <f>VLOOKUP($U128,计算辅助页面!$Z$5:$AM$26,COLUMN()-20,0)</f>
        <v>38700</v>
      </c>
      <c r="Y128" s="226">
        <f>VLOOKUP($U128,计算辅助页面!$Z$5:$AM$26,COLUMN()-20,0)</f>
        <v>55900</v>
      </c>
      <c r="Z128" s="293">
        <f>VLOOKUP($U128,计算辅助页面!$Z$5:$AM$26,COLUMN()-20,0)</f>
        <v>78500</v>
      </c>
      <c r="AA128" s="226">
        <f>VLOOKUP($U128,计算辅助页面!$Z$5:$AM$26,COLUMN()-20,0)</f>
        <v>109500</v>
      </c>
      <c r="AB128" s="226">
        <f>VLOOKUP($U128,计算辅助页面!$Z$5:$AM$26,COLUMN()-20,0)</f>
        <v>153500</v>
      </c>
      <c r="AC128" s="226">
        <f>VLOOKUP($U128,计算辅助页面!$Z$5:$AM$26,COLUMN()-20,0)</f>
        <v>214500</v>
      </c>
      <c r="AD128" s="226">
        <f>VLOOKUP($U128,计算辅助页面!$Z$5:$AM$26,COLUMN()-20,0)</f>
        <v>300500</v>
      </c>
      <c r="AE128" s="226">
        <f>VLOOKUP($U128,计算辅助页面!$Z$5:$AM$26,COLUMN()-20,0)</f>
        <v>421000</v>
      </c>
      <c r="AF128" s="226">
        <f>VLOOKUP($U128,计算辅助页面!$Z$5:$AM$26,COLUMN()-20,0)</f>
        <v>589000</v>
      </c>
      <c r="AG128" s="243">
        <f>VLOOKUP($U128,计算辅助页面!$Z$5:$AM$26,COLUMN()-20,0)</f>
        <v>968000</v>
      </c>
      <c r="AH128" s="173">
        <f>VLOOKUP($U128,计算辅助页面!$Z$5:$AM$26,COLUMN()-20,0)</f>
        <v>11923560</v>
      </c>
      <c r="AI128" s="267">
        <v>70000</v>
      </c>
      <c r="AJ128" s="260">
        <f>VLOOKUP(D128&amp;E128,计算辅助页面!$V$5:$Y$18,2,0)</f>
        <v>8</v>
      </c>
      <c r="AK128" s="174">
        <f t="shared" si="155"/>
        <v>140000</v>
      </c>
      <c r="AL128" s="174">
        <f>VLOOKUP(D128&amp;E128,计算辅助页面!$V$5:$Y$18,3,0)</f>
        <v>5</v>
      </c>
      <c r="AM128" s="179">
        <f t="shared" si="156"/>
        <v>420000</v>
      </c>
      <c r="AN128" s="179">
        <f>VLOOKUP(D128&amp;E128,计算辅助页面!$V$5:$Y$18,4,0)</f>
        <v>3</v>
      </c>
      <c r="AO128" s="173">
        <f t="shared" si="157"/>
        <v>10080000</v>
      </c>
      <c r="AP128" s="195">
        <f t="shared" si="158"/>
        <v>22003560</v>
      </c>
      <c r="AQ128" s="365" t="s">
        <v>563</v>
      </c>
      <c r="AR128" s="366" t="str">
        <f t="shared" si="166"/>
        <v>Evija</v>
      </c>
      <c r="AS128" s="352" t="s">
        <v>956</v>
      </c>
      <c r="AT128" s="353" t="s">
        <v>669</v>
      </c>
      <c r="AU128" s="229" t="s">
        <v>712</v>
      </c>
      <c r="AW128" s="357">
        <v>383</v>
      </c>
      <c r="AY128" s="357">
        <v>509</v>
      </c>
      <c r="AZ128" s="357" t="s">
        <v>1121</v>
      </c>
      <c r="BA128" s="369"/>
      <c r="BB128" s="369"/>
      <c r="BC128" s="369"/>
      <c r="BD128" s="369"/>
      <c r="BE128" s="369"/>
      <c r="BF128" s="369"/>
      <c r="BG128" s="369"/>
      <c r="BH128" s="369"/>
      <c r="BI128" s="369"/>
      <c r="BJ128" s="369"/>
      <c r="BK128" s="369">
        <v>1</v>
      </c>
      <c r="BL128" s="369"/>
      <c r="BM128" s="369"/>
      <c r="BN128" s="369"/>
      <c r="BO128" s="369"/>
      <c r="BP128" s="369"/>
      <c r="BQ128" s="369"/>
      <c r="BR128" s="369"/>
      <c r="BS128" s="369"/>
      <c r="BT128" s="369"/>
      <c r="BU128" s="387" t="s">
        <v>1176</v>
      </c>
      <c r="BV128" s="326"/>
      <c r="BW128" s="326"/>
      <c r="BX128" s="326"/>
      <c r="BY128" s="367">
        <v>350</v>
      </c>
      <c r="BZ128" s="368">
        <v>73</v>
      </c>
      <c r="CA128" s="368">
        <v>45.33</v>
      </c>
      <c r="CB128" s="368">
        <v>42.53</v>
      </c>
      <c r="CC128" s="368">
        <f t="shared" si="159"/>
        <v>18.100000000000023</v>
      </c>
      <c r="CD128" s="368">
        <f t="shared" si="160"/>
        <v>8.14</v>
      </c>
      <c r="CE128" s="368">
        <f t="shared" si="161"/>
        <v>19.689999999999998</v>
      </c>
      <c r="CF128" s="368">
        <f t="shared" si="162"/>
        <v>20.78</v>
      </c>
      <c r="CG128" s="368">
        <f t="shared" si="163"/>
        <v>66.710000000000022</v>
      </c>
      <c r="CH128" s="368">
        <f t="shared" si="164"/>
        <v>68.885100000000008</v>
      </c>
      <c r="CI128" s="42"/>
      <c r="CJ128" s="42"/>
      <c r="CK128" s="42"/>
      <c r="CL128" s="42"/>
    </row>
    <row r="129" spans="1:90" ht="21" customHeight="1" thickBot="1">
      <c r="A129" s="80">
        <v>127</v>
      </c>
      <c r="B129" s="71" t="s">
        <v>600</v>
      </c>
      <c r="C129" s="86" t="s">
        <v>792</v>
      </c>
      <c r="D129" s="257" t="s">
        <v>337</v>
      </c>
      <c r="E129" s="249" t="s">
        <v>79</v>
      </c>
      <c r="F129" s="173">
        <f>9-LEN(E129)-LEN(SUBSTITUTE(E129,"★",""))</f>
        <v>3</v>
      </c>
      <c r="G129" s="83" t="s">
        <v>69</v>
      </c>
      <c r="H129" s="222" t="s">
        <v>449</v>
      </c>
      <c r="I129" s="222">
        <v>26</v>
      </c>
      <c r="J129" s="222">
        <v>34</v>
      </c>
      <c r="K129" s="222">
        <v>46</v>
      </c>
      <c r="L129" s="222">
        <v>61</v>
      </c>
      <c r="M129" s="222">
        <v>78</v>
      </c>
      <c r="N129" s="226">
        <f t="shared" si="165"/>
        <v>245</v>
      </c>
      <c r="O129" s="72">
        <v>4309</v>
      </c>
      <c r="P129" s="214">
        <v>377.6</v>
      </c>
      <c r="Q129" s="221">
        <v>74.66</v>
      </c>
      <c r="R129" s="221">
        <v>66.61</v>
      </c>
      <c r="S129" s="221">
        <v>73.12</v>
      </c>
      <c r="T129" s="221">
        <v>7.4</v>
      </c>
      <c r="U129" s="91">
        <v>9890</v>
      </c>
      <c r="V129" s="299">
        <f>VLOOKUP($U129,计算辅助页面!$Z$5:$AM$26,COLUMN()-20,0)</f>
        <v>16100</v>
      </c>
      <c r="W129" s="299">
        <f>VLOOKUP($U129,计算辅助页面!$Z$5:$AM$26,COLUMN()-20,0)</f>
        <v>25800</v>
      </c>
      <c r="X129" s="241">
        <f>VLOOKUP($U129,计算辅助页面!$Z$5:$AM$26,COLUMN()-20,0)</f>
        <v>38700</v>
      </c>
      <c r="Y129" s="241">
        <f>VLOOKUP($U129,计算辅助页面!$Z$5:$AM$26,COLUMN()-20,0)</f>
        <v>55900</v>
      </c>
      <c r="Z129" s="300">
        <f>VLOOKUP($U129,计算辅助页面!$Z$5:$AM$26,COLUMN()-20,0)</f>
        <v>78500</v>
      </c>
      <c r="AA129" s="241">
        <f>VLOOKUP($U129,计算辅助页面!$Z$5:$AM$26,COLUMN()-20,0)</f>
        <v>109500</v>
      </c>
      <c r="AB129" s="241">
        <f>VLOOKUP($U129,计算辅助页面!$Z$5:$AM$26,COLUMN()-20,0)</f>
        <v>153500</v>
      </c>
      <c r="AC129" s="241">
        <f>VLOOKUP($U129,计算辅助页面!$Z$5:$AM$26,COLUMN()-20,0)</f>
        <v>214500</v>
      </c>
      <c r="AD129" s="241">
        <f>VLOOKUP($U129,计算辅助页面!$Z$5:$AM$26,COLUMN()-20,0)</f>
        <v>300500</v>
      </c>
      <c r="AE129" s="241">
        <f>VLOOKUP($U129,计算辅助页面!$Z$5:$AM$26,COLUMN()-20,0)</f>
        <v>421000</v>
      </c>
      <c r="AF129" s="241">
        <f>VLOOKUP($U129,计算辅助页面!$Z$5:$AM$26,COLUMN()-20,0)</f>
        <v>589000</v>
      </c>
      <c r="AG129" s="241">
        <f>VLOOKUP($U129,计算辅助页面!$Z$5:$AM$26,COLUMN()-20,0)</f>
        <v>968000</v>
      </c>
      <c r="AH129" s="186">
        <f>VLOOKUP($U129,计算辅助页面!$Z$5:$AM$26,COLUMN()-20,0)</f>
        <v>11923560</v>
      </c>
      <c r="AI129" s="267">
        <v>70000</v>
      </c>
      <c r="AJ129" s="260">
        <f>VLOOKUP(D129&amp;E129,计算辅助页面!$V$5:$Y$18,2,0)</f>
        <v>8</v>
      </c>
      <c r="AK129" s="174">
        <f t="shared" si="155"/>
        <v>140000</v>
      </c>
      <c r="AL129" s="174">
        <f>VLOOKUP(D129&amp;E129,计算辅助页面!$V$5:$Y$18,3,0)</f>
        <v>5</v>
      </c>
      <c r="AM129" s="179">
        <f t="shared" si="156"/>
        <v>420000</v>
      </c>
      <c r="AN129" s="179">
        <f>VLOOKUP(D129&amp;E129,计算辅助页面!$V$5:$Y$18,4,0)</f>
        <v>3</v>
      </c>
      <c r="AO129" s="173">
        <f t="shared" si="157"/>
        <v>10080000</v>
      </c>
      <c r="AP129" s="195">
        <f t="shared" si="158"/>
        <v>22003560</v>
      </c>
      <c r="AQ129" s="365" t="s">
        <v>569</v>
      </c>
      <c r="AR129" s="366" t="str">
        <f t="shared" si="166"/>
        <v>F1 LM🔑</v>
      </c>
      <c r="AS129" s="352" t="s">
        <v>959</v>
      </c>
      <c r="AT129" s="353" t="s">
        <v>677</v>
      </c>
      <c r="AU129" s="229" t="s">
        <v>712</v>
      </c>
      <c r="AW129" s="357">
        <v>392</v>
      </c>
      <c r="AY129" s="357">
        <v>526</v>
      </c>
      <c r="AZ129" s="357" t="s">
        <v>1115</v>
      </c>
      <c r="BA129" s="369"/>
      <c r="BB129" s="369"/>
      <c r="BC129" s="369"/>
      <c r="BD129" s="369"/>
      <c r="BE129" s="369"/>
      <c r="BF129" s="369"/>
      <c r="BG129" s="369"/>
      <c r="BH129" s="369"/>
      <c r="BI129" s="369"/>
      <c r="BJ129" s="369"/>
      <c r="BK129" s="369"/>
      <c r="BL129" s="369">
        <v>1</v>
      </c>
      <c r="BM129" s="369"/>
      <c r="BN129" s="369">
        <v>1</v>
      </c>
      <c r="BO129" s="369">
        <v>1</v>
      </c>
      <c r="BP129" s="369"/>
      <c r="BQ129" s="369"/>
      <c r="BR129" s="369"/>
      <c r="BS129" s="369"/>
      <c r="BT129" s="369"/>
      <c r="BU129" s="387" t="s">
        <v>1165</v>
      </c>
      <c r="BV129" s="326"/>
      <c r="BW129" s="326"/>
      <c r="BX129" s="326"/>
      <c r="BY129" s="367">
        <v>364.2</v>
      </c>
      <c r="BZ129" s="368">
        <v>65.989999999999995</v>
      </c>
      <c r="CA129" s="368">
        <v>52.17</v>
      </c>
      <c r="CB129" s="368">
        <v>54.76</v>
      </c>
      <c r="CC129" s="368">
        <f t="shared" si="159"/>
        <v>13.400000000000034</v>
      </c>
      <c r="CD129" s="368">
        <f t="shared" si="160"/>
        <v>8.6700000000000017</v>
      </c>
      <c r="CE129" s="368">
        <f t="shared" si="161"/>
        <v>14.439999999999998</v>
      </c>
      <c r="CF129" s="368">
        <f t="shared" si="162"/>
        <v>18.360000000000007</v>
      </c>
      <c r="CG129" s="368">
        <f t="shared" si="163"/>
        <v>54.87000000000004</v>
      </c>
      <c r="CH129" s="368">
        <f t="shared" si="164"/>
        <v>59.278500000000022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71" t="s">
        <v>1418</v>
      </c>
      <c r="C130" s="86" t="s">
        <v>1423</v>
      </c>
      <c r="D130" s="257" t="s">
        <v>7</v>
      </c>
      <c r="E130" s="249" t="s">
        <v>79</v>
      </c>
      <c r="F130" s="230"/>
      <c r="G130" s="229"/>
      <c r="H130" s="236">
        <v>55</v>
      </c>
      <c r="I130" s="222">
        <v>18</v>
      </c>
      <c r="J130" s="222">
        <v>24</v>
      </c>
      <c r="K130" s="222">
        <v>32</v>
      </c>
      <c r="L130" s="222">
        <v>50</v>
      </c>
      <c r="M130" s="222">
        <v>61</v>
      </c>
      <c r="N130" s="226">
        <f t="shared" ref="N130" si="206">IF(COUNTBLANK(H130:M130),"",SUM(H130:M130))</f>
        <v>240</v>
      </c>
      <c r="O130" s="72">
        <v>4327</v>
      </c>
      <c r="P130" s="214">
        <v>361.5</v>
      </c>
      <c r="Q130" s="221">
        <v>83.36</v>
      </c>
      <c r="R130" s="221">
        <v>79.150000000000006</v>
      </c>
      <c r="S130" s="221">
        <v>45.82</v>
      </c>
      <c r="T130" s="221"/>
      <c r="U130" s="91">
        <v>9890</v>
      </c>
      <c r="V130" s="292">
        <f>VLOOKUP($U130,计算辅助页面!$Z$5:$AM$26,COLUMN()-20,0)</f>
        <v>16100</v>
      </c>
      <c r="W130" s="292">
        <f>VLOOKUP($U130,计算辅助页面!$Z$5:$AM$26,COLUMN()-20,0)</f>
        <v>25800</v>
      </c>
      <c r="X130" s="226">
        <f>VLOOKUP($U130,计算辅助页面!$Z$5:$AM$26,COLUMN()-20,0)</f>
        <v>38700</v>
      </c>
      <c r="Y130" s="226">
        <f>VLOOKUP($U130,计算辅助页面!$Z$5:$AM$26,COLUMN()-20,0)</f>
        <v>55900</v>
      </c>
      <c r="Z130" s="293">
        <f>VLOOKUP($U130,计算辅助页面!$Z$5:$AM$26,COLUMN()-20,0)</f>
        <v>78500</v>
      </c>
      <c r="AA130" s="226">
        <f>VLOOKUP($U130,计算辅助页面!$Z$5:$AM$26,COLUMN()-20,0)</f>
        <v>109500</v>
      </c>
      <c r="AB130" s="226">
        <f>VLOOKUP($U130,计算辅助页面!$Z$5:$AM$26,COLUMN()-20,0)</f>
        <v>153500</v>
      </c>
      <c r="AC130" s="226">
        <f>VLOOKUP($U130,计算辅助页面!$Z$5:$AM$26,COLUMN()-20,0)</f>
        <v>214500</v>
      </c>
      <c r="AD130" s="226">
        <f>VLOOKUP($U130,计算辅助页面!$Z$5:$AM$26,COLUMN()-20,0)</f>
        <v>300500</v>
      </c>
      <c r="AE130" s="226">
        <f>VLOOKUP($U130,计算辅助页面!$Z$5:$AM$26,COLUMN()-20,0)</f>
        <v>421000</v>
      </c>
      <c r="AF130" s="226">
        <f>VLOOKUP($U130,计算辅助页面!$Z$5:$AM$26,COLUMN()-20,0)</f>
        <v>589000</v>
      </c>
      <c r="AG130" s="243">
        <f>VLOOKUP($U130,计算辅助页面!$Z$5:$AM$26,COLUMN()-20,0)</f>
        <v>968000</v>
      </c>
      <c r="AH130" s="173">
        <f>VLOOKUP($U130,计算辅助页面!$Z$5:$AM$26,COLUMN()-20,0)</f>
        <v>11923560</v>
      </c>
      <c r="AI130" s="267">
        <v>70000</v>
      </c>
      <c r="AJ130" s="260">
        <f>VLOOKUP(D130&amp;E130,计算辅助页面!$V$5:$Y$18,2,0)</f>
        <v>8</v>
      </c>
      <c r="AK130" s="174">
        <f t="shared" ref="AK130" si="207">IF(AI130,2*AI130,"")</f>
        <v>140000</v>
      </c>
      <c r="AL130" s="174">
        <f>VLOOKUP(D130&amp;E130,计算辅助页面!$V$5:$Y$18,3,0)</f>
        <v>5</v>
      </c>
      <c r="AM130" s="179">
        <f t="shared" ref="AM130" si="208">IF(AN130="×",AN130,IF(AI130,6*AI130,""))</f>
        <v>420000</v>
      </c>
      <c r="AN130" s="179">
        <f>VLOOKUP(D130&amp;E130,计算辅助页面!$V$5:$Y$18,4,0)</f>
        <v>3</v>
      </c>
      <c r="AO130" s="173">
        <f t="shared" ref="AO130" si="209">IF(AI130,IF(AN130="×",4*(AI130*AJ130+AK130*AL130),4*(AI130*AJ130+AK130*AL130+AM130*AN130)),"")</f>
        <v>10080000</v>
      </c>
      <c r="AP130" s="195">
        <f t="shared" ref="AP130" si="210">IF(AND(AH130,AO130),AO130+AH130,"")</f>
        <v>22003560</v>
      </c>
      <c r="AQ130" s="365" t="s">
        <v>1419</v>
      </c>
      <c r="AR130" s="366" t="str">
        <f t="shared" si="166"/>
        <v>Interceptor</v>
      </c>
      <c r="AS130" s="352" t="s">
        <v>1392</v>
      </c>
      <c r="AT130" s="353" t="s">
        <v>1420</v>
      </c>
      <c r="AU130" s="229" t="s">
        <v>712</v>
      </c>
      <c r="AZ130" s="384" t="s">
        <v>1412</v>
      </c>
      <c r="BA130" s="369"/>
      <c r="BB130" s="369"/>
      <c r="BC130" s="369"/>
      <c r="BD130" s="369"/>
      <c r="BE130" s="369"/>
      <c r="BF130" s="369"/>
      <c r="BG130" s="369"/>
      <c r="BH130" s="369"/>
      <c r="BI130" s="369"/>
      <c r="BJ130" s="369"/>
      <c r="BK130" s="369"/>
      <c r="BL130" s="369"/>
      <c r="BM130" s="369"/>
      <c r="BN130" s="369"/>
      <c r="BO130" s="369"/>
      <c r="BP130" s="369"/>
      <c r="BQ130" s="369"/>
      <c r="BR130" s="369"/>
      <c r="BS130" s="369"/>
      <c r="BT130" s="369"/>
      <c r="BU130" s="387"/>
      <c r="BV130" s="326"/>
      <c r="BW130" s="326"/>
      <c r="BX130" s="326"/>
      <c r="BY130" s="367"/>
      <c r="BZ130" s="368"/>
      <c r="CA130" s="368"/>
      <c r="CB130" s="368"/>
      <c r="CC130" s="368"/>
      <c r="CD130" s="368"/>
      <c r="CE130" s="368"/>
      <c r="CF130" s="368"/>
      <c r="CG130" s="368"/>
      <c r="CH130" s="368"/>
      <c r="CI130" s="42"/>
      <c r="CJ130" s="42"/>
      <c r="CK130" s="42"/>
      <c r="CL130" s="42"/>
    </row>
    <row r="131" spans="1:90" ht="21" customHeight="1" thickBot="1">
      <c r="A131" s="80">
        <v>129</v>
      </c>
      <c r="B131" s="71" t="s">
        <v>985</v>
      </c>
      <c r="C131" s="86" t="s">
        <v>974</v>
      </c>
      <c r="D131" s="257" t="s">
        <v>7</v>
      </c>
      <c r="E131" s="249" t="s">
        <v>79</v>
      </c>
      <c r="F131" s="230"/>
      <c r="G131" s="229"/>
      <c r="H131" s="222" t="s">
        <v>449</v>
      </c>
      <c r="I131" s="222">
        <v>26</v>
      </c>
      <c r="J131" s="222">
        <v>34</v>
      </c>
      <c r="K131" s="222">
        <v>46</v>
      </c>
      <c r="L131" s="222">
        <v>61</v>
      </c>
      <c r="M131" s="222">
        <v>78</v>
      </c>
      <c r="N131" s="226">
        <f t="shared" si="165"/>
        <v>245</v>
      </c>
      <c r="O131" s="72">
        <v>4348</v>
      </c>
      <c r="P131" s="214">
        <v>370.5</v>
      </c>
      <c r="Q131" s="221">
        <v>79.08</v>
      </c>
      <c r="R131" s="221">
        <v>84.44</v>
      </c>
      <c r="S131" s="217">
        <v>54.64</v>
      </c>
      <c r="T131" s="221">
        <v>5.0999999999999996</v>
      </c>
      <c r="U131" s="84">
        <v>9890</v>
      </c>
      <c r="V131" s="299">
        <f>VLOOKUP($U131,计算辅助页面!$Z$5:$AM$26,COLUMN()-20,0)</f>
        <v>16100</v>
      </c>
      <c r="W131" s="299">
        <f>VLOOKUP($U131,计算辅助页面!$Z$5:$AM$26,COLUMN()-20,0)</f>
        <v>25800</v>
      </c>
      <c r="X131" s="241">
        <f>VLOOKUP($U131,计算辅助页面!$Z$5:$AM$26,COLUMN()-20,0)</f>
        <v>38700</v>
      </c>
      <c r="Y131" s="241">
        <f>VLOOKUP($U131,计算辅助页面!$Z$5:$AM$26,COLUMN()-20,0)</f>
        <v>55900</v>
      </c>
      <c r="Z131" s="300">
        <f>VLOOKUP($U131,计算辅助页面!$Z$5:$AM$26,COLUMN()-20,0)</f>
        <v>78500</v>
      </c>
      <c r="AA131" s="241">
        <f>VLOOKUP($U131,计算辅助页面!$Z$5:$AM$26,COLUMN()-20,0)</f>
        <v>109500</v>
      </c>
      <c r="AB131" s="241">
        <f>VLOOKUP($U131,计算辅助页面!$Z$5:$AM$26,COLUMN()-20,0)</f>
        <v>153500</v>
      </c>
      <c r="AC131" s="241">
        <f>VLOOKUP($U131,计算辅助页面!$Z$5:$AM$26,COLUMN()-20,0)</f>
        <v>214500</v>
      </c>
      <c r="AD131" s="241">
        <f>VLOOKUP($U131,计算辅助页面!$Z$5:$AM$26,COLUMN()-20,0)</f>
        <v>300500</v>
      </c>
      <c r="AE131" s="241">
        <f>VLOOKUP($U131,计算辅助页面!$Z$5:$AM$26,COLUMN()-20,0)</f>
        <v>421000</v>
      </c>
      <c r="AF131" s="241">
        <f>VLOOKUP($U131,计算辅助页面!$Z$5:$AM$26,COLUMN()-20,0)</f>
        <v>589000</v>
      </c>
      <c r="AG131" s="241">
        <f>VLOOKUP($U131,计算辅助页面!$Z$5:$AM$26,COLUMN()-20,0)</f>
        <v>968000</v>
      </c>
      <c r="AH131" s="186">
        <f>VLOOKUP($U131,计算辅助页面!$Z$5:$AM$26,COLUMN()-20,0)</f>
        <v>11923560</v>
      </c>
      <c r="AI131" s="267">
        <v>70000</v>
      </c>
      <c r="AJ131" s="260">
        <f>VLOOKUP(D131&amp;E131,计算辅助页面!$V$5:$Y$18,2,0)</f>
        <v>8</v>
      </c>
      <c r="AK131" s="174">
        <f t="shared" si="155"/>
        <v>140000</v>
      </c>
      <c r="AL131" s="174">
        <f>VLOOKUP(D131&amp;E131,计算辅助页面!$V$5:$Y$18,3,0)</f>
        <v>5</v>
      </c>
      <c r="AM131" s="179">
        <f t="shared" si="156"/>
        <v>420000</v>
      </c>
      <c r="AN131" s="179">
        <f>VLOOKUP(D131&amp;E131,计算辅助页面!$V$5:$Y$18,4,0)</f>
        <v>3</v>
      </c>
      <c r="AO131" s="173">
        <f t="shared" si="157"/>
        <v>10080000</v>
      </c>
      <c r="AP131" s="195">
        <f t="shared" si="158"/>
        <v>22003560</v>
      </c>
      <c r="AQ131" s="365" t="s">
        <v>982</v>
      </c>
      <c r="AR131" s="366" t="str">
        <f t="shared" si="166"/>
        <v>W12 Coupe🔑</v>
      </c>
      <c r="AS131" s="352" t="s">
        <v>975</v>
      </c>
      <c r="AT131" s="353" t="s">
        <v>978</v>
      </c>
      <c r="AU131" s="229" t="s">
        <v>712</v>
      </c>
      <c r="AW131" s="357">
        <v>385</v>
      </c>
      <c r="AY131" s="357">
        <v>513</v>
      </c>
      <c r="AZ131" s="357" t="s">
        <v>1121</v>
      </c>
      <c r="BA131" s="369"/>
      <c r="BB131" s="369"/>
      <c r="BC131" s="369"/>
      <c r="BD131" s="369"/>
      <c r="BE131" s="369"/>
      <c r="BF131" s="369"/>
      <c r="BG131" s="369"/>
      <c r="BH131" s="369"/>
      <c r="BI131" s="369"/>
      <c r="BJ131" s="369"/>
      <c r="BK131" s="369">
        <v>1</v>
      </c>
      <c r="BL131" s="369"/>
      <c r="BM131" s="369"/>
      <c r="BN131" s="369">
        <v>1</v>
      </c>
      <c r="BO131" s="369">
        <v>1</v>
      </c>
      <c r="BP131" s="369"/>
      <c r="BQ131" s="369"/>
      <c r="BR131" s="369"/>
      <c r="BS131" s="369"/>
      <c r="BT131" s="369"/>
      <c r="BU131" s="387" t="s">
        <v>1128</v>
      </c>
      <c r="BV131" s="326"/>
      <c r="BW131" s="326"/>
      <c r="BX131" s="326"/>
      <c r="BY131" s="367">
        <v>357</v>
      </c>
      <c r="BZ131" s="368">
        <v>68.5</v>
      </c>
      <c r="CA131" s="368">
        <v>57.23</v>
      </c>
      <c r="CB131" s="368">
        <v>30.21</v>
      </c>
      <c r="CC131" s="368">
        <f t="shared" si="159"/>
        <v>13.5</v>
      </c>
      <c r="CD131" s="368">
        <f t="shared" si="160"/>
        <v>10.579999999999998</v>
      </c>
      <c r="CE131" s="368">
        <f t="shared" si="161"/>
        <v>27.21</v>
      </c>
      <c r="CF131" s="368">
        <f t="shared" si="162"/>
        <v>24.43</v>
      </c>
      <c r="CG131" s="368">
        <f t="shared" si="163"/>
        <v>75.72</v>
      </c>
      <c r="CH131" s="368">
        <f t="shared" si="164"/>
        <v>84.852699999999999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71" t="s">
        <v>1403</v>
      </c>
      <c r="C132" s="86" t="s">
        <v>1404</v>
      </c>
      <c r="D132" s="257" t="s">
        <v>178</v>
      </c>
      <c r="E132" s="401" t="s">
        <v>191</v>
      </c>
      <c r="F132" s="180"/>
      <c r="G132" s="92"/>
      <c r="H132" s="235">
        <v>55</v>
      </c>
      <c r="I132" s="235">
        <v>18</v>
      </c>
      <c r="J132" s="235">
        <v>24</v>
      </c>
      <c r="K132" s="235">
        <v>32</v>
      </c>
      <c r="L132" s="222">
        <v>47</v>
      </c>
      <c r="M132" s="222">
        <v>50</v>
      </c>
      <c r="N132" s="226">
        <f t="shared" si="165"/>
        <v>226</v>
      </c>
      <c r="O132" s="402">
        <v>4363</v>
      </c>
      <c r="P132" s="214">
        <v>376.6</v>
      </c>
      <c r="Q132" s="221">
        <v>83.17</v>
      </c>
      <c r="R132" s="221">
        <v>58.41</v>
      </c>
      <c r="S132" s="220">
        <v>64.38</v>
      </c>
      <c r="T132" s="221">
        <v>6.1</v>
      </c>
      <c r="U132" s="84">
        <v>9890</v>
      </c>
      <c r="V132" s="299">
        <f>VLOOKUP($U132,计算辅助页面!$Z$5:$AM$26,COLUMN()-20,0)</f>
        <v>16100</v>
      </c>
      <c r="W132" s="299">
        <f>VLOOKUP($U132,计算辅助页面!$Z$5:$AM$26,COLUMN()-20,0)</f>
        <v>25800</v>
      </c>
      <c r="X132" s="241">
        <f>VLOOKUP($U132,计算辅助页面!$Z$5:$AM$26,COLUMN()-20,0)</f>
        <v>38700</v>
      </c>
      <c r="Y132" s="241">
        <f>VLOOKUP($U132,计算辅助页面!$Z$5:$AM$26,COLUMN()-20,0)</f>
        <v>55900</v>
      </c>
      <c r="Z132" s="300">
        <f>VLOOKUP($U132,计算辅助页面!$Z$5:$AM$26,COLUMN()-20,0)</f>
        <v>78500</v>
      </c>
      <c r="AA132" s="241">
        <f>VLOOKUP($U132,计算辅助页面!$Z$5:$AM$26,COLUMN()-20,0)</f>
        <v>109500</v>
      </c>
      <c r="AB132" s="241">
        <f>VLOOKUP($U132,计算辅助页面!$Z$5:$AM$26,COLUMN()-20,0)</f>
        <v>153500</v>
      </c>
      <c r="AC132" s="241">
        <f>VLOOKUP($U132,计算辅助页面!$Z$5:$AM$26,COLUMN()-20,0)</f>
        <v>214500</v>
      </c>
      <c r="AD132" s="241">
        <f>VLOOKUP($U132,计算辅助页面!$Z$5:$AM$26,COLUMN()-20,0)</f>
        <v>300500</v>
      </c>
      <c r="AE132" s="241">
        <f>VLOOKUP($U132,计算辅助页面!$Z$5:$AM$26,COLUMN()-20,0)</f>
        <v>421000</v>
      </c>
      <c r="AF132" s="241">
        <f>VLOOKUP($U132,计算辅助页面!$Z$5:$AM$26,COLUMN()-20,0)</f>
        <v>589000</v>
      </c>
      <c r="AG132" s="241">
        <f>VLOOKUP($U132,计算辅助页面!$Z$5:$AM$26,COLUMN()-20,0)</f>
        <v>968000</v>
      </c>
      <c r="AH132" s="186">
        <f>VLOOKUP($U132,计算辅助页面!$Z$5:$AM$26,COLUMN()-20,0)</f>
        <v>11923560</v>
      </c>
      <c r="AI132" s="267">
        <v>70000</v>
      </c>
      <c r="AJ132" s="260">
        <f>VLOOKUP(D132&amp;E132,计算辅助页面!$V$5:$Y$18,2,0)</f>
        <v>8</v>
      </c>
      <c r="AK132" s="174">
        <f t="shared" ref="AK132" si="211">IF(AI132,2*AI132,"")</f>
        <v>140000</v>
      </c>
      <c r="AL132" s="174">
        <f>VLOOKUP(D132&amp;E132,计算辅助页面!$V$5:$Y$18,3,0)</f>
        <v>5</v>
      </c>
      <c r="AM132" s="179">
        <f t="shared" ref="AM132" si="212">IF(AN132="×",AN132,IF(AI132,6*AI132,""))</f>
        <v>420000</v>
      </c>
      <c r="AN132" s="179">
        <f>VLOOKUP(D132&amp;E132,计算辅助页面!$V$5:$Y$18,4,0)</f>
        <v>3</v>
      </c>
      <c r="AO132" s="173">
        <f t="shared" ref="AO132" si="213">IF(AI132,IF(AN132="×",4*(AI132*AJ132+AK132*AL132),4*(AI132*AJ132+AK132*AL132+AM132*AN132)),"")</f>
        <v>10080000</v>
      </c>
      <c r="AP132" s="195">
        <f t="shared" ref="AP132" si="214">IF(AND(AH132,AO132),AO132+AH132,"")</f>
        <v>22003560</v>
      </c>
      <c r="AQ132" s="365" t="s">
        <v>901</v>
      </c>
      <c r="AR132" s="366" t="str">
        <f t="shared" si="166"/>
        <v>Huayra R</v>
      </c>
      <c r="AS132" s="352" t="s">
        <v>1392</v>
      </c>
      <c r="AT132" s="353" t="s">
        <v>1405</v>
      </c>
      <c r="AU132" s="92" t="s">
        <v>712</v>
      </c>
      <c r="AW132" s="357">
        <v>391</v>
      </c>
      <c r="AY132" s="357">
        <v>524</v>
      </c>
      <c r="AZ132" s="384" t="s">
        <v>1330</v>
      </c>
      <c r="BA132" s="369"/>
      <c r="BB132" s="369"/>
      <c r="BC132" s="369"/>
      <c r="BD132" s="369"/>
      <c r="BE132" s="369"/>
      <c r="BF132" s="369"/>
      <c r="BG132" s="369"/>
      <c r="BH132" s="369"/>
      <c r="BI132" s="369"/>
      <c r="BJ132" s="369"/>
      <c r="BK132" s="369"/>
      <c r="BL132" s="369"/>
      <c r="BM132" s="369"/>
      <c r="BN132" s="369"/>
      <c r="BO132" s="369"/>
      <c r="BP132" s="369"/>
      <c r="BQ132" s="369"/>
      <c r="BR132" s="369"/>
      <c r="BS132" s="369"/>
      <c r="BT132" s="369"/>
      <c r="BU132" s="389" t="s">
        <v>1415</v>
      </c>
      <c r="BV132" s="326"/>
      <c r="BW132" s="326"/>
      <c r="BX132" s="326"/>
      <c r="BY132" s="367"/>
      <c r="BZ132" s="368"/>
      <c r="CA132" s="368"/>
      <c r="CB132" s="368"/>
      <c r="CC132" s="368"/>
      <c r="CD132" s="368"/>
      <c r="CE132" s="368"/>
      <c r="CF132" s="368"/>
      <c r="CG132" s="368"/>
      <c r="CH132" s="368"/>
      <c r="CI132" s="42"/>
      <c r="CJ132" s="42"/>
      <c r="CK132" s="42"/>
      <c r="CL132" s="42"/>
    </row>
    <row r="133" spans="1:90" ht="21" customHeight="1" thickBot="1">
      <c r="A133" s="80">
        <v>131</v>
      </c>
      <c r="B133" s="71" t="s">
        <v>1617</v>
      </c>
      <c r="C133" s="86" t="s">
        <v>1513</v>
      </c>
      <c r="D133" s="257" t="s">
        <v>178</v>
      </c>
      <c r="E133" s="401" t="s">
        <v>191</v>
      </c>
      <c r="F133" s="230"/>
      <c r="G133" s="229"/>
      <c r="H133" s="222" t="s">
        <v>449</v>
      </c>
      <c r="I133" s="222">
        <v>26</v>
      </c>
      <c r="J133" s="222">
        <v>34</v>
      </c>
      <c r="K133" s="222">
        <v>46</v>
      </c>
      <c r="L133" s="222">
        <v>61</v>
      </c>
      <c r="M133" s="222">
        <v>78</v>
      </c>
      <c r="N133" s="226">
        <f t="shared" ref="N133" si="215">IF(COUNTBLANK(H133:M133),"",SUM(H133:M133))</f>
        <v>245</v>
      </c>
      <c r="O133" s="72">
        <v>4375</v>
      </c>
      <c r="P133" s="214">
        <v>361.5</v>
      </c>
      <c r="Q133" s="221">
        <v>86.36</v>
      </c>
      <c r="R133" s="221">
        <v>76.33</v>
      </c>
      <c r="S133" s="221">
        <v>54.22</v>
      </c>
      <c r="T133" s="221">
        <v>5.2</v>
      </c>
      <c r="U133" s="84">
        <v>9890</v>
      </c>
      <c r="V133" s="299">
        <f>VLOOKUP($U133,计算辅助页面!$Z$5:$AM$26,COLUMN()-20,0)</f>
        <v>16100</v>
      </c>
      <c r="W133" s="299">
        <f>VLOOKUP($U133,计算辅助页面!$Z$5:$AM$26,COLUMN()-20,0)</f>
        <v>25800</v>
      </c>
      <c r="X133" s="241">
        <f>VLOOKUP($U133,计算辅助页面!$Z$5:$AM$26,COLUMN()-20,0)</f>
        <v>38700</v>
      </c>
      <c r="Y133" s="241">
        <f>VLOOKUP($U133,计算辅助页面!$Z$5:$AM$26,COLUMN()-20,0)</f>
        <v>55900</v>
      </c>
      <c r="Z133" s="300">
        <f>VLOOKUP($U133,计算辅助页面!$Z$5:$AM$26,COLUMN()-20,0)</f>
        <v>78500</v>
      </c>
      <c r="AA133" s="241">
        <f>VLOOKUP($U133,计算辅助页面!$Z$5:$AM$26,COLUMN()-20,0)</f>
        <v>109500</v>
      </c>
      <c r="AB133" s="241">
        <f>VLOOKUP($U133,计算辅助页面!$Z$5:$AM$26,COLUMN()-20,0)</f>
        <v>153500</v>
      </c>
      <c r="AC133" s="241">
        <f>VLOOKUP($U133,计算辅助页面!$Z$5:$AM$26,COLUMN()-20,0)</f>
        <v>214500</v>
      </c>
      <c r="AD133" s="241">
        <f>VLOOKUP($U133,计算辅助页面!$Z$5:$AM$26,COLUMN()-20,0)</f>
        <v>300500</v>
      </c>
      <c r="AE133" s="241">
        <f>VLOOKUP($U133,计算辅助页面!$Z$5:$AM$26,COLUMN()-20,0)</f>
        <v>421000</v>
      </c>
      <c r="AF133" s="241">
        <f>VLOOKUP($U133,计算辅助页面!$Z$5:$AM$26,COLUMN()-20,0)</f>
        <v>589000</v>
      </c>
      <c r="AG133" s="241">
        <f>VLOOKUP($U133,计算辅助页面!$Z$5:$AM$26,COLUMN()-20,0)</f>
        <v>968000</v>
      </c>
      <c r="AH133" s="186">
        <f>VLOOKUP($U133,计算辅助页面!$Z$5:$AM$26,COLUMN()-20,0)</f>
        <v>11923560</v>
      </c>
      <c r="AI133" s="267">
        <v>70000</v>
      </c>
      <c r="AJ133" s="260">
        <f>VLOOKUP(D133&amp;E133,计算辅助页面!$V$5:$Y$18,2,0)</f>
        <v>8</v>
      </c>
      <c r="AK133" s="174">
        <f t="shared" ref="AK133" si="216">IF(AI133,2*AI133,"")</f>
        <v>140000</v>
      </c>
      <c r="AL133" s="174">
        <f>VLOOKUP(D133&amp;E133,计算辅助页面!$V$5:$Y$18,3,0)</f>
        <v>5</v>
      </c>
      <c r="AM133" s="179">
        <f t="shared" ref="AM133" si="217">IF(AN133="×",AN133,IF(AI133,6*AI133,""))</f>
        <v>420000</v>
      </c>
      <c r="AN133" s="179">
        <f>VLOOKUP(D133&amp;E133,计算辅助页面!$V$5:$Y$18,4,0)</f>
        <v>3</v>
      </c>
      <c r="AO133" s="173">
        <f t="shared" ref="AO133" si="218">IF(AI133,IF(AN133="×",4*(AI133*AJ133+AK133*AL133),4*(AI133*AJ133+AK133*AL133+AM133*AN133)),"")</f>
        <v>10080000</v>
      </c>
      <c r="AP133" s="195">
        <f t="shared" ref="AP133" si="219">IF(AND(AH133,AO133),AO133+AH133,"")</f>
        <v>22003560</v>
      </c>
      <c r="AQ133" s="365" t="s">
        <v>566</v>
      </c>
      <c r="AR133" s="366" t="str">
        <f t="shared" si="166"/>
        <v>Revuelto🔑</v>
      </c>
      <c r="AS133" s="352" t="s">
        <v>1514</v>
      </c>
      <c r="AT133" s="353" t="s">
        <v>1515</v>
      </c>
      <c r="AU133" s="229" t="s">
        <v>712</v>
      </c>
      <c r="AW133" s="357">
        <v>376</v>
      </c>
      <c r="AY133" s="357">
        <v>498</v>
      </c>
      <c r="AZ133" s="384" t="s">
        <v>1535</v>
      </c>
      <c r="BA133" s="369"/>
      <c r="BB133" s="369"/>
      <c r="BC133" s="369"/>
      <c r="BD133" s="369"/>
      <c r="BE133" s="369"/>
      <c r="BF133" s="369"/>
      <c r="BG133" s="369"/>
      <c r="BH133" s="369"/>
      <c r="BI133" s="369"/>
      <c r="BJ133" s="369"/>
      <c r="BK133" s="369"/>
      <c r="BL133" s="369"/>
      <c r="BM133" s="369"/>
      <c r="BN133" s="369">
        <v>1</v>
      </c>
      <c r="BO133" s="369"/>
      <c r="BP133" s="369"/>
      <c r="BQ133" s="369"/>
      <c r="BR133" s="369"/>
      <c r="BS133" s="369"/>
      <c r="BT133" s="369"/>
      <c r="BU133" s="389" t="s">
        <v>1382</v>
      </c>
      <c r="BV133" s="326"/>
      <c r="BW133" s="326"/>
      <c r="BX133" s="326"/>
      <c r="BY133" s="367"/>
      <c r="BZ133" s="368"/>
      <c r="CA133" s="368"/>
      <c r="CB133" s="368"/>
      <c r="CC133" s="368"/>
      <c r="CD133" s="368"/>
      <c r="CE133" s="368"/>
      <c r="CF133" s="368"/>
      <c r="CG133" s="368"/>
      <c r="CH133" s="368"/>
      <c r="CI133" s="42"/>
      <c r="CJ133" s="42"/>
      <c r="CK133" s="42"/>
      <c r="CL133" s="42"/>
    </row>
    <row r="134" spans="1:90" ht="21" customHeight="1" thickBot="1">
      <c r="A134" s="48">
        <v>132</v>
      </c>
      <c r="B134" s="405" t="s">
        <v>36</v>
      </c>
      <c r="C134" s="404" t="s">
        <v>793</v>
      </c>
      <c r="D134" s="254" t="s">
        <v>8</v>
      </c>
      <c r="E134" s="246" t="s">
        <v>45</v>
      </c>
      <c r="F134" s="172">
        <f t="shared" ref="F134:F141" si="220">9-LEN(E134)-LEN(SUBSTITUTE(E134,"★",""))</f>
        <v>5</v>
      </c>
      <c r="G134" s="81" t="s">
        <v>70</v>
      </c>
      <c r="H134" s="231">
        <v>45</v>
      </c>
      <c r="I134" s="231">
        <v>21</v>
      </c>
      <c r="J134" s="231">
        <v>28</v>
      </c>
      <c r="K134" s="231">
        <v>42</v>
      </c>
      <c r="L134" s="231" t="s">
        <v>59</v>
      </c>
      <c r="M134" s="231" t="s">
        <v>59</v>
      </c>
      <c r="N134" s="238">
        <f t="shared" si="165"/>
        <v>136</v>
      </c>
      <c r="O134" s="47">
        <v>3012</v>
      </c>
      <c r="P134" s="208">
        <v>343.5</v>
      </c>
      <c r="Q134" s="215">
        <v>78.7</v>
      </c>
      <c r="R134" s="215">
        <v>47.8</v>
      </c>
      <c r="S134" s="215">
        <v>64.790000000000006</v>
      </c>
      <c r="T134" s="215">
        <v>6.8659999999999997</v>
      </c>
      <c r="U134" s="82">
        <v>3220</v>
      </c>
      <c r="V134" s="290">
        <f>VLOOKUP($U134,计算辅助页面!$Z$5:$AM$26,COLUMN()-20,0)</f>
        <v>5300</v>
      </c>
      <c r="W134" s="290">
        <f>VLOOKUP($U134,计算辅助页面!$Z$5:$AM$26,COLUMN()-20,0)</f>
        <v>8400</v>
      </c>
      <c r="X134" s="238">
        <f>VLOOKUP($U134,计算辅助页面!$Z$5:$AM$26,COLUMN()-20,0)</f>
        <v>12600</v>
      </c>
      <c r="Y134" s="238">
        <f>VLOOKUP($U134,计算辅助页面!$Z$5:$AM$26,COLUMN()-20,0)</f>
        <v>18200</v>
      </c>
      <c r="Z134" s="291">
        <f>VLOOKUP($U134,计算辅助页面!$Z$5:$AM$26,COLUMN()-20,0)</f>
        <v>25500</v>
      </c>
      <c r="AA134" s="238">
        <f>VLOOKUP($U134,计算辅助页面!$Z$5:$AM$26,COLUMN()-20,0)</f>
        <v>35500</v>
      </c>
      <c r="AB134" s="238">
        <f>VLOOKUP($U134,计算辅助页面!$Z$5:$AM$26,COLUMN()-20,0)</f>
        <v>50000</v>
      </c>
      <c r="AC134" s="238">
        <f>VLOOKUP($U134,计算辅助页面!$Z$5:$AM$26,COLUMN()-20,0)</f>
        <v>70000</v>
      </c>
      <c r="AD134" s="238">
        <f>VLOOKUP($U134,计算辅助页面!$Z$5:$AM$26,COLUMN()-20,0)</f>
        <v>98000</v>
      </c>
      <c r="AE134" s="238">
        <f>VLOOKUP($U134,计算辅助页面!$Z$5:$AM$26,COLUMN()-20,0)</f>
        <v>137000</v>
      </c>
      <c r="AF134" s="238" t="str">
        <f>VLOOKUP($U134,计算辅助页面!$Z$5:$AM$26,COLUMN()-20,0)</f>
        <v>×</v>
      </c>
      <c r="AG134" s="238" t="str">
        <f>VLOOKUP($U134,计算辅助页面!$Z$5:$AM$26,COLUMN()-20,0)</f>
        <v>×</v>
      </c>
      <c r="AH134" s="172">
        <f>VLOOKUP($U134,计算辅助页面!$Z$5:$AM$26,COLUMN()-20,0)</f>
        <v>1854880</v>
      </c>
      <c r="AI134" s="266">
        <v>25000</v>
      </c>
      <c r="AJ134" s="259">
        <f>VLOOKUP(D134&amp;E134,计算辅助页面!$V$5:$Y$18,2,0)</f>
        <v>5</v>
      </c>
      <c r="AK134" s="181">
        <f t="shared" si="155"/>
        <v>50000</v>
      </c>
      <c r="AL134" s="181">
        <f>VLOOKUP(D134&amp;E134,计算辅助页面!$V$5:$Y$18,3,0)</f>
        <v>5</v>
      </c>
      <c r="AM134" s="183">
        <f t="shared" si="156"/>
        <v>150000</v>
      </c>
      <c r="AN134" s="183">
        <f>VLOOKUP(D134&amp;E134,计算辅助页面!$V$5:$Y$18,4,0)</f>
        <v>2</v>
      </c>
      <c r="AO134" s="172">
        <f t="shared" si="157"/>
        <v>2700000</v>
      </c>
      <c r="AP134" s="194">
        <f t="shared" si="158"/>
        <v>4554880</v>
      </c>
      <c r="AQ134" s="365" t="s">
        <v>567</v>
      </c>
      <c r="AR134" s="366" t="str">
        <f t="shared" si="166"/>
        <v>Vulcan</v>
      </c>
      <c r="AS134" s="352" t="s">
        <v>603</v>
      </c>
      <c r="AT134" s="353" t="s">
        <v>640</v>
      </c>
      <c r="AU134" s="81" t="s">
        <v>711</v>
      </c>
      <c r="AV134" s="357">
        <v>7</v>
      </c>
      <c r="AW134" s="357">
        <v>357</v>
      </c>
      <c r="AY134" s="357">
        <v>467</v>
      </c>
      <c r="AZ134" s="357" t="s">
        <v>1110</v>
      </c>
      <c r="BA134" s="369">
        <v>1</v>
      </c>
      <c r="BB134" s="369"/>
      <c r="BC134" s="369">
        <v>1</v>
      </c>
      <c r="BD134" s="369">
        <v>1</v>
      </c>
      <c r="BE134" s="369"/>
      <c r="BF134" s="369">
        <v>1</v>
      </c>
      <c r="BG134" s="369"/>
      <c r="BH134" s="369"/>
      <c r="BI134" s="369"/>
      <c r="BJ134" s="369"/>
      <c r="BK134" s="369"/>
      <c r="BL134" s="369"/>
      <c r="BM134" s="369"/>
      <c r="BN134" s="369"/>
      <c r="BO134" s="369"/>
      <c r="BP134" s="369"/>
      <c r="BQ134" s="369"/>
      <c r="BR134" s="369"/>
      <c r="BS134" s="369"/>
      <c r="BT134" s="369">
        <v>1</v>
      </c>
      <c r="BU134" s="387" t="s">
        <v>1177</v>
      </c>
      <c r="BV134" s="326"/>
      <c r="BW134" s="326"/>
      <c r="BX134" s="326"/>
      <c r="BY134" s="367">
        <v>328</v>
      </c>
      <c r="BZ134" s="368">
        <v>73</v>
      </c>
      <c r="CA134" s="368">
        <v>39.630000000000003</v>
      </c>
      <c r="CB134" s="368">
        <v>50.33</v>
      </c>
      <c r="CC134" s="368">
        <f t="shared" si="159"/>
        <v>15.5</v>
      </c>
      <c r="CD134" s="368">
        <f t="shared" si="160"/>
        <v>5.7000000000000028</v>
      </c>
      <c r="CE134" s="368">
        <f t="shared" si="161"/>
        <v>8.1699999999999946</v>
      </c>
      <c r="CF134" s="368">
        <f t="shared" si="162"/>
        <v>14.460000000000008</v>
      </c>
      <c r="CG134" s="368">
        <f t="shared" si="163"/>
        <v>43.830000000000005</v>
      </c>
      <c r="CH134" s="368">
        <f t="shared" si="164"/>
        <v>42.675900000000013</v>
      </c>
      <c r="CI134" s="42"/>
      <c r="CJ134" s="42"/>
      <c r="CK134" s="42"/>
      <c r="CL134" s="42"/>
    </row>
    <row r="135" spans="1:90" ht="21" customHeight="1" thickBot="1">
      <c r="A135" s="80">
        <v>133</v>
      </c>
      <c r="B135" s="49" t="s">
        <v>38</v>
      </c>
      <c r="C135" s="86" t="s">
        <v>794</v>
      </c>
      <c r="D135" s="255" t="s">
        <v>8</v>
      </c>
      <c r="E135" s="247" t="s">
        <v>45</v>
      </c>
      <c r="F135" s="173">
        <f t="shared" si="220"/>
        <v>5</v>
      </c>
      <c r="G135" s="83" t="s">
        <v>70</v>
      </c>
      <c r="H135" s="222">
        <v>45</v>
      </c>
      <c r="I135" s="222">
        <v>21</v>
      </c>
      <c r="J135" s="222">
        <v>28</v>
      </c>
      <c r="K135" s="222">
        <v>42</v>
      </c>
      <c r="L135" s="222" t="s">
        <v>59</v>
      </c>
      <c r="M135" s="222" t="s">
        <v>59</v>
      </c>
      <c r="N135" s="226">
        <f t="shared" si="165"/>
        <v>136</v>
      </c>
      <c r="O135" s="51">
        <v>3157</v>
      </c>
      <c r="P135" s="209">
        <v>329.7</v>
      </c>
      <c r="Q135" s="216">
        <v>84.83</v>
      </c>
      <c r="R135" s="216">
        <v>60.69</v>
      </c>
      <c r="S135" s="216">
        <v>60.6</v>
      </c>
      <c r="T135" s="216">
        <v>6.4829999999999997</v>
      </c>
      <c r="U135" s="84">
        <v>3220</v>
      </c>
      <c r="V135" s="292">
        <f>VLOOKUP($U135,计算辅助页面!$Z$5:$AM$26,COLUMN()-20,0)</f>
        <v>5300</v>
      </c>
      <c r="W135" s="292">
        <f>VLOOKUP($U135,计算辅助页面!$Z$5:$AM$26,COLUMN()-20,0)</f>
        <v>8400</v>
      </c>
      <c r="X135" s="226">
        <f>VLOOKUP($U135,计算辅助页面!$Z$5:$AM$26,COLUMN()-20,0)</f>
        <v>12600</v>
      </c>
      <c r="Y135" s="226">
        <f>VLOOKUP($U135,计算辅助页面!$Z$5:$AM$26,COLUMN()-20,0)</f>
        <v>18200</v>
      </c>
      <c r="Z135" s="293">
        <f>VLOOKUP($U135,计算辅助页面!$Z$5:$AM$26,COLUMN()-20,0)</f>
        <v>25500</v>
      </c>
      <c r="AA135" s="226">
        <f>VLOOKUP($U135,计算辅助页面!$Z$5:$AM$26,COLUMN()-20,0)</f>
        <v>35500</v>
      </c>
      <c r="AB135" s="226">
        <f>VLOOKUP($U135,计算辅助页面!$Z$5:$AM$26,COLUMN()-20,0)</f>
        <v>50000</v>
      </c>
      <c r="AC135" s="226">
        <f>VLOOKUP($U135,计算辅助页面!$Z$5:$AM$26,COLUMN()-20,0)</f>
        <v>70000</v>
      </c>
      <c r="AD135" s="226">
        <f>VLOOKUP($U135,计算辅助页面!$Z$5:$AM$26,COLUMN()-20,0)</f>
        <v>98000</v>
      </c>
      <c r="AE135" s="226">
        <f>VLOOKUP($U135,计算辅助页面!$Z$5:$AM$26,COLUMN()-20,0)</f>
        <v>137000</v>
      </c>
      <c r="AF135" s="226" t="str">
        <f>VLOOKUP($U135,计算辅助页面!$Z$5:$AM$26,COLUMN()-20,0)</f>
        <v>×</v>
      </c>
      <c r="AG135" s="226" t="str">
        <f>VLOOKUP($U135,计算辅助页面!$Z$5:$AM$26,COLUMN()-20,0)</f>
        <v>×</v>
      </c>
      <c r="AH135" s="173">
        <f>VLOOKUP($U135,计算辅助页面!$Z$5:$AM$26,COLUMN()-20,0)</f>
        <v>1854880</v>
      </c>
      <c r="AI135" s="267">
        <v>25000</v>
      </c>
      <c r="AJ135" s="260">
        <f>VLOOKUP(D135&amp;E135,计算辅助页面!$V$5:$Y$18,2,0)</f>
        <v>5</v>
      </c>
      <c r="AK135" s="174">
        <f t="shared" si="155"/>
        <v>50000</v>
      </c>
      <c r="AL135" s="174">
        <f>VLOOKUP(D135&amp;E135,计算辅助页面!$V$5:$Y$18,3,0)</f>
        <v>5</v>
      </c>
      <c r="AM135" s="179">
        <f t="shared" si="156"/>
        <v>150000</v>
      </c>
      <c r="AN135" s="179">
        <f>VLOOKUP(D135&amp;E135,计算辅助页面!$V$5:$Y$18,4,0)</f>
        <v>2</v>
      </c>
      <c r="AO135" s="173">
        <f t="shared" si="157"/>
        <v>2700000</v>
      </c>
      <c r="AP135" s="195">
        <f t="shared" si="158"/>
        <v>4554880</v>
      </c>
      <c r="AQ135" s="365" t="s">
        <v>560</v>
      </c>
      <c r="AR135" s="366" t="str">
        <f t="shared" si="166"/>
        <v>GT-R Nismo</v>
      </c>
      <c r="AS135" s="352" t="s">
        <v>603</v>
      </c>
      <c r="AT135" s="353" t="s">
        <v>628</v>
      </c>
      <c r="AU135" s="81" t="s">
        <v>711</v>
      </c>
      <c r="AV135" s="357">
        <v>8</v>
      </c>
      <c r="AW135" s="357">
        <v>344</v>
      </c>
      <c r="AY135" s="357">
        <v>444</v>
      </c>
      <c r="AZ135" s="357" t="s">
        <v>1110</v>
      </c>
      <c r="BA135" s="369"/>
      <c r="BB135" s="369"/>
      <c r="BC135" s="369">
        <v>1</v>
      </c>
      <c r="BD135" s="369">
        <v>1</v>
      </c>
      <c r="BE135" s="369"/>
      <c r="BF135" s="369">
        <v>1</v>
      </c>
      <c r="BG135" s="369"/>
      <c r="BH135" s="369"/>
      <c r="BI135" s="369"/>
      <c r="BJ135" s="369"/>
      <c r="BK135" s="369"/>
      <c r="BL135" s="369"/>
      <c r="BM135" s="369"/>
      <c r="BN135" s="369"/>
      <c r="BO135" s="369"/>
      <c r="BP135" s="369"/>
      <c r="BQ135" s="369"/>
      <c r="BR135" s="369"/>
      <c r="BS135" s="369"/>
      <c r="BT135" s="369">
        <v>1</v>
      </c>
      <c r="BU135" s="387" t="s">
        <v>1178</v>
      </c>
      <c r="BV135" s="326"/>
      <c r="BW135" s="326"/>
      <c r="BX135" s="326"/>
      <c r="BY135" s="367">
        <v>315</v>
      </c>
      <c r="BZ135" s="368">
        <v>77.5</v>
      </c>
      <c r="CA135" s="368">
        <v>48.8</v>
      </c>
      <c r="CB135" s="368">
        <v>43.24</v>
      </c>
      <c r="CC135" s="368">
        <f t="shared" si="159"/>
        <v>14.699999999999989</v>
      </c>
      <c r="CD135" s="368">
        <f t="shared" si="160"/>
        <v>7.3299999999999983</v>
      </c>
      <c r="CE135" s="368">
        <f t="shared" si="161"/>
        <v>11.89</v>
      </c>
      <c r="CF135" s="368">
        <f t="shared" si="162"/>
        <v>17.36</v>
      </c>
      <c r="CG135" s="368">
        <f t="shared" si="163"/>
        <v>51.279999999999987</v>
      </c>
      <c r="CH135" s="368">
        <f t="shared" si="164"/>
        <v>53.187999999999988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729</v>
      </c>
      <c r="C136" s="86" t="s">
        <v>730</v>
      </c>
      <c r="D136" s="255" t="s">
        <v>8</v>
      </c>
      <c r="E136" s="247" t="s">
        <v>45</v>
      </c>
      <c r="F136" s="173">
        <f t="shared" si="220"/>
        <v>5</v>
      </c>
      <c r="G136" s="83" t="s">
        <v>735</v>
      </c>
      <c r="H136" s="236">
        <v>60</v>
      </c>
      <c r="I136" s="236">
        <v>40</v>
      </c>
      <c r="J136" s="236">
        <v>51</v>
      </c>
      <c r="K136" s="395">
        <v>63</v>
      </c>
      <c r="L136" s="222" t="s">
        <v>59</v>
      </c>
      <c r="M136" s="222" t="s">
        <v>59</v>
      </c>
      <c r="N136" s="226">
        <f t="shared" si="165"/>
        <v>214</v>
      </c>
      <c r="O136" s="53">
        <v>3194</v>
      </c>
      <c r="P136" s="210">
        <v>326.10000000000002</v>
      </c>
      <c r="Q136" s="217">
        <v>83.03</v>
      </c>
      <c r="R136" s="217">
        <v>70.489999999999995</v>
      </c>
      <c r="S136" s="217">
        <v>68.680000000000007</v>
      </c>
      <c r="T136" s="217"/>
      <c r="U136" s="85">
        <v>6440</v>
      </c>
      <c r="V136" s="292">
        <v>10500</v>
      </c>
      <c r="W136" s="294">
        <v>16800</v>
      </c>
      <c r="X136" s="243">
        <v>25200</v>
      </c>
      <c r="Y136" s="243">
        <v>36400</v>
      </c>
      <c r="Z136" s="303">
        <v>51000</v>
      </c>
      <c r="AA136" s="243">
        <v>71500</v>
      </c>
      <c r="AB136" s="243">
        <v>100000</v>
      </c>
      <c r="AC136" s="243">
        <v>140000</v>
      </c>
      <c r="AD136" s="359">
        <v>196000</v>
      </c>
      <c r="AE136" s="359">
        <v>274000</v>
      </c>
      <c r="AF136" s="226" t="str">
        <f>VLOOKUP($U136,计算辅助页面!$Z$5:$AM$26,COLUMN()-20,0)</f>
        <v>×</v>
      </c>
      <c r="AG136" s="226" t="str">
        <f>VLOOKUP($U136,计算辅助页面!$Z$5:$AM$26,COLUMN()-20,0)</f>
        <v>×</v>
      </c>
      <c r="AH136" s="173">
        <f>VLOOKUP($U136,计算辅助页面!$Z$5:$AM$26,COLUMN()-20,0)</f>
        <v>3711360</v>
      </c>
      <c r="AI136" s="268">
        <v>50000</v>
      </c>
      <c r="AJ136" s="260">
        <f>VLOOKUP(D136&amp;E136,计算辅助页面!$V$5:$Y$18,2,0)</f>
        <v>5</v>
      </c>
      <c r="AK136" s="189">
        <f t="shared" si="155"/>
        <v>100000</v>
      </c>
      <c r="AL136" s="174">
        <f>VLOOKUP(D136&amp;E136,计算辅助页面!$V$5:$Y$18,3,0)</f>
        <v>5</v>
      </c>
      <c r="AM136" s="179">
        <f t="shared" si="156"/>
        <v>300000</v>
      </c>
      <c r="AN136" s="179">
        <f>VLOOKUP(D136&amp;E136,计算辅助页面!$V$5:$Y$18,4,0)</f>
        <v>2</v>
      </c>
      <c r="AO136" s="173">
        <f t="shared" si="157"/>
        <v>5400000</v>
      </c>
      <c r="AP136" s="195">
        <f t="shared" si="158"/>
        <v>9111360</v>
      </c>
      <c r="AQ136" s="365" t="s">
        <v>1056</v>
      </c>
      <c r="AR136" s="366" t="str">
        <f t="shared" si="166"/>
        <v>EP9</v>
      </c>
      <c r="AS136" s="352" t="s">
        <v>734</v>
      </c>
      <c r="AT136" s="353" t="s">
        <v>879</v>
      </c>
      <c r="AU136" s="81" t="s">
        <v>711</v>
      </c>
      <c r="AW136" s="357">
        <v>339</v>
      </c>
      <c r="AY136" s="357">
        <v>437</v>
      </c>
      <c r="AZ136" s="357" t="s">
        <v>1114</v>
      </c>
      <c r="BA136" s="369"/>
      <c r="BB136" s="369"/>
      <c r="BC136" s="369"/>
      <c r="BD136" s="369"/>
      <c r="BE136" s="369"/>
      <c r="BF136" s="369"/>
      <c r="BG136" s="369">
        <v>1</v>
      </c>
      <c r="BH136" s="369"/>
      <c r="BI136" s="369"/>
      <c r="BJ136" s="369"/>
      <c r="BK136" s="369"/>
      <c r="BL136" s="369"/>
      <c r="BM136" s="369"/>
      <c r="BN136" s="369"/>
      <c r="BO136" s="369">
        <v>1</v>
      </c>
      <c r="BP136" s="369"/>
      <c r="BQ136" s="369"/>
      <c r="BR136" s="369"/>
      <c r="BS136" s="369"/>
      <c r="BT136" s="369"/>
      <c r="BU136" s="387" t="s">
        <v>1179</v>
      </c>
      <c r="BW136" s="326">
        <v>1</v>
      </c>
      <c r="BX136" s="326"/>
      <c r="BY136" s="367">
        <v>313</v>
      </c>
      <c r="BZ136" s="368">
        <v>75.7</v>
      </c>
      <c r="CA136" s="368">
        <v>52.47</v>
      </c>
      <c r="CB136" s="368">
        <v>49.64</v>
      </c>
      <c r="CC136" s="368">
        <f t="shared" si="159"/>
        <v>13.100000000000023</v>
      </c>
      <c r="CD136" s="368">
        <f t="shared" si="160"/>
        <v>7.3299999999999983</v>
      </c>
      <c r="CE136" s="368">
        <f t="shared" si="161"/>
        <v>18.019999999999996</v>
      </c>
      <c r="CF136" s="368">
        <f t="shared" si="162"/>
        <v>19.040000000000006</v>
      </c>
      <c r="CG136" s="368">
        <f t="shared" si="163"/>
        <v>57.490000000000023</v>
      </c>
      <c r="CH136" s="368">
        <f t="shared" si="164"/>
        <v>61.753300000000003</v>
      </c>
      <c r="CI136" s="42"/>
      <c r="CJ136" s="42"/>
      <c r="CK136" s="42"/>
      <c r="CL136" s="42"/>
    </row>
    <row r="137" spans="1:90" s="95" customFormat="1" ht="21" customHeight="1" thickBot="1">
      <c r="A137" s="80">
        <v>135</v>
      </c>
      <c r="B137" s="49" t="s">
        <v>84</v>
      </c>
      <c r="C137" s="86" t="s">
        <v>795</v>
      </c>
      <c r="D137" s="255" t="s">
        <v>8</v>
      </c>
      <c r="E137" s="247" t="s">
        <v>45</v>
      </c>
      <c r="F137" s="173">
        <f t="shared" si="220"/>
        <v>5</v>
      </c>
      <c r="G137" s="83" t="s">
        <v>159</v>
      </c>
      <c r="H137" s="222">
        <v>45</v>
      </c>
      <c r="I137" s="222">
        <v>21</v>
      </c>
      <c r="J137" s="222">
        <v>28</v>
      </c>
      <c r="K137" s="222">
        <v>42</v>
      </c>
      <c r="L137" s="222" t="s">
        <v>59</v>
      </c>
      <c r="M137" s="222" t="s">
        <v>59</v>
      </c>
      <c r="N137" s="226">
        <f t="shared" si="165"/>
        <v>136</v>
      </c>
      <c r="O137" s="51">
        <v>3230</v>
      </c>
      <c r="P137" s="209">
        <v>350.6</v>
      </c>
      <c r="Q137" s="216">
        <v>80.41</v>
      </c>
      <c r="R137" s="216">
        <v>48.37</v>
      </c>
      <c r="S137" s="216">
        <v>64.650000000000006</v>
      </c>
      <c r="T137" s="216">
        <v>6.6820000000000004</v>
      </c>
      <c r="U137" s="84">
        <v>3220</v>
      </c>
      <c r="V137" s="292">
        <f>VLOOKUP($U137,计算辅助页面!$Z$5:$AM$26,COLUMN()-20,0)</f>
        <v>5300</v>
      </c>
      <c r="W137" s="292">
        <f>VLOOKUP($U137,计算辅助页面!$Z$5:$AM$26,COLUMN()-20,0)</f>
        <v>8400</v>
      </c>
      <c r="X137" s="226">
        <f>VLOOKUP($U137,计算辅助页面!$Z$5:$AM$26,COLUMN()-20,0)</f>
        <v>12600</v>
      </c>
      <c r="Y137" s="226">
        <f>VLOOKUP($U137,计算辅助页面!$Z$5:$AM$26,COLUMN()-20,0)</f>
        <v>18200</v>
      </c>
      <c r="Z137" s="293">
        <f>VLOOKUP($U137,计算辅助页面!$Z$5:$AM$26,COLUMN()-20,0)</f>
        <v>25500</v>
      </c>
      <c r="AA137" s="226">
        <f>VLOOKUP($U137,计算辅助页面!$Z$5:$AM$26,COLUMN()-20,0)</f>
        <v>35500</v>
      </c>
      <c r="AB137" s="226">
        <f>VLOOKUP($U137,计算辅助页面!$Z$5:$AM$26,COLUMN()-20,0)</f>
        <v>50000</v>
      </c>
      <c r="AC137" s="226">
        <f>VLOOKUP($U137,计算辅助页面!$Z$5:$AM$26,COLUMN()-20,0)</f>
        <v>70000</v>
      </c>
      <c r="AD137" s="226">
        <f>VLOOKUP($U137,计算辅助页面!$Z$5:$AM$26,COLUMN()-20,0)</f>
        <v>98000</v>
      </c>
      <c r="AE137" s="226">
        <f>VLOOKUP($U137,计算辅助页面!$Z$5:$AM$26,COLUMN()-20,0)</f>
        <v>137000</v>
      </c>
      <c r="AF137" s="226" t="str">
        <f>VLOOKUP($U137,计算辅助页面!$Z$5:$AM$26,COLUMN()-20,0)</f>
        <v>×</v>
      </c>
      <c r="AG137" s="226" t="str">
        <f>VLOOKUP($U137,计算辅助页面!$Z$5:$AM$26,COLUMN()-20,0)</f>
        <v>×</v>
      </c>
      <c r="AH137" s="173">
        <f>VLOOKUP($U137,计算辅助页面!$Z$5:$AM$26,COLUMN()-20,0)</f>
        <v>1854880</v>
      </c>
      <c r="AI137" s="267">
        <v>25000</v>
      </c>
      <c r="AJ137" s="260">
        <f>VLOOKUP(D137&amp;E137,计算辅助页面!$V$5:$Y$18,2,0)</f>
        <v>5</v>
      </c>
      <c r="AK137" s="174">
        <f t="shared" si="155"/>
        <v>50000</v>
      </c>
      <c r="AL137" s="174">
        <f>VLOOKUP(D137&amp;E137,计算辅助页面!$V$5:$Y$18,3,0)</f>
        <v>5</v>
      </c>
      <c r="AM137" s="179">
        <f t="shared" si="156"/>
        <v>150000</v>
      </c>
      <c r="AN137" s="179">
        <f>VLOOKUP(D137&amp;E137,计算辅助页面!$V$5:$Y$18,4,0)</f>
        <v>2</v>
      </c>
      <c r="AO137" s="173">
        <f t="shared" si="157"/>
        <v>2700000</v>
      </c>
      <c r="AP137" s="195">
        <f t="shared" si="158"/>
        <v>4554880</v>
      </c>
      <c r="AQ137" s="365" t="s">
        <v>568</v>
      </c>
      <c r="AR137" s="366" t="str">
        <f t="shared" ref="AR137:AR146" si="221">TRIM(RIGHT(B137,LEN(B137)-LEN(AQ137)-1))</f>
        <v>J50</v>
      </c>
      <c r="AS137" s="352" t="s">
        <v>857</v>
      </c>
      <c r="AT137" s="353" t="s">
        <v>645</v>
      </c>
      <c r="AU137" s="81" t="s">
        <v>711</v>
      </c>
      <c r="AV137" s="357">
        <v>9</v>
      </c>
      <c r="AW137" s="357">
        <v>365</v>
      </c>
      <c r="AX137" s="357"/>
      <c r="AY137" s="357">
        <v>479</v>
      </c>
      <c r="AZ137" s="357" t="s">
        <v>1110</v>
      </c>
      <c r="BA137" s="369"/>
      <c r="BB137" s="369"/>
      <c r="BC137" s="369">
        <v>1</v>
      </c>
      <c r="BD137" s="369">
        <v>1</v>
      </c>
      <c r="BE137" s="369"/>
      <c r="BF137" s="369">
        <v>1</v>
      </c>
      <c r="BG137" s="369"/>
      <c r="BH137" s="369"/>
      <c r="BI137" s="369"/>
      <c r="BJ137" s="369"/>
      <c r="BK137" s="369"/>
      <c r="BL137" s="369"/>
      <c r="BM137" s="369"/>
      <c r="BN137" s="369"/>
      <c r="BO137" s="369"/>
      <c r="BP137" s="369"/>
      <c r="BQ137" s="369"/>
      <c r="BR137" s="369" t="s">
        <v>1146</v>
      </c>
      <c r="BS137" s="369"/>
      <c r="BT137" s="369">
        <v>1</v>
      </c>
      <c r="BU137" s="387" t="s">
        <v>1180</v>
      </c>
      <c r="BV137" s="326"/>
      <c r="BW137" s="326"/>
      <c r="BX137" s="326"/>
      <c r="BY137" s="367">
        <v>333</v>
      </c>
      <c r="BZ137" s="368">
        <v>73.900000000000006</v>
      </c>
      <c r="CA137" s="368">
        <v>42.27</v>
      </c>
      <c r="CB137" s="368">
        <v>48.91</v>
      </c>
      <c r="CC137" s="368">
        <f t="shared" si="159"/>
        <v>17.600000000000023</v>
      </c>
      <c r="CD137" s="368">
        <f t="shared" si="160"/>
        <v>6.5099999999999909</v>
      </c>
      <c r="CE137" s="368">
        <f t="shared" si="161"/>
        <v>6.0999999999999943</v>
      </c>
      <c r="CF137" s="368">
        <f t="shared" si="162"/>
        <v>15.740000000000009</v>
      </c>
      <c r="CG137" s="368">
        <f t="shared" si="163"/>
        <v>45.950000000000017</v>
      </c>
      <c r="CH137" s="368">
        <f t="shared" si="164"/>
        <v>44.064700000000002</v>
      </c>
      <c r="CI137" s="94"/>
      <c r="CJ137" s="94"/>
      <c r="CK137" s="94"/>
      <c r="CL137" s="94"/>
    </row>
    <row r="138" spans="1:90" ht="21" customHeight="1" thickBot="1">
      <c r="A138" s="48">
        <v>136</v>
      </c>
      <c r="B138" s="49" t="s">
        <v>39</v>
      </c>
      <c r="C138" s="86" t="s">
        <v>796</v>
      </c>
      <c r="D138" s="255" t="s">
        <v>8</v>
      </c>
      <c r="E138" s="247" t="s">
        <v>45</v>
      </c>
      <c r="F138" s="173">
        <f t="shared" si="220"/>
        <v>5</v>
      </c>
      <c r="G138" s="83" t="s">
        <v>69</v>
      </c>
      <c r="H138" s="222">
        <v>45</v>
      </c>
      <c r="I138" s="222">
        <v>21</v>
      </c>
      <c r="J138" s="222">
        <v>28</v>
      </c>
      <c r="K138" s="222">
        <v>42</v>
      </c>
      <c r="L138" s="222" t="s">
        <v>59</v>
      </c>
      <c r="M138" s="222" t="s">
        <v>59</v>
      </c>
      <c r="N138" s="226">
        <f t="shared" si="165"/>
        <v>136</v>
      </c>
      <c r="O138" s="51">
        <v>3306</v>
      </c>
      <c r="P138" s="209">
        <v>353.5</v>
      </c>
      <c r="Q138" s="216">
        <v>80.33</v>
      </c>
      <c r="R138" s="216">
        <v>45.29</v>
      </c>
      <c r="S138" s="216">
        <v>67.55</v>
      </c>
      <c r="T138" s="216">
        <v>7.0659999999999998</v>
      </c>
      <c r="U138" s="84">
        <v>3220</v>
      </c>
      <c r="V138" s="292">
        <f>VLOOKUP($U138,计算辅助页面!$Z$5:$AM$26,COLUMN()-20,0)</f>
        <v>5300</v>
      </c>
      <c r="W138" s="292">
        <f>VLOOKUP($U138,计算辅助页面!$Z$5:$AM$26,COLUMN()-20,0)</f>
        <v>8400</v>
      </c>
      <c r="X138" s="226">
        <f>VLOOKUP($U138,计算辅助页面!$Z$5:$AM$26,COLUMN()-20,0)</f>
        <v>12600</v>
      </c>
      <c r="Y138" s="226">
        <f>VLOOKUP($U138,计算辅助页面!$Z$5:$AM$26,COLUMN()-20,0)</f>
        <v>18200</v>
      </c>
      <c r="Z138" s="293">
        <f>VLOOKUP($U138,计算辅助页面!$Z$5:$AM$26,COLUMN()-20,0)</f>
        <v>25500</v>
      </c>
      <c r="AA138" s="226">
        <f>VLOOKUP($U138,计算辅助页面!$Z$5:$AM$26,COLUMN()-20,0)</f>
        <v>35500</v>
      </c>
      <c r="AB138" s="226">
        <f>VLOOKUP($U138,计算辅助页面!$Z$5:$AM$26,COLUMN()-20,0)</f>
        <v>50000</v>
      </c>
      <c r="AC138" s="226">
        <f>VLOOKUP($U138,计算辅助页面!$Z$5:$AM$26,COLUMN()-20,0)</f>
        <v>70000</v>
      </c>
      <c r="AD138" s="226">
        <f>VLOOKUP($U138,计算辅助页面!$Z$5:$AM$26,COLUMN()-20,0)</f>
        <v>98000</v>
      </c>
      <c r="AE138" s="226">
        <f>VLOOKUP($U138,计算辅助页面!$Z$5:$AM$26,COLUMN()-20,0)</f>
        <v>137000</v>
      </c>
      <c r="AF138" s="226" t="str">
        <f>VLOOKUP($U138,计算辅助页面!$Z$5:$AM$26,COLUMN()-20,0)</f>
        <v>×</v>
      </c>
      <c r="AG138" s="226" t="str">
        <f>VLOOKUP($U138,计算辅助页面!$Z$5:$AM$26,COLUMN()-20,0)</f>
        <v>×</v>
      </c>
      <c r="AH138" s="173">
        <f>VLOOKUP($U138,计算辅助页面!$Z$5:$AM$26,COLUMN()-20,0)</f>
        <v>1854880</v>
      </c>
      <c r="AI138" s="267">
        <v>25000</v>
      </c>
      <c r="AJ138" s="260">
        <f>VLOOKUP(D138&amp;E138,计算辅助页面!$V$5:$Y$18,2,0)</f>
        <v>5</v>
      </c>
      <c r="AK138" s="174">
        <f t="shared" si="155"/>
        <v>50000</v>
      </c>
      <c r="AL138" s="174">
        <f>VLOOKUP(D138&amp;E138,计算辅助页面!$V$5:$Y$18,3,0)</f>
        <v>5</v>
      </c>
      <c r="AM138" s="179">
        <f t="shared" si="156"/>
        <v>150000</v>
      </c>
      <c r="AN138" s="179">
        <f>VLOOKUP(D138&amp;E138,计算辅助页面!$V$5:$Y$18,4,0)</f>
        <v>2</v>
      </c>
      <c r="AO138" s="173">
        <f t="shared" si="157"/>
        <v>2700000</v>
      </c>
      <c r="AP138" s="195">
        <f t="shared" si="158"/>
        <v>4554880</v>
      </c>
      <c r="AQ138" s="365" t="s">
        <v>561</v>
      </c>
      <c r="AR138" s="366" t="str">
        <f t="shared" si="221"/>
        <v>Viper GTS</v>
      </c>
      <c r="AS138" s="352" t="s">
        <v>603</v>
      </c>
      <c r="AT138" s="353" t="s">
        <v>648</v>
      </c>
      <c r="AU138" s="81" t="s">
        <v>711</v>
      </c>
      <c r="AV138" s="357">
        <v>9</v>
      </c>
      <c r="AW138" s="357">
        <v>368</v>
      </c>
      <c r="AY138" s="357">
        <v>484</v>
      </c>
      <c r="AZ138" s="357" t="s">
        <v>1110</v>
      </c>
      <c r="BA138" s="369"/>
      <c r="BB138" s="369"/>
      <c r="BC138" s="369">
        <v>1</v>
      </c>
      <c r="BD138" s="369">
        <v>1</v>
      </c>
      <c r="BE138" s="369"/>
      <c r="BF138" s="369">
        <v>1</v>
      </c>
      <c r="BG138" s="369"/>
      <c r="BH138" s="369"/>
      <c r="BI138" s="369"/>
      <c r="BJ138" s="369"/>
      <c r="BK138" s="369"/>
      <c r="BL138" s="369"/>
      <c r="BM138" s="369"/>
      <c r="BN138" s="369"/>
      <c r="BO138" s="369"/>
      <c r="BP138" s="369"/>
      <c r="BQ138" s="369"/>
      <c r="BR138" s="369"/>
      <c r="BS138" s="369"/>
      <c r="BT138" s="369">
        <v>1</v>
      </c>
      <c r="BU138" s="387" t="s">
        <v>1181</v>
      </c>
      <c r="BV138" s="326"/>
      <c r="BW138" s="326"/>
      <c r="BX138" s="326"/>
      <c r="BY138" s="367">
        <v>340</v>
      </c>
      <c r="BZ138" s="368">
        <v>73</v>
      </c>
      <c r="CA138" s="368">
        <v>40.65</v>
      </c>
      <c r="CB138" s="368">
        <v>56.63</v>
      </c>
      <c r="CC138" s="368">
        <f t="shared" si="159"/>
        <v>13.5</v>
      </c>
      <c r="CD138" s="368">
        <f t="shared" si="160"/>
        <v>7.3299999999999983</v>
      </c>
      <c r="CE138" s="368">
        <f t="shared" si="161"/>
        <v>4.6400000000000006</v>
      </c>
      <c r="CF138" s="368">
        <f t="shared" si="162"/>
        <v>10.919999999999995</v>
      </c>
      <c r="CG138" s="368">
        <f t="shared" si="163"/>
        <v>36.389999999999993</v>
      </c>
      <c r="CH138" s="368">
        <f t="shared" si="164"/>
        <v>36.368299999999991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1406</v>
      </c>
      <c r="C139" s="86" t="s">
        <v>1407</v>
      </c>
      <c r="D139" s="255" t="s">
        <v>199</v>
      </c>
      <c r="E139" s="394" t="s">
        <v>176</v>
      </c>
      <c r="F139" s="230"/>
      <c r="G139" s="229"/>
      <c r="H139" s="395">
        <v>60</v>
      </c>
      <c r="I139" s="395">
        <v>40</v>
      </c>
      <c r="J139" s="395">
        <v>51</v>
      </c>
      <c r="K139" s="395">
        <v>63</v>
      </c>
      <c r="L139" s="222" t="s">
        <v>59</v>
      </c>
      <c r="M139" s="222" t="s">
        <v>59</v>
      </c>
      <c r="N139" s="226">
        <f t="shared" ref="N139" si="222">IF(COUNTBLANK(H139:M139),"",SUM(H139:M139))</f>
        <v>214</v>
      </c>
      <c r="O139" s="53">
        <v>3342</v>
      </c>
      <c r="P139" s="210">
        <v>348.3</v>
      </c>
      <c r="Q139" s="217">
        <v>76.55</v>
      </c>
      <c r="R139" s="217">
        <v>74.23</v>
      </c>
      <c r="S139" s="217">
        <v>59.35</v>
      </c>
      <c r="T139" s="217"/>
      <c r="U139" s="85">
        <v>6440</v>
      </c>
      <c r="V139" s="292">
        <v>10500</v>
      </c>
      <c r="W139" s="294">
        <v>16800</v>
      </c>
      <c r="X139" s="243">
        <v>25200</v>
      </c>
      <c r="Y139" s="243">
        <v>36400</v>
      </c>
      <c r="Z139" s="303">
        <v>51000</v>
      </c>
      <c r="AA139" s="243">
        <v>71500</v>
      </c>
      <c r="AB139" s="243">
        <v>100000</v>
      </c>
      <c r="AC139" s="243">
        <v>140000</v>
      </c>
      <c r="AD139" s="359">
        <v>196000</v>
      </c>
      <c r="AE139" s="359">
        <v>274000</v>
      </c>
      <c r="AF139" s="226" t="str">
        <f>VLOOKUP($U139,计算辅助页面!$Z$5:$AM$26,COLUMN()-20,0)</f>
        <v>×</v>
      </c>
      <c r="AG139" s="226" t="str">
        <f>VLOOKUP($U139,计算辅助页面!$Z$5:$AM$26,COLUMN()-20,0)</f>
        <v>×</v>
      </c>
      <c r="AH139" s="173">
        <f>VLOOKUP($U139,计算辅助页面!$Z$5:$AM$26,COLUMN()-20,0)</f>
        <v>3711360</v>
      </c>
      <c r="AI139" s="268">
        <v>50000</v>
      </c>
      <c r="AJ139" s="260">
        <f>VLOOKUP(D139&amp;E139,计算辅助页面!$V$5:$Y$18,2,0)</f>
        <v>5</v>
      </c>
      <c r="AK139" s="189">
        <f t="shared" ref="AK139" si="223">IF(AI139,2*AI139,"")</f>
        <v>100000</v>
      </c>
      <c r="AL139" s="174">
        <f>VLOOKUP(D139&amp;E139,计算辅助页面!$V$5:$Y$18,3,0)</f>
        <v>5</v>
      </c>
      <c r="AM139" s="179">
        <f t="shared" ref="AM139" si="224">IF(AN139="×",AN139,IF(AI139,6*AI139,""))</f>
        <v>300000</v>
      </c>
      <c r="AN139" s="179">
        <f>VLOOKUP(D139&amp;E139,计算辅助页面!$V$5:$Y$18,4,0)</f>
        <v>2</v>
      </c>
      <c r="AO139" s="173">
        <f t="shared" ref="AO139" si="225">IF(AI139,IF(AN139="×",4*(AI139*AJ139+AK139*AL139),4*(AI139*AJ139+AK139*AL139+AM139*AN139)),"")</f>
        <v>5400000</v>
      </c>
      <c r="AP139" s="195">
        <f t="shared" ref="AP139" si="226">IF(AND(AH139,AO139),AO139+AH139,"")</f>
        <v>9111360</v>
      </c>
      <c r="AQ139" s="365" t="s">
        <v>597</v>
      </c>
      <c r="AR139" s="366" t="str">
        <f t="shared" si="221"/>
        <v>Continental GT Speed</v>
      </c>
      <c r="AS139" s="352" t="s">
        <v>1392</v>
      </c>
      <c r="AT139" s="353" t="s">
        <v>1408</v>
      </c>
      <c r="AU139" s="81" t="s">
        <v>711</v>
      </c>
      <c r="AW139" s="357">
        <v>362</v>
      </c>
      <c r="AY139" s="357">
        <v>475</v>
      </c>
      <c r="AZ139" s="384" t="s">
        <v>1274</v>
      </c>
      <c r="BA139" s="369"/>
      <c r="BB139" s="369"/>
      <c r="BC139" s="369"/>
      <c r="BD139" s="369"/>
      <c r="BE139" s="369"/>
      <c r="BF139" s="369"/>
      <c r="BG139" s="369">
        <v>1</v>
      </c>
      <c r="BH139" s="369"/>
      <c r="BI139" s="369"/>
      <c r="BJ139" s="369"/>
      <c r="BK139" s="369"/>
      <c r="BL139" s="369"/>
      <c r="BM139" s="369"/>
      <c r="BN139" s="369"/>
      <c r="BO139" s="369"/>
      <c r="BP139" s="369"/>
      <c r="BQ139" s="369"/>
      <c r="BR139" s="369"/>
      <c r="BS139" s="369"/>
      <c r="BT139" s="369"/>
      <c r="BU139" s="389" t="s">
        <v>1414</v>
      </c>
      <c r="BV139" s="326"/>
      <c r="BW139" s="326"/>
      <c r="BX139" s="326"/>
      <c r="BY139" s="367"/>
      <c r="BZ139" s="368"/>
      <c r="CA139" s="368"/>
      <c r="CB139" s="368"/>
      <c r="CC139" s="368"/>
      <c r="CD139" s="368"/>
      <c r="CE139" s="368"/>
      <c r="CF139" s="368"/>
      <c r="CG139" s="368"/>
      <c r="CH139" s="368"/>
      <c r="CI139" s="42"/>
      <c r="CJ139" s="42"/>
      <c r="CK139" s="42"/>
      <c r="CL139" s="42"/>
    </row>
    <row r="140" spans="1:90" ht="21" customHeight="1" thickBot="1">
      <c r="A140" s="48">
        <v>138</v>
      </c>
      <c r="B140" s="49" t="s">
        <v>40</v>
      </c>
      <c r="C140" s="86" t="s">
        <v>797</v>
      </c>
      <c r="D140" s="255" t="s">
        <v>8</v>
      </c>
      <c r="E140" s="247" t="s">
        <v>78</v>
      </c>
      <c r="F140" s="173">
        <f t="shared" si="220"/>
        <v>4</v>
      </c>
      <c r="G140" s="83" t="s">
        <v>72</v>
      </c>
      <c r="H140" s="222">
        <v>35</v>
      </c>
      <c r="I140" s="222">
        <v>12</v>
      </c>
      <c r="J140" s="222">
        <v>15</v>
      </c>
      <c r="K140" s="222">
        <v>24</v>
      </c>
      <c r="L140" s="222">
        <v>36</v>
      </c>
      <c r="M140" s="222" t="s">
        <v>59</v>
      </c>
      <c r="N140" s="226">
        <f t="shared" si="165"/>
        <v>122</v>
      </c>
      <c r="O140" s="51">
        <v>3445</v>
      </c>
      <c r="P140" s="209">
        <v>364.6</v>
      </c>
      <c r="Q140" s="216">
        <v>80.23</v>
      </c>
      <c r="R140" s="216">
        <v>43.06</v>
      </c>
      <c r="S140" s="216">
        <v>71.400000000000006</v>
      </c>
      <c r="T140" s="216">
        <v>7.45</v>
      </c>
      <c r="U140" s="84">
        <v>4260</v>
      </c>
      <c r="V140" s="292">
        <f>VLOOKUP($U140,计算辅助页面!$Z$5:$AM$26,COLUMN()-20,0)</f>
        <v>6900</v>
      </c>
      <c r="W140" s="292">
        <f>VLOOKUP($U140,计算辅助页面!$Z$5:$AM$26,COLUMN()-20,0)</f>
        <v>11100</v>
      </c>
      <c r="X140" s="226">
        <f>VLOOKUP($U140,计算辅助页面!$Z$5:$AM$26,COLUMN()-20,0)</f>
        <v>16700</v>
      </c>
      <c r="Y140" s="226">
        <f>VLOOKUP($U140,计算辅助页面!$Z$5:$AM$26,COLUMN()-20,0)</f>
        <v>24100</v>
      </c>
      <c r="Z140" s="293">
        <f>VLOOKUP($U140,计算辅助页面!$Z$5:$AM$26,COLUMN()-20,0)</f>
        <v>33500</v>
      </c>
      <c r="AA140" s="226">
        <f>VLOOKUP($U140,计算辅助页面!$Z$5:$AM$26,COLUMN()-20,0)</f>
        <v>47000</v>
      </c>
      <c r="AB140" s="226">
        <f>VLOOKUP($U140,计算辅助页面!$Z$5:$AM$26,COLUMN()-20,0)</f>
        <v>66000</v>
      </c>
      <c r="AC140" s="226">
        <f>VLOOKUP($U140,计算辅助页面!$Z$5:$AM$26,COLUMN()-20,0)</f>
        <v>92500</v>
      </c>
      <c r="AD140" s="226">
        <f>VLOOKUP($U140,计算辅助页面!$Z$5:$AM$26,COLUMN()-20,0)</f>
        <v>129500</v>
      </c>
      <c r="AE140" s="226">
        <f>VLOOKUP($U140,计算辅助页面!$Z$5:$AM$26,COLUMN()-20,0)</f>
        <v>181000</v>
      </c>
      <c r="AF140" s="226">
        <f>VLOOKUP($U140,计算辅助页面!$Z$5:$AM$26,COLUMN()-20,0)</f>
        <v>254000</v>
      </c>
      <c r="AG140" s="226" t="str">
        <f>VLOOKUP($U140,计算辅助页面!$Z$5:$AM$26,COLUMN()-20,0)</f>
        <v>×</v>
      </c>
      <c r="AH140" s="173">
        <f>VLOOKUP($U140,计算辅助页面!$Z$5:$AM$26,COLUMN()-20,0)</f>
        <v>3466240</v>
      </c>
      <c r="AI140" s="267">
        <v>30000</v>
      </c>
      <c r="AJ140" s="260">
        <f>VLOOKUP(D140&amp;E140,计算辅助页面!$V$5:$Y$18,2,0)</f>
        <v>6</v>
      </c>
      <c r="AK140" s="174">
        <f t="shared" si="155"/>
        <v>60000</v>
      </c>
      <c r="AL140" s="174">
        <f>VLOOKUP(D140&amp;E140,计算辅助页面!$V$5:$Y$18,3,0)</f>
        <v>5</v>
      </c>
      <c r="AM140" s="179">
        <f t="shared" si="156"/>
        <v>180000</v>
      </c>
      <c r="AN140" s="179">
        <f>VLOOKUP(D140&amp;E140,计算辅助页面!$V$5:$Y$18,4,0)</f>
        <v>3</v>
      </c>
      <c r="AO140" s="173">
        <f t="shared" si="157"/>
        <v>4080000</v>
      </c>
      <c r="AP140" s="195">
        <f t="shared" si="158"/>
        <v>7546240</v>
      </c>
      <c r="AQ140" s="365" t="s">
        <v>568</v>
      </c>
      <c r="AR140" s="366" t="str">
        <f t="shared" si="221"/>
        <v>LaFerrari</v>
      </c>
      <c r="AS140" s="352" t="s">
        <v>603</v>
      </c>
      <c r="AT140" s="353" t="s">
        <v>661</v>
      </c>
      <c r="AU140" s="327" t="s">
        <v>712</v>
      </c>
      <c r="AV140" s="357">
        <v>10</v>
      </c>
      <c r="AW140" s="357">
        <v>379</v>
      </c>
      <c r="AY140" s="357">
        <v>503</v>
      </c>
      <c r="AZ140" s="357" t="s">
        <v>1110</v>
      </c>
      <c r="BA140" s="369"/>
      <c r="BB140" s="369"/>
      <c r="BC140" s="369">
        <v>1</v>
      </c>
      <c r="BD140" s="369">
        <v>1</v>
      </c>
      <c r="BE140" s="369"/>
      <c r="BF140" s="369"/>
      <c r="BG140" s="369"/>
      <c r="BH140" s="369"/>
      <c r="BI140" s="369"/>
      <c r="BJ140" s="369"/>
      <c r="BK140" s="369"/>
      <c r="BL140" s="369"/>
      <c r="BM140" s="369"/>
      <c r="BN140" s="369"/>
      <c r="BO140" s="369"/>
      <c r="BP140" s="369"/>
      <c r="BQ140" s="369"/>
      <c r="BR140" s="369"/>
      <c r="BS140" s="369"/>
      <c r="BT140" s="369">
        <v>1</v>
      </c>
      <c r="BU140" s="387" t="s">
        <v>1182</v>
      </c>
      <c r="BV140" s="326"/>
      <c r="BW140" s="326"/>
      <c r="BX140" s="326"/>
      <c r="BY140" s="367">
        <v>350</v>
      </c>
      <c r="BZ140" s="368">
        <v>73</v>
      </c>
      <c r="CA140" s="368">
        <v>37.69</v>
      </c>
      <c r="CB140" s="368">
        <v>62.92</v>
      </c>
      <c r="CC140" s="368">
        <f t="shared" si="159"/>
        <v>14.600000000000023</v>
      </c>
      <c r="CD140" s="368">
        <f t="shared" si="160"/>
        <v>7.230000000000004</v>
      </c>
      <c r="CE140" s="368">
        <f t="shared" si="161"/>
        <v>5.3700000000000045</v>
      </c>
      <c r="CF140" s="368">
        <f t="shared" si="162"/>
        <v>8.480000000000004</v>
      </c>
      <c r="CG140" s="368">
        <f t="shared" si="163"/>
        <v>35.680000000000035</v>
      </c>
      <c r="CH140" s="368">
        <f t="shared" si="164"/>
        <v>34.247000000000028</v>
      </c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599</v>
      </c>
      <c r="C141" s="86" t="s">
        <v>798</v>
      </c>
      <c r="D141" s="255" t="s">
        <v>8</v>
      </c>
      <c r="E141" s="247" t="s">
        <v>78</v>
      </c>
      <c r="F141" s="173">
        <f t="shared" si="220"/>
        <v>4</v>
      </c>
      <c r="G141" s="83" t="s">
        <v>72</v>
      </c>
      <c r="H141" s="222">
        <v>35</v>
      </c>
      <c r="I141" s="222">
        <v>12</v>
      </c>
      <c r="J141" s="222">
        <v>15</v>
      </c>
      <c r="K141" s="222">
        <v>24</v>
      </c>
      <c r="L141" s="222">
        <v>36</v>
      </c>
      <c r="M141" s="222" t="s">
        <v>59</v>
      </c>
      <c r="N141" s="226">
        <f t="shared" si="165"/>
        <v>122</v>
      </c>
      <c r="O141" s="51">
        <v>3602</v>
      </c>
      <c r="P141" s="209">
        <v>364.6</v>
      </c>
      <c r="Q141" s="216">
        <v>83.64</v>
      </c>
      <c r="R141" s="216">
        <v>47.54</v>
      </c>
      <c r="S141" s="216">
        <v>62.89</v>
      </c>
      <c r="T141" s="216">
        <v>6.02</v>
      </c>
      <c r="U141" s="84">
        <v>4260</v>
      </c>
      <c r="V141" s="292">
        <f>VLOOKUP($U141,计算辅助页面!$Z$5:$AM$26,COLUMN()-20,0)</f>
        <v>6900</v>
      </c>
      <c r="W141" s="292">
        <f>VLOOKUP($U141,计算辅助页面!$Z$5:$AM$26,COLUMN()-20,0)</f>
        <v>11100</v>
      </c>
      <c r="X141" s="226">
        <f>VLOOKUP($U141,计算辅助页面!$Z$5:$AM$26,COLUMN()-20,0)</f>
        <v>16700</v>
      </c>
      <c r="Y141" s="226">
        <f>VLOOKUP($U141,计算辅助页面!$Z$5:$AM$26,COLUMN()-20,0)</f>
        <v>24100</v>
      </c>
      <c r="Z141" s="293">
        <f>VLOOKUP($U141,计算辅助页面!$Z$5:$AM$26,COLUMN()-20,0)</f>
        <v>33500</v>
      </c>
      <c r="AA141" s="226">
        <f>VLOOKUP($U141,计算辅助页面!$Z$5:$AM$26,COLUMN()-20,0)</f>
        <v>47000</v>
      </c>
      <c r="AB141" s="226">
        <f>VLOOKUP($U141,计算辅助页面!$Z$5:$AM$26,COLUMN()-20,0)</f>
        <v>66000</v>
      </c>
      <c r="AC141" s="226">
        <f>VLOOKUP($U141,计算辅助页面!$Z$5:$AM$26,COLUMN()-20,0)</f>
        <v>92500</v>
      </c>
      <c r="AD141" s="226">
        <f>VLOOKUP($U141,计算辅助页面!$Z$5:$AM$26,COLUMN()-20,0)</f>
        <v>129500</v>
      </c>
      <c r="AE141" s="226">
        <f>VLOOKUP($U141,计算辅助页面!$Z$5:$AM$26,COLUMN()-20,0)</f>
        <v>181000</v>
      </c>
      <c r="AF141" s="226">
        <f>VLOOKUP($U141,计算辅助页面!$Z$5:$AM$26,COLUMN()-20,0)</f>
        <v>254000</v>
      </c>
      <c r="AG141" s="226" t="str">
        <f>VLOOKUP($U141,计算辅助页面!$Z$5:$AM$26,COLUMN()-20,0)</f>
        <v>×</v>
      </c>
      <c r="AH141" s="173">
        <f>VLOOKUP($U141,计算辅助页面!$Z$5:$AM$26,COLUMN()-20,0)</f>
        <v>3466240</v>
      </c>
      <c r="AI141" s="267">
        <v>30000</v>
      </c>
      <c r="AJ141" s="260">
        <f>VLOOKUP(D141&amp;E141,计算辅助页面!$V$5:$Y$18,2,0)</f>
        <v>6</v>
      </c>
      <c r="AK141" s="174">
        <f t="shared" si="155"/>
        <v>60000</v>
      </c>
      <c r="AL141" s="174">
        <f>VLOOKUP(D141&amp;E141,计算辅助页面!$V$5:$Y$18,3,0)</f>
        <v>5</v>
      </c>
      <c r="AM141" s="179">
        <f t="shared" si="156"/>
        <v>180000</v>
      </c>
      <c r="AN141" s="179">
        <f>VLOOKUP(D141&amp;E141,计算辅助页面!$V$5:$Y$18,4,0)</f>
        <v>3</v>
      </c>
      <c r="AO141" s="173">
        <f t="shared" si="157"/>
        <v>4080000</v>
      </c>
      <c r="AP141" s="195">
        <f t="shared" si="158"/>
        <v>7546240</v>
      </c>
      <c r="AQ141" s="365" t="s">
        <v>569</v>
      </c>
      <c r="AR141" s="366" t="str">
        <f t="shared" si="221"/>
        <v>P1™</v>
      </c>
      <c r="AS141" s="352" t="s">
        <v>603</v>
      </c>
      <c r="AT141" s="353" t="s">
        <v>662</v>
      </c>
      <c r="AU141" s="327" t="s">
        <v>712</v>
      </c>
      <c r="AV141" s="357">
        <v>11</v>
      </c>
      <c r="AW141" s="357">
        <v>379</v>
      </c>
      <c r="AY141" s="357">
        <v>503</v>
      </c>
      <c r="AZ141" s="357" t="s">
        <v>1110</v>
      </c>
      <c r="BA141" s="369"/>
      <c r="BB141" s="369"/>
      <c r="BC141" s="369">
        <v>1</v>
      </c>
      <c r="BD141" s="369">
        <v>1</v>
      </c>
      <c r="BE141" s="369"/>
      <c r="BF141" s="369"/>
      <c r="BG141" s="369"/>
      <c r="BH141" s="369"/>
      <c r="BI141" s="369"/>
      <c r="BJ141" s="369"/>
      <c r="BK141" s="369"/>
      <c r="BL141" s="369"/>
      <c r="BM141" s="369"/>
      <c r="BN141" s="369"/>
      <c r="BO141" s="369"/>
      <c r="BP141" s="369"/>
      <c r="BQ141" s="369">
        <v>1</v>
      </c>
      <c r="BR141" s="369"/>
      <c r="BS141" s="369"/>
      <c r="BT141" s="369">
        <v>1</v>
      </c>
      <c r="BU141" s="387" t="s">
        <v>1165</v>
      </c>
      <c r="BV141" s="326"/>
      <c r="BW141" s="326"/>
      <c r="BX141" s="326"/>
      <c r="BY141" s="367">
        <v>350</v>
      </c>
      <c r="BZ141" s="368">
        <v>74.8</v>
      </c>
      <c r="CA141" s="368">
        <v>39.979999999999997</v>
      </c>
      <c r="CB141" s="368">
        <v>53.74</v>
      </c>
      <c r="CC141" s="368">
        <f t="shared" si="159"/>
        <v>14.600000000000023</v>
      </c>
      <c r="CD141" s="368">
        <f t="shared" si="160"/>
        <v>8.8400000000000034</v>
      </c>
      <c r="CE141" s="368">
        <f t="shared" si="161"/>
        <v>7.5600000000000023</v>
      </c>
      <c r="CF141" s="368">
        <f t="shared" si="162"/>
        <v>9.1499999999999986</v>
      </c>
      <c r="CG141" s="368">
        <f t="shared" si="163"/>
        <v>40.150000000000027</v>
      </c>
      <c r="CH141" s="368">
        <f t="shared" si="164"/>
        <v>40.396800000000013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2" t="s">
        <v>997</v>
      </c>
      <c r="C142" s="86" t="s">
        <v>996</v>
      </c>
      <c r="D142" s="255" t="s">
        <v>8</v>
      </c>
      <c r="E142" s="247" t="s">
        <v>78</v>
      </c>
      <c r="F142" s="230"/>
      <c r="G142" s="229"/>
      <c r="H142" s="236" t="s">
        <v>449</v>
      </c>
      <c r="I142" s="236">
        <v>28</v>
      </c>
      <c r="J142" s="236">
        <v>32</v>
      </c>
      <c r="K142" s="236">
        <v>44</v>
      </c>
      <c r="L142" s="236">
        <v>83</v>
      </c>
      <c r="M142" s="222" t="s">
        <v>59</v>
      </c>
      <c r="N142" s="226">
        <f t="shared" si="165"/>
        <v>187</v>
      </c>
      <c r="O142" s="53">
        <v>3678</v>
      </c>
      <c r="P142" s="210">
        <v>350.1</v>
      </c>
      <c r="Q142" s="217">
        <v>79.430000000000007</v>
      </c>
      <c r="R142" s="217">
        <v>73.540000000000006</v>
      </c>
      <c r="S142" s="217">
        <v>73.67</v>
      </c>
      <c r="T142" s="217"/>
      <c r="U142" s="85">
        <v>9550</v>
      </c>
      <c r="V142" s="292">
        <f>VLOOKUP($U142,计算辅助页面!$Z$5:$AM$26,COLUMN()-20,0)</f>
        <v>15600</v>
      </c>
      <c r="W142" s="292">
        <f>VLOOKUP($U142,计算辅助页面!$Z$5:$AM$26,COLUMN()-20,0)</f>
        <v>24900</v>
      </c>
      <c r="X142" s="226">
        <f>VLOOKUP($U142,计算辅助页面!$Z$5:$AM$26,COLUMN()-20,0)</f>
        <v>37400</v>
      </c>
      <c r="Y142" s="226">
        <f>VLOOKUP($U142,计算辅助页面!$Z$5:$AM$26,COLUMN()-20,0)</f>
        <v>54000</v>
      </c>
      <c r="Z142" s="293">
        <f>VLOOKUP($U142,计算辅助页面!$Z$5:$AM$26,COLUMN()-20,0)</f>
        <v>75500</v>
      </c>
      <c r="AA142" s="226">
        <f>VLOOKUP($U142,计算辅助页面!$Z$5:$AM$26,COLUMN()-20,0)</f>
        <v>105500</v>
      </c>
      <c r="AB142" s="226">
        <f>VLOOKUP($U142,计算辅助页面!$Z$5:$AM$26,COLUMN()-20,0)</f>
        <v>148000</v>
      </c>
      <c r="AC142" s="226">
        <f>VLOOKUP($U142,计算辅助页面!$Z$5:$AM$26,COLUMN()-20,0)</f>
        <v>207500</v>
      </c>
      <c r="AD142" s="226">
        <f>VLOOKUP($U142,计算辅助页面!$Z$5:$AM$26,COLUMN()-20,0)</f>
        <v>290000</v>
      </c>
      <c r="AE142" s="226">
        <f>VLOOKUP($U142,计算辅助页面!$Z$5:$AM$26,COLUMN()-20,0)</f>
        <v>406000</v>
      </c>
      <c r="AF142" s="226">
        <f>VLOOKUP($U142,计算辅助页面!$Z$5:$AM$26,COLUMN()-20,0)</f>
        <v>569000</v>
      </c>
      <c r="AG142" s="226" t="str">
        <f>VLOOKUP($U142,计算辅助页面!$Z$5:$AM$26,COLUMN()-20,0)</f>
        <v>×</v>
      </c>
      <c r="AH142" s="173">
        <f>VLOOKUP($U142,计算辅助页面!$Z$5:$AM$26,COLUMN()-20,0)</f>
        <v>7771800</v>
      </c>
      <c r="AI142" s="268">
        <v>60000</v>
      </c>
      <c r="AJ142" s="260">
        <f>VLOOKUP(D142&amp;E142,计算辅助页面!$V$5:$Y$18,2,0)</f>
        <v>6</v>
      </c>
      <c r="AK142" s="174">
        <f t="shared" ref="AK142" si="227">IF(AI142,2*AI142,"")</f>
        <v>120000</v>
      </c>
      <c r="AL142" s="174">
        <f>VLOOKUP(D142&amp;E142,计算辅助页面!$V$5:$Y$18,3,0)</f>
        <v>5</v>
      </c>
      <c r="AM142" s="179">
        <f t="shared" ref="AM142" si="228">IF(AN142="×",AN142,IF(AI142,6*AI142,""))</f>
        <v>360000</v>
      </c>
      <c r="AN142" s="179">
        <f>VLOOKUP(D142&amp;E142,计算辅助页面!$V$5:$Y$18,4,0)</f>
        <v>3</v>
      </c>
      <c r="AO142" s="173">
        <f t="shared" ref="AO142" si="229">IF(AI142,IF(AN142="×",4*(AI142*AJ142+AK142*AL142),4*(AI142*AJ142+AK142*AL142+AM142*AN142)),"")</f>
        <v>8160000</v>
      </c>
      <c r="AP142" s="195">
        <f t="shared" ref="AP142" si="230">IF(AND(AH142,AO142),AO142+AH142,"")</f>
        <v>15931800</v>
      </c>
      <c r="AQ142" s="365" t="s">
        <v>901</v>
      </c>
      <c r="AR142" s="366" t="str">
        <f t="shared" si="221"/>
        <v>Zonda HP Barchetta🔑</v>
      </c>
      <c r="AS142" s="352" t="s">
        <v>991</v>
      </c>
      <c r="AT142" s="353" t="s">
        <v>998</v>
      </c>
      <c r="AU142" s="327" t="s">
        <v>712</v>
      </c>
      <c r="AW142" s="357">
        <v>364</v>
      </c>
      <c r="AY142" s="357">
        <v>478</v>
      </c>
      <c r="AZ142" s="357" t="s">
        <v>1115</v>
      </c>
      <c r="BA142" s="369"/>
      <c r="BB142" s="369"/>
      <c r="BC142" s="369"/>
      <c r="BD142" s="369"/>
      <c r="BE142" s="369"/>
      <c r="BF142" s="369"/>
      <c r="BG142" s="369"/>
      <c r="BH142" s="369"/>
      <c r="BI142" s="369"/>
      <c r="BJ142" s="369"/>
      <c r="BK142" s="369"/>
      <c r="BL142" s="369">
        <v>1</v>
      </c>
      <c r="BM142" s="369"/>
      <c r="BN142" s="369">
        <v>1</v>
      </c>
      <c r="BO142" s="369">
        <v>1</v>
      </c>
      <c r="BP142" s="369"/>
      <c r="BQ142" s="369"/>
      <c r="BR142" s="369" t="s">
        <v>1146</v>
      </c>
      <c r="BS142" s="369"/>
      <c r="BT142" s="369"/>
      <c r="BU142" s="387" t="s">
        <v>1183</v>
      </c>
      <c r="BV142" s="326"/>
      <c r="BW142" s="326"/>
      <c r="BX142" s="326"/>
      <c r="BY142" s="367"/>
      <c r="BZ142" s="368"/>
      <c r="CA142" s="368"/>
      <c r="CB142" s="368"/>
      <c r="CC142" s="368"/>
      <c r="CD142" s="368"/>
      <c r="CE142" s="368"/>
      <c r="CF142" s="368"/>
      <c r="CG142" s="368"/>
      <c r="CH142" s="368"/>
      <c r="CI142" s="42"/>
      <c r="CJ142" s="42"/>
      <c r="CK142" s="42"/>
      <c r="CL142" s="42"/>
    </row>
    <row r="143" spans="1:90" ht="21" customHeight="1">
      <c r="A143" s="80">
        <v>141</v>
      </c>
      <c r="B143" s="49" t="s">
        <v>125</v>
      </c>
      <c r="C143" s="86" t="s">
        <v>799</v>
      </c>
      <c r="D143" s="255" t="s">
        <v>8</v>
      </c>
      <c r="E143" s="247" t="s">
        <v>78</v>
      </c>
      <c r="F143" s="173">
        <f t="shared" ref="F143:F159" si="231">9-LEN(E143)-LEN(SUBSTITUTE(E143,"★",""))</f>
        <v>4</v>
      </c>
      <c r="G143" s="83" t="s">
        <v>71</v>
      </c>
      <c r="H143" s="222">
        <v>35</v>
      </c>
      <c r="I143" s="222">
        <v>12</v>
      </c>
      <c r="J143" s="222">
        <v>15</v>
      </c>
      <c r="K143" s="222">
        <v>24</v>
      </c>
      <c r="L143" s="222">
        <v>36</v>
      </c>
      <c r="M143" s="222" t="s">
        <v>59</v>
      </c>
      <c r="N143" s="226">
        <f t="shared" si="165"/>
        <v>122</v>
      </c>
      <c r="O143" s="51">
        <v>3763</v>
      </c>
      <c r="P143" s="209">
        <v>367.9</v>
      </c>
      <c r="Q143" s="216">
        <v>80.83</v>
      </c>
      <c r="R143" s="216">
        <v>50.15</v>
      </c>
      <c r="S143" s="216">
        <v>70.599999999999994</v>
      </c>
      <c r="T143" s="216">
        <v>7.2329999999999997</v>
      </c>
      <c r="U143" s="84">
        <v>4260</v>
      </c>
      <c r="V143" s="292">
        <f>VLOOKUP($U143,计算辅助页面!$Z$5:$AM$26,COLUMN()-20,0)</f>
        <v>6900</v>
      </c>
      <c r="W143" s="292">
        <f>VLOOKUP($U143,计算辅助页面!$Z$5:$AM$26,COLUMN()-20,0)</f>
        <v>11100</v>
      </c>
      <c r="X143" s="226">
        <f>VLOOKUP($U143,计算辅助页面!$Z$5:$AM$26,COLUMN()-20,0)</f>
        <v>16700</v>
      </c>
      <c r="Y143" s="226">
        <f>VLOOKUP($U143,计算辅助页面!$Z$5:$AM$26,COLUMN()-20,0)</f>
        <v>24100</v>
      </c>
      <c r="Z143" s="293">
        <f>VLOOKUP($U143,计算辅助页面!$Z$5:$AM$26,COLUMN()-20,0)</f>
        <v>33500</v>
      </c>
      <c r="AA143" s="226">
        <f>VLOOKUP($U143,计算辅助页面!$Z$5:$AM$26,COLUMN()-20,0)</f>
        <v>47000</v>
      </c>
      <c r="AB143" s="226">
        <f>VLOOKUP($U143,计算辅助页面!$Z$5:$AM$26,COLUMN()-20,0)</f>
        <v>66000</v>
      </c>
      <c r="AC143" s="226">
        <f>VLOOKUP($U143,计算辅助页面!$Z$5:$AM$26,COLUMN()-20,0)</f>
        <v>92500</v>
      </c>
      <c r="AD143" s="226">
        <f>VLOOKUP($U143,计算辅助页面!$Z$5:$AM$26,COLUMN()-20,0)</f>
        <v>129500</v>
      </c>
      <c r="AE143" s="226">
        <f>VLOOKUP($U143,计算辅助页面!$Z$5:$AM$26,COLUMN()-20,0)</f>
        <v>181000</v>
      </c>
      <c r="AF143" s="226">
        <f>VLOOKUP($U143,计算辅助页面!$Z$5:$AM$26,COLUMN()-20,0)</f>
        <v>254000</v>
      </c>
      <c r="AG143" s="226" t="str">
        <f>VLOOKUP($U143,计算辅助页面!$Z$5:$AM$26,COLUMN()-20,0)</f>
        <v>×</v>
      </c>
      <c r="AH143" s="173">
        <f>VLOOKUP($U143,计算辅助页面!$Z$5:$AM$26,COLUMN()-20,0)</f>
        <v>3466240</v>
      </c>
      <c r="AI143" s="267">
        <v>30000</v>
      </c>
      <c r="AJ143" s="260">
        <f>VLOOKUP(D143&amp;E143,计算辅助页面!$V$5:$Y$18,2,0)</f>
        <v>6</v>
      </c>
      <c r="AK143" s="174">
        <f t="shared" ref="AK143:AK167" si="232">IF(AI143,2*AI143,"")</f>
        <v>60000</v>
      </c>
      <c r="AL143" s="174">
        <f>VLOOKUP(D143&amp;E143,计算辅助页面!$V$5:$Y$18,3,0)</f>
        <v>5</v>
      </c>
      <c r="AM143" s="179">
        <f t="shared" ref="AM143:AM167" si="233">IF(AN143="×",AN143,IF(AI143,6*AI143,""))</f>
        <v>180000</v>
      </c>
      <c r="AN143" s="179">
        <f>VLOOKUP(D143&amp;E143,计算辅助页面!$V$5:$Y$18,4,0)</f>
        <v>3</v>
      </c>
      <c r="AO143" s="173">
        <f t="shared" ref="AO143:AO167" si="234">IF(AI143,IF(AN143="×",4*(AI143*AJ143+AK143*AL143),4*(AI143*AJ143+AK143*AL143+AM143*AN143)),"")</f>
        <v>4080000</v>
      </c>
      <c r="AP143" s="195">
        <f t="shared" ref="AP143:AP167" si="235">IF(AND(AH143,AO143),AO143+AH143,"")</f>
        <v>7546240</v>
      </c>
      <c r="AQ143" s="365" t="s">
        <v>566</v>
      </c>
      <c r="AR143" s="366" t="str">
        <f t="shared" si="221"/>
        <v>Aventador SV Coupe</v>
      </c>
      <c r="AS143" s="352" t="s">
        <v>603</v>
      </c>
      <c r="AT143" s="353" t="s">
        <v>667</v>
      </c>
      <c r="AU143" s="327" t="s">
        <v>712</v>
      </c>
      <c r="AV143" s="357">
        <v>12</v>
      </c>
      <c r="AW143" s="357">
        <v>382</v>
      </c>
      <c r="AY143" s="357">
        <v>509</v>
      </c>
      <c r="AZ143" s="357" t="s">
        <v>1110</v>
      </c>
      <c r="BA143" s="369"/>
      <c r="BB143" s="369"/>
      <c r="BC143" s="369">
        <v>1</v>
      </c>
      <c r="BD143" s="369">
        <v>1</v>
      </c>
      <c r="BE143" s="369"/>
      <c r="BF143" s="369">
        <v>1</v>
      </c>
      <c r="BG143" s="369"/>
      <c r="BH143" s="369"/>
      <c r="BI143" s="369"/>
      <c r="BJ143" s="369"/>
      <c r="BK143" s="369"/>
      <c r="BL143" s="369"/>
      <c r="BM143" s="369"/>
      <c r="BN143" s="369"/>
      <c r="BO143" s="369"/>
      <c r="BP143" s="369"/>
      <c r="BQ143" s="369">
        <v>1</v>
      </c>
      <c r="BR143" s="369"/>
      <c r="BS143" s="369"/>
      <c r="BT143" s="369">
        <v>1</v>
      </c>
      <c r="BU143" s="387" t="s">
        <v>1184</v>
      </c>
      <c r="BV143" s="326"/>
      <c r="BW143" s="326"/>
      <c r="BX143" s="326"/>
      <c r="BY143" s="367">
        <v>350</v>
      </c>
      <c r="BZ143" s="368">
        <v>74.8</v>
      </c>
      <c r="CA143" s="368">
        <v>41.51</v>
      </c>
      <c r="CB143" s="368">
        <v>59.86</v>
      </c>
      <c r="CC143" s="368">
        <f t="shared" ref="CC143:CC167" si="236">P143-BY143</f>
        <v>17.899999999999977</v>
      </c>
      <c r="CD143" s="368">
        <f t="shared" ref="CD143:CD167" si="237">Q143-BZ143</f>
        <v>6.0300000000000011</v>
      </c>
      <c r="CE143" s="368">
        <f t="shared" ref="CE143:CE167" si="238">R143-CA143</f>
        <v>8.64</v>
      </c>
      <c r="CF143" s="368">
        <f t="shared" ref="CF143:CF167" si="239">S143-CB143</f>
        <v>10.739999999999995</v>
      </c>
      <c r="CG143" s="368">
        <f t="shared" ref="CG143:CG167" si="240">SUM(CC143:CF143)</f>
        <v>43.309999999999974</v>
      </c>
      <c r="CH143" s="368">
        <f t="shared" ref="CH143:CH167" si="241">0.32*(P143-BY143)+1.75*(Q143-BZ143)+1.13*(R143-CA143)+1.28*(S143-CB143)</f>
        <v>39.790899999999986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49" t="s">
        <v>194</v>
      </c>
      <c r="C144" s="86">
        <v>812</v>
      </c>
      <c r="D144" s="255" t="s">
        <v>8</v>
      </c>
      <c r="E144" s="247" t="s">
        <v>78</v>
      </c>
      <c r="F144" s="173">
        <f t="shared" si="231"/>
        <v>4</v>
      </c>
      <c r="G144" s="83" t="s">
        <v>71</v>
      </c>
      <c r="H144" s="222">
        <v>50</v>
      </c>
      <c r="I144" s="222">
        <v>23</v>
      </c>
      <c r="J144" s="222">
        <v>27</v>
      </c>
      <c r="K144" s="222">
        <v>36</v>
      </c>
      <c r="L144" s="222">
        <v>51</v>
      </c>
      <c r="M144" s="222" t="s">
        <v>59</v>
      </c>
      <c r="N144" s="226">
        <f t="shared" si="165"/>
        <v>187</v>
      </c>
      <c r="O144" s="51">
        <v>3827</v>
      </c>
      <c r="P144" s="209">
        <v>353.6</v>
      </c>
      <c r="Q144" s="216">
        <v>81.13</v>
      </c>
      <c r="R144" s="216">
        <v>63.17</v>
      </c>
      <c r="S144" s="216">
        <v>74.33</v>
      </c>
      <c r="T144" s="225">
        <v>8.1999999999999993</v>
      </c>
      <c r="U144" s="84">
        <v>9550</v>
      </c>
      <c r="V144" s="292">
        <f>VLOOKUP($U144,计算辅助页面!$Z$5:$AM$26,COLUMN()-20,0)</f>
        <v>15600</v>
      </c>
      <c r="W144" s="292">
        <f>VLOOKUP($U144,计算辅助页面!$Z$5:$AM$26,COLUMN()-20,0)</f>
        <v>24900</v>
      </c>
      <c r="X144" s="226">
        <f>VLOOKUP($U144,计算辅助页面!$Z$5:$AM$26,COLUMN()-20,0)</f>
        <v>37400</v>
      </c>
      <c r="Y144" s="226">
        <f>VLOOKUP($U144,计算辅助页面!$Z$5:$AM$26,COLUMN()-20,0)</f>
        <v>54000</v>
      </c>
      <c r="Z144" s="293">
        <f>VLOOKUP($U144,计算辅助页面!$Z$5:$AM$26,COLUMN()-20,0)</f>
        <v>75500</v>
      </c>
      <c r="AA144" s="226">
        <f>VLOOKUP($U144,计算辅助页面!$Z$5:$AM$26,COLUMN()-20,0)</f>
        <v>105500</v>
      </c>
      <c r="AB144" s="226">
        <f>VLOOKUP($U144,计算辅助页面!$Z$5:$AM$26,COLUMN()-20,0)</f>
        <v>148000</v>
      </c>
      <c r="AC144" s="226">
        <f>VLOOKUP($U144,计算辅助页面!$Z$5:$AM$26,COLUMN()-20,0)</f>
        <v>207500</v>
      </c>
      <c r="AD144" s="226">
        <f>VLOOKUP($U144,计算辅助页面!$Z$5:$AM$26,COLUMN()-20,0)</f>
        <v>290000</v>
      </c>
      <c r="AE144" s="226">
        <f>VLOOKUP($U144,计算辅助页面!$Z$5:$AM$26,COLUMN()-20,0)</f>
        <v>406000</v>
      </c>
      <c r="AF144" s="226">
        <f>VLOOKUP($U144,计算辅助页面!$Z$5:$AM$26,COLUMN()-20,0)</f>
        <v>569000</v>
      </c>
      <c r="AG144" s="226" t="str">
        <f>VLOOKUP($U144,计算辅助页面!$Z$5:$AM$26,COLUMN()-20,0)</f>
        <v>×</v>
      </c>
      <c r="AH144" s="173">
        <f>VLOOKUP($U144,计算辅助页面!$Z$5:$AM$26,COLUMN()-20,0)</f>
        <v>7771800</v>
      </c>
      <c r="AI144" s="267">
        <v>60000</v>
      </c>
      <c r="AJ144" s="260">
        <f>VLOOKUP(D144&amp;E144,计算辅助页面!$V$5:$Y$18,2,0)</f>
        <v>6</v>
      </c>
      <c r="AK144" s="174">
        <f t="shared" si="232"/>
        <v>120000</v>
      </c>
      <c r="AL144" s="174">
        <f>VLOOKUP(D144&amp;E144,计算辅助页面!$V$5:$Y$18,3,0)</f>
        <v>5</v>
      </c>
      <c r="AM144" s="179">
        <f t="shared" si="233"/>
        <v>360000</v>
      </c>
      <c r="AN144" s="179">
        <f>VLOOKUP(D144&amp;E144,计算辅助页面!$V$5:$Y$18,4,0)</f>
        <v>3</v>
      </c>
      <c r="AO144" s="173">
        <f t="shared" si="234"/>
        <v>8160000</v>
      </c>
      <c r="AP144" s="195">
        <f t="shared" si="235"/>
        <v>15931800</v>
      </c>
      <c r="AQ144" s="365" t="s">
        <v>568</v>
      </c>
      <c r="AR144" s="366" t="str">
        <f t="shared" si="221"/>
        <v>812 SuperFast</v>
      </c>
      <c r="AS144" s="352" t="s">
        <v>955</v>
      </c>
      <c r="AT144" s="353" t="s">
        <v>649</v>
      </c>
      <c r="AU144" s="327" t="s">
        <v>712</v>
      </c>
      <c r="AW144" s="357">
        <v>368</v>
      </c>
      <c r="AY144" s="357">
        <v>484</v>
      </c>
      <c r="AZ144" s="357" t="s">
        <v>1111</v>
      </c>
      <c r="BA144" s="369"/>
      <c r="BB144" s="369"/>
      <c r="BC144" s="369"/>
      <c r="BD144" s="369">
        <v>1</v>
      </c>
      <c r="BE144" s="369"/>
      <c r="BF144" s="369"/>
      <c r="BG144" s="369"/>
      <c r="BH144" s="369"/>
      <c r="BI144" s="369"/>
      <c r="BJ144" s="369"/>
      <c r="BK144" s="369"/>
      <c r="BL144" s="369"/>
      <c r="BM144" s="369"/>
      <c r="BN144" s="369"/>
      <c r="BO144" s="369"/>
      <c r="BP144" s="369"/>
      <c r="BQ144" s="369"/>
      <c r="BR144" s="369"/>
      <c r="BS144" s="369"/>
      <c r="BT144" s="369">
        <v>1</v>
      </c>
      <c r="BU144" s="387" t="s">
        <v>1185</v>
      </c>
      <c r="BV144" s="326">
        <v>1</v>
      </c>
      <c r="BW144" s="326"/>
      <c r="BX144" s="326"/>
      <c r="BY144" s="367">
        <v>340</v>
      </c>
      <c r="BZ144" s="368">
        <v>73.900000000000006</v>
      </c>
      <c r="CA144" s="368">
        <v>46.64</v>
      </c>
      <c r="CB144" s="368">
        <v>60.62</v>
      </c>
      <c r="CC144" s="368">
        <f t="shared" si="236"/>
        <v>13.600000000000023</v>
      </c>
      <c r="CD144" s="368">
        <f t="shared" si="237"/>
        <v>7.2299999999999898</v>
      </c>
      <c r="CE144" s="368">
        <f t="shared" si="238"/>
        <v>16.53</v>
      </c>
      <c r="CF144" s="368">
        <f t="shared" si="239"/>
        <v>13.71</v>
      </c>
      <c r="CG144" s="368">
        <f t="shared" si="240"/>
        <v>51.070000000000014</v>
      </c>
      <c r="CH144" s="368">
        <f t="shared" si="241"/>
        <v>53.232199999999992</v>
      </c>
      <c r="CI144" s="42"/>
      <c r="CJ144" s="42"/>
      <c r="CK144" s="42"/>
      <c r="CL144" s="42"/>
    </row>
    <row r="145" spans="1:90" ht="21" customHeight="1">
      <c r="A145" s="80">
        <v>143</v>
      </c>
      <c r="B145" s="52" t="s">
        <v>1103</v>
      </c>
      <c r="C145" s="86" t="s">
        <v>1011</v>
      </c>
      <c r="D145" s="255" t="s">
        <v>8</v>
      </c>
      <c r="E145" s="247" t="s">
        <v>78</v>
      </c>
      <c r="F145" s="230"/>
      <c r="G145" s="229"/>
      <c r="H145" s="236" t="s">
        <v>449</v>
      </c>
      <c r="I145" s="236">
        <v>28</v>
      </c>
      <c r="J145" s="236">
        <v>32</v>
      </c>
      <c r="K145" s="236">
        <v>44</v>
      </c>
      <c r="L145" s="236">
        <v>83</v>
      </c>
      <c r="M145" s="222" t="s">
        <v>59</v>
      </c>
      <c r="N145" s="226">
        <f t="shared" ref="N145" si="242">IF(COUNTBLANK(H145:M145),"",SUM(H145:M145))</f>
        <v>187</v>
      </c>
      <c r="O145" s="53">
        <v>3846</v>
      </c>
      <c r="P145" s="210">
        <v>349.8</v>
      </c>
      <c r="Q145" s="217">
        <v>82.43</v>
      </c>
      <c r="R145" s="217">
        <v>79.319999999999993</v>
      </c>
      <c r="S145" s="217">
        <v>65.28</v>
      </c>
      <c r="T145" s="217"/>
      <c r="U145" s="85"/>
      <c r="V145" s="294"/>
      <c r="W145" s="294"/>
      <c r="X145" s="243"/>
      <c r="Y145" s="243"/>
      <c r="Z145" s="303"/>
      <c r="AA145" s="243"/>
      <c r="AB145" s="243"/>
      <c r="AC145" s="243"/>
      <c r="AD145" s="243"/>
      <c r="AE145" s="243"/>
      <c r="AF145" s="243"/>
      <c r="AG145" s="243"/>
      <c r="AH145" s="230"/>
      <c r="AI145" s="268"/>
      <c r="AJ145" s="260">
        <f>VLOOKUP(D145&amp;E145,计算辅助页面!$V$5:$Y$18,2,0)</f>
        <v>6</v>
      </c>
      <c r="AK145" s="189"/>
      <c r="AL145" s="174">
        <f>VLOOKUP(D145&amp;E145,计算辅助页面!$V$5:$Y$18,3,0)</f>
        <v>5</v>
      </c>
      <c r="AM145" s="193"/>
      <c r="AN145" s="179">
        <f>VLOOKUP(D145&amp;E145,计算辅助页面!$V$5:$Y$18,4,0)</f>
        <v>3</v>
      </c>
      <c r="AO145" s="230"/>
      <c r="AP145" s="195"/>
      <c r="AQ145" s="365" t="s">
        <v>1055</v>
      </c>
      <c r="AR145" s="366" t="str">
        <f t="shared" si="221"/>
        <v>Mclaren Senna GTR™🔑</v>
      </c>
      <c r="AS145" s="352" t="s">
        <v>1082</v>
      </c>
      <c r="AT145" s="353" t="s">
        <v>1079</v>
      </c>
      <c r="AU145" s="327" t="s">
        <v>712</v>
      </c>
      <c r="AW145" s="357">
        <v>364</v>
      </c>
      <c r="AY145" s="357">
        <v>477</v>
      </c>
      <c r="AZ145" s="357" t="s">
        <v>1115</v>
      </c>
      <c r="BA145" s="369"/>
      <c r="BB145" s="369"/>
      <c r="BC145" s="369"/>
      <c r="BD145" s="369"/>
      <c r="BE145" s="369"/>
      <c r="BF145" s="369"/>
      <c r="BG145" s="369"/>
      <c r="BH145" s="369"/>
      <c r="BI145" s="369"/>
      <c r="BJ145" s="369"/>
      <c r="BK145" s="369"/>
      <c r="BL145" s="369"/>
      <c r="BM145" s="369"/>
      <c r="BN145" s="369">
        <v>1</v>
      </c>
      <c r="BO145" s="369"/>
      <c r="BP145" s="369"/>
      <c r="BQ145" s="369"/>
      <c r="BR145" s="369"/>
      <c r="BS145" s="369"/>
      <c r="BT145" s="369"/>
      <c r="BU145" s="387" t="s">
        <v>1186</v>
      </c>
      <c r="BV145" s="326"/>
      <c r="BW145" s="326"/>
      <c r="BX145" s="326"/>
      <c r="BY145" s="367">
        <v>335</v>
      </c>
      <c r="BZ145" s="368">
        <v>74.8</v>
      </c>
      <c r="CA145" s="368">
        <v>57.64</v>
      </c>
      <c r="CB145" s="368">
        <v>49.12</v>
      </c>
      <c r="CC145" s="368">
        <v>6.72</v>
      </c>
      <c r="CD145" s="368"/>
      <c r="CE145" s="368"/>
      <c r="CF145" s="368"/>
      <c r="CG145" s="368"/>
      <c r="CH145" s="368"/>
      <c r="CI145" s="42"/>
      <c r="CJ145" s="42"/>
      <c r="CK145" s="42"/>
      <c r="CL145" s="42"/>
    </row>
    <row r="146" spans="1:90" ht="21" customHeight="1" thickBot="1">
      <c r="A146" s="48">
        <v>144</v>
      </c>
      <c r="B146" s="52" t="s">
        <v>397</v>
      </c>
      <c r="C146" s="86" t="s">
        <v>800</v>
      </c>
      <c r="D146" s="255" t="s">
        <v>8</v>
      </c>
      <c r="E146" s="247" t="s">
        <v>78</v>
      </c>
      <c r="F146" s="173">
        <f t="shared" si="231"/>
        <v>4</v>
      </c>
      <c r="G146" s="83" t="s">
        <v>71</v>
      </c>
      <c r="H146" s="222">
        <v>50</v>
      </c>
      <c r="I146" s="222">
        <v>23</v>
      </c>
      <c r="J146" s="222">
        <v>27</v>
      </c>
      <c r="K146" s="222">
        <v>36</v>
      </c>
      <c r="L146" s="222">
        <v>51</v>
      </c>
      <c r="M146" s="222" t="s">
        <v>59</v>
      </c>
      <c r="N146" s="226">
        <f t="shared" si="165"/>
        <v>187</v>
      </c>
      <c r="O146" s="53">
        <v>3876</v>
      </c>
      <c r="P146" s="210">
        <v>355.4</v>
      </c>
      <c r="Q146" s="217">
        <v>82.03</v>
      </c>
      <c r="R146" s="217">
        <v>60.09</v>
      </c>
      <c r="S146" s="217">
        <v>76.33</v>
      </c>
      <c r="T146" s="217">
        <v>8.8000000000000007</v>
      </c>
      <c r="U146" s="84">
        <v>9550</v>
      </c>
      <c r="V146" s="292">
        <f>VLOOKUP($U146,计算辅助页面!$Z$5:$AM$26,COLUMN()-20,0)</f>
        <v>15600</v>
      </c>
      <c r="W146" s="292">
        <f>VLOOKUP($U146,计算辅助页面!$Z$5:$AM$26,COLUMN()-20,0)</f>
        <v>24900</v>
      </c>
      <c r="X146" s="226">
        <f>VLOOKUP($U146,计算辅助页面!$Z$5:$AM$26,COLUMN()-20,0)</f>
        <v>37400</v>
      </c>
      <c r="Y146" s="226">
        <f>VLOOKUP($U146,计算辅助页面!$Z$5:$AM$26,COLUMN()-20,0)</f>
        <v>54000</v>
      </c>
      <c r="Z146" s="293">
        <f>VLOOKUP($U146,计算辅助页面!$Z$5:$AM$26,COLUMN()-20,0)</f>
        <v>75500</v>
      </c>
      <c r="AA146" s="226">
        <f>VLOOKUP($U146,计算辅助页面!$Z$5:$AM$26,COLUMN()-20,0)</f>
        <v>105500</v>
      </c>
      <c r="AB146" s="226">
        <f>VLOOKUP($U146,计算辅助页面!$Z$5:$AM$26,COLUMN()-20,0)</f>
        <v>148000</v>
      </c>
      <c r="AC146" s="226">
        <f>VLOOKUP($U146,计算辅助页面!$Z$5:$AM$26,COLUMN()-20,0)</f>
        <v>207500</v>
      </c>
      <c r="AD146" s="226">
        <f>VLOOKUP($U146,计算辅助页面!$Z$5:$AM$26,COLUMN()-20,0)</f>
        <v>290000</v>
      </c>
      <c r="AE146" s="226">
        <f>VLOOKUP($U146,计算辅助页面!$Z$5:$AM$26,COLUMN()-20,0)</f>
        <v>406000</v>
      </c>
      <c r="AF146" s="226">
        <f>VLOOKUP($U146,计算辅助页面!$Z$5:$AM$26,COLUMN()-20,0)</f>
        <v>569000</v>
      </c>
      <c r="AG146" s="226" t="str">
        <f>VLOOKUP($U146,计算辅助页面!$Z$5:$AM$26,COLUMN()-20,0)</f>
        <v>×</v>
      </c>
      <c r="AH146" s="173">
        <f>VLOOKUP($U146,计算辅助页面!$Z$5:$AM$26,COLUMN()-20,0)</f>
        <v>7771800</v>
      </c>
      <c r="AI146" s="267">
        <v>60000</v>
      </c>
      <c r="AJ146" s="260">
        <f>VLOOKUP(D146&amp;E146,计算辅助页面!$V$5:$Y$18,2,0)</f>
        <v>6</v>
      </c>
      <c r="AK146" s="174">
        <f t="shared" si="232"/>
        <v>120000</v>
      </c>
      <c r="AL146" s="174">
        <f>VLOOKUP(D146&amp;E146,计算辅助页面!$V$5:$Y$18,3,0)</f>
        <v>5</v>
      </c>
      <c r="AM146" s="179">
        <f t="shared" si="233"/>
        <v>360000</v>
      </c>
      <c r="AN146" s="179">
        <f>VLOOKUP(D146&amp;E146,计算辅助页面!$V$5:$Y$18,4,0)</f>
        <v>3</v>
      </c>
      <c r="AO146" s="173">
        <f t="shared" si="234"/>
        <v>8160000</v>
      </c>
      <c r="AP146" s="195">
        <f t="shared" si="235"/>
        <v>15931800</v>
      </c>
      <c r="AQ146" s="365" t="s">
        <v>906</v>
      </c>
      <c r="AR146" s="366" t="str">
        <f t="shared" si="221"/>
        <v>ZR1</v>
      </c>
      <c r="AS146" s="352" t="s">
        <v>960</v>
      </c>
      <c r="AT146" s="353" t="s">
        <v>651</v>
      </c>
      <c r="AU146" s="327" t="s">
        <v>712</v>
      </c>
      <c r="AW146" s="357">
        <v>370</v>
      </c>
      <c r="AY146" s="357">
        <v>487</v>
      </c>
      <c r="AZ146" s="357" t="s">
        <v>1120</v>
      </c>
      <c r="BA146" s="369"/>
      <c r="BB146" s="369"/>
      <c r="BC146" s="369"/>
      <c r="BD146" s="369"/>
      <c r="BE146" s="369"/>
      <c r="BF146" s="369"/>
      <c r="BG146" s="369"/>
      <c r="BH146" s="369"/>
      <c r="BI146" s="369">
        <v>1</v>
      </c>
      <c r="BJ146" s="369"/>
      <c r="BK146" s="369"/>
      <c r="BL146" s="369"/>
      <c r="BM146" s="369"/>
      <c r="BN146" s="369"/>
      <c r="BO146" s="369"/>
      <c r="BP146" s="369"/>
      <c r="BQ146" s="369"/>
      <c r="BR146" s="369"/>
      <c r="BS146" s="369"/>
      <c r="BT146" s="369"/>
      <c r="BU146" s="387" t="s">
        <v>1140</v>
      </c>
      <c r="BV146" s="326"/>
      <c r="BW146" s="326"/>
      <c r="BX146" s="326"/>
      <c r="BY146" s="367">
        <v>341</v>
      </c>
      <c r="BZ146" s="368">
        <v>74.8</v>
      </c>
      <c r="CA146" s="368">
        <v>48.24</v>
      </c>
      <c r="CB146" s="368">
        <v>59.75</v>
      </c>
      <c r="CC146" s="368">
        <f t="shared" si="236"/>
        <v>14.399999999999977</v>
      </c>
      <c r="CD146" s="368">
        <f t="shared" si="237"/>
        <v>7.230000000000004</v>
      </c>
      <c r="CE146" s="368">
        <f t="shared" si="238"/>
        <v>11.850000000000001</v>
      </c>
      <c r="CF146" s="368">
        <f t="shared" si="239"/>
        <v>16.579999999999998</v>
      </c>
      <c r="CG146" s="368">
        <f t="shared" si="240"/>
        <v>50.059999999999981</v>
      </c>
      <c r="CH146" s="368">
        <f t="shared" si="241"/>
        <v>51.873400000000004</v>
      </c>
      <c r="CI146" s="42"/>
      <c r="CJ146" s="42"/>
      <c r="CK146" s="42"/>
      <c r="CL146" s="42"/>
    </row>
    <row r="147" spans="1:90" ht="21" customHeight="1">
      <c r="A147" s="80">
        <v>145</v>
      </c>
      <c r="B147" s="52" t="s">
        <v>592</v>
      </c>
      <c r="C147" s="86" t="s">
        <v>801</v>
      </c>
      <c r="D147" s="255" t="s">
        <v>8</v>
      </c>
      <c r="E147" s="247" t="s">
        <v>78</v>
      </c>
      <c r="F147" s="173">
        <f t="shared" si="231"/>
        <v>4</v>
      </c>
      <c r="G147" s="83" t="s">
        <v>71</v>
      </c>
      <c r="H147" s="222">
        <v>50</v>
      </c>
      <c r="I147" s="222">
        <v>23</v>
      </c>
      <c r="J147" s="222">
        <v>27</v>
      </c>
      <c r="K147" s="222">
        <v>36</v>
      </c>
      <c r="L147" s="222">
        <v>51</v>
      </c>
      <c r="M147" s="222" t="s">
        <v>59</v>
      </c>
      <c r="N147" s="226">
        <f t="shared" si="165"/>
        <v>187</v>
      </c>
      <c r="O147" s="53">
        <v>3898</v>
      </c>
      <c r="P147" s="210">
        <v>369.2</v>
      </c>
      <c r="Q147" s="217">
        <v>75.540000000000006</v>
      </c>
      <c r="R147" s="217">
        <v>73.17</v>
      </c>
      <c r="S147" s="217">
        <v>74.12</v>
      </c>
      <c r="T147" s="217">
        <v>7.87</v>
      </c>
      <c r="U147" s="84">
        <v>9550</v>
      </c>
      <c r="V147" s="292">
        <f>VLOOKUP($U147,计算辅助页面!$Z$5:$AM$26,COLUMN()-20,0)</f>
        <v>15600</v>
      </c>
      <c r="W147" s="292">
        <f>VLOOKUP($U147,计算辅助页面!$Z$5:$AM$26,COLUMN()-20,0)</f>
        <v>24900</v>
      </c>
      <c r="X147" s="226">
        <f>VLOOKUP($U147,计算辅助页面!$Z$5:$AM$26,COLUMN()-20,0)</f>
        <v>37400</v>
      </c>
      <c r="Y147" s="226">
        <f>VLOOKUP($U147,计算辅助页面!$Z$5:$AM$26,COLUMN()-20,0)</f>
        <v>54000</v>
      </c>
      <c r="Z147" s="293">
        <f>VLOOKUP($U147,计算辅助页面!$Z$5:$AM$26,COLUMN()-20,0)</f>
        <v>75500</v>
      </c>
      <c r="AA147" s="226">
        <f>VLOOKUP($U147,计算辅助页面!$Z$5:$AM$26,COLUMN()-20,0)</f>
        <v>105500</v>
      </c>
      <c r="AB147" s="226">
        <f>VLOOKUP($U147,计算辅助页面!$Z$5:$AM$26,COLUMN()-20,0)</f>
        <v>148000</v>
      </c>
      <c r="AC147" s="226">
        <f>VLOOKUP($U147,计算辅助页面!$Z$5:$AM$26,COLUMN()-20,0)</f>
        <v>207500</v>
      </c>
      <c r="AD147" s="226">
        <f>VLOOKUP($U147,计算辅助页面!$Z$5:$AM$26,COLUMN()-20,0)</f>
        <v>290000</v>
      </c>
      <c r="AE147" s="226">
        <f>VLOOKUP($U147,计算辅助页面!$Z$5:$AM$26,COLUMN()-20,0)</f>
        <v>406000</v>
      </c>
      <c r="AF147" s="226">
        <f>VLOOKUP($U147,计算辅助页面!$Z$5:$AM$26,COLUMN()-20,0)</f>
        <v>569000</v>
      </c>
      <c r="AG147" s="226" t="str">
        <f>VLOOKUP($U147,计算辅助页面!$Z$5:$AM$26,COLUMN()-20,0)</f>
        <v>×</v>
      </c>
      <c r="AH147" s="173">
        <f>VLOOKUP($U147,计算辅助页面!$Z$5:$AM$26,COLUMN()-20,0)</f>
        <v>7771800</v>
      </c>
      <c r="AI147" s="267">
        <v>60000</v>
      </c>
      <c r="AJ147" s="260">
        <f>VLOOKUP(D147&amp;E147,计算辅助页面!$V$5:$Y$18,2,0)</f>
        <v>6</v>
      </c>
      <c r="AK147" s="174">
        <f t="shared" si="232"/>
        <v>120000</v>
      </c>
      <c r="AL147" s="174">
        <f>VLOOKUP(D147&amp;E147,计算辅助页面!$V$5:$Y$18,3,0)</f>
        <v>5</v>
      </c>
      <c r="AM147" s="179">
        <f t="shared" si="233"/>
        <v>360000</v>
      </c>
      <c r="AN147" s="179">
        <f>VLOOKUP(D147&amp;E147,计算辅助页面!$V$5:$Y$18,4,0)</f>
        <v>3</v>
      </c>
      <c r="AO147" s="173">
        <f t="shared" si="234"/>
        <v>8160000</v>
      </c>
      <c r="AP147" s="195">
        <f t="shared" si="235"/>
        <v>15931800</v>
      </c>
      <c r="AQ147" s="365" t="s">
        <v>596</v>
      </c>
      <c r="AR147" s="366"/>
      <c r="AS147" s="352" t="s">
        <v>959</v>
      </c>
      <c r="AT147" s="353" t="s">
        <v>696</v>
      </c>
      <c r="AU147" s="327" t="s">
        <v>712</v>
      </c>
      <c r="AW147" s="357">
        <v>383</v>
      </c>
      <c r="AY147" s="357">
        <v>510</v>
      </c>
      <c r="AZ147" s="357" t="s">
        <v>1117</v>
      </c>
      <c r="BA147" s="369"/>
      <c r="BB147" s="369"/>
      <c r="BC147" s="369"/>
      <c r="BD147" s="369"/>
      <c r="BE147" s="369"/>
      <c r="BF147" s="369"/>
      <c r="BG147" s="369"/>
      <c r="BH147" s="369">
        <v>1</v>
      </c>
      <c r="BI147" s="369"/>
      <c r="BJ147" s="369"/>
      <c r="BK147" s="369"/>
      <c r="BL147" s="369"/>
      <c r="BM147" s="369"/>
      <c r="BN147" s="369"/>
      <c r="BO147" s="369"/>
      <c r="BP147" s="369"/>
      <c r="BQ147" s="369"/>
      <c r="BR147" s="369"/>
      <c r="BS147" s="369"/>
      <c r="BT147" s="369"/>
      <c r="BU147" s="387" t="s">
        <v>1187</v>
      </c>
      <c r="BV147" s="326"/>
      <c r="BW147" s="326"/>
      <c r="BX147" s="326"/>
      <c r="BY147" s="367">
        <v>354</v>
      </c>
      <c r="BZ147" s="368">
        <v>66.7</v>
      </c>
      <c r="CA147" s="368">
        <v>57.27</v>
      </c>
      <c r="CB147" s="368">
        <v>57.27</v>
      </c>
      <c r="CC147" s="368">
        <f t="shared" si="236"/>
        <v>15.199999999999989</v>
      </c>
      <c r="CD147" s="368">
        <f t="shared" si="237"/>
        <v>8.8400000000000034</v>
      </c>
      <c r="CE147" s="368">
        <f t="shared" si="238"/>
        <v>15.899999999999999</v>
      </c>
      <c r="CF147" s="368">
        <f t="shared" si="239"/>
        <v>16.850000000000001</v>
      </c>
      <c r="CG147" s="368">
        <f t="shared" si="240"/>
        <v>56.789999999999992</v>
      </c>
      <c r="CH147" s="368">
        <f t="shared" si="241"/>
        <v>59.869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127</v>
      </c>
      <c r="C148" s="86" t="s">
        <v>802</v>
      </c>
      <c r="D148" s="255" t="s">
        <v>8</v>
      </c>
      <c r="E148" s="247" t="s">
        <v>78</v>
      </c>
      <c r="F148" s="173">
        <f t="shared" si="231"/>
        <v>4</v>
      </c>
      <c r="G148" s="83" t="s">
        <v>71</v>
      </c>
      <c r="H148" s="222">
        <v>45</v>
      </c>
      <c r="I148" s="222">
        <v>12</v>
      </c>
      <c r="J148" s="222">
        <v>15</v>
      </c>
      <c r="K148" s="222">
        <v>24</v>
      </c>
      <c r="L148" s="222">
        <v>36</v>
      </c>
      <c r="M148" s="222" t="s">
        <v>59</v>
      </c>
      <c r="N148" s="226">
        <f t="shared" si="165"/>
        <v>132</v>
      </c>
      <c r="O148" s="51">
        <v>3929</v>
      </c>
      <c r="P148" s="209">
        <v>368.8</v>
      </c>
      <c r="Q148" s="216">
        <v>80.33</v>
      </c>
      <c r="R148" s="216">
        <v>54.68</v>
      </c>
      <c r="S148" s="216">
        <v>74.63</v>
      </c>
      <c r="T148" s="216">
        <v>7.9500000000000011</v>
      </c>
      <c r="U148" s="84">
        <v>4260</v>
      </c>
      <c r="V148" s="292">
        <f>VLOOKUP($U148,计算辅助页面!$Z$5:$AM$26,COLUMN()-20,0)</f>
        <v>6900</v>
      </c>
      <c r="W148" s="292">
        <f>VLOOKUP($U148,计算辅助页面!$Z$5:$AM$26,COLUMN()-20,0)</f>
        <v>11100</v>
      </c>
      <c r="X148" s="226">
        <f>VLOOKUP($U148,计算辅助页面!$Z$5:$AM$26,COLUMN()-20,0)</f>
        <v>16700</v>
      </c>
      <c r="Y148" s="226">
        <f>VLOOKUP($U148,计算辅助页面!$Z$5:$AM$26,COLUMN()-20,0)</f>
        <v>24100</v>
      </c>
      <c r="Z148" s="293">
        <f>VLOOKUP($U148,计算辅助页面!$Z$5:$AM$26,COLUMN()-20,0)</f>
        <v>33500</v>
      </c>
      <c r="AA148" s="226">
        <f>VLOOKUP($U148,计算辅助页面!$Z$5:$AM$26,COLUMN()-20,0)</f>
        <v>47000</v>
      </c>
      <c r="AB148" s="226">
        <f>VLOOKUP($U148,计算辅助页面!$Z$5:$AM$26,COLUMN()-20,0)</f>
        <v>66000</v>
      </c>
      <c r="AC148" s="226">
        <f>VLOOKUP($U148,计算辅助页面!$Z$5:$AM$26,COLUMN()-20,0)</f>
        <v>92500</v>
      </c>
      <c r="AD148" s="226">
        <f>VLOOKUP($U148,计算辅助页面!$Z$5:$AM$26,COLUMN()-20,0)</f>
        <v>129500</v>
      </c>
      <c r="AE148" s="226">
        <f>VLOOKUP($U148,计算辅助页面!$Z$5:$AM$26,COLUMN()-20,0)</f>
        <v>181000</v>
      </c>
      <c r="AF148" s="226">
        <f>VLOOKUP($U148,计算辅助页面!$Z$5:$AM$26,COLUMN()-20,0)</f>
        <v>254000</v>
      </c>
      <c r="AG148" s="226" t="str">
        <f>VLOOKUP($U148,计算辅助页面!$Z$5:$AM$26,COLUMN()-20,0)</f>
        <v>×</v>
      </c>
      <c r="AH148" s="173">
        <f>VLOOKUP($U148,计算辅助页面!$Z$5:$AM$26,COLUMN()-20,0)</f>
        <v>3466240</v>
      </c>
      <c r="AI148" s="267">
        <v>30000</v>
      </c>
      <c r="AJ148" s="260">
        <f>VLOOKUP(D148&amp;E148,计算辅助页面!$V$5:$Y$18,2,0)</f>
        <v>6</v>
      </c>
      <c r="AK148" s="174">
        <f t="shared" si="232"/>
        <v>60000</v>
      </c>
      <c r="AL148" s="174">
        <f>VLOOKUP(D148&amp;E148,计算辅助页面!$V$5:$Y$18,3,0)</f>
        <v>5</v>
      </c>
      <c r="AM148" s="179">
        <f t="shared" si="233"/>
        <v>180000</v>
      </c>
      <c r="AN148" s="179">
        <f>VLOOKUP(D148&amp;E148,计算辅助页面!$V$5:$Y$18,4,0)</f>
        <v>3</v>
      </c>
      <c r="AO148" s="173">
        <f t="shared" si="234"/>
        <v>4080000</v>
      </c>
      <c r="AP148" s="195">
        <f t="shared" si="235"/>
        <v>7546240</v>
      </c>
      <c r="AQ148" s="365" t="s">
        <v>128</v>
      </c>
      <c r="AR148" s="366" t="str">
        <f t="shared" ref="AR148:AR160" si="243">TRIM(RIGHT(B148,LEN(B148)-LEN(AQ148)-1))</f>
        <v>Force 1 V10</v>
      </c>
      <c r="AS148" s="352" t="s">
        <v>603</v>
      </c>
      <c r="AT148" s="353" t="s">
        <v>672</v>
      </c>
      <c r="AU148" s="327" t="s">
        <v>712</v>
      </c>
      <c r="AW148" s="357">
        <v>384</v>
      </c>
      <c r="AY148" s="357">
        <v>512</v>
      </c>
      <c r="AZ148" s="357" t="s">
        <v>1116</v>
      </c>
      <c r="BA148" s="369"/>
      <c r="BB148" s="369"/>
      <c r="BC148" s="369"/>
      <c r="BD148" s="369"/>
      <c r="BE148" s="369">
        <v>1</v>
      </c>
      <c r="BF148" s="369"/>
      <c r="BG148" s="369"/>
      <c r="BH148" s="369"/>
      <c r="BI148" s="369"/>
      <c r="BJ148" s="369"/>
      <c r="BK148" s="369"/>
      <c r="BL148" s="369"/>
      <c r="BM148" s="369"/>
      <c r="BN148" s="369"/>
      <c r="BO148" s="369"/>
      <c r="BP148" s="369"/>
      <c r="BQ148" s="369"/>
      <c r="BR148" s="369"/>
      <c r="BS148" s="369"/>
      <c r="BT148" s="369"/>
      <c r="BU148" s="387" t="s">
        <v>1188</v>
      </c>
      <c r="BV148" s="326">
        <v>1</v>
      </c>
      <c r="BW148" s="326"/>
      <c r="BX148" s="326"/>
      <c r="BY148" s="367">
        <v>350</v>
      </c>
      <c r="BZ148" s="368">
        <v>73.900000000000006</v>
      </c>
      <c r="CA148" s="368">
        <v>43.04</v>
      </c>
      <c r="CB148" s="368">
        <v>60.88</v>
      </c>
      <c r="CC148" s="368">
        <f t="shared" si="236"/>
        <v>18.800000000000011</v>
      </c>
      <c r="CD148" s="368">
        <f t="shared" si="237"/>
        <v>6.4299999999999926</v>
      </c>
      <c r="CE148" s="368">
        <f t="shared" si="238"/>
        <v>11.64</v>
      </c>
      <c r="CF148" s="368">
        <f t="shared" si="239"/>
        <v>13.749999999999993</v>
      </c>
      <c r="CG148" s="368">
        <f t="shared" si="240"/>
        <v>50.62</v>
      </c>
      <c r="CH148" s="368">
        <f t="shared" si="241"/>
        <v>48.021699999999981</v>
      </c>
      <c r="CI148" s="42"/>
      <c r="CJ148" s="42"/>
      <c r="CK148" s="42"/>
      <c r="CL148" s="42"/>
    </row>
    <row r="149" spans="1:90" ht="21" customHeight="1">
      <c r="A149" s="80">
        <v>147</v>
      </c>
      <c r="B149" s="52" t="s">
        <v>1316</v>
      </c>
      <c r="C149" s="86" t="s">
        <v>1317</v>
      </c>
      <c r="D149" s="255" t="s">
        <v>8</v>
      </c>
      <c r="E149" s="247" t="s">
        <v>78</v>
      </c>
      <c r="F149" s="230"/>
      <c r="G149" s="229"/>
      <c r="H149" s="222">
        <v>50</v>
      </c>
      <c r="I149" s="222">
        <v>23</v>
      </c>
      <c r="J149" s="222">
        <v>27</v>
      </c>
      <c r="K149" s="222">
        <v>36</v>
      </c>
      <c r="L149" s="222">
        <v>51</v>
      </c>
      <c r="M149" s="222" t="s">
        <v>59</v>
      </c>
      <c r="N149" s="226">
        <f t="shared" ref="N149" si="244">IF(COUNTBLANK(H149:M149),"",SUM(H149:M149))</f>
        <v>187</v>
      </c>
      <c r="O149" s="53">
        <v>4025</v>
      </c>
      <c r="P149" s="210">
        <v>358</v>
      </c>
      <c r="Q149" s="217">
        <v>82.03</v>
      </c>
      <c r="R149" s="217">
        <v>60.84</v>
      </c>
      <c r="S149" s="217">
        <v>77.62</v>
      </c>
      <c r="T149" s="217"/>
      <c r="U149" s="87">
        <v>9550</v>
      </c>
      <c r="V149" s="292">
        <f>VLOOKUP($U149,计算辅助页面!$Z$5:$AM$26,COLUMN()-20,0)</f>
        <v>15600</v>
      </c>
      <c r="W149" s="292">
        <f>VLOOKUP($U149,计算辅助页面!$Z$5:$AM$26,COLUMN()-20,0)</f>
        <v>24900</v>
      </c>
      <c r="X149" s="226">
        <f>VLOOKUP($U149,计算辅助页面!$Z$5:$AM$26,COLUMN()-20,0)</f>
        <v>37400</v>
      </c>
      <c r="Y149" s="226">
        <f>VLOOKUP($U149,计算辅助页面!$Z$5:$AM$26,COLUMN()-20,0)</f>
        <v>54000</v>
      </c>
      <c r="Z149" s="293">
        <f>VLOOKUP($U149,计算辅助页面!$Z$5:$AM$26,COLUMN()-20,0)</f>
        <v>75500</v>
      </c>
      <c r="AA149" s="226">
        <f>VLOOKUP($U149,计算辅助页面!$Z$5:$AM$26,COLUMN()-20,0)</f>
        <v>105500</v>
      </c>
      <c r="AB149" s="226">
        <f>VLOOKUP($U149,计算辅助页面!$Z$5:$AM$26,COLUMN()-20,0)</f>
        <v>148000</v>
      </c>
      <c r="AC149" s="226">
        <f>VLOOKUP($U149,计算辅助页面!$Z$5:$AM$26,COLUMN()-20,0)</f>
        <v>207500</v>
      </c>
      <c r="AD149" s="226">
        <f>VLOOKUP($U149,计算辅助页面!$Z$5:$AM$26,COLUMN()-20,0)</f>
        <v>290000</v>
      </c>
      <c r="AE149" s="226">
        <f>VLOOKUP($U149,计算辅助页面!$Z$5:$AM$26,COLUMN()-20,0)</f>
        <v>406000</v>
      </c>
      <c r="AF149" s="226">
        <f>VLOOKUP($U149,计算辅助页面!$Z$5:$AM$26,COLUMN()-20,0)</f>
        <v>569000</v>
      </c>
      <c r="AG149" s="226" t="str">
        <f>VLOOKUP($U149,计算辅助页面!$Z$5:$AM$26,COLUMN()-20,0)</f>
        <v>×</v>
      </c>
      <c r="AH149" s="173">
        <f>VLOOKUP($U149,计算辅助页面!$Z$5:$AM$26,COLUMN()-20,0)</f>
        <v>7771800</v>
      </c>
      <c r="AI149" s="267">
        <v>60000</v>
      </c>
      <c r="AJ149" s="260">
        <f>VLOOKUP(D149&amp;E149,计算辅助页面!$V$5:$Y$18,2,0)</f>
        <v>6</v>
      </c>
      <c r="AK149" s="174">
        <f t="shared" ref="AK149" si="245">IF(AI149,2*AI149,"")</f>
        <v>120000</v>
      </c>
      <c r="AL149" s="174">
        <f>VLOOKUP(D149&amp;E149,计算辅助页面!$V$5:$Y$18,3,0)</f>
        <v>5</v>
      </c>
      <c r="AM149" s="179">
        <f t="shared" ref="AM149" si="246">IF(AN149="×",AN149,IF(AI149,6*AI149,""))</f>
        <v>360000</v>
      </c>
      <c r="AN149" s="179">
        <f>VLOOKUP(D149&amp;E149,计算辅助页面!$V$5:$Y$18,4,0)</f>
        <v>3</v>
      </c>
      <c r="AO149" s="173">
        <f t="shared" ref="AO149" si="247">IF(AI149,IF(AN149="×",4*(AI149*AJ149+AK149*AL149),4*(AI149*AJ149+AK149*AL149+AM149*AN149)),"")</f>
        <v>8160000</v>
      </c>
      <c r="AP149" s="195">
        <f t="shared" ref="AP149" si="248">IF(AND(AH149,AO149),AO149+AH149,"")</f>
        <v>15931800</v>
      </c>
      <c r="AQ149" s="365" t="s">
        <v>569</v>
      </c>
      <c r="AR149" s="366" t="str">
        <f t="shared" si="243"/>
        <v>Senna GTR</v>
      </c>
      <c r="AS149" s="352" t="s">
        <v>1308</v>
      </c>
      <c r="AT149" s="353" t="s">
        <v>1318</v>
      </c>
      <c r="AU149" s="327" t="s">
        <v>712</v>
      </c>
      <c r="AW149" s="357">
        <v>372</v>
      </c>
      <c r="AY149" s="357">
        <v>492</v>
      </c>
      <c r="AZ149" s="384" t="s">
        <v>1329</v>
      </c>
      <c r="BA149" s="369"/>
      <c r="BB149" s="369"/>
      <c r="BC149" s="369"/>
      <c r="BD149" s="369"/>
      <c r="BE149" s="369"/>
      <c r="BF149" s="369">
        <v>1</v>
      </c>
      <c r="BG149" s="369"/>
      <c r="BH149" s="369"/>
      <c r="BI149" s="369"/>
      <c r="BJ149" s="369"/>
      <c r="BK149" s="369"/>
      <c r="BL149" s="369"/>
      <c r="BM149" s="369"/>
      <c r="BN149" s="369"/>
      <c r="BO149" s="369"/>
      <c r="BP149" s="369"/>
      <c r="BQ149" s="369"/>
      <c r="BR149" s="369"/>
      <c r="BS149" s="369"/>
      <c r="BT149" s="369"/>
      <c r="BU149" s="389" t="s">
        <v>1358</v>
      </c>
      <c r="BV149" s="326"/>
      <c r="BW149" s="326"/>
      <c r="BX149" s="326"/>
      <c r="BY149" s="367"/>
      <c r="BZ149" s="368"/>
      <c r="CA149" s="368"/>
      <c r="CB149" s="368"/>
      <c r="CC149" s="368"/>
      <c r="CD149" s="368"/>
      <c r="CE149" s="368"/>
      <c r="CF149" s="368"/>
      <c r="CG149" s="368"/>
      <c r="CH149" s="368"/>
      <c r="CI149" s="42"/>
      <c r="CJ149" s="42"/>
      <c r="CK149" s="42"/>
      <c r="CL149" s="42"/>
    </row>
    <row r="150" spans="1:90" ht="21" customHeight="1" thickBot="1">
      <c r="A150" s="48">
        <v>148</v>
      </c>
      <c r="B150" s="52" t="s">
        <v>1002</v>
      </c>
      <c r="C150" s="86" t="s">
        <v>1003</v>
      </c>
      <c r="D150" s="255" t="s">
        <v>8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26">
        <f t="shared" si="165"/>
        <v>267</v>
      </c>
      <c r="O150" s="53">
        <v>4081</v>
      </c>
      <c r="P150" s="210">
        <v>364.7</v>
      </c>
      <c r="Q150" s="217">
        <v>81.13</v>
      </c>
      <c r="R150" s="217">
        <v>73.73</v>
      </c>
      <c r="S150" s="217">
        <v>73.930000000000007</v>
      </c>
      <c r="T150" s="217">
        <v>7.8</v>
      </c>
      <c r="U150" s="87">
        <v>16100</v>
      </c>
      <c r="V150" s="292">
        <f>VLOOKUP($U150,计算辅助页面!$Z$5:$AM$26,COLUMN()-20,0)</f>
        <v>26300</v>
      </c>
      <c r="W150" s="292">
        <f>VLOOKUP($U150,计算辅助页面!$Z$5:$AM$26,COLUMN()-20,0)</f>
        <v>42000</v>
      </c>
      <c r="X150" s="226">
        <f>VLOOKUP($U150,计算辅助页面!$Z$5:$AM$26,COLUMN()-20,0)</f>
        <v>63000</v>
      </c>
      <c r="Y150" s="226">
        <f>VLOOKUP($U150,计算辅助页面!$Z$5:$AM$26,COLUMN()-20,0)</f>
        <v>91000</v>
      </c>
      <c r="Z150" s="293">
        <f>VLOOKUP($U150,计算辅助页面!$Z$5:$AM$26,COLUMN()-20,0)</f>
        <v>127500</v>
      </c>
      <c r="AA150" s="226">
        <f>VLOOKUP($U150,计算辅助页面!$Z$5:$AM$26,COLUMN()-20,0)</f>
        <v>178500</v>
      </c>
      <c r="AB150" s="226">
        <f>VLOOKUP($U150,计算辅助页面!$Z$5:$AM$26,COLUMN()-20,0)</f>
        <v>249500</v>
      </c>
      <c r="AC150" s="226">
        <f>VLOOKUP($U150,计算辅助页面!$Z$5:$AM$26,COLUMN()-20,0)</f>
        <v>349500</v>
      </c>
      <c r="AD150" s="226">
        <f>VLOOKUP($U150,计算辅助页面!$Z$5:$AM$26,COLUMN()-20,0)</f>
        <v>489500</v>
      </c>
      <c r="AE150" s="226">
        <f>VLOOKUP($U150,计算辅助页面!$Z$5:$AM$26,COLUMN()-20,0)</f>
        <v>685000</v>
      </c>
      <c r="AF150" s="226">
        <f>VLOOKUP($U150,计算辅助页面!$Z$5:$AM$26,COLUMN()-20,0)</f>
        <v>959000</v>
      </c>
      <c r="AG150" s="226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49">IF(AI150,2*AI150,"")</f>
        <v>160000</v>
      </c>
      <c r="AL150" s="174">
        <f>VLOOKUP(D150&amp;E150,计算辅助页面!$V$5:$Y$18,3,0)</f>
        <v>5</v>
      </c>
      <c r="AM150" s="179">
        <f t="shared" ref="AM150" si="250">IF(AN150="×",AN150,IF(AI150,6*AI150,""))</f>
        <v>480000</v>
      </c>
      <c r="AN150" s="179">
        <f>VLOOKUP(D150&amp;E150,计算辅助页面!$V$5:$Y$18,4,0)</f>
        <v>4</v>
      </c>
      <c r="AO150" s="173">
        <f t="shared" ref="AO150" si="251">IF(AI150,IF(AN150="×",4*(AI150*AJ150+AK150*AL150),4*(AI150*AJ150+AK150*AL150+AM150*AN150)),"")</f>
        <v>12800000</v>
      </c>
      <c r="AP150" s="195">
        <f t="shared" ref="AP150" si="252">IF(AND(AH150,AO150),AO150+AH150,"")</f>
        <v>32207600</v>
      </c>
      <c r="AQ150" s="365" t="s">
        <v>566</v>
      </c>
      <c r="AR150" s="366" t="str">
        <f t="shared" si="243"/>
        <v>Aventador SVJ Roadster</v>
      </c>
      <c r="AS150" s="352" t="s">
        <v>991</v>
      </c>
      <c r="AT150" s="353" t="s">
        <v>1004</v>
      </c>
      <c r="AU150" s="327" t="s">
        <v>712</v>
      </c>
      <c r="AW150" s="357">
        <v>379</v>
      </c>
      <c r="AY150" s="357">
        <v>503</v>
      </c>
      <c r="AZ150" s="357" t="s">
        <v>1117</v>
      </c>
      <c r="BA150" s="369"/>
      <c r="BB150" s="369"/>
      <c r="BC150" s="369"/>
      <c r="BD150" s="369"/>
      <c r="BE150" s="369"/>
      <c r="BF150" s="369"/>
      <c r="BG150" s="369"/>
      <c r="BH150" s="369">
        <v>1</v>
      </c>
      <c r="BI150" s="369"/>
      <c r="BJ150" s="369"/>
      <c r="BK150" s="369"/>
      <c r="BL150" s="369"/>
      <c r="BM150" s="369"/>
      <c r="BN150" s="369"/>
      <c r="BO150" s="369"/>
      <c r="BP150" s="369"/>
      <c r="BQ150" s="369"/>
      <c r="BR150" s="369" t="s">
        <v>1146</v>
      </c>
      <c r="BS150" s="369"/>
      <c r="BT150" s="369"/>
      <c r="BU150" s="387" t="s">
        <v>1172</v>
      </c>
      <c r="BV150" s="326"/>
      <c r="BW150" s="326"/>
      <c r="BX150" s="326"/>
      <c r="BY150" s="367"/>
      <c r="BZ150" s="368"/>
      <c r="CA150" s="368"/>
      <c r="CB150" s="368"/>
      <c r="CC150" s="368"/>
      <c r="CD150" s="368"/>
      <c r="CE150" s="368"/>
      <c r="CF150" s="368"/>
      <c r="CG150" s="368"/>
      <c r="CH150" s="368"/>
      <c r="CI150" s="42"/>
      <c r="CJ150" s="42"/>
      <c r="CK150" s="42"/>
      <c r="CL150" s="42"/>
    </row>
    <row r="151" spans="1:90" ht="21" customHeight="1">
      <c r="A151" s="80">
        <v>149</v>
      </c>
      <c r="B151" s="49" t="s">
        <v>129</v>
      </c>
      <c r="C151" s="86">
        <v>918</v>
      </c>
      <c r="D151" s="255" t="s">
        <v>8</v>
      </c>
      <c r="E151" s="247" t="s">
        <v>78</v>
      </c>
      <c r="F151" s="173">
        <f t="shared" si="231"/>
        <v>4</v>
      </c>
      <c r="G151" s="83" t="s">
        <v>71</v>
      </c>
      <c r="H151" s="222">
        <v>35</v>
      </c>
      <c r="I151" s="222">
        <v>12</v>
      </c>
      <c r="J151" s="222">
        <v>15</v>
      </c>
      <c r="K151" s="222">
        <v>24</v>
      </c>
      <c r="L151" s="222">
        <v>36</v>
      </c>
      <c r="M151" s="222" t="s">
        <v>59</v>
      </c>
      <c r="N151" s="226">
        <f t="shared" si="165"/>
        <v>122</v>
      </c>
      <c r="O151" s="51">
        <v>4099</v>
      </c>
      <c r="P151" s="209">
        <v>362.4</v>
      </c>
      <c r="Q151" s="216">
        <v>83.03</v>
      </c>
      <c r="R151" s="216">
        <v>51.8</v>
      </c>
      <c r="S151" s="216">
        <v>79.97</v>
      </c>
      <c r="T151" s="216">
        <v>9.4830000000000005</v>
      </c>
      <c r="U151" s="84">
        <v>4260</v>
      </c>
      <c r="V151" s="292">
        <f>VLOOKUP($U151,计算辅助页面!$Z$5:$AM$26,COLUMN()-20,0)</f>
        <v>6900</v>
      </c>
      <c r="W151" s="292">
        <f>VLOOKUP($U151,计算辅助页面!$Z$5:$AM$26,COLUMN()-20,0)</f>
        <v>11100</v>
      </c>
      <c r="X151" s="226">
        <f>VLOOKUP($U151,计算辅助页面!$Z$5:$AM$26,COLUMN()-20,0)</f>
        <v>16700</v>
      </c>
      <c r="Y151" s="226">
        <f>VLOOKUP($U151,计算辅助页面!$Z$5:$AM$26,COLUMN()-20,0)</f>
        <v>24100</v>
      </c>
      <c r="Z151" s="293">
        <f>VLOOKUP($U151,计算辅助页面!$Z$5:$AM$26,COLUMN()-20,0)</f>
        <v>33500</v>
      </c>
      <c r="AA151" s="226">
        <f>VLOOKUP($U151,计算辅助页面!$Z$5:$AM$26,COLUMN()-20,0)</f>
        <v>47000</v>
      </c>
      <c r="AB151" s="226">
        <f>VLOOKUP($U151,计算辅助页面!$Z$5:$AM$26,COLUMN()-20,0)</f>
        <v>66000</v>
      </c>
      <c r="AC151" s="226">
        <f>VLOOKUP($U151,计算辅助页面!$Z$5:$AM$26,COLUMN()-20,0)</f>
        <v>92500</v>
      </c>
      <c r="AD151" s="226">
        <f>VLOOKUP($U151,计算辅助页面!$Z$5:$AM$26,COLUMN()-20,0)</f>
        <v>129500</v>
      </c>
      <c r="AE151" s="226">
        <f>VLOOKUP($U151,计算辅助页面!$Z$5:$AM$26,COLUMN()-20,0)</f>
        <v>181000</v>
      </c>
      <c r="AF151" s="226">
        <f>VLOOKUP($U151,计算辅助页面!$Z$5:$AM$26,COLUMN()-20,0)</f>
        <v>254000</v>
      </c>
      <c r="AG151" s="226" t="str">
        <f>VLOOKUP($U151,计算辅助页面!$Z$5:$AM$26,COLUMN()-20,0)</f>
        <v>×</v>
      </c>
      <c r="AH151" s="173">
        <f>VLOOKUP($U151,计算辅助页面!$Z$5:$AM$26,COLUMN()-20,0)</f>
        <v>3466240</v>
      </c>
      <c r="AI151" s="267">
        <v>30000</v>
      </c>
      <c r="AJ151" s="260">
        <f>VLOOKUP(D151&amp;E151,计算辅助页面!$V$5:$Y$18,2,0)</f>
        <v>6</v>
      </c>
      <c r="AK151" s="174">
        <f t="shared" si="232"/>
        <v>60000</v>
      </c>
      <c r="AL151" s="174">
        <f>VLOOKUP(D151&amp;E151,计算辅助页面!$V$5:$Y$18,3,0)</f>
        <v>5</v>
      </c>
      <c r="AM151" s="179">
        <f t="shared" si="233"/>
        <v>180000</v>
      </c>
      <c r="AN151" s="179">
        <f>VLOOKUP(D151&amp;E151,计算辅助页面!$V$5:$Y$18,4,0)</f>
        <v>3</v>
      </c>
      <c r="AO151" s="173">
        <f t="shared" si="234"/>
        <v>4080000</v>
      </c>
      <c r="AP151" s="195">
        <f t="shared" si="235"/>
        <v>7546240</v>
      </c>
      <c r="AQ151" s="365" t="s">
        <v>562</v>
      </c>
      <c r="AR151" s="366" t="str">
        <f t="shared" si="243"/>
        <v>918 Spyder</v>
      </c>
      <c r="AS151" s="352" t="s">
        <v>603</v>
      </c>
      <c r="AT151" s="353" t="s">
        <v>656</v>
      </c>
      <c r="AU151" s="327" t="s">
        <v>712</v>
      </c>
      <c r="AV151" s="357">
        <v>14</v>
      </c>
      <c r="AW151" s="357">
        <v>377</v>
      </c>
      <c r="AY151" s="357">
        <v>499</v>
      </c>
      <c r="AZ151" s="357" t="s">
        <v>1119</v>
      </c>
      <c r="BA151" s="369"/>
      <c r="BB151" s="369"/>
      <c r="BC151" s="369"/>
      <c r="BD151" s="369">
        <v>1</v>
      </c>
      <c r="BE151" s="369"/>
      <c r="BF151" s="369"/>
      <c r="BG151" s="369"/>
      <c r="BH151" s="369"/>
      <c r="BI151" s="369"/>
      <c r="BJ151" s="369"/>
      <c r="BK151" s="369"/>
      <c r="BL151" s="369"/>
      <c r="BM151" s="369"/>
      <c r="BN151" s="369"/>
      <c r="BO151" s="369"/>
      <c r="BP151" s="369"/>
      <c r="BQ151" s="369">
        <v>1</v>
      </c>
      <c r="BR151" s="369"/>
      <c r="BS151" s="369"/>
      <c r="BT151" s="369">
        <v>1</v>
      </c>
      <c r="BU151" s="387" t="s">
        <v>1132</v>
      </c>
      <c r="BV151" s="326"/>
      <c r="BW151" s="326"/>
      <c r="BX151" s="326"/>
      <c r="BY151" s="367">
        <v>345</v>
      </c>
      <c r="BZ151" s="368">
        <v>76.599999999999994</v>
      </c>
      <c r="CA151" s="368">
        <v>41.84</v>
      </c>
      <c r="CB151" s="368">
        <v>66.31</v>
      </c>
      <c r="CC151" s="368">
        <f t="shared" si="236"/>
        <v>17.399999999999977</v>
      </c>
      <c r="CD151" s="368">
        <f t="shared" si="237"/>
        <v>6.4300000000000068</v>
      </c>
      <c r="CE151" s="368">
        <f t="shared" si="238"/>
        <v>9.9599999999999937</v>
      </c>
      <c r="CF151" s="368">
        <f t="shared" si="239"/>
        <v>13.659999999999997</v>
      </c>
      <c r="CG151" s="368">
        <f t="shared" si="240"/>
        <v>47.449999999999974</v>
      </c>
      <c r="CH151" s="368">
        <f t="shared" si="241"/>
        <v>45.560099999999991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382</v>
      </c>
      <c r="C152" s="86" t="s">
        <v>803</v>
      </c>
      <c r="D152" s="255" t="s">
        <v>8</v>
      </c>
      <c r="E152" s="247" t="s">
        <v>79</v>
      </c>
      <c r="F152" s="173">
        <f t="shared" si="231"/>
        <v>3</v>
      </c>
      <c r="G152" s="83" t="s">
        <v>73</v>
      </c>
      <c r="H152" s="232">
        <v>50</v>
      </c>
      <c r="I152" s="222">
        <v>23</v>
      </c>
      <c r="J152" s="222">
        <v>27</v>
      </c>
      <c r="K152" s="222">
        <v>36</v>
      </c>
      <c r="L152" s="222">
        <v>52</v>
      </c>
      <c r="M152" s="232">
        <v>62</v>
      </c>
      <c r="N152" s="226">
        <f t="shared" si="165"/>
        <v>250</v>
      </c>
      <c r="O152" s="57">
        <v>4099</v>
      </c>
      <c r="P152" s="211">
        <v>339.9</v>
      </c>
      <c r="Q152" s="218">
        <v>86.24</v>
      </c>
      <c r="R152" s="218">
        <v>95.92</v>
      </c>
      <c r="S152" s="218">
        <v>84.9</v>
      </c>
      <c r="T152" s="218">
        <v>13.23</v>
      </c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si="232"/>
        <v>160000</v>
      </c>
      <c r="AL152" s="174">
        <f>VLOOKUP(D152&amp;E152,计算辅助页面!$V$5:$Y$18,3,0)</f>
        <v>5</v>
      </c>
      <c r="AM152" s="179">
        <f t="shared" si="233"/>
        <v>480000</v>
      </c>
      <c r="AN152" s="179">
        <f>VLOOKUP(D152&amp;E152,计算辅助页面!$V$5:$Y$18,4,0)</f>
        <v>4</v>
      </c>
      <c r="AO152" s="173">
        <f t="shared" si="234"/>
        <v>12800000</v>
      </c>
      <c r="AP152" s="195">
        <f t="shared" si="235"/>
        <v>32207600</v>
      </c>
      <c r="AQ152" s="365" t="s">
        <v>1054</v>
      </c>
      <c r="AR152" s="366" t="str">
        <f t="shared" si="243"/>
        <v>Dendrobium</v>
      </c>
      <c r="AS152" s="352" t="s">
        <v>965</v>
      </c>
      <c r="AT152" s="353" t="s">
        <v>635</v>
      </c>
      <c r="AU152" s="327" t="s">
        <v>712</v>
      </c>
      <c r="AV152" s="357">
        <v>16</v>
      </c>
      <c r="AW152" s="357">
        <v>354</v>
      </c>
      <c r="AX152" s="357">
        <v>363</v>
      </c>
      <c r="AY152" s="357">
        <v>474</v>
      </c>
      <c r="AZ152" s="357" t="s">
        <v>1119</v>
      </c>
      <c r="BA152" s="369"/>
      <c r="BB152" s="369"/>
      <c r="BC152" s="369"/>
      <c r="BD152" s="369">
        <v>1</v>
      </c>
      <c r="BE152" s="369"/>
      <c r="BF152" s="369"/>
      <c r="BG152" s="369"/>
      <c r="BH152" s="369"/>
      <c r="BI152" s="369"/>
      <c r="BJ152" s="369"/>
      <c r="BK152" s="369"/>
      <c r="BL152" s="369"/>
      <c r="BM152" s="369"/>
      <c r="BN152" s="369"/>
      <c r="BO152" s="369"/>
      <c r="BP152" s="369"/>
      <c r="BQ152" s="369"/>
      <c r="BR152" s="369"/>
      <c r="BS152" s="369"/>
      <c r="BT152" s="369">
        <v>1</v>
      </c>
      <c r="BU152" s="387" t="s">
        <v>1189</v>
      </c>
      <c r="BV152" s="326"/>
      <c r="BW152" s="326"/>
      <c r="BX152" s="326"/>
      <c r="BY152" s="367">
        <v>320</v>
      </c>
      <c r="BZ152" s="368">
        <v>76.599999999999994</v>
      </c>
      <c r="CA152" s="368">
        <v>53.29</v>
      </c>
      <c r="CB152" s="368">
        <v>59.03</v>
      </c>
      <c r="CC152" s="368">
        <f t="shared" si="236"/>
        <v>19.899999999999977</v>
      </c>
      <c r="CD152" s="368">
        <f t="shared" si="237"/>
        <v>9.64</v>
      </c>
      <c r="CE152" s="368">
        <f t="shared" si="238"/>
        <v>42.63</v>
      </c>
      <c r="CF152" s="368">
        <f t="shared" si="239"/>
        <v>25.870000000000005</v>
      </c>
      <c r="CG152" s="368">
        <f t="shared" si="240"/>
        <v>98.039999999999992</v>
      </c>
      <c r="CH152" s="368">
        <f t="shared" si="241"/>
        <v>104.5235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1466</v>
      </c>
      <c r="C153" s="86" t="s">
        <v>1467</v>
      </c>
      <c r="D153" s="255" t="s">
        <v>8</v>
      </c>
      <c r="E153" s="247" t="s">
        <v>79</v>
      </c>
      <c r="F153" s="230"/>
      <c r="G153" s="229"/>
      <c r="H153" s="232">
        <v>70</v>
      </c>
      <c r="I153" s="232">
        <v>23</v>
      </c>
      <c r="J153" s="232">
        <v>27</v>
      </c>
      <c r="K153" s="232">
        <v>36</v>
      </c>
      <c r="L153" s="232">
        <v>52</v>
      </c>
      <c r="M153" s="232">
        <v>59</v>
      </c>
      <c r="N153" s="239">
        <f t="shared" ref="N153" si="253">IF(COUNTBLANK(H153:M153),"",SUM(H153:M153))</f>
        <v>267</v>
      </c>
      <c r="O153" s="57">
        <v>4108</v>
      </c>
      <c r="P153" s="211">
        <v>344.3</v>
      </c>
      <c r="Q153" s="218">
        <v>90.03</v>
      </c>
      <c r="R153" s="218">
        <v>94.15</v>
      </c>
      <c r="S153" s="218">
        <v>69.94</v>
      </c>
      <c r="T153" s="218"/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ref="AK153" si="254">IF(AI153,2*AI153,"")</f>
        <v>160000</v>
      </c>
      <c r="AL153" s="174">
        <f>VLOOKUP(D153&amp;E153,计算辅助页面!$V$5:$Y$18,3,0)</f>
        <v>5</v>
      </c>
      <c r="AM153" s="179">
        <f t="shared" ref="AM153" si="255">IF(AN153="×",AN153,IF(AI153,6*AI153,""))</f>
        <v>480000</v>
      </c>
      <c r="AN153" s="179">
        <f>VLOOKUP(D153&amp;E153,计算辅助页面!$V$5:$Y$18,4,0)</f>
        <v>4</v>
      </c>
      <c r="AO153" s="173">
        <f t="shared" ref="AO153" si="256">IF(AI153,IF(AN153="×",4*(AI153*AJ153+AK153*AL153),4*(AI153*AJ153+AK153*AL153+AM153*AN153)),"")</f>
        <v>12800000</v>
      </c>
      <c r="AP153" s="195">
        <f t="shared" ref="AP153" si="257">IF(AND(AH153,AO153),AO153+AH153,"")</f>
        <v>32207600</v>
      </c>
      <c r="AQ153" s="365" t="s">
        <v>1053</v>
      </c>
      <c r="AR153" s="366" t="str">
        <f t="shared" si="243"/>
        <v>9x8</v>
      </c>
      <c r="AS153" s="352" t="s">
        <v>1457</v>
      </c>
      <c r="AT153" s="353" t="s">
        <v>1467</v>
      </c>
      <c r="AU153" s="327" t="s">
        <v>712</v>
      </c>
      <c r="AW153" s="357">
        <v>358</v>
      </c>
      <c r="AY153" s="357">
        <v>468</v>
      </c>
      <c r="AZ153" s="384" t="s">
        <v>1412</v>
      </c>
      <c r="BA153" s="369"/>
      <c r="BB153" s="369"/>
      <c r="BC153" s="369"/>
      <c r="BD153" s="369"/>
      <c r="BE153" s="369"/>
      <c r="BF153" s="369"/>
      <c r="BG153" s="369"/>
      <c r="BH153" s="369"/>
      <c r="BI153" s="369"/>
      <c r="BJ153" s="369"/>
      <c r="BK153" s="369"/>
      <c r="BL153" s="369"/>
      <c r="BM153" s="369"/>
      <c r="BN153" s="369"/>
      <c r="BO153" s="369"/>
      <c r="BP153" s="369"/>
      <c r="BQ153" s="369"/>
      <c r="BR153" s="369"/>
      <c r="BS153" s="369"/>
      <c r="BT153" s="369"/>
      <c r="BU153" s="389" t="s">
        <v>805</v>
      </c>
      <c r="BV153" s="326"/>
      <c r="BW153" s="326"/>
      <c r="BX153" s="326"/>
      <c r="BY153" s="367"/>
      <c r="BZ153" s="368"/>
      <c r="CA153" s="368"/>
      <c r="CB153" s="368"/>
      <c r="CC153" s="368"/>
      <c r="CD153" s="368"/>
      <c r="CE153" s="368"/>
      <c r="CF153" s="368"/>
      <c r="CG153" s="368"/>
      <c r="CH153" s="368"/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163</v>
      </c>
      <c r="C154" s="86">
        <v>570</v>
      </c>
      <c r="D154" s="255" t="s">
        <v>8</v>
      </c>
      <c r="E154" s="247" t="s">
        <v>79</v>
      </c>
      <c r="F154" s="173">
        <f t="shared" si="231"/>
        <v>3</v>
      </c>
      <c r="G154" s="83" t="s">
        <v>73</v>
      </c>
      <c r="H154" s="222">
        <v>50</v>
      </c>
      <c r="I154" s="222">
        <v>12</v>
      </c>
      <c r="J154" s="222">
        <v>15</v>
      </c>
      <c r="K154" s="222">
        <v>24</v>
      </c>
      <c r="L154" s="222">
        <v>37</v>
      </c>
      <c r="M154" s="222">
        <v>45</v>
      </c>
      <c r="N154" s="226">
        <f t="shared" ref="N154:N205" si="258">IF(COUNTBLANK(H154:M154),"",SUM(H154:M154))</f>
        <v>183</v>
      </c>
      <c r="O154" s="57">
        <v>4116</v>
      </c>
      <c r="P154" s="211">
        <v>377.2</v>
      </c>
      <c r="Q154" s="218">
        <v>79.23</v>
      </c>
      <c r="R154" s="218">
        <v>66.06</v>
      </c>
      <c r="S154" s="218">
        <v>64.75</v>
      </c>
      <c r="T154" s="218">
        <v>6.2000000000000011</v>
      </c>
      <c r="U154" s="84">
        <v>16100</v>
      </c>
      <c r="V154" s="292">
        <f>VLOOKUP($U154,计算辅助页面!$Z$5:$AM$26,COLUMN()-20,0)</f>
        <v>26300</v>
      </c>
      <c r="W154" s="292">
        <f>VLOOKUP($U154,计算辅助页面!$Z$5:$AM$26,COLUMN()-20,0)</f>
        <v>42000</v>
      </c>
      <c r="X154" s="226">
        <f>VLOOKUP($U154,计算辅助页面!$Z$5:$AM$26,COLUMN()-20,0)</f>
        <v>63000</v>
      </c>
      <c r="Y154" s="226">
        <f>VLOOKUP($U154,计算辅助页面!$Z$5:$AM$26,COLUMN()-20,0)</f>
        <v>91000</v>
      </c>
      <c r="Z154" s="293">
        <f>VLOOKUP($U154,计算辅助页面!$Z$5:$AM$26,COLUMN()-20,0)</f>
        <v>127500</v>
      </c>
      <c r="AA154" s="226">
        <f>VLOOKUP($U154,计算辅助页面!$Z$5:$AM$26,COLUMN()-20,0)</f>
        <v>178500</v>
      </c>
      <c r="AB154" s="226">
        <f>VLOOKUP($U154,计算辅助页面!$Z$5:$AM$26,COLUMN()-20,0)</f>
        <v>249500</v>
      </c>
      <c r="AC154" s="226">
        <f>VLOOKUP($U154,计算辅助页面!$Z$5:$AM$26,COLUMN()-20,0)</f>
        <v>349500</v>
      </c>
      <c r="AD154" s="226">
        <f>VLOOKUP($U154,计算辅助页面!$Z$5:$AM$26,COLUMN()-20,0)</f>
        <v>489500</v>
      </c>
      <c r="AE154" s="226">
        <f>VLOOKUP($U154,计算辅助页面!$Z$5:$AM$26,COLUMN()-20,0)</f>
        <v>685000</v>
      </c>
      <c r="AF154" s="226">
        <f>VLOOKUP($U154,计算辅助页面!$Z$5:$AM$26,COLUMN()-20,0)</f>
        <v>959000</v>
      </c>
      <c r="AG154" s="226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32"/>
        <v>160000</v>
      </c>
      <c r="AL154" s="174">
        <f>VLOOKUP(D154&amp;E154,计算辅助页面!$V$5:$Y$18,3,0)</f>
        <v>5</v>
      </c>
      <c r="AM154" s="179">
        <f t="shared" si="233"/>
        <v>480000</v>
      </c>
      <c r="AN154" s="179">
        <f>VLOOKUP(D154&amp;E154,计算辅助页面!$V$5:$Y$18,4,0)</f>
        <v>4</v>
      </c>
      <c r="AO154" s="173">
        <f t="shared" si="234"/>
        <v>12800000</v>
      </c>
      <c r="AP154" s="195">
        <f t="shared" si="235"/>
        <v>32207600</v>
      </c>
      <c r="AQ154" s="365" t="s">
        <v>569</v>
      </c>
      <c r="AR154" s="366" t="str">
        <f t="shared" si="243"/>
        <v>570S Spider</v>
      </c>
      <c r="AS154" s="352" t="s">
        <v>858</v>
      </c>
      <c r="AT154" s="353" t="s">
        <v>676</v>
      </c>
      <c r="AU154" s="327" t="s">
        <v>712</v>
      </c>
      <c r="AV154" s="357">
        <v>16</v>
      </c>
      <c r="AW154" s="357">
        <v>393</v>
      </c>
      <c r="AY154" s="357">
        <v>526</v>
      </c>
      <c r="AZ154" s="357" t="s">
        <v>1119</v>
      </c>
      <c r="BA154" s="369"/>
      <c r="BB154" s="369"/>
      <c r="BC154" s="369"/>
      <c r="BD154" s="369">
        <v>1</v>
      </c>
      <c r="BE154" s="369"/>
      <c r="BF154" s="369"/>
      <c r="BG154" s="369"/>
      <c r="BH154" s="369"/>
      <c r="BI154" s="369"/>
      <c r="BJ154" s="369"/>
      <c r="BK154" s="369"/>
      <c r="BL154" s="369"/>
      <c r="BM154" s="369"/>
      <c r="BN154" s="369"/>
      <c r="BO154" s="369">
        <v>1</v>
      </c>
      <c r="BP154" s="369"/>
      <c r="BQ154" s="369"/>
      <c r="BR154" s="369" t="s">
        <v>1124</v>
      </c>
      <c r="BS154" s="369"/>
      <c r="BT154" s="369">
        <v>1</v>
      </c>
      <c r="BU154" s="387" t="s">
        <v>1165</v>
      </c>
      <c r="BV154" s="326"/>
      <c r="BW154" s="326"/>
      <c r="BX154" s="326"/>
      <c r="BY154" s="367">
        <v>356</v>
      </c>
      <c r="BZ154" s="368">
        <v>71.2</v>
      </c>
      <c r="CA154" s="368">
        <v>46.08</v>
      </c>
      <c r="CB154" s="368">
        <v>47.38</v>
      </c>
      <c r="CC154" s="368">
        <f t="shared" si="236"/>
        <v>21.199999999999989</v>
      </c>
      <c r="CD154" s="368">
        <f t="shared" si="237"/>
        <v>8.0300000000000011</v>
      </c>
      <c r="CE154" s="368">
        <f t="shared" si="238"/>
        <v>19.980000000000004</v>
      </c>
      <c r="CF154" s="368">
        <f t="shared" si="239"/>
        <v>17.369999999999997</v>
      </c>
      <c r="CG154" s="368">
        <f t="shared" si="240"/>
        <v>66.579999999999984</v>
      </c>
      <c r="CH154" s="368">
        <f t="shared" si="241"/>
        <v>65.647499999999994</v>
      </c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184</v>
      </c>
      <c r="C155" s="86" t="s">
        <v>804</v>
      </c>
      <c r="D155" s="256" t="s">
        <v>8</v>
      </c>
      <c r="E155" s="252" t="s">
        <v>78</v>
      </c>
      <c r="F155" s="173">
        <f t="shared" si="231"/>
        <v>4</v>
      </c>
      <c r="G155" s="83" t="s">
        <v>72</v>
      </c>
      <c r="H155" s="222">
        <v>50</v>
      </c>
      <c r="I155" s="222">
        <v>23</v>
      </c>
      <c r="J155" s="222">
        <v>27</v>
      </c>
      <c r="K155" s="222">
        <v>36</v>
      </c>
      <c r="L155" s="222">
        <v>51</v>
      </c>
      <c r="M155" s="222" t="s">
        <v>59</v>
      </c>
      <c r="N155" s="226">
        <f t="shared" si="258"/>
        <v>187</v>
      </c>
      <c r="O155" s="57">
        <v>4133</v>
      </c>
      <c r="P155" s="211">
        <v>363.8</v>
      </c>
      <c r="Q155" s="218">
        <v>79.83</v>
      </c>
      <c r="R155" s="218">
        <v>73.099999999999994</v>
      </c>
      <c r="S155" s="218">
        <v>77.86</v>
      </c>
      <c r="T155" s="218">
        <v>8.8320000000000007</v>
      </c>
      <c r="U155" s="84">
        <v>9550</v>
      </c>
      <c r="V155" s="292">
        <f>VLOOKUP($U155,计算辅助页面!$Z$5:$AM$26,COLUMN()-20,0)</f>
        <v>15600</v>
      </c>
      <c r="W155" s="292">
        <f>VLOOKUP($U155,计算辅助页面!$Z$5:$AM$26,COLUMN()-20,0)</f>
        <v>24900</v>
      </c>
      <c r="X155" s="226">
        <f>VLOOKUP($U155,计算辅助页面!$Z$5:$AM$26,COLUMN()-20,0)</f>
        <v>37400</v>
      </c>
      <c r="Y155" s="226">
        <f>VLOOKUP($U155,计算辅助页面!$Z$5:$AM$26,COLUMN()-20,0)</f>
        <v>54000</v>
      </c>
      <c r="Z155" s="293">
        <f>VLOOKUP($U155,计算辅助页面!$Z$5:$AM$26,COLUMN()-20,0)</f>
        <v>75500</v>
      </c>
      <c r="AA155" s="226">
        <f>VLOOKUP($U155,计算辅助页面!$Z$5:$AM$26,COLUMN()-20,0)</f>
        <v>105500</v>
      </c>
      <c r="AB155" s="226">
        <f>VLOOKUP($U155,计算辅助页面!$Z$5:$AM$26,COLUMN()-20,0)</f>
        <v>148000</v>
      </c>
      <c r="AC155" s="226">
        <f>VLOOKUP($U155,计算辅助页面!$Z$5:$AM$26,COLUMN()-20,0)</f>
        <v>207500</v>
      </c>
      <c r="AD155" s="226">
        <f>VLOOKUP($U155,计算辅助页面!$Z$5:$AM$26,COLUMN()-20,0)</f>
        <v>290000</v>
      </c>
      <c r="AE155" s="226">
        <f>VLOOKUP($U155,计算辅助页面!$Z$5:$AM$26,COLUMN()-20,0)</f>
        <v>406000</v>
      </c>
      <c r="AF155" s="226">
        <f>VLOOKUP($U155,计算辅助页面!$Z$5:$AM$26,COLUMN()-20,0)</f>
        <v>569000</v>
      </c>
      <c r="AG155" s="226" t="str">
        <f>VLOOKUP($U155,计算辅助页面!$Z$5:$AM$26,COLUMN()-20,0)</f>
        <v>×</v>
      </c>
      <c r="AH155" s="173">
        <f>VLOOKUP($U155,计算辅助页面!$Z$5:$AM$26,COLUMN()-20,0)</f>
        <v>7771800</v>
      </c>
      <c r="AI155" s="267">
        <v>60000</v>
      </c>
      <c r="AJ155" s="260">
        <f>VLOOKUP(D155&amp;E155,计算辅助页面!$V$5:$Y$18,2,0)</f>
        <v>6</v>
      </c>
      <c r="AK155" s="174">
        <f t="shared" si="232"/>
        <v>120000</v>
      </c>
      <c r="AL155" s="174">
        <f>VLOOKUP(D155&amp;E155,计算辅助页面!$V$5:$Y$18,3,0)</f>
        <v>5</v>
      </c>
      <c r="AM155" s="179">
        <f t="shared" si="233"/>
        <v>360000</v>
      </c>
      <c r="AN155" s="179">
        <f>VLOOKUP(D155&amp;E155,计算辅助页面!$V$5:$Y$18,4,0)</f>
        <v>3</v>
      </c>
      <c r="AO155" s="173">
        <f t="shared" si="234"/>
        <v>8160000</v>
      </c>
      <c r="AP155" s="195">
        <f t="shared" si="235"/>
        <v>15931800</v>
      </c>
      <c r="AQ155" s="365" t="s">
        <v>566</v>
      </c>
      <c r="AR155" s="366" t="str">
        <f t="shared" si="243"/>
        <v>Aventador J</v>
      </c>
      <c r="AS155" s="352" t="s">
        <v>964</v>
      </c>
      <c r="AT155" s="353" t="s">
        <v>659</v>
      </c>
      <c r="AU155" s="327" t="s">
        <v>712</v>
      </c>
      <c r="AV155" s="357">
        <v>15</v>
      </c>
      <c r="AW155" s="357">
        <v>378</v>
      </c>
      <c r="AY155" s="357">
        <v>502</v>
      </c>
      <c r="AZ155" s="357" t="s">
        <v>1119</v>
      </c>
      <c r="BA155" s="369"/>
      <c r="BB155" s="369"/>
      <c r="BC155" s="369"/>
      <c r="BD155" s="369">
        <v>1</v>
      </c>
      <c r="BE155" s="369"/>
      <c r="BF155" s="369"/>
      <c r="BG155" s="369"/>
      <c r="BH155" s="369"/>
      <c r="BI155" s="369"/>
      <c r="BJ155" s="369"/>
      <c r="BK155" s="369"/>
      <c r="BL155" s="369"/>
      <c r="BM155" s="369"/>
      <c r="BN155" s="369"/>
      <c r="BO155" s="369"/>
      <c r="BP155" s="369"/>
      <c r="BQ155" s="369"/>
      <c r="BR155" s="369" t="s">
        <v>1146</v>
      </c>
      <c r="BS155" s="369"/>
      <c r="BT155" s="369">
        <v>1</v>
      </c>
      <c r="BU155" s="387" t="s">
        <v>1190</v>
      </c>
      <c r="BV155" s="326"/>
      <c r="BW155" s="326"/>
      <c r="BX155" s="326"/>
      <c r="BY155" s="367">
        <v>350</v>
      </c>
      <c r="BZ155" s="368">
        <v>73</v>
      </c>
      <c r="CA155" s="368">
        <v>49.16</v>
      </c>
      <c r="CB155" s="368">
        <v>62.92</v>
      </c>
      <c r="CC155" s="368">
        <f t="shared" si="236"/>
        <v>13.800000000000011</v>
      </c>
      <c r="CD155" s="368">
        <f t="shared" si="237"/>
        <v>6.8299999999999983</v>
      </c>
      <c r="CE155" s="368">
        <f t="shared" si="238"/>
        <v>23.939999999999998</v>
      </c>
      <c r="CF155" s="368">
        <f t="shared" si="239"/>
        <v>14.939999999999998</v>
      </c>
      <c r="CG155" s="368">
        <f t="shared" si="240"/>
        <v>59.510000000000005</v>
      </c>
      <c r="CH155" s="368">
        <f t="shared" si="241"/>
        <v>62.543899999999994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717</v>
      </c>
      <c r="C156" s="86" t="s">
        <v>805</v>
      </c>
      <c r="D156" s="256" t="s">
        <v>199</v>
      </c>
      <c r="E156" s="247" t="s">
        <v>79</v>
      </c>
      <c r="F156" s="230">
        <f t="shared" si="231"/>
        <v>3</v>
      </c>
      <c r="G156" s="229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58"/>
        <v>250</v>
      </c>
      <c r="O156" s="57">
        <v>4145</v>
      </c>
      <c r="P156" s="211">
        <v>370.6</v>
      </c>
      <c r="Q156" s="218">
        <v>81.93</v>
      </c>
      <c r="R156" s="218">
        <v>84.82</v>
      </c>
      <c r="S156" s="218">
        <v>59.61</v>
      </c>
      <c r="T156" s="218"/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32"/>
        <v>160000</v>
      </c>
      <c r="AL156" s="189">
        <f>VLOOKUP(D156&amp;E156,计算辅助页面!$V$5:$Y$18,3,0)</f>
        <v>5</v>
      </c>
      <c r="AM156" s="193">
        <f t="shared" si="233"/>
        <v>480000</v>
      </c>
      <c r="AN156" s="193">
        <f>VLOOKUP(D156&amp;E156,计算辅助页面!$V$5:$Y$18,4,0)</f>
        <v>4</v>
      </c>
      <c r="AO156" s="230">
        <f t="shared" si="234"/>
        <v>12800000</v>
      </c>
      <c r="AP156" s="195">
        <f t="shared" si="235"/>
        <v>32207600</v>
      </c>
      <c r="AQ156" s="365" t="s">
        <v>1053</v>
      </c>
      <c r="AR156" s="366" t="str">
        <f t="shared" si="243"/>
        <v>Onyx</v>
      </c>
      <c r="AS156" s="352" t="s">
        <v>723</v>
      </c>
      <c r="AT156" s="353" t="s">
        <v>880</v>
      </c>
      <c r="AU156" s="327" t="s">
        <v>712</v>
      </c>
      <c r="AW156" s="357">
        <v>385</v>
      </c>
      <c r="AY156" s="357">
        <v>514</v>
      </c>
      <c r="AZ156" s="357" t="s">
        <v>1117</v>
      </c>
      <c r="BA156" s="369"/>
      <c r="BB156" s="369"/>
      <c r="BC156" s="369"/>
      <c r="BD156" s="369"/>
      <c r="BE156" s="369"/>
      <c r="BF156" s="369"/>
      <c r="BG156" s="369"/>
      <c r="BH156" s="369">
        <v>1</v>
      </c>
      <c r="BI156" s="369"/>
      <c r="BJ156" s="369"/>
      <c r="BK156" s="369"/>
      <c r="BL156" s="369"/>
      <c r="BM156" s="369"/>
      <c r="BN156" s="369"/>
      <c r="BO156" s="369"/>
      <c r="BP156" s="369"/>
      <c r="BQ156" s="369"/>
      <c r="BR156" s="369"/>
      <c r="BS156" s="369"/>
      <c r="BT156" s="369"/>
      <c r="BU156" s="387" t="s">
        <v>1191</v>
      </c>
      <c r="BV156" s="326"/>
      <c r="BW156" s="326"/>
      <c r="BX156" s="326"/>
      <c r="BY156" s="367">
        <v>360</v>
      </c>
      <c r="BZ156" s="368">
        <v>73.900000000000006</v>
      </c>
      <c r="CA156" s="368">
        <v>63.83</v>
      </c>
      <c r="CB156" s="368">
        <v>35.08</v>
      </c>
      <c r="CC156" s="368">
        <f t="shared" si="236"/>
        <v>10.600000000000023</v>
      </c>
      <c r="CD156" s="368">
        <f t="shared" si="237"/>
        <v>8.0300000000000011</v>
      </c>
      <c r="CE156" s="368">
        <f t="shared" si="238"/>
        <v>20.989999999999995</v>
      </c>
      <c r="CF156" s="368">
        <f t="shared" si="239"/>
        <v>24.53</v>
      </c>
      <c r="CG156" s="368">
        <f t="shared" si="240"/>
        <v>64.15000000000002</v>
      </c>
      <c r="CH156" s="368">
        <f t="shared" si="241"/>
        <v>72.561599999999999</v>
      </c>
      <c r="CI156" s="42"/>
      <c r="CJ156" s="42"/>
      <c r="CK156" s="42"/>
      <c r="CL156" s="42"/>
    </row>
    <row r="157" spans="1:90" ht="21" customHeight="1">
      <c r="A157" s="80">
        <v>155</v>
      </c>
      <c r="B157" s="55" t="s">
        <v>1294</v>
      </c>
      <c r="C157" s="86" t="s">
        <v>1278</v>
      </c>
      <c r="D157" s="256" t="s">
        <v>199</v>
      </c>
      <c r="E157" s="247" t="s">
        <v>79</v>
      </c>
      <c r="F157" s="230"/>
      <c r="G157" s="229"/>
      <c r="H157" s="385" t="s">
        <v>408</v>
      </c>
      <c r="I157" s="236">
        <v>28</v>
      </c>
      <c r="J157" s="236">
        <v>32</v>
      </c>
      <c r="K157" s="236">
        <v>44</v>
      </c>
      <c r="L157" s="236">
        <v>59</v>
      </c>
      <c r="M157" s="236">
        <v>86</v>
      </c>
      <c r="N157" s="243">
        <f t="shared" ref="N157" si="259">IF(COUNTBLANK(H157:M157),"",SUM(H157:M157))</f>
        <v>249</v>
      </c>
      <c r="O157" s="57">
        <v>4158</v>
      </c>
      <c r="P157" s="211">
        <v>368.3</v>
      </c>
      <c r="Q157" s="218">
        <v>84.54</v>
      </c>
      <c r="R157" s="218">
        <v>57.29</v>
      </c>
      <c r="S157" s="218">
        <v>67.540000000000006</v>
      </c>
      <c r="T157" s="218">
        <v>6.8</v>
      </c>
      <c r="U157" s="85">
        <v>16100</v>
      </c>
      <c r="V157" s="294">
        <f>VLOOKUP($U157,计算辅助页面!$Z$5:$AM$26,COLUMN()-20,0)</f>
        <v>26300</v>
      </c>
      <c r="W157" s="294">
        <f>VLOOKUP($U157,计算辅助页面!$Z$5:$AM$26,COLUMN()-20,0)</f>
        <v>42000</v>
      </c>
      <c r="X157" s="243">
        <f>VLOOKUP($U157,计算辅助页面!$Z$5:$AM$26,COLUMN()-20,0)</f>
        <v>63000</v>
      </c>
      <c r="Y157" s="243">
        <f>VLOOKUP($U157,计算辅助页面!$Z$5:$AM$26,COLUMN()-20,0)</f>
        <v>91000</v>
      </c>
      <c r="Z157" s="303">
        <f>VLOOKUP($U157,计算辅助页面!$Z$5:$AM$26,COLUMN()-20,0)</f>
        <v>127500</v>
      </c>
      <c r="AA157" s="243">
        <f>VLOOKUP($U157,计算辅助页面!$Z$5:$AM$26,COLUMN()-20,0)</f>
        <v>178500</v>
      </c>
      <c r="AB157" s="243">
        <f>VLOOKUP($U157,计算辅助页面!$Z$5:$AM$26,COLUMN()-20,0)</f>
        <v>249500</v>
      </c>
      <c r="AC157" s="243">
        <f>VLOOKUP($U157,计算辅助页面!$Z$5:$AM$26,COLUMN()-20,0)</f>
        <v>349500</v>
      </c>
      <c r="AD157" s="243">
        <f>VLOOKUP($U157,计算辅助页面!$Z$5:$AM$26,COLUMN()-20,0)</f>
        <v>489500</v>
      </c>
      <c r="AE157" s="243">
        <f>VLOOKUP($U157,计算辅助页面!$Z$5:$AM$26,COLUMN()-20,0)</f>
        <v>685000</v>
      </c>
      <c r="AF157" s="243">
        <f>VLOOKUP($U157,计算辅助页面!$Z$5:$AM$26,COLUMN()-20,0)</f>
        <v>959000</v>
      </c>
      <c r="AG157" s="239">
        <f>VLOOKUP($U157,计算辅助页面!$Z$5:$AM$26,COLUMN()-20,0)</f>
        <v>1575000</v>
      </c>
      <c r="AH157" s="230">
        <f>VLOOKUP($U157,计算辅助页面!$Z$5:$AM$26,COLUMN()-20,0)</f>
        <v>19407600</v>
      </c>
      <c r="AI157" s="268">
        <v>80000</v>
      </c>
      <c r="AJ157" s="264">
        <f>VLOOKUP(D157&amp;E157,计算辅助页面!$V$5:$Y$18,2,0)</f>
        <v>6</v>
      </c>
      <c r="AK157" s="189">
        <f t="shared" ref="AK157" si="260">IF(AI157,2*AI157,"")</f>
        <v>160000</v>
      </c>
      <c r="AL157" s="189">
        <f>VLOOKUP(D157&amp;E157,计算辅助页面!$V$5:$Y$18,3,0)</f>
        <v>5</v>
      </c>
      <c r="AM157" s="193">
        <f t="shared" ref="AM157" si="261">IF(AN157="×",AN157,IF(AI157,6*AI157,""))</f>
        <v>480000</v>
      </c>
      <c r="AN157" s="193">
        <f>VLOOKUP(D157&amp;E157,计算辅助页面!$V$5:$Y$18,4,0)</f>
        <v>4</v>
      </c>
      <c r="AO157" s="230">
        <f t="shared" ref="AO157" si="262">IF(AI157,IF(AN157="×",4*(AI157*AJ157+AK157*AL157),4*(AI157*AJ157+AK157*AL157+AM157*AN157)),"")</f>
        <v>12800000</v>
      </c>
      <c r="AP157" s="195">
        <f t="shared" ref="AP157" si="263">IF(AND(AH157,AO157),AO157+AH157,"")</f>
        <v>32207600</v>
      </c>
      <c r="AQ157" s="365" t="s">
        <v>901</v>
      </c>
      <c r="AR157" s="366" t="str">
        <f t="shared" si="243"/>
        <v>Zonda R🔑</v>
      </c>
      <c r="AS157" s="352" t="s">
        <v>1268</v>
      </c>
      <c r="AT157" s="353" t="s">
        <v>1279</v>
      </c>
      <c r="AU157" s="327" t="s">
        <v>712</v>
      </c>
      <c r="AW157" s="357">
        <v>383</v>
      </c>
      <c r="AY157" s="357">
        <v>509</v>
      </c>
      <c r="AZ157" s="384" t="s">
        <v>1280</v>
      </c>
      <c r="BA157" s="369"/>
      <c r="BB157" s="369"/>
      <c r="BC157" s="369"/>
      <c r="BD157" s="369"/>
      <c r="BE157" s="369"/>
      <c r="BF157" s="369"/>
      <c r="BG157" s="369"/>
      <c r="BH157" s="369"/>
      <c r="BI157" s="369"/>
      <c r="BJ157" s="369"/>
      <c r="BK157" s="369"/>
      <c r="BL157" s="369"/>
      <c r="BM157" s="369"/>
      <c r="BN157" s="369">
        <v>1</v>
      </c>
      <c r="BO157" s="369">
        <v>1</v>
      </c>
      <c r="BP157" s="369"/>
      <c r="BQ157" s="369"/>
      <c r="BR157" s="369"/>
      <c r="BS157" s="369"/>
      <c r="BT157" s="369"/>
      <c r="BU157" s="389" t="s">
        <v>1303</v>
      </c>
      <c r="BV157" s="326"/>
      <c r="BW157" s="326"/>
      <c r="BX157" s="326"/>
      <c r="BY157" s="367"/>
      <c r="BZ157" s="368"/>
      <c r="CA157" s="368"/>
      <c r="CB157" s="368"/>
      <c r="CC157" s="368"/>
      <c r="CD157" s="368"/>
      <c r="CE157" s="368"/>
      <c r="CF157" s="368"/>
      <c r="CG157" s="368"/>
      <c r="CH157" s="368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1293</v>
      </c>
      <c r="C158" s="86" t="s">
        <v>1281</v>
      </c>
      <c r="D158" s="256" t="s">
        <v>199</v>
      </c>
      <c r="E158" s="247" t="s">
        <v>79</v>
      </c>
      <c r="F158" s="230"/>
      <c r="G158" s="229"/>
      <c r="H158" s="385" t="s">
        <v>408</v>
      </c>
      <c r="I158" s="236">
        <v>28</v>
      </c>
      <c r="J158" s="236">
        <v>32</v>
      </c>
      <c r="K158" s="236">
        <v>44</v>
      </c>
      <c r="L158" s="236">
        <v>59</v>
      </c>
      <c r="M158" s="236">
        <v>86</v>
      </c>
      <c r="N158" s="243">
        <f t="shared" ref="N158" si="264">IF(COUNTBLANK(H158:M158),"",SUM(H158:M158))</f>
        <v>249</v>
      </c>
      <c r="O158" s="57">
        <v>4187</v>
      </c>
      <c r="P158" s="211">
        <v>358.6</v>
      </c>
      <c r="Q158" s="218">
        <v>89.33</v>
      </c>
      <c r="R158" s="218">
        <v>82.63</v>
      </c>
      <c r="S158" s="218">
        <v>55.24</v>
      </c>
      <c r="T158" s="218"/>
      <c r="U158" s="85">
        <v>16100</v>
      </c>
      <c r="V158" s="294">
        <f>VLOOKUP($U158,计算辅助页面!$Z$5:$AM$26,COLUMN()-20,0)</f>
        <v>26300</v>
      </c>
      <c r="W158" s="294">
        <f>VLOOKUP($U158,计算辅助页面!$Z$5:$AM$26,COLUMN()-20,0)</f>
        <v>42000</v>
      </c>
      <c r="X158" s="243">
        <f>VLOOKUP($U158,计算辅助页面!$Z$5:$AM$26,COLUMN()-20,0)</f>
        <v>63000</v>
      </c>
      <c r="Y158" s="243">
        <f>VLOOKUP($U158,计算辅助页面!$Z$5:$AM$26,COLUMN()-20,0)</f>
        <v>91000</v>
      </c>
      <c r="Z158" s="303">
        <f>VLOOKUP($U158,计算辅助页面!$Z$5:$AM$26,COLUMN()-20,0)</f>
        <v>127500</v>
      </c>
      <c r="AA158" s="243">
        <f>VLOOKUP($U158,计算辅助页面!$Z$5:$AM$26,COLUMN()-20,0)</f>
        <v>178500</v>
      </c>
      <c r="AB158" s="243">
        <f>VLOOKUP($U158,计算辅助页面!$Z$5:$AM$26,COLUMN()-20,0)</f>
        <v>249500</v>
      </c>
      <c r="AC158" s="243">
        <f>VLOOKUP($U158,计算辅助页面!$Z$5:$AM$26,COLUMN()-20,0)</f>
        <v>349500</v>
      </c>
      <c r="AD158" s="243">
        <f>VLOOKUP($U158,计算辅助页面!$Z$5:$AM$26,COLUMN()-20,0)</f>
        <v>489500</v>
      </c>
      <c r="AE158" s="243">
        <f>VLOOKUP($U158,计算辅助页面!$Z$5:$AM$26,COLUMN()-20,0)</f>
        <v>685000</v>
      </c>
      <c r="AF158" s="243">
        <f>VLOOKUP($U158,计算辅助页面!$Z$5:$AM$26,COLUMN()-20,0)</f>
        <v>959000</v>
      </c>
      <c r="AG158" s="239">
        <f>VLOOKUP($U158,计算辅助页面!$Z$5:$AM$26,COLUMN()-20,0)</f>
        <v>1575000</v>
      </c>
      <c r="AH158" s="230">
        <f>VLOOKUP($U158,计算辅助页面!$Z$5:$AM$26,COLUMN()-20,0)</f>
        <v>19407600</v>
      </c>
      <c r="AI158" s="268">
        <v>80000</v>
      </c>
      <c r="AJ158" s="264">
        <f>VLOOKUP(D158&amp;E158,计算辅助页面!$V$5:$Y$18,2,0)</f>
        <v>6</v>
      </c>
      <c r="AK158" s="189">
        <f t="shared" ref="AK158" si="265">IF(AI158,2*AI158,"")</f>
        <v>160000</v>
      </c>
      <c r="AL158" s="189">
        <f>VLOOKUP(D158&amp;E158,计算辅助页面!$V$5:$Y$18,3,0)</f>
        <v>5</v>
      </c>
      <c r="AM158" s="193">
        <f t="shared" ref="AM158" si="266">IF(AN158="×",AN158,IF(AI158,6*AI158,""))</f>
        <v>480000</v>
      </c>
      <c r="AN158" s="193">
        <f>VLOOKUP(D158&amp;E158,计算辅助页面!$V$5:$Y$18,4,0)</f>
        <v>4</v>
      </c>
      <c r="AO158" s="230">
        <f t="shared" ref="AO158" si="267">IF(AI158,IF(AN158="×",4*(AI158*AJ158+AK158*AL158),4*(AI158*AJ158+AK158*AL158+AM158*AN158)),"")</f>
        <v>12800000</v>
      </c>
      <c r="AP158" s="195">
        <f t="shared" ref="AP158" si="268">IF(AND(AH158,AO158),AO158+AH158,"")</f>
        <v>32207600</v>
      </c>
      <c r="AQ158" s="365" t="s">
        <v>1059</v>
      </c>
      <c r="AR158" s="366" t="str">
        <f t="shared" si="243"/>
        <v>007S🔑</v>
      </c>
      <c r="AS158" s="352" t="s">
        <v>1268</v>
      </c>
      <c r="AT158" s="353" t="s">
        <v>1282</v>
      </c>
      <c r="AU158" s="327" t="s">
        <v>712</v>
      </c>
      <c r="AW158" s="357">
        <v>373</v>
      </c>
      <c r="AY158" s="357">
        <v>493</v>
      </c>
      <c r="AZ158" s="384" t="s">
        <v>1280</v>
      </c>
      <c r="BA158" s="369"/>
      <c r="BB158" s="369"/>
      <c r="BC158" s="369"/>
      <c r="BD158" s="369"/>
      <c r="BE158" s="369"/>
      <c r="BF158" s="369"/>
      <c r="BG158" s="369"/>
      <c r="BH158" s="369"/>
      <c r="BI158" s="369"/>
      <c r="BJ158" s="369"/>
      <c r="BK158" s="369"/>
      <c r="BL158" s="369"/>
      <c r="BM158" s="369"/>
      <c r="BN158" s="369">
        <v>1</v>
      </c>
      <c r="BO158" s="369">
        <v>1</v>
      </c>
      <c r="BP158" s="369"/>
      <c r="BQ158" s="369"/>
      <c r="BR158" s="369"/>
      <c r="BS158" s="369"/>
      <c r="BT158" s="369"/>
      <c r="BU158" s="387"/>
      <c r="BV158" s="326"/>
      <c r="BW158" s="326"/>
      <c r="BX158" s="326"/>
      <c r="BY158" s="367"/>
      <c r="BZ158" s="368"/>
      <c r="CA158" s="368"/>
      <c r="CB158" s="368"/>
      <c r="CC158" s="368"/>
      <c r="CD158" s="368"/>
      <c r="CE158" s="368"/>
      <c r="CF158" s="368"/>
      <c r="CG158" s="368"/>
      <c r="CH158" s="368"/>
      <c r="CI158" s="42"/>
      <c r="CJ158" s="42"/>
      <c r="CK158" s="42"/>
      <c r="CL158" s="42"/>
    </row>
    <row r="159" spans="1:90" ht="21" customHeight="1">
      <c r="A159" s="80">
        <v>157</v>
      </c>
      <c r="B159" s="55" t="s">
        <v>718</v>
      </c>
      <c r="C159" s="86" t="s">
        <v>806</v>
      </c>
      <c r="D159" s="256" t="s">
        <v>199</v>
      </c>
      <c r="E159" s="247" t="s">
        <v>79</v>
      </c>
      <c r="F159" s="230">
        <f t="shared" si="231"/>
        <v>3</v>
      </c>
      <c r="G159" s="83" t="s">
        <v>402</v>
      </c>
      <c r="H159" s="232">
        <v>50</v>
      </c>
      <c r="I159" s="222">
        <v>23</v>
      </c>
      <c r="J159" s="222">
        <v>27</v>
      </c>
      <c r="K159" s="222">
        <v>36</v>
      </c>
      <c r="L159" s="222">
        <v>52</v>
      </c>
      <c r="M159" s="232">
        <v>62</v>
      </c>
      <c r="N159" s="226">
        <f t="shared" si="258"/>
        <v>250</v>
      </c>
      <c r="O159" s="57">
        <v>4222</v>
      </c>
      <c r="P159" s="211">
        <v>388.7</v>
      </c>
      <c r="Q159" s="218">
        <v>76.53</v>
      </c>
      <c r="R159" s="218">
        <v>64.61</v>
      </c>
      <c r="S159" s="218">
        <v>67.2</v>
      </c>
      <c r="T159" s="218">
        <v>6.3</v>
      </c>
      <c r="U159" s="85">
        <v>16100</v>
      </c>
      <c r="V159" s="294">
        <f>VLOOKUP($U159,计算辅助页面!$Z$5:$AM$26,COLUMN()-20,0)</f>
        <v>26300</v>
      </c>
      <c r="W159" s="294">
        <f>VLOOKUP($U159,计算辅助页面!$Z$5:$AM$26,COLUMN()-20,0)</f>
        <v>42000</v>
      </c>
      <c r="X159" s="243">
        <f>VLOOKUP($U159,计算辅助页面!$Z$5:$AM$26,COLUMN()-20,0)</f>
        <v>63000</v>
      </c>
      <c r="Y159" s="243">
        <f>VLOOKUP($U159,计算辅助页面!$Z$5:$AM$26,COLUMN()-20,0)</f>
        <v>91000</v>
      </c>
      <c r="Z159" s="303">
        <f>VLOOKUP($U159,计算辅助页面!$Z$5:$AM$26,COLUMN()-20,0)</f>
        <v>127500</v>
      </c>
      <c r="AA159" s="243">
        <f>VLOOKUP($U159,计算辅助页面!$Z$5:$AM$26,COLUMN()-20,0)</f>
        <v>178500</v>
      </c>
      <c r="AB159" s="243">
        <f>VLOOKUP($U159,计算辅助页面!$Z$5:$AM$26,COLUMN()-20,0)</f>
        <v>249500</v>
      </c>
      <c r="AC159" s="243">
        <f>VLOOKUP($U159,计算辅助页面!$Z$5:$AM$26,COLUMN()-20,0)</f>
        <v>349500</v>
      </c>
      <c r="AD159" s="243">
        <f>VLOOKUP($U159,计算辅助页面!$Z$5:$AM$26,COLUMN()-20,0)</f>
        <v>489500</v>
      </c>
      <c r="AE159" s="243">
        <f>VLOOKUP($U159,计算辅助页面!$Z$5:$AM$26,COLUMN()-20,0)</f>
        <v>685000</v>
      </c>
      <c r="AF159" s="243">
        <f>VLOOKUP($U159,计算辅助页面!$Z$5:$AM$26,COLUMN()-20,0)</f>
        <v>959000</v>
      </c>
      <c r="AG159" s="239">
        <f>VLOOKUP($U159,计算辅助页面!$Z$5:$AM$26,COLUMN()-20,0)</f>
        <v>1575000</v>
      </c>
      <c r="AH159" s="230">
        <f>VLOOKUP($U159,计算辅助页面!$Z$5:$AM$26,COLUMN()-20,0)</f>
        <v>19407600</v>
      </c>
      <c r="AI159" s="268">
        <v>80000</v>
      </c>
      <c r="AJ159" s="264">
        <f>VLOOKUP(D159&amp;E159,计算辅助页面!$V$5:$Y$18,2,0)</f>
        <v>6</v>
      </c>
      <c r="AK159" s="189">
        <f t="shared" si="232"/>
        <v>160000</v>
      </c>
      <c r="AL159" s="189">
        <f>VLOOKUP(D159&amp;E159,计算辅助页面!$V$5:$Y$18,3,0)</f>
        <v>5</v>
      </c>
      <c r="AM159" s="193">
        <f t="shared" si="233"/>
        <v>480000</v>
      </c>
      <c r="AN159" s="193">
        <f>VLOOKUP(D159&amp;E159,计算辅助页面!$V$5:$Y$18,4,0)</f>
        <v>4</v>
      </c>
      <c r="AO159" s="230">
        <f t="shared" si="234"/>
        <v>12800000</v>
      </c>
      <c r="AP159" s="195">
        <f t="shared" si="235"/>
        <v>32207600</v>
      </c>
      <c r="AQ159" s="365" t="s">
        <v>1052</v>
      </c>
      <c r="AR159" s="366" t="str">
        <f t="shared" si="243"/>
        <v>GT by Citroen</v>
      </c>
      <c r="AS159" s="352" t="s">
        <v>723</v>
      </c>
      <c r="AT159" s="353" t="s">
        <v>881</v>
      </c>
      <c r="AU159" s="327" t="s">
        <v>712</v>
      </c>
      <c r="AW159" s="357">
        <v>404</v>
      </c>
      <c r="AY159" s="357">
        <v>545</v>
      </c>
      <c r="AZ159" s="357" t="s">
        <v>1112</v>
      </c>
      <c r="BA159" s="369"/>
      <c r="BB159" s="369"/>
      <c r="BC159" s="369"/>
      <c r="BD159" s="369"/>
      <c r="BE159" s="369"/>
      <c r="BF159" s="369"/>
      <c r="BG159" s="369"/>
      <c r="BH159" s="369"/>
      <c r="BI159" s="369"/>
      <c r="BJ159" s="369"/>
      <c r="BK159" s="369"/>
      <c r="BL159" s="369"/>
      <c r="BM159" s="369"/>
      <c r="BN159" s="369"/>
      <c r="BO159" s="369"/>
      <c r="BP159" s="369"/>
      <c r="BQ159" s="369"/>
      <c r="BR159" s="369"/>
      <c r="BS159" s="369"/>
      <c r="BT159" s="369"/>
      <c r="BU159" s="387" t="s">
        <v>1192</v>
      </c>
      <c r="BV159" s="326"/>
      <c r="BW159" s="326"/>
      <c r="BX159" s="326"/>
      <c r="BY159" s="367">
        <v>375</v>
      </c>
      <c r="BZ159" s="368">
        <v>68.5</v>
      </c>
      <c r="CA159" s="368">
        <v>55.71</v>
      </c>
      <c r="CB159" s="368">
        <v>50.08</v>
      </c>
      <c r="CC159" s="368">
        <f t="shared" si="236"/>
        <v>13.699999999999989</v>
      </c>
      <c r="CD159" s="368">
        <f t="shared" si="237"/>
        <v>8.0300000000000011</v>
      </c>
      <c r="CE159" s="368">
        <f t="shared" si="238"/>
        <v>8.8999999999999986</v>
      </c>
      <c r="CF159" s="368">
        <f t="shared" si="239"/>
        <v>17.120000000000005</v>
      </c>
      <c r="CG159" s="368">
        <f t="shared" si="240"/>
        <v>47.749999999999993</v>
      </c>
      <c r="CH159" s="368">
        <f t="shared" si="241"/>
        <v>50.4071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5" t="s">
        <v>1574</v>
      </c>
      <c r="C160" s="86" t="s">
        <v>1561</v>
      </c>
      <c r="D160" s="256" t="s">
        <v>199</v>
      </c>
      <c r="E160" s="247" t="s">
        <v>79</v>
      </c>
      <c r="F160" s="230"/>
      <c r="G160" s="229"/>
      <c r="H160" s="236" t="s">
        <v>449</v>
      </c>
      <c r="I160" s="236">
        <v>28</v>
      </c>
      <c r="J160" s="236">
        <v>32</v>
      </c>
      <c r="K160" s="236">
        <v>44</v>
      </c>
      <c r="L160" s="236">
        <v>59</v>
      </c>
      <c r="M160" s="236">
        <v>86</v>
      </c>
      <c r="N160" s="243">
        <f t="shared" ref="N160" si="269">IF(COUNTBLANK(H160:M160),"",SUM(H160:M160))</f>
        <v>249</v>
      </c>
      <c r="O160" s="57">
        <v>4229</v>
      </c>
      <c r="P160" s="211">
        <v>352</v>
      </c>
      <c r="Q160" s="218">
        <v>84.94</v>
      </c>
      <c r="R160" s="218">
        <v>87.96</v>
      </c>
      <c r="S160" s="218">
        <v>72.61</v>
      </c>
      <c r="T160" s="218">
        <v>7.9</v>
      </c>
      <c r="U160" s="85">
        <v>16100</v>
      </c>
      <c r="V160" s="294">
        <f>VLOOKUP($U160,计算辅助页面!$Z$5:$AM$26,COLUMN()-20,0)</f>
        <v>26300</v>
      </c>
      <c r="W160" s="294">
        <f>VLOOKUP($U160,计算辅助页面!$Z$5:$AM$26,COLUMN()-20,0)</f>
        <v>42000</v>
      </c>
      <c r="X160" s="243">
        <f>VLOOKUP($U160,计算辅助页面!$Z$5:$AM$26,COLUMN()-20,0)</f>
        <v>63000</v>
      </c>
      <c r="Y160" s="243">
        <f>VLOOKUP($U160,计算辅助页面!$Z$5:$AM$26,COLUMN()-20,0)</f>
        <v>91000</v>
      </c>
      <c r="Z160" s="303">
        <f>VLOOKUP($U160,计算辅助页面!$Z$5:$AM$26,COLUMN()-20,0)</f>
        <v>127500</v>
      </c>
      <c r="AA160" s="243">
        <f>VLOOKUP($U160,计算辅助页面!$Z$5:$AM$26,COLUMN()-20,0)</f>
        <v>178500</v>
      </c>
      <c r="AB160" s="243">
        <f>VLOOKUP($U160,计算辅助页面!$Z$5:$AM$26,COLUMN()-20,0)</f>
        <v>249500</v>
      </c>
      <c r="AC160" s="243">
        <f>VLOOKUP($U160,计算辅助页面!$Z$5:$AM$26,COLUMN()-20,0)</f>
        <v>349500</v>
      </c>
      <c r="AD160" s="243">
        <f>VLOOKUP($U160,计算辅助页面!$Z$5:$AM$26,COLUMN()-20,0)</f>
        <v>489500</v>
      </c>
      <c r="AE160" s="243">
        <f>VLOOKUP($U160,计算辅助页面!$Z$5:$AM$26,COLUMN()-20,0)</f>
        <v>685000</v>
      </c>
      <c r="AF160" s="243">
        <f>VLOOKUP($U160,计算辅助页面!$Z$5:$AM$26,COLUMN()-20,0)</f>
        <v>959000</v>
      </c>
      <c r="AG160" s="239">
        <f>VLOOKUP($U160,计算辅助页面!$Z$5:$AM$26,COLUMN()-20,0)</f>
        <v>1575000</v>
      </c>
      <c r="AH160" s="230">
        <f>VLOOKUP($U160,计算辅助页面!$Z$5:$AM$26,COLUMN()-20,0)</f>
        <v>19407600</v>
      </c>
      <c r="AI160" s="268">
        <v>80000</v>
      </c>
      <c r="AJ160" s="264">
        <f>VLOOKUP(D160&amp;E160,计算辅助页面!$V$5:$Y$18,2,0)</f>
        <v>6</v>
      </c>
      <c r="AK160" s="189">
        <f t="shared" ref="AK160" si="270">IF(AI160,2*AI160,"")</f>
        <v>160000</v>
      </c>
      <c r="AL160" s="189">
        <f>VLOOKUP(D160&amp;E160,计算辅助页面!$V$5:$Y$18,3,0)</f>
        <v>5</v>
      </c>
      <c r="AM160" s="193">
        <f t="shared" ref="AM160" si="271">IF(AN160="×",AN160,IF(AI160,6*AI160,""))</f>
        <v>480000</v>
      </c>
      <c r="AN160" s="193">
        <f>VLOOKUP(D160&amp;E160,计算辅助页面!$V$5:$Y$18,4,0)</f>
        <v>4</v>
      </c>
      <c r="AO160" s="230">
        <f t="shared" ref="AO160" si="272">IF(AI160,IF(AN160="×",4*(AI160*AJ160+AK160*AL160),4*(AI160*AJ160+AK160*AL160+AM160*AN160)),"")</f>
        <v>12800000</v>
      </c>
      <c r="AP160" s="195">
        <f t="shared" ref="AP160" si="273">IF(AND(AH160,AO160),AO160+AH160,"")</f>
        <v>32207600</v>
      </c>
      <c r="AQ160" s="365" t="s">
        <v>562</v>
      </c>
      <c r="AR160" s="366" t="str">
        <f t="shared" si="243"/>
        <v>935 (2019)🔑</v>
      </c>
      <c r="AS160" s="352" t="s">
        <v>1578</v>
      </c>
      <c r="AT160" s="353" t="s">
        <v>1579</v>
      </c>
      <c r="AU160" s="327" t="s">
        <v>712</v>
      </c>
      <c r="AW160" s="357">
        <v>366</v>
      </c>
      <c r="AY160" s="357">
        <v>481</v>
      </c>
      <c r="AZ160" s="384" t="s">
        <v>1565</v>
      </c>
      <c r="BA160" s="369"/>
      <c r="BB160" s="369"/>
      <c r="BC160" s="369"/>
      <c r="BD160" s="369"/>
      <c r="BE160" s="369"/>
      <c r="BF160" s="369"/>
      <c r="BG160" s="369"/>
      <c r="BH160" s="369"/>
      <c r="BI160" s="369"/>
      <c r="BJ160" s="369"/>
      <c r="BK160" s="369"/>
      <c r="BL160" s="369"/>
      <c r="BM160" s="369"/>
      <c r="BN160" s="369">
        <v>1</v>
      </c>
      <c r="BO160" s="369"/>
      <c r="BP160" s="369"/>
      <c r="BQ160" s="369"/>
      <c r="BR160" s="369"/>
      <c r="BS160" s="369"/>
      <c r="BT160" s="369"/>
      <c r="BU160" s="389" t="s">
        <v>1566</v>
      </c>
      <c r="BV160" s="326"/>
      <c r="BW160" s="326"/>
      <c r="BX160" s="326"/>
      <c r="BY160" s="367"/>
      <c r="BZ160" s="368"/>
      <c r="CA160" s="368"/>
      <c r="CB160" s="368"/>
      <c r="CC160" s="368"/>
      <c r="CD160" s="368"/>
      <c r="CE160" s="368"/>
      <c r="CF160" s="368"/>
      <c r="CG160" s="368"/>
      <c r="CH160" s="368"/>
      <c r="CI160" s="42"/>
      <c r="CJ160" s="42"/>
      <c r="CK160" s="42"/>
      <c r="CL160" s="42"/>
    </row>
    <row r="161" spans="1:90" ht="21" customHeight="1">
      <c r="A161" s="80">
        <v>159</v>
      </c>
      <c r="B161" s="55" t="s">
        <v>969</v>
      </c>
      <c r="C161" s="86" t="s">
        <v>970</v>
      </c>
      <c r="D161" s="256" t="s">
        <v>199</v>
      </c>
      <c r="E161" s="247" t="s">
        <v>79</v>
      </c>
      <c r="F161" s="230"/>
      <c r="G161" s="229"/>
      <c r="H161" s="232">
        <v>70</v>
      </c>
      <c r="I161" s="232">
        <v>23</v>
      </c>
      <c r="J161" s="232">
        <v>27</v>
      </c>
      <c r="K161" s="232">
        <v>36</v>
      </c>
      <c r="L161" s="232">
        <v>52</v>
      </c>
      <c r="M161" s="232">
        <v>59</v>
      </c>
      <c r="N161" s="226">
        <f t="shared" si="258"/>
        <v>267</v>
      </c>
      <c r="O161" s="57">
        <v>4255</v>
      </c>
      <c r="P161" s="211">
        <v>371.4</v>
      </c>
      <c r="Q161" s="218">
        <v>78.33</v>
      </c>
      <c r="R161" s="218">
        <v>76.84</v>
      </c>
      <c r="S161" s="218">
        <v>69.63</v>
      </c>
      <c r="T161" s="218">
        <v>6.8</v>
      </c>
      <c r="U161" s="85">
        <v>16100</v>
      </c>
      <c r="V161" s="294">
        <f>VLOOKUP($U161,计算辅助页面!$Z$5:$AM$26,COLUMN()-20,0)</f>
        <v>26300</v>
      </c>
      <c r="W161" s="294">
        <f>VLOOKUP($U161,计算辅助页面!$Z$5:$AM$26,COLUMN()-20,0)</f>
        <v>42000</v>
      </c>
      <c r="X161" s="243">
        <f>VLOOKUP($U161,计算辅助页面!$Z$5:$AM$26,COLUMN()-20,0)</f>
        <v>63000</v>
      </c>
      <c r="Y161" s="243">
        <f>VLOOKUP($U161,计算辅助页面!$Z$5:$AM$26,COLUMN()-20,0)</f>
        <v>91000</v>
      </c>
      <c r="Z161" s="303">
        <f>VLOOKUP($U161,计算辅助页面!$Z$5:$AM$26,COLUMN()-20,0)</f>
        <v>127500</v>
      </c>
      <c r="AA161" s="243">
        <f>VLOOKUP($U161,计算辅助页面!$Z$5:$AM$26,COLUMN()-20,0)</f>
        <v>178500</v>
      </c>
      <c r="AB161" s="243">
        <f>VLOOKUP($U161,计算辅助页面!$Z$5:$AM$26,COLUMN()-20,0)</f>
        <v>249500</v>
      </c>
      <c r="AC161" s="243">
        <f>VLOOKUP($U161,计算辅助页面!$Z$5:$AM$26,COLUMN()-20,0)</f>
        <v>349500</v>
      </c>
      <c r="AD161" s="243">
        <f>VLOOKUP($U161,计算辅助页面!$Z$5:$AM$26,COLUMN()-20,0)</f>
        <v>489500</v>
      </c>
      <c r="AE161" s="243">
        <f>VLOOKUP($U161,计算辅助页面!$Z$5:$AM$26,COLUMN()-20,0)</f>
        <v>685000</v>
      </c>
      <c r="AF161" s="243">
        <f>VLOOKUP($U161,计算辅助页面!$Z$5:$AM$26,COLUMN()-20,0)</f>
        <v>959000</v>
      </c>
      <c r="AG161" s="239">
        <f>VLOOKUP($U161,计算辅助页面!$Z$5:$AM$26,COLUMN()-20,0)</f>
        <v>1575000</v>
      </c>
      <c r="AH161" s="230">
        <f>VLOOKUP($U161,计算辅助页面!$Z$5:$AM$26,COLUMN()-20,0)</f>
        <v>19407600</v>
      </c>
      <c r="AI161" s="268">
        <v>80000</v>
      </c>
      <c r="AJ161" s="264">
        <f>VLOOKUP(D161&amp;E161,计算辅助页面!$V$5:$Y$18,2,0)</f>
        <v>6</v>
      </c>
      <c r="AK161" s="189">
        <f t="shared" si="232"/>
        <v>160000</v>
      </c>
      <c r="AL161" s="189">
        <f>VLOOKUP(D161&amp;E161,计算辅助页面!$V$5:$Y$18,3,0)</f>
        <v>5</v>
      </c>
      <c r="AM161" s="193">
        <f t="shared" si="233"/>
        <v>480000</v>
      </c>
      <c r="AN161" s="193">
        <f>VLOOKUP(D161&amp;E161,计算辅助页面!$V$5:$Y$18,4,0)</f>
        <v>4</v>
      </c>
      <c r="AO161" s="230">
        <f t="shared" si="234"/>
        <v>12800000</v>
      </c>
      <c r="AP161" s="195">
        <f t="shared" si="235"/>
        <v>32207600</v>
      </c>
      <c r="AQ161" s="365" t="s">
        <v>567</v>
      </c>
      <c r="AR161" s="366" t="str">
        <f t="shared" ref="AR161:AR216" si="274">TRIM(RIGHT(B161,LEN(B161)-LEN(AQ161)-1))</f>
        <v>Victor</v>
      </c>
      <c r="AS161" s="352" t="s">
        <v>975</v>
      </c>
      <c r="AT161" s="353" t="s">
        <v>979</v>
      </c>
      <c r="AU161" s="327" t="s">
        <v>712</v>
      </c>
      <c r="AW161" s="357">
        <v>387</v>
      </c>
      <c r="AY161" s="357">
        <v>516</v>
      </c>
      <c r="AZ161" s="357" t="s">
        <v>1114</v>
      </c>
      <c r="BA161" s="369"/>
      <c r="BB161" s="369"/>
      <c r="BC161" s="369"/>
      <c r="BD161" s="369"/>
      <c r="BE161" s="369"/>
      <c r="BF161" s="369"/>
      <c r="BG161" s="369">
        <v>1</v>
      </c>
      <c r="BH161" s="369"/>
      <c r="BI161" s="369"/>
      <c r="BJ161" s="369"/>
      <c r="BK161" s="369"/>
      <c r="BL161" s="369"/>
      <c r="BM161" s="369"/>
      <c r="BN161" s="369"/>
      <c r="BO161" s="369">
        <v>1</v>
      </c>
      <c r="BP161" s="369"/>
      <c r="BQ161" s="369"/>
      <c r="BR161" s="369"/>
      <c r="BS161" s="369"/>
      <c r="BT161" s="369"/>
      <c r="BU161" s="387" t="s">
        <v>1193</v>
      </c>
      <c r="BV161" s="326"/>
      <c r="BW161" s="326"/>
      <c r="BX161" s="326"/>
      <c r="BY161" s="367">
        <v>360</v>
      </c>
      <c r="BZ161" s="368">
        <v>70.3</v>
      </c>
      <c r="CA161" s="368">
        <v>54.85</v>
      </c>
      <c r="CB161" s="368">
        <v>47.57</v>
      </c>
      <c r="CC161" s="368">
        <f t="shared" si="236"/>
        <v>11.399999999999977</v>
      </c>
      <c r="CD161" s="368">
        <f t="shared" si="237"/>
        <v>8.0300000000000011</v>
      </c>
      <c r="CE161" s="368">
        <f t="shared" si="238"/>
        <v>21.990000000000002</v>
      </c>
      <c r="CF161" s="368">
        <f t="shared" si="239"/>
        <v>22.059999999999995</v>
      </c>
      <c r="CG161" s="368">
        <f t="shared" si="240"/>
        <v>63.479999999999976</v>
      </c>
      <c r="CH161" s="368">
        <f t="shared" si="241"/>
        <v>70.786000000000001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5" t="s">
        <v>451</v>
      </c>
      <c r="C162" s="86" t="s">
        <v>807</v>
      </c>
      <c r="D162" s="256" t="s">
        <v>199</v>
      </c>
      <c r="E162" s="247" t="s">
        <v>79</v>
      </c>
      <c r="F162" s="230">
        <f t="shared" ref="F162:F191" si="275">9-LEN(E162)-LEN(SUBSTITUTE(E162,"★",""))</f>
        <v>3</v>
      </c>
      <c r="G162" s="229" t="s">
        <v>402</v>
      </c>
      <c r="H162" s="236" t="s">
        <v>449</v>
      </c>
      <c r="I162" s="236">
        <v>28</v>
      </c>
      <c r="J162" s="236">
        <v>32</v>
      </c>
      <c r="K162" s="236">
        <v>44</v>
      </c>
      <c r="L162" s="236">
        <v>59</v>
      </c>
      <c r="M162" s="236">
        <v>86</v>
      </c>
      <c r="N162" s="243">
        <f t="shared" si="258"/>
        <v>249</v>
      </c>
      <c r="O162" s="57">
        <v>4270</v>
      </c>
      <c r="P162" s="211">
        <v>356.9</v>
      </c>
      <c r="Q162" s="218">
        <v>83.64</v>
      </c>
      <c r="R162" s="218">
        <v>85.42</v>
      </c>
      <c r="S162" s="218">
        <v>73.650000000000006</v>
      </c>
      <c r="T162" s="218">
        <v>8.08</v>
      </c>
      <c r="U162" s="85">
        <v>16100</v>
      </c>
      <c r="V162" s="294">
        <f>VLOOKUP($U162,计算辅助页面!$Z$5:$AM$26,COLUMN()-20,0)</f>
        <v>26300</v>
      </c>
      <c r="W162" s="294">
        <f>VLOOKUP($U162,计算辅助页面!$Z$5:$AM$26,COLUMN()-20,0)</f>
        <v>42000</v>
      </c>
      <c r="X162" s="243">
        <f>VLOOKUP($U162,计算辅助页面!$Z$5:$AM$26,COLUMN()-20,0)</f>
        <v>63000</v>
      </c>
      <c r="Y162" s="243">
        <f>VLOOKUP($U162,计算辅助页面!$Z$5:$AM$26,COLUMN()-20,0)</f>
        <v>91000</v>
      </c>
      <c r="Z162" s="303">
        <f>VLOOKUP($U162,计算辅助页面!$Z$5:$AM$26,COLUMN()-20,0)</f>
        <v>127500</v>
      </c>
      <c r="AA162" s="243">
        <f>VLOOKUP($U162,计算辅助页面!$Z$5:$AM$26,COLUMN()-20,0)</f>
        <v>178500</v>
      </c>
      <c r="AB162" s="243">
        <f>VLOOKUP($U162,计算辅助页面!$Z$5:$AM$26,COLUMN()-20,0)</f>
        <v>249500</v>
      </c>
      <c r="AC162" s="243">
        <f>VLOOKUP($U162,计算辅助页面!$Z$5:$AM$26,COLUMN()-20,0)</f>
        <v>349500</v>
      </c>
      <c r="AD162" s="243">
        <f>VLOOKUP($U162,计算辅助页面!$Z$5:$AM$26,COLUMN()-20,0)</f>
        <v>489500</v>
      </c>
      <c r="AE162" s="243">
        <f>VLOOKUP($U162,计算辅助页面!$Z$5:$AM$26,COLUMN()-20,0)</f>
        <v>685000</v>
      </c>
      <c r="AF162" s="243">
        <f>VLOOKUP($U162,计算辅助页面!$Z$5:$AM$26,COLUMN()-20,0)</f>
        <v>959000</v>
      </c>
      <c r="AG162" s="239">
        <f>VLOOKUP($U162,计算辅助页面!$Z$5:$AM$26,COLUMN()-20,0)</f>
        <v>1575000</v>
      </c>
      <c r="AH162" s="230">
        <f>VLOOKUP($U162,计算辅助页面!$Z$5:$AM$26,COLUMN()-20,0)</f>
        <v>19407600</v>
      </c>
      <c r="AI162" s="268">
        <v>80000</v>
      </c>
      <c r="AJ162" s="264">
        <f>VLOOKUP(D162&amp;E162,计算辅助页面!$V$5:$Y$18,2,0)</f>
        <v>6</v>
      </c>
      <c r="AK162" s="189">
        <f t="shared" si="232"/>
        <v>160000</v>
      </c>
      <c r="AL162" s="189">
        <f>VLOOKUP(D162&amp;E162,计算辅助页面!$V$5:$Y$18,3,0)</f>
        <v>5</v>
      </c>
      <c r="AM162" s="193">
        <f t="shared" si="233"/>
        <v>480000</v>
      </c>
      <c r="AN162" s="193">
        <f>VLOOKUP(D162&amp;E162,计算辅助页面!$V$5:$Y$18,4,0)</f>
        <v>4</v>
      </c>
      <c r="AO162" s="230">
        <f t="shared" si="234"/>
        <v>12800000</v>
      </c>
      <c r="AP162" s="195">
        <f t="shared" si="235"/>
        <v>32207600</v>
      </c>
      <c r="AQ162" s="365" t="s">
        <v>562</v>
      </c>
      <c r="AR162" s="366" t="str">
        <f t="shared" si="274"/>
        <v>911 GT2 RS ClubSport🔑</v>
      </c>
      <c r="AS162" s="352" t="s">
        <v>957</v>
      </c>
      <c r="AT162" s="353" t="s">
        <v>652</v>
      </c>
      <c r="AU162" s="327" t="s">
        <v>712</v>
      </c>
      <c r="AW162" s="357">
        <v>371</v>
      </c>
      <c r="AY162" s="357">
        <v>490</v>
      </c>
      <c r="AZ162" s="357" t="s">
        <v>1115</v>
      </c>
      <c r="BA162" s="369"/>
      <c r="BB162" s="369"/>
      <c r="BC162" s="369"/>
      <c r="BD162" s="369"/>
      <c r="BE162" s="369"/>
      <c r="BF162" s="369"/>
      <c r="BG162" s="369"/>
      <c r="BH162" s="369"/>
      <c r="BI162" s="369"/>
      <c r="BJ162" s="369"/>
      <c r="BK162" s="369"/>
      <c r="BL162" s="369">
        <v>1</v>
      </c>
      <c r="BM162" s="369"/>
      <c r="BN162" s="369">
        <v>1</v>
      </c>
      <c r="BO162" s="369">
        <v>1</v>
      </c>
      <c r="BP162" s="369"/>
      <c r="BQ162" s="369"/>
      <c r="BR162" s="369"/>
      <c r="BS162" s="369"/>
      <c r="BT162" s="369"/>
      <c r="BU162" s="387" t="s">
        <v>1132</v>
      </c>
      <c r="BV162" s="326"/>
      <c r="BW162" s="326"/>
      <c r="BX162" s="326"/>
      <c r="BY162" s="367">
        <v>340</v>
      </c>
      <c r="BZ162" s="368">
        <v>74.8</v>
      </c>
      <c r="CA162" s="368">
        <v>55.63</v>
      </c>
      <c r="CB162" s="368">
        <v>49.64</v>
      </c>
      <c r="CC162" s="368">
        <f t="shared" si="236"/>
        <v>16.899999999999977</v>
      </c>
      <c r="CD162" s="368">
        <f t="shared" si="237"/>
        <v>8.8400000000000034</v>
      </c>
      <c r="CE162" s="368">
        <f t="shared" si="238"/>
        <v>29.79</v>
      </c>
      <c r="CF162" s="368">
        <f t="shared" si="239"/>
        <v>24.010000000000005</v>
      </c>
      <c r="CG162" s="368">
        <f t="shared" si="240"/>
        <v>79.539999999999992</v>
      </c>
      <c r="CH162" s="368">
        <f t="shared" si="241"/>
        <v>85.273499999999999</v>
      </c>
      <c r="CI162" s="42"/>
      <c r="CJ162" s="42"/>
      <c r="CK162" s="42"/>
      <c r="CL162" s="42"/>
    </row>
    <row r="163" spans="1:90" ht="21" customHeight="1">
      <c r="A163" s="80">
        <v>161</v>
      </c>
      <c r="B163" s="55" t="s">
        <v>130</v>
      </c>
      <c r="C163" s="86" t="s">
        <v>808</v>
      </c>
      <c r="D163" s="256" t="s">
        <v>8</v>
      </c>
      <c r="E163" s="247" t="s">
        <v>79</v>
      </c>
      <c r="F163" s="173">
        <f t="shared" si="275"/>
        <v>3</v>
      </c>
      <c r="G163" s="83" t="s">
        <v>73</v>
      </c>
      <c r="H163" s="222">
        <v>50</v>
      </c>
      <c r="I163" s="222">
        <v>12</v>
      </c>
      <c r="J163" s="222">
        <v>15</v>
      </c>
      <c r="K163" s="222">
        <v>24</v>
      </c>
      <c r="L163" s="222">
        <v>37</v>
      </c>
      <c r="M163" s="222">
        <v>45</v>
      </c>
      <c r="N163" s="226">
        <f t="shared" si="258"/>
        <v>183</v>
      </c>
      <c r="O163" s="57">
        <v>4274</v>
      </c>
      <c r="P163" s="211">
        <v>365.4</v>
      </c>
      <c r="Q163" s="218">
        <v>80.040000000000006</v>
      </c>
      <c r="R163" s="218">
        <v>63.11</v>
      </c>
      <c r="S163" s="218">
        <v>86.75</v>
      </c>
      <c r="T163" s="218">
        <v>11.832000000000001</v>
      </c>
      <c r="U163" s="84">
        <v>5290</v>
      </c>
      <c r="V163" s="292">
        <f>VLOOKUP($U163,计算辅助页面!$Z$5:$AM$26,COLUMN()-20,0)</f>
        <v>8600</v>
      </c>
      <c r="W163" s="292">
        <f>VLOOKUP($U163,计算辅助页面!$Z$5:$AM$26,COLUMN()-20,0)</f>
        <v>13800</v>
      </c>
      <c r="X163" s="226">
        <f>VLOOKUP($U163,计算辅助页面!$Z$5:$AM$26,COLUMN()-20,0)</f>
        <v>20700</v>
      </c>
      <c r="Y163" s="226">
        <f>VLOOKUP($U163,计算辅助页面!$Z$5:$AM$26,COLUMN()-20,0)</f>
        <v>29900</v>
      </c>
      <c r="Z163" s="293">
        <f>VLOOKUP($U163,计算辅助页面!$Z$5:$AM$26,COLUMN()-20,0)</f>
        <v>42000</v>
      </c>
      <c r="AA163" s="226">
        <f>VLOOKUP($U163,计算辅助页面!$Z$5:$AM$26,COLUMN()-20,0)</f>
        <v>58500</v>
      </c>
      <c r="AB163" s="226">
        <f>VLOOKUP($U163,计算辅助页面!$Z$5:$AM$26,COLUMN()-20,0)</f>
        <v>82000</v>
      </c>
      <c r="AC163" s="226">
        <f>VLOOKUP($U163,计算辅助页面!$Z$5:$AM$26,COLUMN()-20,0)</f>
        <v>115000</v>
      </c>
      <c r="AD163" s="226">
        <f>VLOOKUP($U163,计算辅助页面!$Z$5:$AM$26,COLUMN()-20,0)</f>
        <v>161000</v>
      </c>
      <c r="AE163" s="226">
        <f>VLOOKUP($U163,计算辅助页面!$Z$5:$AM$26,COLUMN()-20,0)</f>
        <v>225000</v>
      </c>
      <c r="AF163" s="226">
        <f>VLOOKUP($U163,计算辅助页面!$Z$5:$AM$26,COLUMN()-20,0)</f>
        <v>315000</v>
      </c>
      <c r="AG163" s="226">
        <f>VLOOKUP($U163,计算辅助页面!$Z$5:$AM$26,COLUMN()-20,0)</f>
        <v>517000</v>
      </c>
      <c r="AH163" s="173">
        <f>VLOOKUP($U163,计算辅助页面!$Z$5:$AM$26,COLUMN()-20,0)</f>
        <v>6375160</v>
      </c>
      <c r="AI163" s="267">
        <v>40000</v>
      </c>
      <c r="AJ163" s="260">
        <f>VLOOKUP(D163&amp;E163,计算辅助页面!$V$5:$Y$18,2,0)</f>
        <v>6</v>
      </c>
      <c r="AK163" s="174">
        <f t="shared" si="232"/>
        <v>80000</v>
      </c>
      <c r="AL163" s="174">
        <f>VLOOKUP(D163&amp;E163,计算辅助页面!$V$5:$Y$18,3,0)</f>
        <v>5</v>
      </c>
      <c r="AM163" s="179">
        <f t="shared" si="233"/>
        <v>240000</v>
      </c>
      <c r="AN163" s="179">
        <f>VLOOKUP(D163&amp;E163,计算辅助页面!$V$5:$Y$18,4,0)</f>
        <v>4</v>
      </c>
      <c r="AO163" s="173">
        <f t="shared" si="234"/>
        <v>6400000</v>
      </c>
      <c r="AP163" s="195">
        <f t="shared" si="235"/>
        <v>12775160</v>
      </c>
      <c r="AQ163" s="365" t="s">
        <v>901</v>
      </c>
      <c r="AR163" s="366" t="str">
        <f t="shared" si="274"/>
        <v>Huayra BC</v>
      </c>
      <c r="AS163" s="352" t="s">
        <v>603</v>
      </c>
      <c r="AT163" s="353" t="s">
        <v>664</v>
      </c>
      <c r="AU163" s="327" t="s">
        <v>712</v>
      </c>
      <c r="AV163" s="357">
        <v>17</v>
      </c>
      <c r="AW163" s="357">
        <v>380</v>
      </c>
      <c r="AY163" s="357">
        <v>504</v>
      </c>
      <c r="AZ163" s="357" t="s">
        <v>1119</v>
      </c>
      <c r="BA163" s="369"/>
      <c r="BB163" s="369"/>
      <c r="BC163" s="369"/>
      <c r="BD163" s="369">
        <v>1</v>
      </c>
      <c r="BE163" s="369"/>
      <c r="BF163" s="369"/>
      <c r="BG163" s="369"/>
      <c r="BH163" s="369"/>
      <c r="BI163" s="369"/>
      <c r="BJ163" s="369"/>
      <c r="BK163" s="369"/>
      <c r="BL163" s="369"/>
      <c r="BM163" s="369"/>
      <c r="BN163" s="369"/>
      <c r="BO163" s="369"/>
      <c r="BP163" s="369"/>
      <c r="BQ163" s="369"/>
      <c r="BR163" s="369"/>
      <c r="BS163" s="369"/>
      <c r="BT163" s="369">
        <v>1</v>
      </c>
      <c r="BU163" s="387" t="s">
        <v>1194</v>
      </c>
      <c r="BV163" s="326"/>
      <c r="BW163" s="326"/>
      <c r="BX163" s="326"/>
      <c r="BY163" s="367">
        <v>350</v>
      </c>
      <c r="BZ163" s="368">
        <v>71.2</v>
      </c>
      <c r="CA163" s="368">
        <v>46.1</v>
      </c>
      <c r="CB163" s="368">
        <v>73.11</v>
      </c>
      <c r="CC163" s="368">
        <f t="shared" si="236"/>
        <v>15.399999999999977</v>
      </c>
      <c r="CD163" s="368">
        <f t="shared" si="237"/>
        <v>8.8400000000000034</v>
      </c>
      <c r="CE163" s="368">
        <f t="shared" si="238"/>
        <v>17.009999999999998</v>
      </c>
      <c r="CF163" s="368">
        <f t="shared" si="239"/>
        <v>13.64</v>
      </c>
      <c r="CG163" s="368">
        <f t="shared" si="240"/>
        <v>54.889999999999979</v>
      </c>
      <c r="CH163" s="368">
        <f t="shared" si="241"/>
        <v>57.078499999999998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5" t="s">
        <v>1468</v>
      </c>
      <c r="C164" s="86" t="s">
        <v>1469</v>
      </c>
      <c r="D164" s="256" t="s">
        <v>8</v>
      </c>
      <c r="E164" s="247" t="s">
        <v>79</v>
      </c>
      <c r="F164" s="230"/>
      <c r="G164" s="229"/>
      <c r="H164" s="232">
        <v>70</v>
      </c>
      <c r="I164" s="232">
        <v>23</v>
      </c>
      <c r="J164" s="232">
        <v>27</v>
      </c>
      <c r="K164" s="232">
        <v>36</v>
      </c>
      <c r="L164" s="232">
        <v>52</v>
      </c>
      <c r="M164" s="232">
        <v>59</v>
      </c>
      <c r="N164" s="226">
        <f t="shared" ref="N164" si="276">IF(COUNTBLANK(H164:M164),"",SUM(H164:M164))</f>
        <v>267</v>
      </c>
      <c r="O164" s="57">
        <v>4279</v>
      </c>
      <c r="P164" s="211">
        <v>357</v>
      </c>
      <c r="Q164" s="218">
        <v>84.34</v>
      </c>
      <c r="R164" s="218">
        <v>85.82</v>
      </c>
      <c r="S164" s="218">
        <v>78.22</v>
      </c>
      <c r="T164" s="218"/>
      <c r="U164" s="84">
        <v>16100</v>
      </c>
      <c r="V164" s="292">
        <f>VLOOKUP($U164,计算辅助页面!$Z$5:$AM$26,COLUMN()-20,0)</f>
        <v>26300</v>
      </c>
      <c r="W164" s="292">
        <f>VLOOKUP($U164,计算辅助页面!$Z$5:$AM$26,COLUMN()-20,0)</f>
        <v>42000</v>
      </c>
      <c r="X164" s="226">
        <f>VLOOKUP($U164,计算辅助页面!$Z$5:$AM$26,COLUMN()-20,0)</f>
        <v>63000</v>
      </c>
      <c r="Y164" s="226">
        <f>VLOOKUP($U164,计算辅助页面!$Z$5:$AM$26,COLUMN()-20,0)</f>
        <v>91000</v>
      </c>
      <c r="Z164" s="293">
        <f>VLOOKUP($U164,计算辅助页面!$Z$5:$AM$26,COLUMN()-20,0)</f>
        <v>127500</v>
      </c>
      <c r="AA164" s="226">
        <f>VLOOKUP($U164,计算辅助页面!$Z$5:$AM$26,COLUMN()-20,0)</f>
        <v>178500</v>
      </c>
      <c r="AB164" s="226">
        <f>VLOOKUP($U164,计算辅助页面!$Z$5:$AM$26,COLUMN()-20,0)</f>
        <v>249500</v>
      </c>
      <c r="AC164" s="226">
        <f>VLOOKUP($U164,计算辅助页面!$Z$5:$AM$26,COLUMN()-20,0)</f>
        <v>349500</v>
      </c>
      <c r="AD164" s="226">
        <f>VLOOKUP($U164,计算辅助页面!$Z$5:$AM$26,COLUMN()-20,0)</f>
        <v>489500</v>
      </c>
      <c r="AE164" s="226">
        <f>VLOOKUP($U164,计算辅助页面!$Z$5:$AM$26,COLUMN()-20,0)</f>
        <v>685000</v>
      </c>
      <c r="AF164" s="226">
        <f>VLOOKUP($U164,计算辅助页面!$Z$5:$AM$26,COLUMN()-20,0)</f>
        <v>959000</v>
      </c>
      <c r="AG164" s="226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>IF(AI164,2*AI164,"")</f>
        <v>160000</v>
      </c>
      <c r="AL164" s="174">
        <f>VLOOKUP(D164&amp;E164,计算辅助页面!$V$5:$Y$18,3,0)</f>
        <v>5</v>
      </c>
      <c r="AM164" s="179">
        <f>IF(AN164="×",AN164,IF(AI164,6*AI164,""))</f>
        <v>480000</v>
      </c>
      <c r="AN164" s="179">
        <f>VLOOKUP(D164&amp;E164,计算辅助页面!$V$5:$Y$18,4,0)</f>
        <v>4</v>
      </c>
      <c r="AO164" s="173">
        <f>IF(AI164,IF(AN164="×",4*(AI164*AJ164+AK164*AL164),4*(AI164*AJ164+AK164*AL164+AM164*AN164)),"")</f>
        <v>12800000</v>
      </c>
      <c r="AP164" s="195">
        <f>IF(AND(AH164,AO164),AO164+AH164,"")</f>
        <v>32207600</v>
      </c>
      <c r="AQ164" s="365" t="s">
        <v>569</v>
      </c>
      <c r="AR164" s="366" t="str">
        <f t="shared" si="274"/>
        <v>650S GT3</v>
      </c>
      <c r="AS164" s="352" t="s">
        <v>1457</v>
      </c>
      <c r="AT164" s="353" t="s">
        <v>1476</v>
      </c>
      <c r="AU164" s="327" t="s">
        <v>712</v>
      </c>
      <c r="AW164" s="357">
        <v>371</v>
      </c>
      <c r="AY164" s="357">
        <v>490</v>
      </c>
      <c r="AZ164" s="357" t="s">
        <v>1507</v>
      </c>
      <c r="BA164" s="369"/>
      <c r="BB164" s="369"/>
      <c r="BC164" s="369"/>
      <c r="BD164" s="369"/>
      <c r="BE164" s="369"/>
      <c r="BF164" s="369"/>
      <c r="BG164" s="369"/>
      <c r="BH164" s="369"/>
      <c r="BI164" s="369"/>
      <c r="BJ164" s="369"/>
      <c r="BK164" s="369"/>
      <c r="BL164" s="369"/>
      <c r="BM164" s="369"/>
      <c r="BN164" s="369"/>
      <c r="BO164" s="369"/>
      <c r="BP164" s="369"/>
      <c r="BQ164" s="369"/>
      <c r="BR164" s="369"/>
      <c r="BS164" s="369"/>
      <c r="BT164" s="369"/>
      <c r="BU164" s="389" t="s">
        <v>1356</v>
      </c>
      <c r="BV164" s="326"/>
      <c r="BW164" s="326"/>
      <c r="BX164" s="326"/>
      <c r="BY164" s="367"/>
      <c r="BZ164" s="368"/>
      <c r="CA164" s="368"/>
      <c r="CB164" s="368"/>
      <c r="CC164" s="368"/>
      <c r="CD164" s="368"/>
      <c r="CE164" s="368"/>
      <c r="CF164" s="368"/>
      <c r="CG164" s="368"/>
      <c r="CH164" s="368"/>
      <c r="CI164" s="42"/>
      <c r="CJ164" s="42"/>
      <c r="CK164" s="42"/>
      <c r="CL164" s="42"/>
    </row>
    <row r="165" spans="1:90" ht="21" customHeight="1">
      <c r="A165" s="80">
        <v>163</v>
      </c>
      <c r="B165" s="55" t="s">
        <v>1012</v>
      </c>
      <c r="C165" s="86" t="s">
        <v>809</v>
      </c>
      <c r="D165" s="256" t="s">
        <v>8</v>
      </c>
      <c r="E165" s="247" t="s">
        <v>79</v>
      </c>
      <c r="F165" s="173">
        <f t="shared" si="275"/>
        <v>3</v>
      </c>
      <c r="G165" s="229" t="s">
        <v>402</v>
      </c>
      <c r="H165" s="236" t="s">
        <v>449</v>
      </c>
      <c r="I165" s="236">
        <v>28</v>
      </c>
      <c r="J165" s="222">
        <v>32</v>
      </c>
      <c r="K165" s="222">
        <v>44</v>
      </c>
      <c r="L165" s="222">
        <v>59</v>
      </c>
      <c r="M165" s="222">
        <v>86</v>
      </c>
      <c r="N165" s="226">
        <f t="shared" si="258"/>
        <v>249</v>
      </c>
      <c r="O165" s="57">
        <v>4284</v>
      </c>
      <c r="P165" s="211">
        <v>362.1</v>
      </c>
      <c r="Q165" s="218">
        <v>82.03</v>
      </c>
      <c r="R165" s="218">
        <v>64</v>
      </c>
      <c r="S165" s="218">
        <v>82.48</v>
      </c>
      <c r="T165" s="218">
        <v>10.35</v>
      </c>
      <c r="U165" s="84">
        <v>16100</v>
      </c>
      <c r="V165" s="292">
        <f>VLOOKUP($U165,计算辅助页面!$Z$5:$AM$26,COLUMN()-20,0)</f>
        <v>26300</v>
      </c>
      <c r="W165" s="292">
        <f>VLOOKUP($U165,计算辅助页面!$Z$5:$AM$26,COLUMN()-20,0)</f>
        <v>42000</v>
      </c>
      <c r="X165" s="226">
        <f>VLOOKUP($U165,计算辅助页面!$Z$5:$AM$26,COLUMN()-20,0)</f>
        <v>63000</v>
      </c>
      <c r="Y165" s="226">
        <f>VLOOKUP($U165,计算辅助页面!$Z$5:$AM$26,COLUMN()-20,0)</f>
        <v>91000</v>
      </c>
      <c r="Z165" s="293">
        <f>VLOOKUP($U165,计算辅助页面!$Z$5:$AM$26,COLUMN()-20,0)</f>
        <v>127500</v>
      </c>
      <c r="AA165" s="226">
        <f>VLOOKUP($U165,计算辅助页面!$Z$5:$AM$26,COLUMN()-20,0)</f>
        <v>178500</v>
      </c>
      <c r="AB165" s="226">
        <f>VLOOKUP($U165,计算辅助页面!$Z$5:$AM$26,COLUMN()-20,0)</f>
        <v>249500</v>
      </c>
      <c r="AC165" s="226">
        <f>VLOOKUP($U165,计算辅助页面!$Z$5:$AM$26,COLUMN()-20,0)</f>
        <v>349500</v>
      </c>
      <c r="AD165" s="226">
        <f>VLOOKUP($U165,计算辅助页面!$Z$5:$AM$26,COLUMN()-20,0)</f>
        <v>489500</v>
      </c>
      <c r="AE165" s="226">
        <f>VLOOKUP($U165,计算辅助页面!$Z$5:$AM$26,COLUMN()-20,0)</f>
        <v>685000</v>
      </c>
      <c r="AF165" s="226">
        <f>VLOOKUP($U165,计算辅助页面!$Z$5:$AM$26,COLUMN()-20,0)</f>
        <v>959000</v>
      </c>
      <c r="AG165" s="226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>IF(AI165,2*AI165,"")</f>
        <v>160000</v>
      </c>
      <c r="AL165" s="174">
        <f>VLOOKUP(D165&amp;E165,计算辅助页面!$V$5:$Y$18,3,0)</f>
        <v>5</v>
      </c>
      <c r="AM165" s="179">
        <f>IF(AN165="×",AN165,IF(AI165,6*AI165,""))</f>
        <v>480000</v>
      </c>
      <c r="AN165" s="179">
        <f>VLOOKUP(D165&amp;E165,计算辅助页面!$V$5:$Y$18,4,0)</f>
        <v>4</v>
      </c>
      <c r="AO165" s="173">
        <f>IF(AI165,IF(AN165="×",4*(AI165*AJ165+AK165*AL165),4*(AI165*AJ165+AK165*AL165+AM165*AN165)),"")</f>
        <v>12800000</v>
      </c>
      <c r="AP165" s="195">
        <f>IF(AND(AH165,AO165),AO165+AH165,"")</f>
        <v>32207600</v>
      </c>
      <c r="AQ165" s="365" t="s">
        <v>566</v>
      </c>
      <c r="AR165" s="366" t="str">
        <f t="shared" si="274"/>
        <v>SC18🔑</v>
      </c>
      <c r="AS165" s="352" t="s">
        <v>963</v>
      </c>
      <c r="AT165" s="353" t="s">
        <v>655</v>
      </c>
      <c r="AU165" s="327" t="s">
        <v>712</v>
      </c>
      <c r="AW165" s="357">
        <v>376</v>
      </c>
      <c r="AY165" s="357">
        <v>499</v>
      </c>
      <c r="AZ165" s="357" t="s">
        <v>1115</v>
      </c>
      <c r="BA165" s="369"/>
      <c r="BB165" s="369"/>
      <c r="BC165" s="369"/>
      <c r="BD165" s="369"/>
      <c r="BE165" s="369"/>
      <c r="BF165" s="369"/>
      <c r="BG165" s="369"/>
      <c r="BH165" s="369"/>
      <c r="BI165" s="369"/>
      <c r="BJ165" s="369"/>
      <c r="BK165" s="369"/>
      <c r="BL165" s="369"/>
      <c r="BM165" s="369"/>
      <c r="BN165" s="369">
        <v>1</v>
      </c>
      <c r="BO165" s="369">
        <v>1</v>
      </c>
      <c r="BP165" s="369"/>
      <c r="BQ165" s="369"/>
      <c r="BR165" s="369"/>
      <c r="BS165" s="369"/>
      <c r="BT165" s="369"/>
      <c r="BU165" s="387" t="s">
        <v>1172</v>
      </c>
      <c r="BV165" s="326"/>
      <c r="BW165" s="326"/>
      <c r="BX165" s="326"/>
      <c r="BY165" s="367">
        <v>350</v>
      </c>
      <c r="BZ165" s="368">
        <v>74.8</v>
      </c>
      <c r="CA165" s="368">
        <v>45.33</v>
      </c>
      <c r="CB165" s="368">
        <v>64.959999999999994</v>
      </c>
      <c r="CC165" s="368">
        <f t="shared" si="236"/>
        <v>12.100000000000023</v>
      </c>
      <c r="CD165" s="368">
        <f t="shared" si="237"/>
        <v>7.230000000000004</v>
      </c>
      <c r="CE165" s="368">
        <f t="shared" si="238"/>
        <v>18.670000000000002</v>
      </c>
      <c r="CF165" s="368">
        <f t="shared" si="239"/>
        <v>17.52000000000001</v>
      </c>
      <c r="CG165" s="368">
        <f t="shared" si="240"/>
        <v>55.520000000000039</v>
      </c>
      <c r="CH165" s="368">
        <f t="shared" si="241"/>
        <v>60.047200000000032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5" t="s">
        <v>193</v>
      </c>
      <c r="C166" s="86" t="s">
        <v>810</v>
      </c>
      <c r="D166" s="256" t="s">
        <v>8</v>
      </c>
      <c r="E166" s="247" t="s">
        <v>79</v>
      </c>
      <c r="F166" s="173">
        <f t="shared" si="275"/>
        <v>3</v>
      </c>
      <c r="G166" s="83" t="s">
        <v>402</v>
      </c>
      <c r="H166" s="232">
        <v>50</v>
      </c>
      <c r="I166" s="222">
        <v>23</v>
      </c>
      <c r="J166" s="222">
        <v>27</v>
      </c>
      <c r="K166" s="222">
        <v>36</v>
      </c>
      <c r="L166" s="222">
        <v>52</v>
      </c>
      <c r="M166" s="232">
        <v>62</v>
      </c>
      <c r="N166" s="226">
        <f t="shared" si="258"/>
        <v>250</v>
      </c>
      <c r="O166" s="57">
        <v>4291</v>
      </c>
      <c r="P166" s="211">
        <v>366.2</v>
      </c>
      <c r="Q166" s="218">
        <v>81.03</v>
      </c>
      <c r="R166" s="218">
        <v>82.48</v>
      </c>
      <c r="S166" s="218">
        <v>70.099999999999994</v>
      </c>
      <c r="T166" s="223">
        <v>7.2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3">
        <f>VLOOKUP($U166,计算辅助页面!$Z$5:$AM$26,COLUMN()-20,0)</f>
        <v>19407600</v>
      </c>
      <c r="AI166" s="267">
        <v>80000</v>
      </c>
      <c r="AJ166" s="260">
        <f>VLOOKUP(D166&amp;E166,计算辅助页面!$V$5:$Y$18,2,0)</f>
        <v>6</v>
      </c>
      <c r="AK166" s="174">
        <f t="shared" si="232"/>
        <v>160000</v>
      </c>
      <c r="AL166" s="174">
        <f>VLOOKUP(D166&amp;E166,计算辅助页面!$V$5:$Y$18,3,0)</f>
        <v>5</v>
      </c>
      <c r="AM166" s="179">
        <f t="shared" si="233"/>
        <v>480000</v>
      </c>
      <c r="AN166" s="179">
        <f>VLOOKUP(D166&amp;E166,计算辅助页面!$V$5:$Y$18,4,0)</f>
        <v>4</v>
      </c>
      <c r="AO166" s="173">
        <f t="shared" si="234"/>
        <v>12800000</v>
      </c>
      <c r="AP166" s="195">
        <f t="shared" si="235"/>
        <v>32207600</v>
      </c>
      <c r="AQ166" s="365" t="s">
        <v>568</v>
      </c>
      <c r="AR166" s="366" t="str">
        <f t="shared" si="274"/>
        <v>LaFerrari Aperta</v>
      </c>
      <c r="AS166" s="352" t="s">
        <v>955</v>
      </c>
      <c r="AT166" s="353" t="s">
        <v>665</v>
      </c>
      <c r="AU166" s="327" t="s">
        <v>712</v>
      </c>
      <c r="AV166" s="357">
        <v>17</v>
      </c>
      <c r="AW166" s="357">
        <v>381</v>
      </c>
      <c r="AY166" s="357">
        <v>506</v>
      </c>
      <c r="AZ166" s="357" t="s">
        <v>1119</v>
      </c>
      <c r="BA166" s="369"/>
      <c r="BB166" s="369"/>
      <c r="BC166" s="369"/>
      <c r="BD166" s="369">
        <v>1</v>
      </c>
      <c r="BE166" s="369"/>
      <c r="BF166" s="369"/>
      <c r="BG166" s="369"/>
      <c r="BH166" s="369"/>
      <c r="BI166" s="369"/>
      <c r="BJ166" s="369"/>
      <c r="BK166" s="369"/>
      <c r="BL166" s="369"/>
      <c r="BM166" s="369"/>
      <c r="BN166" s="369"/>
      <c r="BO166" s="369">
        <v>1</v>
      </c>
      <c r="BP166" s="369"/>
      <c r="BQ166" s="369"/>
      <c r="BR166" s="369" t="s">
        <v>1146</v>
      </c>
      <c r="BS166" s="369"/>
      <c r="BT166" s="369">
        <v>1</v>
      </c>
      <c r="BU166" s="387" t="s">
        <v>1195</v>
      </c>
      <c r="BV166" s="326"/>
      <c r="BW166" s="326"/>
      <c r="BX166" s="326"/>
      <c r="BY166" s="367">
        <v>350</v>
      </c>
      <c r="BZ166" s="368">
        <v>73</v>
      </c>
      <c r="CA166" s="368">
        <v>60.62</v>
      </c>
      <c r="CB166" s="368">
        <v>48.65</v>
      </c>
      <c r="CC166" s="368">
        <f t="shared" si="236"/>
        <v>16.199999999999989</v>
      </c>
      <c r="CD166" s="368">
        <f t="shared" si="237"/>
        <v>8.0300000000000011</v>
      </c>
      <c r="CE166" s="368">
        <f t="shared" si="238"/>
        <v>21.860000000000007</v>
      </c>
      <c r="CF166" s="368">
        <f t="shared" si="239"/>
        <v>21.449999999999996</v>
      </c>
      <c r="CG166" s="368">
        <f t="shared" si="240"/>
        <v>67.539999999999992</v>
      </c>
      <c r="CH166" s="368">
        <f t="shared" si="241"/>
        <v>71.394300000000001</v>
      </c>
      <c r="CI166" s="42"/>
      <c r="CJ166" s="42"/>
      <c r="CK166" s="42"/>
      <c r="CL166" s="42"/>
    </row>
    <row r="167" spans="1:90" ht="21" customHeight="1">
      <c r="A167" s="80">
        <v>165</v>
      </c>
      <c r="B167" s="55" t="s">
        <v>700</v>
      </c>
      <c r="C167" s="86" t="s">
        <v>811</v>
      </c>
      <c r="D167" s="256" t="s">
        <v>8</v>
      </c>
      <c r="E167" s="247" t="s">
        <v>79</v>
      </c>
      <c r="F167" s="173">
        <f t="shared" si="275"/>
        <v>3</v>
      </c>
      <c r="G167" s="229" t="s">
        <v>402</v>
      </c>
      <c r="H167" s="232">
        <v>50</v>
      </c>
      <c r="I167" s="222">
        <v>23</v>
      </c>
      <c r="J167" s="222">
        <v>27</v>
      </c>
      <c r="K167" s="222">
        <v>36</v>
      </c>
      <c r="L167" s="222">
        <v>52</v>
      </c>
      <c r="M167" s="232">
        <v>62</v>
      </c>
      <c r="N167" s="226">
        <f t="shared" si="258"/>
        <v>250</v>
      </c>
      <c r="O167" s="57">
        <v>4305</v>
      </c>
      <c r="P167" s="211">
        <v>360.2</v>
      </c>
      <c r="Q167" s="218">
        <v>83.14</v>
      </c>
      <c r="R167" s="218">
        <v>94.22</v>
      </c>
      <c r="S167" s="218">
        <v>69.790000000000006</v>
      </c>
      <c r="T167" s="223"/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32"/>
        <v>160000</v>
      </c>
      <c r="AL167" s="174">
        <f>VLOOKUP(D167&amp;E167,计算辅助页面!$V$5:$Y$18,3,0)</f>
        <v>5</v>
      </c>
      <c r="AM167" s="179">
        <f t="shared" si="233"/>
        <v>480000</v>
      </c>
      <c r="AN167" s="179">
        <f>VLOOKUP(D167&amp;E167,计算辅助页面!$V$5:$Y$18,4,0)</f>
        <v>4</v>
      </c>
      <c r="AO167" s="173">
        <f t="shared" si="234"/>
        <v>12800000</v>
      </c>
      <c r="AP167" s="195">
        <f t="shared" si="235"/>
        <v>32207600</v>
      </c>
      <c r="AQ167" s="365" t="s">
        <v>568</v>
      </c>
      <c r="AR167" s="366" t="str">
        <f t="shared" si="274"/>
        <v>F8 Tributo</v>
      </c>
      <c r="AS167" s="352" t="s">
        <v>702</v>
      </c>
      <c r="AT167" s="353" t="s">
        <v>706</v>
      </c>
      <c r="AU167" s="327" t="s">
        <v>712</v>
      </c>
      <c r="AW167" s="357">
        <v>375</v>
      </c>
      <c r="AY167" s="357">
        <v>496</v>
      </c>
      <c r="AZ167" s="357" t="s">
        <v>1121</v>
      </c>
      <c r="BA167" s="369"/>
      <c r="BB167" s="369"/>
      <c r="BC167" s="369"/>
      <c r="BD167" s="369"/>
      <c r="BE167" s="369"/>
      <c r="BF167" s="369"/>
      <c r="BG167" s="369"/>
      <c r="BH167" s="369"/>
      <c r="BI167" s="369"/>
      <c r="BJ167" s="369"/>
      <c r="BK167" s="369">
        <v>1</v>
      </c>
      <c r="BL167" s="369"/>
      <c r="BM167" s="369"/>
      <c r="BN167" s="369"/>
      <c r="BO167" s="369">
        <v>1</v>
      </c>
      <c r="BP167" s="369"/>
      <c r="BQ167" s="369"/>
      <c r="BR167" s="369"/>
      <c r="BS167" s="369"/>
      <c r="BT167" s="369"/>
      <c r="BU167" s="387" t="s">
        <v>1154</v>
      </c>
      <c r="BV167" s="326"/>
      <c r="BW167" s="326"/>
      <c r="BX167" s="326"/>
      <c r="BY167" s="367">
        <v>340</v>
      </c>
      <c r="BZ167" s="368">
        <v>73.900000000000006</v>
      </c>
      <c r="CA167" s="368">
        <v>66.86</v>
      </c>
      <c r="CB167" s="368">
        <v>43.65</v>
      </c>
      <c r="CC167" s="368">
        <f t="shared" si="236"/>
        <v>20.199999999999989</v>
      </c>
      <c r="CD167" s="368">
        <f t="shared" si="237"/>
        <v>9.2399999999999949</v>
      </c>
      <c r="CE167" s="368">
        <f t="shared" si="238"/>
        <v>27.36</v>
      </c>
      <c r="CF167" s="368">
        <f t="shared" si="239"/>
        <v>26.140000000000008</v>
      </c>
      <c r="CG167" s="368">
        <f t="shared" si="240"/>
        <v>82.94</v>
      </c>
      <c r="CH167" s="368">
        <f t="shared" si="241"/>
        <v>87.009999999999991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5" t="s">
        <v>1013</v>
      </c>
      <c r="C168" s="86" t="s">
        <v>994</v>
      </c>
      <c r="D168" s="256" t="s">
        <v>8</v>
      </c>
      <c r="E168" s="247" t="s">
        <v>79</v>
      </c>
      <c r="F168" s="173">
        <f t="shared" si="275"/>
        <v>3</v>
      </c>
      <c r="G168" s="229"/>
      <c r="H168" s="233" t="s">
        <v>408</v>
      </c>
      <c r="I168" s="236">
        <v>28</v>
      </c>
      <c r="J168" s="222">
        <v>32</v>
      </c>
      <c r="K168" s="222">
        <v>44</v>
      </c>
      <c r="L168" s="222">
        <v>59</v>
      </c>
      <c r="M168" s="222">
        <v>86</v>
      </c>
      <c r="N168" s="226">
        <f t="shared" ref="N168" si="277">IF(COUNTBLANK(H168:M168),"",SUM(H168:M168))</f>
        <v>249</v>
      </c>
      <c r="O168" s="57">
        <v>4307</v>
      </c>
      <c r="P168" s="211">
        <v>370.7</v>
      </c>
      <c r="Q168" s="218">
        <v>81.900000000000006</v>
      </c>
      <c r="R168" s="218">
        <v>72.510000000000005</v>
      </c>
      <c r="S168" s="218">
        <v>68.900000000000006</v>
      </c>
      <c r="T168" s="223"/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78">IF(AI168,2*AI168,"")</f>
        <v>160000</v>
      </c>
      <c r="AL168" s="174">
        <f>VLOOKUP(D168&amp;E168,计算辅助页面!$V$5:$Y$18,3,0)</f>
        <v>5</v>
      </c>
      <c r="AM168" s="179">
        <f t="shared" ref="AM168" si="279">IF(AN168="×",AN168,IF(AI168,6*AI168,""))</f>
        <v>480000</v>
      </c>
      <c r="AN168" s="179">
        <f>VLOOKUP(D168&amp;E168,计算辅助页面!$V$5:$Y$18,4,0)</f>
        <v>4</v>
      </c>
      <c r="AO168" s="173">
        <f t="shared" ref="AO168" si="280">IF(AI168,IF(AN168="×",4*(AI168*AJ168+AK168*AL168),4*(AI168*AJ168+AK168*AL168+AM168*AN168)),"")</f>
        <v>12800000</v>
      </c>
      <c r="AP168" s="195">
        <f t="shared" ref="AP168" si="281">IF(AND(AH168,AO168),AO168+AH168,"")</f>
        <v>32207600</v>
      </c>
      <c r="AQ168" s="365" t="s">
        <v>566</v>
      </c>
      <c r="AR168" s="366" t="str">
        <f t="shared" si="274"/>
        <v>SC20🔑</v>
      </c>
      <c r="AS168" s="352" t="s">
        <v>991</v>
      </c>
      <c r="AT168" s="353" t="s">
        <v>995</v>
      </c>
      <c r="AU168" s="327" t="s">
        <v>712</v>
      </c>
      <c r="AW168" s="357">
        <v>385</v>
      </c>
      <c r="AY168" s="357">
        <v>514</v>
      </c>
      <c r="AZ168" s="357" t="s">
        <v>1115</v>
      </c>
      <c r="BA168" s="369"/>
      <c r="BB168" s="369"/>
      <c r="BC168" s="369"/>
      <c r="BD168" s="369"/>
      <c r="BE168" s="369"/>
      <c r="BF168" s="369"/>
      <c r="BG168" s="369"/>
      <c r="BH168" s="369"/>
      <c r="BI168" s="369"/>
      <c r="BJ168" s="369"/>
      <c r="BK168" s="369"/>
      <c r="BL168" s="369">
        <v>1</v>
      </c>
      <c r="BM168" s="369"/>
      <c r="BN168" s="369">
        <v>1</v>
      </c>
      <c r="BO168" s="369">
        <v>1</v>
      </c>
      <c r="BP168" s="369"/>
      <c r="BQ168" s="369"/>
      <c r="BR168" s="369" t="s">
        <v>1146</v>
      </c>
      <c r="BS168" s="369"/>
      <c r="BT168" s="369"/>
      <c r="BU168" s="387" t="s">
        <v>1172</v>
      </c>
      <c r="BV168" s="326"/>
      <c r="BW168" s="326"/>
      <c r="BX168" s="326"/>
      <c r="BY168" s="367"/>
      <c r="BZ168" s="368"/>
      <c r="CA168" s="368"/>
      <c r="CB168" s="368"/>
      <c r="CC168" s="368"/>
      <c r="CD168" s="368"/>
      <c r="CE168" s="368"/>
      <c r="CF168" s="368"/>
      <c r="CG168" s="368"/>
      <c r="CH168" s="368"/>
      <c r="CI168" s="42"/>
      <c r="CJ168" s="42"/>
      <c r="CK168" s="42"/>
      <c r="CL168" s="42"/>
    </row>
    <row r="169" spans="1:90" ht="21" customHeight="1">
      <c r="A169" s="80">
        <v>167</v>
      </c>
      <c r="B169" s="55" t="s">
        <v>1050</v>
      </c>
      <c r="C169" s="86" t="s">
        <v>812</v>
      </c>
      <c r="D169" s="256" t="s">
        <v>199</v>
      </c>
      <c r="E169" s="248" t="s">
        <v>191</v>
      </c>
      <c r="F169" s="175">
        <f t="shared" si="275"/>
        <v>3</v>
      </c>
      <c r="G169" s="83" t="s">
        <v>402</v>
      </c>
      <c r="H169" s="232">
        <v>50</v>
      </c>
      <c r="I169" s="232">
        <v>23</v>
      </c>
      <c r="J169" s="232">
        <v>27</v>
      </c>
      <c r="K169" s="232">
        <v>36</v>
      </c>
      <c r="L169" s="232">
        <v>52</v>
      </c>
      <c r="M169" s="232">
        <v>62</v>
      </c>
      <c r="N169" s="239">
        <f t="shared" si="258"/>
        <v>250</v>
      </c>
      <c r="O169" s="57">
        <v>4310</v>
      </c>
      <c r="P169" s="211">
        <v>371.7</v>
      </c>
      <c r="Q169" s="218">
        <v>82.93</v>
      </c>
      <c r="R169" s="218">
        <v>67.81</v>
      </c>
      <c r="S169" s="218">
        <v>70.349999999999994</v>
      </c>
      <c r="T169" s="223">
        <v>7.15</v>
      </c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5">
        <f>VLOOKUP($U169,计算辅助页面!$Z$5:$AM$26,COLUMN()-20,0)</f>
        <v>19407600</v>
      </c>
      <c r="AI169" s="269">
        <v>80000</v>
      </c>
      <c r="AJ169" s="261">
        <f>VLOOKUP(D169&amp;E169,计算辅助页面!$V$5:$Y$18,2,0)</f>
        <v>6</v>
      </c>
      <c r="AK169" s="176">
        <f t="shared" ref="AK169:AK191" si="282">IF(AI169,2*AI169,"")</f>
        <v>160000</v>
      </c>
      <c r="AL169" s="176">
        <f>VLOOKUP(D169&amp;E169,计算辅助页面!$V$5:$Y$18,3,0)</f>
        <v>5</v>
      </c>
      <c r="AM169" s="182">
        <f t="shared" ref="AM169:AM191" si="283">IF(AN169="×",AN169,IF(AI169,6*AI169,""))</f>
        <v>480000</v>
      </c>
      <c r="AN169" s="182">
        <f>VLOOKUP(D169&amp;E169,计算辅助页面!$V$5:$Y$18,4,0)</f>
        <v>4</v>
      </c>
      <c r="AO169" s="175">
        <f t="shared" ref="AO169:AO191" si="284">IF(AI169,IF(AN169="×",4*(AI169*AJ169+AK169*AL169),4*(AI169*AJ169+AK169*AL169+AM169*AN169)),"")</f>
        <v>12800000</v>
      </c>
      <c r="AP169" s="196">
        <f t="shared" ref="AP169:AP191" si="285">IF(AND(AH169,AO169),AO169+AH169,"")</f>
        <v>32207600</v>
      </c>
      <c r="AQ169" s="365" t="s">
        <v>1051</v>
      </c>
      <c r="AR169" s="366" t="str">
        <f t="shared" si="274"/>
        <v>Akylone</v>
      </c>
      <c r="AS169" s="352" t="s">
        <v>858</v>
      </c>
      <c r="AT169" s="353" t="s">
        <v>673</v>
      </c>
      <c r="AU169" s="327" t="s">
        <v>712</v>
      </c>
      <c r="AV169" s="357">
        <v>18</v>
      </c>
      <c r="AW169" s="357">
        <v>386</v>
      </c>
      <c r="AY169" s="357">
        <v>515</v>
      </c>
      <c r="AZ169" s="357" t="s">
        <v>1119</v>
      </c>
      <c r="BA169" s="369"/>
      <c r="BB169" s="369"/>
      <c r="BC169" s="369"/>
      <c r="BD169" s="369">
        <v>1</v>
      </c>
      <c r="BE169" s="369"/>
      <c r="BF169" s="369"/>
      <c r="BG169" s="369"/>
      <c r="BH169" s="369"/>
      <c r="BI169" s="369"/>
      <c r="BJ169" s="369"/>
      <c r="BK169" s="369"/>
      <c r="BL169" s="369"/>
      <c r="BM169" s="369"/>
      <c r="BN169" s="369"/>
      <c r="BO169" s="369"/>
      <c r="BP169" s="369"/>
      <c r="BQ169" s="369"/>
      <c r="BR169" s="369"/>
      <c r="BS169" s="369"/>
      <c r="BT169" s="369">
        <v>1</v>
      </c>
      <c r="BU169" s="387" t="s">
        <v>1196</v>
      </c>
      <c r="BV169" s="326"/>
      <c r="BW169" s="326"/>
      <c r="BX169" s="326"/>
      <c r="BY169" s="367">
        <v>354</v>
      </c>
      <c r="BZ169" s="368">
        <v>75.7</v>
      </c>
      <c r="CA169" s="368">
        <v>49.56</v>
      </c>
      <c r="CB169" s="368">
        <v>53.16</v>
      </c>
      <c r="CC169" s="368">
        <f t="shared" ref="CC169:CC191" si="286">P169-BY169</f>
        <v>17.699999999999989</v>
      </c>
      <c r="CD169" s="368">
        <f t="shared" ref="CD169:CD191" si="287">Q169-BZ169</f>
        <v>7.230000000000004</v>
      </c>
      <c r="CE169" s="368">
        <f t="shared" ref="CE169:CE191" si="288">R169-CA169</f>
        <v>18.25</v>
      </c>
      <c r="CF169" s="368">
        <f t="shared" ref="CF169:CF191" si="289">S169-CB169</f>
        <v>17.189999999999998</v>
      </c>
      <c r="CG169" s="368">
        <f t="shared" ref="CG169:CG191" si="290">SUM(CC169:CF169)</f>
        <v>60.36999999999999</v>
      </c>
      <c r="CH169" s="368">
        <f t="shared" ref="CH169:CH191" si="291">0.32*(P169-BY169)+1.75*(Q169-BZ169)+1.13*(R169-CA169)+1.28*(S169-CB169)</f>
        <v>60.9422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1048</v>
      </c>
      <c r="C170" s="86" t="s">
        <v>813</v>
      </c>
      <c r="D170" s="256" t="s">
        <v>8</v>
      </c>
      <c r="E170" s="249" t="s">
        <v>79</v>
      </c>
      <c r="F170" s="178">
        <f t="shared" si="275"/>
        <v>3</v>
      </c>
      <c r="G170" s="229" t="s">
        <v>402</v>
      </c>
      <c r="H170" s="233" t="s">
        <v>408</v>
      </c>
      <c r="I170" s="233">
        <v>30</v>
      </c>
      <c r="J170" s="233">
        <v>40</v>
      </c>
      <c r="K170" s="233">
        <v>50</v>
      </c>
      <c r="L170" s="233">
        <v>65</v>
      </c>
      <c r="M170" s="233">
        <v>80</v>
      </c>
      <c r="N170" s="226">
        <f t="shared" si="258"/>
        <v>265</v>
      </c>
      <c r="O170" s="57">
        <v>4444</v>
      </c>
      <c r="P170" s="211">
        <v>364.6</v>
      </c>
      <c r="Q170" s="218">
        <v>85.53</v>
      </c>
      <c r="R170" s="218">
        <v>75.739999999999995</v>
      </c>
      <c r="S170" s="218">
        <v>69.650000000000006</v>
      </c>
      <c r="T170" s="218">
        <v>7.13</v>
      </c>
      <c r="U170" s="87">
        <v>16100</v>
      </c>
      <c r="V170" s="295">
        <f>VLOOKUP($U170,计算辅助页面!$Z$5:$AM$26,COLUMN()-20,0)</f>
        <v>26300</v>
      </c>
      <c r="W170" s="295">
        <f>VLOOKUP($U170,计算辅助页面!$Z$5:$AM$26,COLUMN()-20,0)</f>
        <v>42000</v>
      </c>
      <c r="X170" s="239">
        <f>VLOOKUP($U170,计算辅助页面!$Z$5:$AM$26,COLUMN()-20,0)</f>
        <v>63000</v>
      </c>
      <c r="Y170" s="239">
        <f>VLOOKUP($U170,计算辅助页面!$Z$5:$AM$26,COLUMN()-20,0)</f>
        <v>91000</v>
      </c>
      <c r="Z170" s="296">
        <f>VLOOKUP($U170,计算辅助页面!$Z$5:$AM$26,COLUMN()-20,0)</f>
        <v>127500</v>
      </c>
      <c r="AA170" s="239">
        <f>VLOOKUP($U170,计算辅助页面!$Z$5:$AM$26,COLUMN()-20,0)</f>
        <v>178500</v>
      </c>
      <c r="AB170" s="239">
        <f>VLOOKUP($U170,计算辅助页面!$Z$5:$AM$26,COLUMN()-20,0)</f>
        <v>249500</v>
      </c>
      <c r="AC170" s="239">
        <f>VLOOKUP($U170,计算辅助页面!$Z$5:$AM$26,COLUMN()-20,0)</f>
        <v>349500</v>
      </c>
      <c r="AD170" s="239">
        <f>VLOOKUP($U170,计算辅助页面!$Z$5:$AM$26,COLUMN()-20,0)</f>
        <v>489500</v>
      </c>
      <c r="AE170" s="239">
        <f>VLOOKUP($U170,计算辅助页面!$Z$5:$AM$26,COLUMN()-20,0)</f>
        <v>685000</v>
      </c>
      <c r="AF170" s="239">
        <f>VLOOKUP($U170,计算辅助页面!$Z$5:$AM$26,COLUMN()-20,0)</f>
        <v>959000</v>
      </c>
      <c r="AG170" s="239">
        <f>VLOOKUP($U170,计算辅助页面!$Z$5:$AM$26,COLUMN()-20,0)</f>
        <v>1575000</v>
      </c>
      <c r="AH170" s="173">
        <f>VLOOKUP($U170,计算辅助页面!$Z$5:$AM$26,COLUMN()-20,0)</f>
        <v>19407600</v>
      </c>
      <c r="AI170" s="267">
        <v>80000</v>
      </c>
      <c r="AJ170" s="260">
        <f>VLOOKUP(D170&amp;E170,计算辅助页面!$V$5:$Y$18,2,0)</f>
        <v>6</v>
      </c>
      <c r="AK170" s="174">
        <f t="shared" si="282"/>
        <v>160000</v>
      </c>
      <c r="AL170" s="174">
        <f>VLOOKUP(D170&amp;E170,计算辅助页面!$V$5:$Y$18,3,0)</f>
        <v>5</v>
      </c>
      <c r="AM170" s="179">
        <f t="shared" si="283"/>
        <v>480000</v>
      </c>
      <c r="AN170" s="179">
        <f>VLOOKUP(D170&amp;E170,计算辅助页面!$V$5:$Y$18,4,0)</f>
        <v>4</v>
      </c>
      <c r="AO170" s="173">
        <f t="shared" si="284"/>
        <v>12800000</v>
      </c>
      <c r="AP170" s="195">
        <f t="shared" si="285"/>
        <v>32207600</v>
      </c>
      <c r="AQ170" s="365" t="s">
        <v>1049</v>
      </c>
      <c r="AR170" s="366" t="str">
        <f t="shared" si="274"/>
        <v>AT96 Track Version🔑</v>
      </c>
      <c r="AS170" s="352" t="s">
        <v>960</v>
      </c>
      <c r="AT170" s="353" t="s">
        <v>663</v>
      </c>
      <c r="AU170" s="327" t="s">
        <v>712</v>
      </c>
      <c r="AW170" s="357">
        <v>379</v>
      </c>
      <c r="AY170" s="357">
        <v>503</v>
      </c>
      <c r="AZ170" s="357" t="s">
        <v>1115</v>
      </c>
      <c r="BA170" s="369"/>
      <c r="BB170" s="369"/>
      <c r="BC170" s="369"/>
      <c r="BD170" s="369"/>
      <c r="BE170" s="369"/>
      <c r="BF170" s="369"/>
      <c r="BG170" s="369"/>
      <c r="BH170" s="369"/>
      <c r="BI170" s="369"/>
      <c r="BJ170" s="369"/>
      <c r="BK170" s="369"/>
      <c r="BL170" s="369">
        <v>1</v>
      </c>
      <c r="BM170" s="369"/>
      <c r="BN170" s="369">
        <v>1</v>
      </c>
      <c r="BO170" s="369">
        <v>1</v>
      </c>
      <c r="BP170" s="369"/>
      <c r="BQ170" s="369"/>
      <c r="BR170" s="369"/>
      <c r="BS170" s="369"/>
      <c r="BT170" s="369"/>
      <c r="BU170" s="387" t="s">
        <v>1197</v>
      </c>
      <c r="BV170" s="326"/>
      <c r="BW170" s="326"/>
      <c r="BX170" s="326"/>
      <c r="BY170" s="367">
        <v>350</v>
      </c>
      <c r="BZ170" s="368">
        <v>77.5</v>
      </c>
      <c r="CA170" s="368">
        <v>52.98</v>
      </c>
      <c r="CB170" s="368">
        <v>46.61</v>
      </c>
      <c r="CC170" s="368">
        <f t="shared" si="286"/>
        <v>14.600000000000023</v>
      </c>
      <c r="CD170" s="368">
        <f t="shared" si="287"/>
        <v>8.0300000000000011</v>
      </c>
      <c r="CE170" s="368">
        <f t="shared" si="288"/>
        <v>22.759999999999998</v>
      </c>
      <c r="CF170" s="368">
        <f t="shared" si="289"/>
        <v>23.040000000000006</v>
      </c>
      <c r="CG170" s="368">
        <f t="shared" si="290"/>
        <v>68.430000000000035</v>
      </c>
      <c r="CH170" s="368">
        <f t="shared" si="291"/>
        <v>73.934500000000014</v>
      </c>
      <c r="CI170" s="42"/>
      <c r="CJ170" s="42"/>
      <c r="CK170" s="42"/>
      <c r="CL170" s="42"/>
    </row>
    <row r="171" spans="1:90" ht="21" customHeight="1" thickBot="1">
      <c r="A171" s="80">
        <v>169</v>
      </c>
      <c r="B171" s="52" t="s">
        <v>1592</v>
      </c>
      <c r="C171" s="86" t="s">
        <v>1593</v>
      </c>
      <c r="D171" s="256" t="s">
        <v>8</v>
      </c>
      <c r="E171" s="249" t="s">
        <v>79</v>
      </c>
      <c r="F171" s="175"/>
      <c r="G171" s="229"/>
      <c r="H171" s="232">
        <v>70</v>
      </c>
      <c r="I171" s="232">
        <v>23</v>
      </c>
      <c r="J171" s="232">
        <v>27</v>
      </c>
      <c r="K171" s="232">
        <v>36</v>
      </c>
      <c r="L171" s="232">
        <v>52</v>
      </c>
      <c r="M171" s="232">
        <v>59</v>
      </c>
      <c r="N171" s="239">
        <f t="shared" ref="N171" si="292">IF(COUNTBLANK(H171:M171),"",SUM(H171:M171))</f>
        <v>267</v>
      </c>
      <c r="O171" s="72">
        <v>4464</v>
      </c>
      <c r="P171" s="214">
        <v>375.7</v>
      </c>
      <c r="Q171" s="221">
        <v>81.3</v>
      </c>
      <c r="R171" s="221">
        <v>85.47</v>
      </c>
      <c r="S171" s="221">
        <v>61.71</v>
      </c>
      <c r="T171" s="221"/>
      <c r="U171" s="87">
        <v>16100</v>
      </c>
      <c r="V171" s="295">
        <f>VLOOKUP($U171,计算辅助页面!$Z$5:$AM$26,COLUMN()-20,0)</f>
        <v>26300</v>
      </c>
      <c r="W171" s="295">
        <f>VLOOKUP($U171,计算辅助页面!$Z$5:$AM$26,COLUMN()-20,0)</f>
        <v>42000</v>
      </c>
      <c r="X171" s="239">
        <f>VLOOKUP($U171,计算辅助页面!$Z$5:$AM$26,COLUMN()-20,0)</f>
        <v>63000</v>
      </c>
      <c r="Y171" s="239">
        <f>VLOOKUP($U171,计算辅助页面!$Z$5:$AM$26,COLUMN()-20,0)</f>
        <v>91000</v>
      </c>
      <c r="Z171" s="296">
        <f>VLOOKUP($U171,计算辅助页面!$Z$5:$AM$26,COLUMN()-20,0)</f>
        <v>127500</v>
      </c>
      <c r="AA171" s="239">
        <f>VLOOKUP($U171,计算辅助页面!$Z$5:$AM$26,COLUMN()-20,0)</f>
        <v>178500</v>
      </c>
      <c r="AB171" s="239">
        <f>VLOOKUP($U171,计算辅助页面!$Z$5:$AM$26,COLUMN()-20,0)</f>
        <v>249500</v>
      </c>
      <c r="AC171" s="239">
        <f>VLOOKUP($U171,计算辅助页面!$Z$5:$AM$26,COLUMN()-20,0)</f>
        <v>349500</v>
      </c>
      <c r="AD171" s="239">
        <f>VLOOKUP($U171,计算辅助页面!$Z$5:$AM$26,COLUMN()-20,0)</f>
        <v>489500</v>
      </c>
      <c r="AE171" s="239">
        <f>VLOOKUP($U171,计算辅助页面!$Z$5:$AM$26,COLUMN()-20,0)</f>
        <v>685000</v>
      </c>
      <c r="AF171" s="239">
        <f>VLOOKUP($U171,计算辅助页面!$Z$5:$AM$26,COLUMN()-20,0)</f>
        <v>959000</v>
      </c>
      <c r="AG171" s="239">
        <f>VLOOKUP($U171,计算辅助页面!$Z$5:$AM$26,COLUMN()-20,0)</f>
        <v>1575000</v>
      </c>
      <c r="AH171" s="173">
        <f>VLOOKUP($U171,计算辅助页面!$Z$5:$AM$26,COLUMN()-20,0)</f>
        <v>19407600</v>
      </c>
      <c r="AI171" s="267">
        <v>80000</v>
      </c>
      <c r="AJ171" s="260">
        <f>VLOOKUP(D171&amp;E171,计算辅助页面!$V$5:$Y$18,2,0)</f>
        <v>6</v>
      </c>
      <c r="AK171" s="174">
        <f t="shared" ref="AK171" si="293">IF(AI171,2*AI171,"")</f>
        <v>160000</v>
      </c>
      <c r="AL171" s="174">
        <f>VLOOKUP(D171&amp;E171,计算辅助页面!$V$5:$Y$18,3,0)</f>
        <v>5</v>
      </c>
      <c r="AM171" s="179">
        <f t="shared" ref="AM171" si="294">IF(AN171="×",AN171,IF(AI171,6*AI171,""))</f>
        <v>480000</v>
      </c>
      <c r="AN171" s="179">
        <f>VLOOKUP(D171&amp;E171,计算辅助页面!$V$5:$Y$18,4,0)</f>
        <v>4</v>
      </c>
      <c r="AO171" s="173">
        <f t="shared" ref="AO171" si="295">IF(AI171,IF(AN171="×",4*(AI171*AJ171+AK171*AL171),4*(AI171*AJ171+AK171*AL171+AM171*AN171)),"")</f>
        <v>12800000</v>
      </c>
      <c r="AP171" s="195">
        <f t="shared" ref="AP171" si="296">IF(AND(AH171,AO171),AO171+AH171,"")</f>
        <v>32207600</v>
      </c>
      <c r="AQ171" s="365" t="s">
        <v>1594</v>
      </c>
      <c r="AR171" s="366" t="str">
        <f t="shared" si="274"/>
        <v>M600 Speedster</v>
      </c>
      <c r="AS171" s="352" t="s">
        <v>1585</v>
      </c>
      <c r="AT171" s="353" t="s">
        <v>1595</v>
      </c>
      <c r="AU171" s="327" t="s">
        <v>1596</v>
      </c>
      <c r="AW171" s="357">
        <v>390</v>
      </c>
      <c r="AY171" s="357">
        <v>522</v>
      </c>
      <c r="AZ171" s="384" t="s">
        <v>1616</v>
      </c>
      <c r="BA171" s="369"/>
      <c r="BB171" s="369"/>
      <c r="BC171" s="369"/>
      <c r="BD171" s="369"/>
      <c r="BE171" s="369"/>
      <c r="BF171" s="369"/>
      <c r="BG171" s="369"/>
      <c r="BH171" s="369"/>
      <c r="BI171" s="369"/>
      <c r="BJ171" s="369"/>
      <c r="BK171" s="369"/>
      <c r="BL171" s="369"/>
      <c r="BM171" s="369"/>
      <c r="BN171" s="369"/>
      <c r="BO171" s="369"/>
      <c r="BP171" s="369"/>
      <c r="BQ171" s="369"/>
      <c r="BR171" s="369"/>
      <c r="BS171" s="369"/>
      <c r="BT171" s="369"/>
      <c r="BU171" s="389" t="s">
        <v>1606</v>
      </c>
      <c r="BV171" s="326"/>
      <c r="BW171" s="326"/>
      <c r="BX171" s="326"/>
      <c r="BY171" s="367"/>
      <c r="BZ171" s="368"/>
      <c r="CA171" s="368"/>
      <c r="CB171" s="368"/>
      <c r="CC171" s="368"/>
      <c r="CD171" s="368"/>
      <c r="CE171" s="368"/>
      <c r="CF171" s="368"/>
      <c r="CG171" s="368"/>
      <c r="CH171" s="368"/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1090</v>
      </c>
      <c r="C172" s="86" t="s">
        <v>1091</v>
      </c>
      <c r="D172" s="256" t="s">
        <v>8</v>
      </c>
      <c r="E172" s="249" t="s">
        <v>79</v>
      </c>
      <c r="F172" s="175"/>
      <c r="G172" s="229"/>
      <c r="H172" s="232">
        <v>70</v>
      </c>
      <c r="I172" s="232">
        <v>23</v>
      </c>
      <c r="J172" s="232">
        <v>27</v>
      </c>
      <c r="K172" s="232">
        <v>36</v>
      </c>
      <c r="L172" s="232">
        <v>52</v>
      </c>
      <c r="M172" s="232">
        <v>59</v>
      </c>
      <c r="N172" s="239">
        <f t="shared" ref="N172" si="297">IF(COUNTBLANK(H172:M172),"",SUM(H172:M172))</f>
        <v>267</v>
      </c>
      <c r="O172" s="72">
        <v>4480</v>
      </c>
      <c r="P172" s="214">
        <v>368.5</v>
      </c>
      <c r="Q172" s="221">
        <v>86.34</v>
      </c>
      <c r="R172" s="221">
        <v>84.08</v>
      </c>
      <c r="S172" s="221">
        <v>54.53</v>
      </c>
      <c r="T172" s="221">
        <v>5.23</v>
      </c>
      <c r="U172" s="87">
        <v>16100</v>
      </c>
      <c r="V172" s="295">
        <f>VLOOKUP($U172,计算辅助页面!$Z$5:$AM$26,COLUMN()-20,0)</f>
        <v>26300</v>
      </c>
      <c r="W172" s="295">
        <f>VLOOKUP($U172,计算辅助页面!$Z$5:$AM$26,COLUMN()-20,0)</f>
        <v>42000</v>
      </c>
      <c r="X172" s="239">
        <f>VLOOKUP($U172,计算辅助页面!$Z$5:$AM$26,COLUMN()-20,0)</f>
        <v>63000</v>
      </c>
      <c r="Y172" s="239">
        <f>VLOOKUP($U172,计算辅助页面!$Z$5:$AM$26,COLUMN()-20,0)</f>
        <v>91000</v>
      </c>
      <c r="Z172" s="296">
        <f>VLOOKUP($U172,计算辅助页面!$Z$5:$AM$26,COLUMN()-20,0)</f>
        <v>127500</v>
      </c>
      <c r="AA172" s="239">
        <f>VLOOKUP($U172,计算辅助页面!$Z$5:$AM$26,COLUMN()-20,0)</f>
        <v>178500</v>
      </c>
      <c r="AB172" s="239">
        <f>VLOOKUP($U172,计算辅助页面!$Z$5:$AM$26,COLUMN()-20,0)</f>
        <v>249500</v>
      </c>
      <c r="AC172" s="239">
        <f>VLOOKUP($U172,计算辅助页面!$Z$5:$AM$26,COLUMN()-20,0)</f>
        <v>349500</v>
      </c>
      <c r="AD172" s="239">
        <f>VLOOKUP($U172,计算辅助页面!$Z$5:$AM$26,COLUMN()-20,0)</f>
        <v>489500</v>
      </c>
      <c r="AE172" s="239">
        <f>VLOOKUP($U172,计算辅助页面!$Z$5:$AM$26,COLUMN()-20,0)</f>
        <v>685000</v>
      </c>
      <c r="AF172" s="239">
        <f>VLOOKUP($U172,计算辅助页面!$Z$5:$AM$26,COLUMN()-20,0)</f>
        <v>959000</v>
      </c>
      <c r="AG172" s="239">
        <f>VLOOKUP($U172,计算辅助页面!$Z$5:$AM$26,COLUMN()-20,0)</f>
        <v>1575000</v>
      </c>
      <c r="AH172" s="173">
        <f>VLOOKUP($U172,计算辅助页面!$Z$5:$AM$26,COLUMN()-20,0)</f>
        <v>19407600</v>
      </c>
      <c r="AI172" s="267">
        <v>80000</v>
      </c>
      <c r="AJ172" s="260">
        <f>VLOOKUP(D172&amp;E172,计算辅助页面!$V$5:$Y$18,2,0)</f>
        <v>6</v>
      </c>
      <c r="AK172" s="174">
        <f t="shared" ref="AK172" si="298">IF(AI172,2*AI172,"")</f>
        <v>160000</v>
      </c>
      <c r="AL172" s="174">
        <f>VLOOKUP(D172&amp;E172,计算辅助页面!$V$5:$Y$18,3,0)</f>
        <v>5</v>
      </c>
      <c r="AM172" s="179">
        <f t="shared" ref="AM172" si="299">IF(AN172="×",AN172,IF(AI172,6*AI172,""))</f>
        <v>480000</v>
      </c>
      <c r="AN172" s="179">
        <f>VLOOKUP(D172&amp;E172,计算辅助页面!$V$5:$Y$18,4,0)</f>
        <v>4</v>
      </c>
      <c r="AO172" s="173">
        <f t="shared" ref="AO172" si="300">IF(AI172,IF(AN172="×",4*(AI172*AJ172+AK172*AL172),4*(AI172*AJ172+AK172*AL172+AM172*AN172)),"")</f>
        <v>12800000</v>
      </c>
      <c r="AP172" s="195">
        <f t="shared" ref="AP172" si="301">IF(AND(AH172,AO172),AO172+AH172,"")</f>
        <v>32207600</v>
      </c>
      <c r="AQ172" s="365" t="s">
        <v>1041</v>
      </c>
      <c r="AR172" s="366" t="str">
        <f t="shared" si="274"/>
        <v>Concept_One</v>
      </c>
      <c r="AS172" s="352" t="s">
        <v>1082</v>
      </c>
      <c r="AT172" s="353" t="s">
        <v>1095</v>
      </c>
      <c r="AU172" s="327" t="s">
        <v>712</v>
      </c>
      <c r="AW172" s="357">
        <v>383</v>
      </c>
      <c r="AY172" s="357">
        <v>510</v>
      </c>
      <c r="AZ172" s="357" t="s">
        <v>1121</v>
      </c>
      <c r="BA172" s="369"/>
      <c r="BB172" s="369"/>
      <c r="BC172" s="369"/>
      <c r="BD172" s="369"/>
      <c r="BE172" s="369"/>
      <c r="BF172" s="369"/>
      <c r="BG172" s="369"/>
      <c r="BH172" s="369"/>
      <c r="BI172" s="369"/>
      <c r="BJ172" s="369"/>
      <c r="BK172" s="369"/>
      <c r="BL172" s="369"/>
      <c r="BM172" s="369"/>
      <c r="BN172" s="369"/>
      <c r="BO172" s="369"/>
      <c r="BP172" s="369"/>
      <c r="BQ172" s="369"/>
      <c r="BR172" s="369"/>
      <c r="BS172" s="369"/>
      <c r="BT172" s="369"/>
      <c r="BU172" s="387" t="s">
        <v>1095</v>
      </c>
      <c r="BV172" s="326"/>
      <c r="BW172" s="326"/>
      <c r="BX172" s="326"/>
      <c r="BY172" s="367"/>
      <c r="BZ172" s="368"/>
      <c r="CA172" s="368"/>
      <c r="CB172" s="368"/>
      <c r="CC172" s="368"/>
      <c r="CD172" s="368"/>
      <c r="CE172" s="368"/>
      <c r="CF172" s="368"/>
      <c r="CG172" s="368"/>
      <c r="CH172" s="368"/>
      <c r="CI172" s="42"/>
      <c r="CJ172" s="42"/>
      <c r="CK172" s="42"/>
      <c r="CL172" s="42"/>
    </row>
    <row r="173" spans="1:90" ht="21" customHeight="1">
      <c r="A173" s="80">
        <v>171</v>
      </c>
      <c r="B173" s="52" t="s">
        <v>594</v>
      </c>
      <c r="C173" s="86" t="s">
        <v>814</v>
      </c>
      <c r="D173" s="256" t="s">
        <v>199</v>
      </c>
      <c r="E173" s="248" t="s">
        <v>191</v>
      </c>
      <c r="F173" s="175">
        <f t="shared" si="275"/>
        <v>3</v>
      </c>
      <c r="G173" s="83" t="s">
        <v>402</v>
      </c>
      <c r="H173" s="232">
        <v>50</v>
      </c>
      <c r="I173" s="232">
        <v>23</v>
      </c>
      <c r="J173" s="232">
        <v>27</v>
      </c>
      <c r="K173" s="232">
        <v>36</v>
      </c>
      <c r="L173" s="232">
        <v>52</v>
      </c>
      <c r="M173" s="232">
        <v>77</v>
      </c>
      <c r="N173" s="239">
        <f t="shared" si="258"/>
        <v>265</v>
      </c>
      <c r="O173" s="72">
        <v>4517</v>
      </c>
      <c r="P173" s="214">
        <v>377.4</v>
      </c>
      <c r="Q173" s="221">
        <v>82.23</v>
      </c>
      <c r="R173" s="221">
        <v>81.760000000000005</v>
      </c>
      <c r="S173" s="221">
        <v>59.55</v>
      </c>
      <c r="T173" s="221">
        <v>5.68</v>
      </c>
      <c r="U173" s="87">
        <v>16100</v>
      </c>
      <c r="V173" s="295">
        <f>VLOOKUP($U173,计算辅助页面!$Z$5:$AM$26,COLUMN()-20,0)</f>
        <v>26300</v>
      </c>
      <c r="W173" s="295">
        <f>VLOOKUP($U173,计算辅助页面!$Z$5:$AM$26,COLUMN()-20,0)</f>
        <v>42000</v>
      </c>
      <c r="X173" s="239">
        <f>VLOOKUP($U173,计算辅助页面!$Z$5:$AM$26,COLUMN()-20,0)</f>
        <v>63000</v>
      </c>
      <c r="Y173" s="239">
        <f>VLOOKUP($U173,计算辅助页面!$Z$5:$AM$26,COLUMN()-20,0)</f>
        <v>91000</v>
      </c>
      <c r="Z173" s="296">
        <f>VLOOKUP($U173,计算辅助页面!$Z$5:$AM$26,COLUMN()-20,0)</f>
        <v>127500</v>
      </c>
      <c r="AA173" s="239">
        <f>VLOOKUP($U173,计算辅助页面!$Z$5:$AM$26,COLUMN()-20,0)</f>
        <v>178500</v>
      </c>
      <c r="AB173" s="239">
        <f>VLOOKUP($U173,计算辅助页面!$Z$5:$AM$26,COLUMN()-20,0)</f>
        <v>249500</v>
      </c>
      <c r="AC173" s="239">
        <f>VLOOKUP($U173,计算辅助页面!$Z$5:$AM$26,COLUMN()-20,0)</f>
        <v>349500</v>
      </c>
      <c r="AD173" s="239">
        <f>VLOOKUP($U173,计算辅助页面!$Z$5:$AM$26,COLUMN()-20,0)</f>
        <v>489500</v>
      </c>
      <c r="AE173" s="239">
        <f>VLOOKUP($U173,计算辅助页面!$Z$5:$AM$26,COLUMN()-20,0)</f>
        <v>685000</v>
      </c>
      <c r="AF173" s="239">
        <f>VLOOKUP($U173,计算辅助页面!$Z$5:$AM$26,COLUMN()-20,0)</f>
        <v>959000</v>
      </c>
      <c r="AG173" s="239">
        <f>VLOOKUP($U173,计算辅助页面!$Z$5:$AM$26,COLUMN()-20,0)</f>
        <v>1575000</v>
      </c>
      <c r="AH173" s="173">
        <f>VLOOKUP($U173,计算辅助页面!$Z$5:$AM$26,COLUMN()-20,0)</f>
        <v>19407600</v>
      </c>
      <c r="AI173" s="267">
        <v>80000</v>
      </c>
      <c r="AJ173" s="260">
        <f>VLOOKUP(D173&amp;E173,计算辅助页面!$V$5:$Y$18,2,0)</f>
        <v>6</v>
      </c>
      <c r="AK173" s="174">
        <f t="shared" si="282"/>
        <v>160000</v>
      </c>
      <c r="AL173" s="174">
        <f>VLOOKUP(D173&amp;E173,计算辅助页面!$V$5:$Y$18,3,0)</f>
        <v>5</v>
      </c>
      <c r="AM173" s="179">
        <f t="shared" si="283"/>
        <v>480000</v>
      </c>
      <c r="AN173" s="179">
        <f>VLOOKUP(D173&amp;E173,计算辅助页面!$V$5:$Y$18,4,0)</f>
        <v>4</v>
      </c>
      <c r="AO173" s="173">
        <f t="shared" si="284"/>
        <v>12800000</v>
      </c>
      <c r="AP173" s="195">
        <f t="shared" si="285"/>
        <v>32207600</v>
      </c>
      <c r="AQ173" s="365" t="s">
        <v>567</v>
      </c>
      <c r="AR173" s="366" t="str">
        <f t="shared" si="274"/>
        <v>Valhalla Concept Car</v>
      </c>
      <c r="AS173" s="352" t="s">
        <v>959</v>
      </c>
      <c r="AT173" s="353" t="s">
        <v>675</v>
      </c>
      <c r="AU173" s="327" t="s">
        <v>712</v>
      </c>
      <c r="AW173" s="357">
        <v>392</v>
      </c>
      <c r="AY173" s="357">
        <v>525</v>
      </c>
      <c r="AZ173" s="357" t="s">
        <v>1121</v>
      </c>
      <c r="BA173" s="369"/>
      <c r="BB173" s="369"/>
      <c r="BC173" s="369"/>
      <c r="BD173" s="369"/>
      <c r="BE173" s="369"/>
      <c r="BF173" s="369"/>
      <c r="BG173" s="369"/>
      <c r="BH173" s="369"/>
      <c r="BI173" s="369"/>
      <c r="BJ173" s="369"/>
      <c r="BK173" s="369">
        <v>1</v>
      </c>
      <c r="BL173" s="369"/>
      <c r="BM173" s="369"/>
      <c r="BN173" s="369"/>
      <c r="BO173" s="369"/>
      <c r="BP173" s="369"/>
      <c r="BQ173" s="369"/>
      <c r="BR173" s="369"/>
      <c r="BS173" s="369"/>
      <c r="BT173" s="369"/>
      <c r="BU173" s="387" t="s">
        <v>1198</v>
      </c>
      <c r="BV173" s="326"/>
      <c r="BW173" s="326"/>
      <c r="BX173" s="326">
        <v>1</v>
      </c>
      <c r="BY173" s="367">
        <v>354</v>
      </c>
      <c r="BZ173" s="368">
        <v>77.41</v>
      </c>
      <c r="CA173" s="368">
        <v>57.27</v>
      </c>
      <c r="CB173" s="368">
        <v>43.91</v>
      </c>
      <c r="CC173" s="368">
        <f t="shared" si="286"/>
        <v>23.399999999999977</v>
      </c>
      <c r="CD173" s="368">
        <f t="shared" si="287"/>
        <v>4.8200000000000074</v>
      </c>
      <c r="CE173" s="368">
        <f t="shared" si="288"/>
        <v>24.490000000000002</v>
      </c>
      <c r="CF173" s="368">
        <f t="shared" si="289"/>
        <v>15.64</v>
      </c>
      <c r="CG173" s="368">
        <f t="shared" si="290"/>
        <v>68.349999999999994</v>
      </c>
      <c r="CH173" s="368">
        <f t="shared" si="291"/>
        <v>63.615900000000011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898</v>
      </c>
      <c r="C174" s="86" t="s">
        <v>899</v>
      </c>
      <c r="D174" s="256" t="s">
        <v>199</v>
      </c>
      <c r="E174" s="248" t="s">
        <v>191</v>
      </c>
      <c r="F174" s="175">
        <f t="shared" si="275"/>
        <v>3</v>
      </c>
      <c r="G174" s="83" t="s">
        <v>900</v>
      </c>
      <c r="H174" s="232">
        <v>70</v>
      </c>
      <c r="I174" s="232">
        <v>23</v>
      </c>
      <c r="J174" s="232">
        <v>27</v>
      </c>
      <c r="K174" s="232">
        <v>36</v>
      </c>
      <c r="L174" s="232">
        <v>52</v>
      </c>
      <c r="M174" s="232">
        <v>59</v>
      </c>
      <c r="N174" s="239">
        <f t="shared" si="258"/>
        <v>267</v>
      </c>
      <c r="O174" s="72">
        <v>4545</v>
      </c>
      <c r="P174" s="214">
        <v>378.9</v>
      </c>
      <c r="Q174" s="221">
        <v>80.23</v>
      </c>
      <c r="R174" s="221">
        <v>72.17</v>
      </c>
      <c r="S174" s="221">
        <v>71.14</v>
      </c>
      <c r="T174" s="221">
        <v>6.98</v>
      </c>
      <c r="U174" s="87">
        <v>16100</v>
      </c>
      <c r="V174" s="295">
        <f>VLOOKUP($U174,计算辅助页面!$Z$5:$AM$26,COLUMN()-20,0)</f>
        <v>26300</v>
      </c>
      <c r="W174" s="295">
        <f>VLOOKUP($U174,计算辅助页面!$Z$5:$AM$26,COLUMN()-20,0)</f>
        <v>42000</v>
      </c>
      <c r="X174" s="239">
        <f>VLOOKUP($U174,计算辅助页面!$Z$5:$AM$26,COLUMN()-20,0)</f>
        <v>63000</v>
      </c>
      <c r="Y174" s="239">
        <f>VLOOKUP($U174,计算辅助页面!$Z$5:$AM$26,COLUMN()-20,0)</f>
        <v>91000</v>
      </c>
      <c r="Z174" s="296">
        <f>VLOOKUP($U174,计算辅助页面!$Z$5:$AM$26,COLUMN()-20,0)</f>
        <v>127500</v>
      </c>
      <c r="AA174" s="239">
        <f>VLOOKUP($U174,计算辅助页面!$Z$5:$AM$26,COLUMN()-20,0)</f>
        <v>178500</v>
      </c>
      <c r="AB174" s="239">
        <f>VLOOKUP($U174,计算辅助页面!$Z$5:$AM$26,COLUMN()-20,0)</f>
        <v>249500</v>
      </c>
      <c r="AC174" s="239">
        <f>VLOOKUP($U174,计算辅助页面!$Z$5:$AM$26,COLUMN()-20,0)</f>
        <v>349500</v>
      </c>
      <c r="AD174" s="239">
        <f>VLOOKUP($U174,计算辅助页面!$Z$5:$AM$26,COLUMN()-20,0)</f>
        <v>489500</v>
      </c>
      <c r="AE174" s="239">
        <f>VLOOKUP($U174,计算辅助页面!$Z$5:$AM$26,COLUMN()-20,0)</f>
        <v>685000</v>
      </c>
      <c r="AF174" s="239">
        <f>VLOOKUP($U174,计算辅助页面!$Z$5:$AM$26,COLUMN()-20,0)</f>
        <v>959000</v>
      </c>
      <c r="AG174" s="239">
        <f>VLOOKUP($U174,计算辅助页面!$Z$5:$AM$26,COLUMN()-20,0)</f>
        <v>1575000</v>
      </c>
      <c r="AH174" s="173">
        <f>VLOOKUP($U174,计算辅助页面!$Z$5:$AM$26,COLUMN()-20,0)</f>
        <v>19407600</v>
      </c>
      <c r="AI174" s="267">
        <v>80000</v>
      </c>
      <c r="AJ174" s="260">
        <f>VLOOKUP(D174&amp;E174,计算辅助页面!$V$5:$Y$18,2,0)</f>
        <v>6</v>
      </c>
      <c r="AK174" s="174">
        <f t="shared" si="282"/>
        <v>160000</v>
      </c>
      <c r="AL174" s="174">
        <f>VLOOKUP(D174&amp;E174,计算辅助页面!$V$5:$Y$18,3,0)</f>
        <v>5</v>
      </c>
      <c r="AM174" s="179">
        <f t="shared" si="283"/>
        <v>480000</v>
      </c>
      <c r="AN174" s="179">
        <f>VLOOKUP(D174&amp;E174,计算辅助页面!$V$5:$Y$18,4,0)</f>
        <v>4</v>
      </c>
      <c r="AO174" s="173">
        <f t="shared" si="284"/>
        <v>12800000</v>
      </c>
      <c r="AP174" s="195">
        <f t="shared" si="285"/>
        <v>32207600</v>
      </c>
      <c r="AQ174" s="365" t="s">
        <v>901</v>
      </c>
      <c r="AR174" s="366" t="str">
        <f t="shared" si="274"/>
        <v>Imola</v>
      </c>
      <c r="AS174" s="352" t="s">
        <v>905</v>
      </c>
      <c r="AT174" s="353" t="s">
        <v>916</v>
      </c>
      <c r="AU174" s="327" t="s">
        <v>712</v>
      </c>
      <c r="AW174" s="357">
        <v>394</v>
      </c>
      <c r="AY174" s="357">
        <v>528</v>
      </c>
      <c r="AZ174" s="357" t="s">
        <v>1121</v>
      </c>
      <c r="BA174" s="369"/>
      <c r="BB174" s="369"/>
      <c r="BC174" s="369"/>
      <c r="BD174" s="369"/>
      <c r="BE174" s="369"/>
      <c r="BF174" s="369"/>
      <c r="BG174" s="369"/>
      <c r="BH174" s="369"/>
      <c r="BI174" s="369"/>
      <c r="BJ174" s="369"/>
      <c r="BK174" s="369">
        <v>1</v>
      </c>
      <c r="BL174" s="369"/>
      <c r="BM174" s="369"/>
      <c r="BN174" s="369"/>
      <c r="BO174" s="369">
        <v>1</v>
      </c>
      <c r="BP174" s="369"/>
      <c r="BQ174" s="369"/>
      <c r="BR174" s="369"/>
      <c r="BS174" s="369"/>
      <c r="BT174" s="369"/>
      <c r="BU174" s="387" t="s">
        <v>1183</v>
      </c>
      <c r="BV174" s="326"/>
      <c r="BW174" s="326"/>
      <c r="BX174" s="326">
        <v>1</v>
      </c>
      <c r="BY174" s="367">
        <v>360</v>
      </c>
      <c r="BZ174" s="368">
        <v>73</v>
      </c>
      <c r="CA174" s="368">
        <v>47.83</v>
      </c>
      <c r="CB174" s="368">
        <v>51.73</v>
      </c>
      <c r="CC174" s="368">
        <f t="shared" si="286"/>
        <v>18.899999999999977</v>
      </c>
      <c r="CD174" s="368">
        <f t="shared" si="287"/>
        <v>7.230000000000004</v>
      </c>
      <c r="CE174" s="368">
        <f t="shared" si="288"/>
        <v>24.340000000000003</v>
      </c>
      <c r="CF174" s="368">
        <f t="shared" si="289"/>
        <v>19.410000000000004</v>
      </c>
      <c r="CG174" s="368">
        <f t="shared" si="290"/>
        <v>69.88</v>
      </c>
      <c r="CH174" s="368">
        <f t="shared" si="291"/>
        <v>71.049500000000009</v>
      </c>
      <c r="CI174" s="42"/>
      <c r="CJ174" s="42"/>
      <c r="CK174" s="42"/>
      <c r="CL174" s="42"/>
    </row>
    <row r="175" spans="1:90" ht="21" customHeight="1" thickBot="1">
      <c r="A175" s="80">
        <v>173</v>
      </c>
      <c r="B175" s="52" t="s">
        <v>1573</v>
      </c>
      <c r="C175" s="86" t="s">
        <v>1527</v>
      </c>
      <c r="D175" s="256" t="s">
        <v>199</v>
      </c>
      <c r="E175" s="248" t="s">
        <v>191</v>
      </c>
      <c r="F175" s="363"/>
      <c r="G175" s="92"/>
      <c r="H175" s="233" t="s">
        <v>408</v>
      </c>
      <c r="I175" s="233">
        <v>30</v>
      </c>
      <c r="J175" s="233">
        <v>40</v>
      </c>
      <c r="K175" s="233">
        <v>50</v>
      </c>
      <c r="L175" s="233">
        <v>65</v>
      </c>
      <c r="M175" s="233">
        <v>80</v>
      </c>
      <c r="N175" s="226">
        <f t="shared" ref="N175" si="302">IF(COUNTBLANK(H175:M175),"",SUM(H175:M175))</f>
        <v>265</v>
      </c>
      <c r="O175" s="72">
        <v>4551</v>
      </c>
      <c r="P175" s="214">
        <v>412.3</v>
      </c>
      <c r="Q175" s="221">
        <v>69.239999999999995</v>
      </c>
      <c r="R175" s="221">
        <v>59.33</v>
      </c>
      <c r="S175" s="221">
        <v>84.95</v>
      </c>
      <c r="T175" s="221">
        <v>8.4700000000000006</v>
      </c>
      <c r="U175" s="87">
        <v>16100</v>
      </c>
      <c r="V175" s="295">
        <f>VLOOKUP($U175,计算辅助页面!$Z$5:$AM$26,COLUMN()-20,0)</f>
        <v>26300</v>
      </c>
      <c r="W175" s="295">
        <f>VLOOKUP($U175,计算辅助页面!$Z$5:$AM$26,COLUMN()-20,0)</f>
        <v>42000</v>
      </c>
      <c r="X175" s="239">
        <f>VLOOKUP($U175,计算辅助页面!$Z$5:$AM$26,COLUMN()-20,0)</f>
        <v>63000</v>
      </c>
      <c r="Y175" s="239">
        <f>VLOOKUP($U175,计算辅助页面!$Z$5:$AM$26,COLUMN()-20,0)</f>
        <v>91000</v>
      </c>
      <c r="Z175" s="296">
        <f>VLOOKUP($U175,计算辅助页面!$Z$5:$AM$26,COLUMN()-20,0)</f>
        <v>127500</v>
      </c>
      <c r="AA175" s="239">
        <f>VLOOKUP($U175,计算辅助页面!$Z$5:$AM$26,COLUMN()-20,0)</f>
        <v>178500</v>
      </c>
      <c r="AB175" s="239">
        <f>VLOOKUP($U175,计算辅助页面!$Z$5:$AM$26,COLUMN()-20,0)</f>
        <v>249500</v>
      </c>
      <c r="AC175" s="239">
        <f>VLOOKUP($U175,计算辅助页面!$Z$5:$AM$26,COLUMN()-20,0)</f>
        <v>349500</v>
      </c>
      <c r="AD175" s="239">
        <f>VLOOKUP($U175,计算辅助页面!$Z$5:$AM$26,COLUMN()-20,0)</f>
        <v>489500</v>
      </c>
      <c r="AE175" s="239">
        <f>VLOOKUP($U175,计算辅助页面!$Z$5:$AM$26,COLUMN()-20,0)</f>
        <v>685000</v>
      </c>
      <c r="AF175" s="239">
        <f>VLOOKUP($U175,计算辅助页面!$Z$5:$AM$26,COLUMN()-20,0)</f>
        <v>959000</v>
      </c>
      <c r="AG175" s="239">
        <f>VLOOKUP($U175,计算辅助页面!$Z$5:$AM$26,COLUMN()-20,0)</f>
        <v>1575000</v>
      </c>
      <c r="AH175" s="173">
        <f>VLOOKUP($U175,计算辅助页面!$Z$5:$AM$26,COLUMN()-20,0)</f>
        <v>19407600</v>
      </c>
      <c r="AI175" s="267">
        <v>80000</v>
      </c>
      <c r="AJ175" s="260">
        <f>VLOOKUP(D175&amp;E175,计算辅助页面!$V$5:$Y$18,2,0)</f>
        <v>6</v>
      </c>
      <c r="AK175" s="174">
        <f t="shared" ref="AK175" si="303">IF(AI175,2*AI175,"")</f>
        <v>160000</v>
      </c>
      <c r="AL175" s="174">
        <f>VLOOKUP(D175&amp;E175,计算辅助页面!$V$5:$Y$18,3,0)</f>
        <v>5</v>
      </c>
      <c r="AM175" s="179">
        <f t="shared" ref="AM175" si="304">IF(AN175="×",AN175,IF(AI175,6*AI175,""))</f>
        <v>480000</v>
      </c>
      <c r="AN175" s="179">
        <f>VLOOKUP(D175&amp;E175,计算辅助页面!$V$5:$Y$18,4,0)</f>
        <v>4</v>
      </c>
      <c r="AO175" s="173">
        <f t="shared" ref="AO175" si="305">IF(AI175,IF(AN175="×",4*(AI175*AJ175+AK175*AL175),4*(AI175*AJ175+AK175*AL175+AM175*AN175)),"")</f>
        <v>12800000</v>
      </c>
      <c r="AP175" s="195">
        <f t="shared" ref="AP175" si="306">IF(AND(AH175,AO175),AO175+AH175,"")</f>
        <v>32207600</v>
      </c>
      <c r="AQ175" s="365" t="s">
        <v>596</v>
      </c>
      <c r="AR175" s="366" t="str">
        <f t="shared" si="274"/>
        <v>XJR-9🔑</v>
      </c>
      <c r="AS175" s="352" t="s">
        <v>1514</v>
      </c>
      <c r="AT175" s="353" t="s">
        <v>1528</v>
      </c>
      <c r="AU175" s="327" t="s">
        <v>712</v>
      </c>
      <c r="AW175" s="357">
        <v>432</v>
      </c>
      <c r="AY175" s="357">
        <v>563</v>
      </c>
      <c r="AZ175" s="384" t="s">
        <v>1535</v>
      </c>
      <c r="BA175" s="369"/>
      <c r="BB175" s="369"/>
      <c r="BC175" s="369"/>
      <c r="BD175" s="369"/>
      <c r="BE175" s="369"/>
      <c r="BF175" s="369"/>
      <c r="BG175" s="369"/>
      <c r="BH175" s="369"/>
      <c r="BI175" s="369"/>
      <c r="BJ175" s="369"/>
      <c r="BK175" s="369"/>
      <c r="BL175" s="369"/>
      <c r="BM175" s="369"/>
      <c r="BN175" s="369">
        <v>1</v>
      </c>
      <c r="BO175" s="369"/>
      <c r="BP175" s="369"/>
      <c r="BQ175" s="369"/>
      <c r="BR175" s="369"/>
      <c r="BS175" s="369"/>
      <c r="BT175" s="369"/>
      <c r="BU175" s="389" t="s">
        <v>1542</v>
      </c>
      <c r="BV175" s="326"/>
      <c r="BW175" s="326"/>
      <c r="BX175" s="326"/>
      <c r="BY175" s="367"/>
      <c r="BZ175" s="368"/>
      <c r="CA175" s="368"/>
      <c r="CB175" s="368"/>
      <c r="CC175" s="368"/>
      <c r="CD175" s="368"/>
      <c r="CE175" s="368"/>
      <c r="CF175" s="368"/>
      <c r="CG175" s="368"/>
      <c r="CH175" s="368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1380</v>
      </c>
      <c r="C176" s="86" t="s">
        <v>1376</v>
      </c>
      <c r="D176" s="256" t="s">
        <v>199</v>
      </c>
      <c r="E176" s="248" t="s">
        <v>191</v>
      </c>
      <c r="F176" s="363"/>
      <c r="G176" s="92"/>
      <c r="H176" s="233" t="s">
        <v>408</v>
      </c>
      <c r="I176" s="233">
        <v>30</v>
      </c>
      <c r="J176" s="233">
        <v>40</v>
      </c>
      <c r="K176" s="233">
        <v>50</v>
      </c>
      <c r="L176" s="233">
        <v>65</v>
      </c>
      <c r="M176" s="233">
        <v>80</v>
      </c>
      <c r="N176" s="226">
        <f t="shared" ref="N176" si="307">IF(COUNTBLANK(H176:M176),"",SUM(H176:M176))</f>
        <v>265</v>
      </c>
      <c r="O176" s="72">
        <v>4559</v>
      </c>
      <c r="P176" s="214">
        <v>373.4</v>
      </c>
      <c r="Q176" s="221">
        <v>81.23</v>
      </c>
      <c r="R176" s="221">
        <v>85.96</v>
      </c>
      <c r="S176" s="221">
        <v>72.400000000000006</v>
      </c>
      <c r="T176" s="221"/>
      <c r="U176" s="87">
        <v>16100</v>
      </c>
      <c r="V176" s="295">
        <f>VLOOKUP($U176,计算辅助页面!$Z$5:$AM$26,COLUMN()-20,0)</f>
        <v>26300</v>
      </c>
      <c r="W176" s="295">
        <f>VLOOKUP($U176,计算辅助页面!$Z$5:$AM$26,COLUMN()-20,0)</f>
        <v>42000</v>
      </c>
      <c r="X176" s="239">
        <f>VLOOKUP($U176,计算辅助页面!$Z$5:$AM$26,COLUMN()-20,0)</f>
        <v>63000</v>
      </c>
      <c r="Y176" s="239">
        <f>VLOOKUP($U176,计算辅助页面!$Z$5:$AM$26,COLUMN()-20,0)</f>
        <v>91000</v>
      </c>
      <c r="Z176" s="296">
        <f>VLOOKUP($U176,计算辅助页面!$Z$5:$AM$26,COLUMN()-20,0)</f>
        <v>127500</v>
      </c>
      <c r="AA176" s="239">
        <f>VLOOKUP($U176,计算辅助页面!$Z$5:$AM$26,COLUMN()-20,0)</f>
        <v>178500</v>
      </c>
      <c r="AB176" s="239">
        <f>VLOOKUP($U176,计算辅助页面!$Z$5:$AM$26,COLUMN()-20,0)</f>
        <v>249500</v>
      </c>
      <c r="AC176" s="239">
        <f>VLOOKUP($U176,计算辅助页面!$Z$5:$AM$26,COLUMN()-20,0)</f>
        <v>349500</v>
      </c>
      <c r="AD176" s="239">
        <f>VLOOKUP($U176,计算辅助页面!$Z$5:$AM$26,COLUMN()-20,0)</f>
        <v>489500</v>
      </c>
      <c r="AE176" s="239">
        <f>VLOOKUP($U176,计算辅助页面!$Z$5:$AM$26,COLUMN()-20,0)</f>
        <v>685000</v>
      </c>
      <c r="AF176" s="239">
        <f>VLOOKUP($U176,计算辅助页面!$Z$5:$AM$26,COLUMN()-20,0)</f>
        <v>959000</v>
      </c>
      <c r="AG176" s="239">
        <f>VLOOKUP($U176,计算辅助页面!$Z$5:$AM$26,COLUMN()-20,0)</f>
        <v>1575000</v>
      </c>
      <c r="AH176" s="173">
        <f>VLOOKUP($U176,计算辅助页面!$Z$5:$AM$26,COLUMN()-20,0)</f>
        <v>19407600</v>
      </c>
      <c r="AI176" s="267">
        <v>80000</v>
      </c>
      <c r="AJ176" s="260">
        <f>VLOOKUP(D176&amp;E176,计算辅助页面!$V$5:$Y$18,2,0)</f>
        <v>6</v>
      </c>
      <c r="AK176" s="174">
        <f t="shared" ref="AK176:AK177" si="308">IF(AI176,2*AI176,"")</f>
        <v>160000</v>
      </c>
      <c r="AL176" s="174">
        <f>VLOOKUP(D176&amp;E176,计算辅助页面!$V$5:$Y$18,3,0)</f>
        <v>5</v>
      </c>
      <c r="AM176" s="179">
        <f t="shared" ref="AM176:AM177" si="309">IF(AN176="×",AN176,IF(AI176,6*AI176,""))</f>
        <v>480000</v>
      </c>
      <c r="AN176" s="179">
        <f>VLOOKUP(D176&amp;E176,计算辅助页面!$V$5:$Y$18,4,0)</f>
        <v>4</v>
      </c>
      <c r="AO176" s="173">
        <f t="shared" ref="AO176:AO177" si="310">IF(AI176,IF(AN176="×",4*(AI176*AJ176+AK176*AL176),4*(AI176*AJ176+AK176*AL176+AM176*AN176)),"")</f>
        <v>12800000</v>
      </c>
      <c r="AP176" s="195">
        <f t="shared" ref="AP176:AP177" si="311">IF(AND(AH176,AO176),AO176+AH176,"")</f>
        <v>32207600</v>
      </c>
      <c r="AQ176" s="365" t="s">
        <v>566</v>
      </c>
      <c r="AR176" s="366" t="str">
        <f t="shared" si="274"/>
        <v>Countach LPI 800-4🔑</v>
      </c>
      <c r="AS176" s="352" t="s">
        <v>1363</v>
      </c>
      <c r="AT176" s="353" t="s">
        <v>1377</v>
      </c>
      <c r="AU176" s="327" t="s">
        <v>712</v>
      </c>
      <c r="AW176" s="357">
        <v>388</v>
      </c>
      <c r="AY176" s="357">
        <v>518</v>
      </c>
      <c r="AZ176" s="384" t="s">
        <v>1330</v>
      </c>
      <c r="BA176" s="369"/>
      <c r="BB176" s="369"/>
      <c r="BC176" s="369"/>
      <c r="BD176" s="369"/>
      <c r="BE176" s="369"/>
      <c r="BF176" s="369"/>
      <c r="BG176" s="369"/>
      <c r="BH176" s="369"/>
      <c r="BI176" s="369"/>
      <c r="BJ176" s="369"/>
      <c r="BK176" s="369"/>
      <c r="BL176" s="369"/>
      <c r="BM176" s="369"/>
      <c r="BN176" s="369">
        <v>1</v>
      </c>
      <c r="BO176" s="369">
        <v>1</v>
      </c>
      <c r="BP176" s="369"/>
      <c r="BQ176" s="369"/>
      <c r="BR176" s="369"/>
      <c r="BS176" s="369"/>
      <c r="BT176" s="369"/>
      <c r="BU176" s="389" t="s">
        <v>1382</v>
      </c>
      <c r="BV176" s="326"/>
      <c r="BW176" s="326"/>
      <c r="BX176" s="326"/>
      <c r="BY176" s="367"/>
      <c r="BZ176" s="368"/>
      <c r="CA176" s="368"/>
      <c r="CB176" s="368"/>
      <c r="CC176" s="368"/>
      <c r="CD176" s="368"/>
      <c r="CE176" s="368"/>
      <c r="CF176" s="368"/>
      <c r="CG176" s="368"/>
      <c r="CH176" s="368"/>
      <c r="CI176" s="42"/>
      <c r="CJ176" s="42"/>
      <c r="CK176" s="42"/>
      <c r="CL176" s="42"/>
    </row>
    <row r="177" spans="1:90" ht="21" customHeight="1" thickBot="1">
      <c r="A177" s="80">
        <v>175</v>
      </c>
      <c r="B177" s="52" t="s">
        <v>1572</v>
      </c>
      <c r="C177" s="86" t="s">
        <v>1557</v>
      </c>
      <c r="D177" s="256" t="s">
        <v>1558</v>
      </c>
      <c r="E177" s="248" t="s">
        <v>191</v>
      </c>
      <c r="F177" s="363"/>
      <c r="G177" s="92"/>
      <c r="H177" s="233" t="s">
        <v>408</v>
      </c>
      <c r="I177" s="233">
        <v>30</v>
      </c>
      <c r="J177" s="233">
        <v>40</v>
      </c>
      <c r="K177" s="233">
        <v>50</v>
      </c>
      <c r="L177" s="233">
        <v>65</v>
      </c>
      <c r="M177" s="233">
        <v>80</v>
      </c>
      <c r="N177" s="226">
        <f t="shared" ref="N177" si="312">IF(COUNTBLANK(H177:M177),"",SUM(H177:M177))</f>
        <v>265</v>
      </c>
      <c r="O177" s="72">
        <v>4586</v>
      </c>
      <c r="P177" s="214">
        <v>375.6</v>
      </c>
      <c r="Q177" s="221">
        <v>82.74</v>
      </c>
      <c r="R177" s="221">
        <v>75.239999999999995</v>
      </c>
      <c r="S177" s="221">
        <v>71.180000000000007</v>
      </c>
      <c r="T177" s="221">
        <v>7.06</v>
      </c>
      <c r="U177" s="85">
        <v>16100</v>
      </c>
      <c r="V177" s="294">
        <f>VLOOKUP($U177,计算辅助页面!$Z$5:$AM$26,COLUMN()-20,0)</f>
        <v>26300</v>
      </c>
      <c r="W177" s="294">
        <f>VLOOKUP($U177,计算辅助页面!$Z$5:$AM$26,COLUMN()-20,0)</f>
        <v>42000</v>
      </c>
      <c r="X177" s="243">
        <f>VLOOKUP($U177,计算辅助页面!$Z$5:$AM$26,COLUMN()-20,0)</f>
        <v>63000</v>
      </c>
      <c r="Y177" s="243">
        <f>VLOOKUP($U177,计算辅助页面!$Z$5:$AM$26,COLUMN()-20,0)</f>
        <v>91000</v>
      </c>
      <c r="Z177" s="303">
        <f>VLOOKUP($U177,计算辅助页面!$Z$5:$AM$26,COLUMN()-20,0)</f>
        <v>127500</v>
      </c>
      <c r="AA177" s="243">
        <f>VLOOKUP($U177,计算辅助页面!$Z$5:$AM$26,COLUMN()-20,0)</f>
        <v>178500</v>
      </c>
      <c r="AB177" s="243">
        <f>VLOOKUP($U177,计算辅助页面!$Z$5:$AM$26,COLUMN()-20,0)</f>
        <v>249500</v>
      </c>
      <c r="AC177" s="243">
        <f>VLOOKUP($U177,计算辅助页面!$Z$5:$AM$26,COLUMN()-20,0)</f>
        <v>349500</v>
      </c>
      <c r="AD177" s="243">
        <f>VLOOKUP($U177,计算辅助页面!$Z$5:$AM$26,COLUMN()-20,0)</f>
        <v>489500</v>
      </c>
      <c r="AE177" s="243">
        <f>VLOOKUP($U177,计算辅助页面!$Z$5:$AM$26,COLUMN()-20,0)</f>
        <v>685000</v>
      </c>
      <c r="AF177" s="243">
        <f>VLOOKUP($U177,计算辅助页面!$Z$5:$AM$26,COLUMN()-20,0)</f>
        <v>959000</v>
      </c>
      <c r="AG177" s="239">
        <f>VLOOKUP($U177,计算辅助页面!$Z$5:$AM$26,COLUMN()-20,0)</f>
        <v>1575000</v>
      </c>
      <c r="AH177" s="230">
        <f>VLOOKUP($U177,计算辅助页面!$Z$5:$AM$26,COLUMN()-20,0)</f>
        <v>19407600</v>
      </c>
      <c r="AI177" s="268">
        <v>80000</v>
      </c>
      <c r="AJ177" s="264">
        <f>VLOOKUP(D177&amp;E177,计算辅助页面!$V$5:$Y$18,2,0)</f>
        <v>6</v>
      </c>
      <c r="AK177" s="189">
        <f t="shared" si="308"/>
        <v>160000</v>
      </c>
      <c r="AL177" s="189">
        <f>VLOOKUP(D177&amp;E177,计算辅助页面!$V$5:$Y$18,3,0)</f>
        <v>5</v>
      </c>
      <c r="AM177" s="193">
        <f t="shared" si="309"/>
        <v>480000</v>
      </c>
      <c r="AN177" s="193">
        <f>VLOOKUP(D177&amp;E177,计算辅助页面!$V$5:$Y$18,4,0)</f>
        <v>4</v>
      </c>
      <c r="AO177" s="230">
        <f t="shared" si="310"/>
        <v>12800000</v>
      </c>
      <c r="AP177" s="195">
        <f t="shared" si="311"/>
        <v>32207600</v>
      </c>
      <c r="AQ177" s="365" t="s">
        <v>1559</v>
      </c>
      <c r="AR177" s="366" t="str">
        <f t="shared" si="274"/>
        <v>Tomaso P72🔑</v>
      </c>
      <c r="AS177" s="352" t="s">
        <v>1545</v>
      </c>
      <c r="AT177" s="353" t="s">
        <v>1560</v>
      </c>
      <c r="AU177" s="327" t="s">
        <v>712</v>
      </c>
      <c r="AW177" s="357">
        <v>390</v>
      </c>
      <c r="AY177" s="357">
        <v>522</v>
      </c>
      <c r="AZ177" s="384" t="s">
        <v>1609</v>
      </c>
      <c r="BA177" s="369"/>
      <c r="BB177" s="369"/>
      <c r="BC177" s="369"/>
      <c r="BD177" s="369"/>
      <c r="BE177" s="369"/>
      <c r="BF177" s="369"/>
      <c r="BG177" s="369"/>
      <c r="BH177" s="369"/>
      <c r="BI177" s="369"/>
      <c r="BJ177" s="369"/>
      <c r="BK177" s="369"/>
      <c r="BL177" s="369"/>
      <c r="BM177" s="369"/>
      <c r="BN177" s="369">
        <v>1</v>
      </c>
      <c r="BO177" s="369"/>
      <c r="BP177" s="369"/>
      <c r="BQ177" s="369"/>
      <c r="BR177" s="369"/>
      <c r="BS177" s="369"/>
      <c r="BT177" s="369"/>
      <c r="BU177" s="389"/>
      <c r="BV177" s="326"/>
      <c r="BW177" s="326"/>
      <c r="BX177" s="326"/>
      <c r="BY177" s="367"/>
      <c r="BZ177" s="368"/>
      <c r="CA177" s="368"/>
      <c r="CB177" s="368"/>
      <c r="CC177" s="368"/>
      <c r="CD177" s="368"/>
      <c r="CE177" s="368"/>
      <c r="CF177" s="368"/>
      <c r="CG177" s="368"/>
      <c r="CH177" s="368"/>
      <c r="CI177" s="42"/>
      <c r="CJ177" s="42"/>
      <c r="CK177" s="42"/>
      <c r="CL177" s="42"/>
    </row>
    <row r="178" spans="1:90" ht="21" customHeight="1" thickBot="1">
      <c r="A178" s="48">
        <v>176</v>
      </c>
      <c r="B178" s="403" t="s">
        <v>132</v>
      </c>
      <c r="C178" s="404" t="s">
        <v>815</v>
      </c>
      <c r="D178" s="254" t="s">
        <v>42</v>
      </c>
      <c r="E178" s="246" t="s">
        <v>78</v>
      </c>
      <c r="F178" s="172">
        <f t="shared" si="275"/>
        <v>4</v>
      </c>
      <c r="G178" s="81" t="s">
        <v>75</v>
      </c>
      <c r="H178" s="231">
        <v>40</v>
      </c>
      <c r="I178" s="231">
        <v>13</v>
      </c>
      <c r="J178" s="231">
        <v>16</v>
      </c>
      <c r="K178" s="231">
        <v>25</v>
      </c>
      <c r="L178" s="231">
        <v>39</v>
      </c>
      <c r="M178" s="231" t="s">
        <v>59</v>
      </c>
      <c r="N178" s="238">
        <f t="shared" si="258"/>
        <v>133</v>
      </c>
      <c r="O178" s="47">
        <v>3709</v>
      </c>
      <c r="P178" s="208">
        <v>363.9</v>
      </c>
      <c r="Q178" s="215">
        <v>80.48</v>
      </c>
      <c r="R178" s="215">
        <v>47.46</v>
      </c>
      <c r="S178" s="215">
        <v>70.31</v>
      </c>
      <c r="T178" s="215">
        <v>7.25</v>
      </c>
      <c r="U178" s="82">
        <v>4600</v>
      </c>
      <c r="V178" s="290">
        <f>VLOOKUP($U178,计算辅助页面!$Z$5:$AM$26,COLUMN()-20,0)</f>
        <v>7500</v>
      </c>
      <c r="W178" s="290">
        <f>VLOOKUP($U178,计算辅助页面!$Z$5:$AM$26,COLUMN()-20,0)</f>
        <v>12000</v>
      </c>
      <c r="X178" s="238">
        <f>VLOOKUP($U178,计算辅助页面!$Z$5:$AM$26,COLUMN()-20,0)</f>
        <v>18000</v>
      </c>
      <c r="Y178" s="238">
        <f>VLOOKUP($U178,计算辅助页面!$Z$5:$AM$26,COLUMN()-20,0)</f>
        <v>26000</v>
      </c>
      <c r="Z178" s="291">
        <f>VLOOKUP($U178,计算辅助页面!$Z$5:$AM$26,COLUMN()-20,0)</f>
        <v>36500</v>
      </c>
      <c r="AA178" s="238">
        <f>VLOOKUP($U178,计算辅助页面!$Z$5:$AM$26,COLUMN()-20,0)</f>
        <v>51000</v>
      </c>
      <c r="AB178" s="238">
        <f>VLOOKUP($U178,计算辅助页面!$Z$5:$AM$26,COLUMN()-20,0)</f>
        <v>71500</v>
      </c>
      <c r="AC178" s="238">
        <f>VLOOKUP($U178,计算辅助页面!$Z$5:$AM$26,COLUMN()-20,0)</f>
        <v>100000</v>
      </c>
      <c r="AD178" s="238">
        <f>VLOOKUP($U178,计算辅助页面!$Z$5:$AM$26,COLUMN()-20,0)</f>
        <v>140000</v>
      </c>
      <c r="AE178" s="238">
        <f>VLOOKUP($U178,计算辅助页面!$Z$5:$AM$26,COLUMN()-20,0)</f>
        <v>196000</v>
      </c>
      <c r="AF178" s="238">
        <f>VLOOKUP($U178,计算辅助页面!$Z$5:$AM$26,COLUMN()-20,0)</f>
        <v>274000</v>
      </c>
      <c r="AG178" s="238" t="str">
        <f>VLOOKUP($U178,计算辅助页面!$Z$5:$AM$26,COLUMN()-20,0)</f>
        <v>×</v>
      </c>
      <c r="AH178" s="172">
        <f>VLOOKUP($U178,计算辅助页面!$Z$5:$AM$26,COLUMN()-20,0)</f>
        <v>3748400</v>
      </c>
      <c r="AI178" s="266">
        <v>35000</v>
      </c>
      <c r="AJ178" s="259">
        <f>VLOOKUP(D178&amp;E178,计算辅助页面!$V$5:$Y$18,2,0)</f>
        <v>7</v>
      </c>
      <c r="AK178" s="181">
        <f t="shared" si="282"/>
        <v>70000</v>
      </c>
      <c r="AL178" s="181">
        <f>VLOOKUP(D178&amp;E178,计算辅助页面!$V$5:$Y$18,3,0)</f>
        <v>5</v>
      </c>
      <c r="AM178" s="183">
        <f t="shared" si="283"/>
        <v>210000</v>
      </c>
      <c r="AN178" s="183">
        <f>VLOOKUP(D178&amp;E178,计算辅助页面!$V$5:$Y$18,4,0)</f>
        <v>3</v>
      </c>
      <c r="AO178" s="172">
        <f t="shared" si="284"/>
        <v>4900000</v>
      </c>
      <c r="AP178" s="194">
        <f t="shared" si="285"/>
        <v>8648400</v>
      </c>
      <c r="AQ178" s="365" t="s">
        <v>566</v>
      </c>
      <c r="AR178" s="366" t="str">
        <f t="shared" si="274"/>
        <v>Centenario</v>
      </c>
      <c r="AS178" s="352" t="s">
        <v>603</v>
      </c>
      <c r="AT178" s="353" t="s">
        <v>660</v>
      </c>
      <c r="AU178" s="327" t="s">
        <v>712</v>
      </c>
      <c r="AV178" s="357">
        <v>11</v>
      </c>
      <c r="AW178" s="357">
        <v>378</v>
      </c>
      <c r="AY178" s="357">
        <v>502</v>
      </c>
      <c r="AZ178" s="357" t="s">
        <v>1110</v>
      </c>
      <c r="BA178" s="369">
        <v>1</v>
      </c>
      <c r="BB178" s="369"/>
      <c r="BC178" s="369">
        <v>1</v>
      </c>
      <c r="BD178" s="369">
        <v>1</v>
      </c>
      <c r="BE178" s="369"/>
      <c r="BF178" s="369">
        <v>1</v>
      </c>
      <c r="BG178" s="369"/>
      <c r="BH178" s="369"/>
      <c r="BI178" s="369"/>
      <c r="BJ178" s="369"/>
      <c r="BK178" s="369"/>
      <c r="BL178" s="369"/>
      <c r="BM178" s="369"/>
      <c r="BN178" s="369"/>
      <c r="BO178" s="369"/>
      <c r="BP178" s="369"/>
      <c r="BQ178" s="369"/>
      <c r="BR178" s="369"/>
      <c r="BS178" s="369"/>
      <c r="BT178" s="369">
        <v>1</v>
      </c>
      <c r="BU178" s="387" t="s">
        <v>1199</v>
      </c>
      <c r="BV178" s="326"/>
      <c r="BW178" s="326"/>
      <c r="BX178" s="326"/>
      <c r="BY178" s="367">
        <v>350</v>
      </c>
      <c r="BZ178" s="368">
        <v>74.8</v>
      </c>
      <c r="CA178" s="368">
        <v>39.22</v>
      </c>
      <c r="CB178" s="368">
        <v>61.9</v>
      </c>
      <c r="CC178" s="368">
        <f t="shared" si="286"/>
        <v>13.899999999999977</v>
      </c>
      <c r="CD178" s="368">
        <f t="shared" si="287"/>
        <v>5.6800000000000068</v>
      </c>
      <c r="CE178" s="368">
        <f t="shared" si="288"/>
        <v>8.240000000000002</v>
      </c>
      <c r="CF178" s="368">
        <f t="shared" si="289"/>
        <v>8.4100000000000037</v>
      </c>
      <c r="CG178" s="368">
        <f t="shared" si="290"/>
        <v>36.22999999999999</v>
      </c>
      <c r="CH178" s="368">
        <f t="shared" si="291"/>
        <v>34.464000000000013</v>
      </c>
      <c r="CI178" s="42"/>
      <c r="CJ178" s="42"/>
      <c r="CK178" s="42"/>
      <c r="CL178" s="42"/>
    </row>
    <row r="179" spans="1:90" ht="21" customHeight="1">
      <c r="A179" s="80">
        <v>177</v>
      </c>
      <c r="B179" s="49" t="s">
        <v>134</v>
      </c>
      <c r="C179" s="86" t="s">
        <v>816</v>
      </c>
      <c r="D179" s="255" t="s">
        <v>42</v>
      </c>
      <c r="E179" s="247" t="s">
        <v>78</v>
      </c>
      <c r="F179" s="173">
        <f t="shared" si="275"/>
        <v>4</v>
      </c>
      <c r="G179" s="83" t="s">
        <v>75</v>
      </c>
      <c r="H179" s="222">
        <v>40</v>
      </c>
      <c r="I179" s="222">
        <v>13</v>
      </c>
      <c r="J179" s="222">
        <v>16</v>
      </c>
      <c r="K179" s="222">
        <v>25</v>
      </c>
      <c r="L179" s="222">
        <v>39</v>
      </c>
      <c r="M179" s="222" t="s">
        <v>59</v>
      </c>
      <c r="N179" s="226">
        <f t="shared" si="258"/>
        <v>133</v>
      </c>
      <c r="O179" s="51">
        <v>3832</v>
      </c>
      <c r="P179" s="209">
        <v>363.1</v>
      </c>
      <c r="Q179" s="216">
        <v>83.9</v>
      </c>
      <c r="R179" s="216">
        <v>43.75</v>
      </c>
      <c r="S179" s="216">
        <v>72.39</v>
      </c>
      <c r="T179" s="216">
        <v>7.6670000000000007</v>
      </c>
      <c r="U179" s="84">
        <v>4600</v>
      </c>
      <c r="V179" s="292">
        <f>VLOOKUP($U179,计算辅助页面!$Z$5:$AM$26,COLUMN()-20,0)</f>
        <v>7500</v>
      </c>
      <c r="W179" s="292">
        <f>VLOOKUP($U179,计算辅助页面!$Z$5:$AM$26,COLUMN()-20,0)</f>
        <v>12000</v>
      </c>
      <c r="X179" s="226">
        <f>VLOOKUP($U179,计算辅助页面!$Z$5:$AM$26,COLUMN()-20,0)</f>
        <v>18000</v>
      </c>
      <c r="Y179" s="226">
        <f>VLOOKUP($U179,计算辅助页面!$Z$5:$AM$26,COLUMN()-20,0)</f>
        <v>26000</v>
      </c>
      <c r="Z179" s="293">
        <f>VLOOKUP($U179,计算辅助页面!$Z$5:$AM$26,COLUMN()-20,0)</f>
        <v>36500</v>
      </c>
      <c r="AA179" s="226">
        <f>VLOOKUP($U179,计算辅助页面!$Z$5:$AM$26,COLUMN()-20,0)</f>
        <v>51000</v>
      </c>
      <c r="AB179" s="226">
        <f>VLOOKUP($U179,计算辅助页面!$Z$5:$AM$26,COLUMN()-20,0)</f>
        <v>71500</v>
      </c>
      <c r="AC179" s="226">
        <f>VLOOKUP($U179,计算辅助页面!$Z$5:$AM$26,COLUMN()-20,0)</f>
        <v>100000</v>
      </c>
      <c r="AD179" s="226">
        <f>VLOOKUP($U179,计算辅助页面!$Z$5:$AM$26,COLUMN()-20,0)</f>
        <v>140000</v>
      </c>
      <c r="AE179" s="226">
        <f>VLOOKUP($U179,计算辅助页面!$Z$5:$AM$26,COLUMN()-20,0)</f>
        <v>196000</v>
      </c>
      <c r="AF179" s="226">
        <f>VLOOKUP($U179,计算辅助页面!$Z$5:$AM$26,COLUMN()-20,0)</f>
        <v>274000</v>
      </c>
      <c r="AG179" s="226" t="str">
        <f>VLOOKUP($U179,计算辅助页面!$Z$5:$AM$26,COLUMN()-20,0)</f>
        <v>×</v>
      </c>
      <c r="AH179" s="173">
        <f>VLOOKUP($U179,计算辅助页面!$Z$5:$AM$26,COLUMN()-20,0)</f>
        <v>3748400</v>
      </c>
      <c r="AI179" s="267">
        <v>35000</v>
      </c>
      <c r="AJ179" s="260">
        <f>VLOOKUP(D179&amp;E179,计算辅助页面!$V$5:$Y$18,2,0)</f>
        <v>7</v>
      </c>
      <c r="AK179" s="174">
        <f t="shared" si="282"/>
        <v>70000</v>
      </c>
      <c r="AL179" s="174">
        <f>VLOOKUP(D179&amp;E179,计算辅助页面!$V$5:$Y$18,3,0)</f>
        <v>5</v>
      </c>
      <c r="AM179" s="179">
        <f t="shared" si="283"/>
        <v>210000</v>
      </c>
      <c r="AN179" s="179">
        <f>VLOOKUP(D179&amp;E179,计算辅助页面!$V$5:$Y$18,4,0)</f>
        <v>3</v>
      </c>
      <c r="AO179" s="173">
        <f t="shared" si="284"/>
        <v>4900000</v>
      </c>
      <c r="AP179" s="195">
        <f t="shared" si="285"/>
        <v>8648400</v>
      </c>
      <c r="AQ179" s="365" t="s">
        <v>568</v>
      </c>
      <c r="AR179" s="366" t="str">
        <f t="shared" si="274"/>
        <v>FXX K</v>
      </c>
      <c r="AS179" s="352" t="s">
        <v>603</v>
      </c>
      <c r="AT179" s="353" t="s">
        <v>658</v>
      </c>
      <c r="AU179" s="327" t="s">
        <v>712</v>
      </c>
      <c r="AV179" s="357">
        <v>12</v>
      </c>
      <c r="AW179" s="357">
        <v>378</v>
      </c>
      <c r="AY179" s="357">
        <v>501</v>
      </c>
      <c r="AZ179" s="357" t="s">
        <v>1110</v>
      </c>
      <c r="BA179" s="369">
        <v>1</v>
      </c>
      <c r="BB179" s="369"/>
      <c r="BC179" s="369">
        <v>1</v>
      </c>
      <c r="BD179" s="369">
        <v>1</v>
      </c>
      <c r="BE179" s="369"/>
      <c r="BF179" s="369">
        <v>1</v>
      </c>
      <c r="BG179" s="369"/>
      <c r="BH179" s="369"/>
      <c r="BI179" s="369"/>
      <c r="BJ179" s="369"/>
      <c r="BK179" s="369"/>
      <c r="BL179" s="369"/>
      <c r="BM179" s="369"/>
      <c r="BN179" s="369"/>
      <c r="BO179" s="369"/>
      <c r="BP179" s="369"/>
      <c r="BQ179" s="369"/>
      <c r="BR179" s="369"/>
      <c r="BS179" s="369"/>
      <c r="BT179" s="369">
        <v>1</v>
      </c>
      <c r="BU179" s="387" t="s">
        <v>1200</v>
      </c>
      <c r="BV179" s="326"/>
      <c r="BW179" s="326"/>
      <c r="BX179" s="326"/>
      <c r="BY179" s="367">
        <v>350</v>
      </c>
      <c r="BZ179" s="368">
        <v>76.599999999999994</v>
      </c>
      <c r="CA179" s="368">
        <v>38.450000000000003</v>
      </c>
      <c r="CB179" s="368">
        <v>64.959999999999994</v>
      </c>
      <c r="CC179" s="368">
        <f t="shared" si="286"/>
        <v>13.100000000000023</v>
      </c>
      <c r="CD179" s="368">
        <f t="shared" si="287"/>
        <v>7.3000000000000114</v>
      </c>
      <c r="CE179" s="368">
        <f t="shared" si="288"/>
        <v>5.2999999999999972</v>
      </c>
      <c r="CF179" s="368">
        <f t="shared" si="289"/>
        <v>7.4300000000000068</v>
      </c>
      <c r="CG179" s="368">
        <f t="shared" si="290"/>
        <v>33.130000000000038</v>
      </c>
      <c r="CH179" s="368">
        <f t="shared" si="291"/>
        <v>32.466400000000036</v>
      </c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136</v>
      </c>
      <c r="C180" s="86" t="s">
        <v>817</v>
      </c>
      <c r="D180" s="255" t="s">
        <v>42</v>
      </c>
      <c r="E180" s="247" t="s">
        <v>78</v>
      </c>
      <c r="F180" s="173">
        <f t="shared" si="275"/>
        <v>4</v>
      </c>
      <c r="G180" s="83" t="s">
        <v>74</v>
      </c>
      <c r="H180" s="222">
        <v>40</v>
      </c>
      <c r="I180" s="222">
        <v>13</v>
      </c>
      <c r="J180" s="222">
        <v>16</v>
      </c>
      <c r="K180" s="222">
        <v>25</v>
      </c>
      <c r="L180" s="222">
        <v>39</v>
      </c>
      <c r="M180" s="222" t="s">
        <v>59</v>
      </c>
      <c r="N180" s="226">
        <f t="shared" si="258"/>
        <v>133</v>
      </c>
      <c r="O180" s="51">
        <v>3957</v>
      </c>
      <c r="P180" s="209">
        <v>381.7</v>
      </c>
      <c r="Q180" s="216">
        <v>81.38</v>
      </c>
      <c r="R180" s="216">
        <v>43.38</v>
      </c>
      <c r="S180" s="216">
        <v>65.89</v>
      </c>
      <c r="T180" s="216">
        <v>6.3</v>
      </c>
      <c r="U180" s="84">
        <v>4600</v>
      </c>
      <c r="V180" s="292">
        <f>VLOOKUP($U180,计算辅助页面!$Z$5:$AM$26,COLUMN()-20,0)</f>
        <v>7500</v>
      </c>
      <c r="W180" s="292">
        <f>VLOOKUP($U180,计算辅助页面!$Z$5:$AM$26,COLUMN()-20,0)</f>
        <v>12000</v>
      </c>
      <c r="X180" s="226">
        <f>VLOOKUP($U180,计算辅助页面!$Z$5:$AM$26,COLUMN()-20,0)</f>
        <v>18000</v>
      </c>
      <c r="Y180" s="226">
        <f>VLOOKUP($U180,计算辅助页面!$Z$5:$AM$26,COLUMN()-20,0)</f>
        <v>26000</v>
      </c>
      <c r="Z180" s="293">
        <f>VLOOKUP($U180,计算辅助页面!$Z$5:$AM$26,COLUMN()-20,0)</f>
        <v>36500</v>
      </c>
      <c r="AA180" s="226">
        <f>VLOOKUP($U180,计算辅助页面!$Z$5:$AM$26,COLUMN()-20,0)</f>
        <v>51000</v>
      </c>
      <c r="AB180" s="226">
        <f>VLOOKUP($U180,计算辅助页面!$Z$5:$AM$26,COLUMN()-20,0)</f>
        <v>71500</v>
      </c>
      <c r="AC180" s="226">
        <f>VLOOKUP($U180,计算辅助页面!$Z$5:$AM$26,COLUMN()-20,0)</f>
        <v>100000</v>
      </c>
      <c r="AD180" s="226">
        <f>VLOOKUP($U180,计算辅助页面!$Z$5:$AM$26,COLUMN()-20,0)</f>
        <v>140000</v>
      </c>
      <c r="AE180" s="226">
        <f>VLOOKUP($U180,计算辅助页面!$Z$5:$AM$26,COLUMN()-20,0)</f>
        <v>196000</v>
      </c>
      <c r="AF180" s="226">
        <f>VLOOKUP($U180,计算辅助页面!$Z$5:$AM$26,COLUMN()-20,0)</f>
        <v>274000</v>
      </c>
      <c r="AG180" s="226" t="str">
        <f>VLOOKUP($U180,计算辅助页面!$Z$5:$AM$26,COLUMN()-20,0)</f>
        <v>×</v>
      </c>
      <c r="AH180" s="173">
        <f>VLOOKUP($U180,计算辅助页面!$Z$5:$AM$26,COLUMN()-20,0)</f>
        <v>3748400</v>
      </c>
      <c r="AI180" s="267">
        <v>35000</v>
      </c>
      <c r="AJ180" s="260">
        <f>VLOOKUP(D180&amp;E180,计算辅助页面!$V$5:$Y$18,2,0)</f>
        <v>7</v>
      </c>
      <c r="AK180" s="174">
        <f t="shared" si="282"/>
        <v>70000</v>
      </c>
      <c r="AL180" s="174">
        <f>VLOOKUP(D180&amp;E180,计算辅助页面!$V$5:$Y$18,3,0)</f>
        <v>5</v>
      </c>
      <c r="AM180" s="179">
        <f t="shared" si="283"/>
        <v>210000</v>
      </c>
      <c r="AN180" s="179">
        <f>VLOOKUP(D180&amp;E180,计算辅助页面!$V$5:$Y$18,4,0)</f>
        <v>3</v>
      </c>
      <c r="AO180" s="173">
        <f t="shared" si="284"/>
        <v>4900000</v>
      </c>
      <c r="AP180" s="195">
        <f t="shared" si="285"/>
        <v>8648400</v>
      </c>
      <c r="AQ180" s="365" t="s">
        <v>1047</v>
      </c>
      <c r="AR180" s="366" t="str">
        <f t="shared" si="274"/>
        <v>Vulcano Titanium</v>
      </c>
      <c r="AS180" s="352" t="s">
        <v>603</v>
      </c>
      <c r="AT180" s="353" t="s">
        <v>678</v>
      </c>
      <c r="AU180" s="327" t="s">
        <v>712</v>
      </c>
      <c r="AV180" s="357">
        <v>13</v>
      </c>
      <c r="AW180" s="357">
        <v>397</v>
      </c>
      <c r="AY180" s="357">
        <v>533</v>
      </c>
      <c r="AZ180" s="357" t="s">
        <v>1110</v>
      </c>
      <c r="BA180" s="369"/>
      <c r="BB180" s="369"/>
      <c r="BC180" s="369">
        <v>1</v>
      </c>
      <c r="BD180" s="369">
        <v>1</v>
      </c>
      <c r="BE180" s="369"/>
      <c r="BF180" s="369">
        <v>1</v>
      </c>
      <c r="BG180" s="369"/>
      <c r="BH180" s="369"/>
      <c r="BI180" s="369"/>
      <c r="BJ180" s="369"/>
      <c r="BK180" s="369"/>
      <c r="BL180" s="369"/>
      <c r="BM180" s="369"/>
      <c r="BN180" s="369"/>
      <c r="BO180" s="369"/>
      <c r="BP180" s="369"/>
      <c r="BQ180" s="369">
        <v>1</v>
      </c>
      <c r="BR180" s="369"/>
      <c r="BS180" s="369"/>
      <c r="BT180" s="369">
        <v>1</v>
      </c>
      <c r="BU180" s="387" t="s">
        <v>1201</v>
      </c>
      <c r="BV180" s="326"/>
      <c r="BW180" s="326"/>
      <c r="BX180" s="326"/>
      <c r="BY180" s="367">
        <v>370</v>
      </c>
      <c r="BZ180" s="368">
        <v>75.7</v>
      </c>
      <c r="CA180" s="368">
        <v>35.26</v>
      </c>
      <c r="CB180" s="368">
        <v>53.84</v>
      </c>
      <c r="CC180" s="368">
        <f t="shared" si="286"/>
        <v>11.699999999999989</v>
      </c>
      <c r="CD180" s="368">
        <f t="shared" si="287"/>
        <v>5.6799999999999926</v>
      </c>
      <c r="CE180" s="368">
        <f t="shared" si="288"/>
        <v>8.1200000000000045</v>
      </c>
      <c r="CF180" s="368">
        <f t="shared" si="289"/>
        <v>12.049999999999997</v>
      </c>
      <c r="CG180" s="368">
        <f t="shared" si="290"/>
        <v>37.549999999999983</v>
      </c>
      <c r="CH180" s="368">
        <f t="shared" si="291"/>
        <v>38.283599999999979</v>
      </c>
      <c r="CI180" s="42"/>
      <c r="CJ180" s="42"/>
      <c r="CK180" s="42"/>
      <c r="CL180" s="42"/>
    </row>
    <row r="181" spans="1:90" ht="21" customHeight="1">
      <c r="A181" s="80">
        <v>179</v>
      </c>
      <c r="B181" s="49" t="s">
        <v>138</v>
      </c>
      <c r="C181" s="86" t="s">
        <v>818</v>
      </c>
      <c r="D181" s="255" t="s">
        <v>42</v>
      </c>
      <c r="E181" s="247" t="s">
        <v>172</v>
      </c>
      <c r="F181" s="173">
        <f t="shared" si="275"/>
        <v>4</v>
      </c>
      <c r="G181" s="83" t="s">
        <v>74</v>
      </c>
      <c r="H181" s="222">
        <v>40</v>
      </c>
      <c r="I181" s="222">
        <v>13</v>
      </c>
      <c r="J181" s="222">
        <v>16</v>
      </c>
      <c r="K181" s="222">
        <v>25</v>
      </c>
      <c r="L181" s="222">
        <v>39</v>
      </c>
      <c r="M181" s="222" t="s">
        <v>59</v>
      </c>
      <c r="N181" s="226">
        <f t="shared" si="258"/>
        <v>133</v>
      </c>
      <c r="O181" s="51">
        <v>4083</v>
      </c>
      <c r="P181" s="209">
        <v>407.5</v>
      </c>
      <c r="Q181" s="216">
        <v>80.48</v>
      </c>
      <c r="R181" s="216">
        <v>40.97</v>
      </c>
      <c r="S181" s="216">
        <v>58.26</v>
      </c>
      <c r="T181" s="216">
        <v>5.25</v>
      </c>
      <c r="U181" s="84">
        <v>4600</v>
      </c>
      <c r="V181" s="292">
        <f>VLOOKUP($U181,计算辅助页面!$Z$5:$AM$26,COLUMN()-20,0)</f>
        <v>7500</v>
      </c>
      <c r="W181" s="292">
        <f>VLOOKUP($U181,计算辅助页面!$Z$5:$AM$26,COLUMN()-20,0)</f>
        <v>12000</v>
      </c>
      <c r="X181" s="226">
        <f>VLOOKUP($U181,计算辅助页面!$Z$5:$AM$26,COLUMN()-20,0)</f>
        <v>18000</v>
      </c>
      <c r="Y181" s="226">
        <f>VLOOKUP($U181,计算辅助页面!$Z$5:$AM$26,COLUMN()-20,0)</f>
        <v>26000</v>
      </c>
      <c r="Z181" s="293">
        <f>VLOOKUP($U181,计算辅助页面!$Z$5:$AM$26,COLUMN()-20,0)</f>
        <v>36500</v>
      </c>
      <c r="AA181" s="226">
        <f>VLOOKUP($U181,计算辅助页面!$Z$5:$AM$26,COLUMN()-20,0)</f>
        <v>51000</v>
      </c>
      <c r="AB181" s="226">
        <f>VLOOKUP($U181,计算辅助页面!$Z$5:$AM$26,COLUMN()-20,0)</f>
        <v>71500</v>
      </c>
      <c r="AC181" s="226">
        <f>VLOOKUP($U181,计算辅助页面!$Z$5:$AM$26,COLUMN()-20,0)</f>
        <v>100000</v>
      </c>
      <c r="AD181" s="226">
        <f>VLOOKUP($U181,计算辅助页面!$Z$5:$AM$26,COLUMN()-20,0)</f>
        <v>140000</v>
      </c>
      <c r="AE181" s="226">
        <f>VLOOKUP($U181,计算辅助页面!$Z$5:$AM$26,COLUMN()-20,0)</f>
        <v>196000</v>
      </c>
      <c r="AF181" s="226">
        <f>VLOOKUP($U181,计算辅助页面!$Z$5:$AM$26,COLUMN()-20,0)</f>
        <v>274000</v>
      </c>
      <c r="AG181" s="226" t="str">
        <f>VLOOKUP($U181,计算辅助页面!$Z$5:$AM$26,COLUMN()-20,0)</f>
        <v>×</v>
      </c>
      <c r="AH181" s="173">
        <f>VLOOKUP($U181,计算辅助页面!$Z$5:$AM$26,COLUMN()-20,0)</f>
        <v>3748400</v>
      </c>
      <c r="AI181" s="267">
        <v>35000</v>
      </c>
      <c r="AJ181" s="260">
        <f>VLOOKUP(D181&amp;E181,计算辅助页面!$V$5:$Y$18,2,0)</f>
        <v>7</v>
      </c>
      <c r="AK181" s="174">
        <f t="shared" si="282"/>
        <v>70000</v>
      </c>
      <c r="AL181" s="174">
        <f>VLOOKUP(D181&amp;E181,计算辅助页面!$V$5:$Y$18,3,0)</f>
        <v>5</v>
      </c>
      <c r="AM181" s="179">
        <f t="shared" si="283"/>
        <v>210000</v>
      </c>
      <c r="AN181" s="179">
        <f>VLOOKUP(D181&amp;E181,计算辅助页面!$V$5:$Y$18,4,0)</f>
        <v>3</v>
      </c>
      <c r="AO181" s="173">
        <f t="shared" si="284"/>
        <v>4900000</v>
      </c>
      <c r="AP181" s="195">
        <f t="shared" si="285"/>
        <v>8648400</v>
      </c>
      <c r="AQ181" s="365" t="s">
        <v>570</v>
      </c>
      <c r="AR181" s="366" t="str">
        <f t="shared" si="274"/>
        <v>Lykan HyperSport</v>
      </c>
      <c r="AS181" s="352" t="s">
        <v>603</v>
      </c>
      <c r="AT181" s="353" t="s">
        <v>680</v>
      </c>
      <c r="AU181" s="327" t="s">
        <v>712</v>
      </c>
      <c r="AV181" s="357">
        <v>15</v>
      </c>
      <c r="AW181" s="357">
        <v>425</v>
      </c>
      <c r="AY181" s="357">
        <v>560</v>
      </c>
      <c r="AZ181" s="357" t="s">
        <v>1110</v>
      </c>
      <c r="BA181" s="369"/>
      <c r="BB181" s="369"/>
      <c r="BC181" s="369">
        <v>1</v>
      </c>
      <c r="BD181" s="369">
        <v>1</v>
      </c>
      <c r="BE181" s="369"/>
      <c r="BF181" s="369"/>
      <c r="BG181" s="369"/>
      <c r="BH181" s="369"/>
      <c r="BI181" s="369"/>
      <c r="BJ181" s="369"/>
      <c r="BK181" s="369"/>
      <c r="BL181" s="369"/>
      <c r="BM181" s="369"/>
      <c r="BN181" s="369"/>
      <c r="BO181" s="369"/>
      <c r="BP181" s="369"/>
      <c r="BQ181" s="369"/>
      <c r="BR181" s="369"/>
      <c r="BS181" s="369"/>
      <c r="BT181" s="369">
        <v>1</v>
      </c>
      <c r="BU181" s="387" t="s">
        <v>1202</v>
      </c>
      <c r="BV181" s="326"/>
      <c r="BW181" s="326"/>
      <c r="BX181" s="326"/>
      <c r="BY181" s="367">
        <v>395</v>
      </c>
      <c r="BZ181" s="368">
        <v>74.8</v>
      </c>
      <c r="CA181" s="368">
        <v>37</v>
      </c>
      <c r="CB181" s="368">
        <v>39.79</v>
      </c>
      <c r="CC181" s="368">
        <f t="shared" si="286"/>
        <v>12.5</v>
      </c>
      <c r="CD181" s="368">
        <f t="shared" si="287"/>
        <v>5.6800000000000068</v>
      </c>
      <c r="CE181" s="368">
        <f t="shared" si="288"/>
        <v>3.9699999999999989</v>
      </c>
      <c r="CF181" s="368">
        <f t="shared" si="289"/>
        <v>18.47</v>
      </c>
      <c r="CG181" s="368">
        <f t="shared" si="290"/>
        <v>40.620000000000005</v>
      </c>
      <c r="CH181" s="368">
        <f t="shared" si="291"/>
        <v>42.067700000000016</v>
      </c>
      <c r="CI181" s="42"/>
      <c r="CJ181" s="42"/>
      <c r="CK181" s="42"/>
      <c r="CL181" s="42"/>
    </row>
    <row r="182" spans="1:90" ht="21" customHeight="1" thickBot="1">
      <c r="A182" s="48">
        <v>180</v>
      </c>
      <c r="B182" s="52" t="s">
        <v>1098</v>
      </c>
      <c r="C182" s="86" t="s">
        <v>1092</v>
      </c>
      <c r="D182" s="255" t="s">
        <v>42</v>
      </c>
      <c r="E182" s="247" t="s">
        <v>79</v>
      </c>
      <c r="F182" s="230"/>
      <c r="G182" s="229"/>
      <c r="H182" s="233" t="s">
        <v>408</v>
      </c>
      <c r="I182" s="236">
        <v>40</v>
      </c>
      <c r="J182" s="236">
        <v>45</v>
      </c>
      <c r="K182" s="236">
        <v>60</v>
      </c>
      <c r="L182" s="236">
        <v>70</v>
      </c>
      <c r="M182" s="236">
        <v>85</v>
      </c>
      <c r="N182" s="239">
        <f t="shared" si="258"/>
        <v>300</v>
      </c>
      <c r="O182" s="53">
        <v>4109</v>
      </c>
      <c r="P182" s="210">
        <v>400.3</v>
      </c>
      <c r="Q182" s="217">
        <v>77.91</v>
      </c>
      <c r="R182" s="217">
        <v>53.44</v>
      </c>
      <c r="S182" s="217">
        <v>59.94</v>
      </c>
      <c r="T182" s="217">
        <v>5.4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45000</v>
      </c>
      <c r="AJ182" s="260">
        <f>VLOOKUP(D182&amp;E182,计算辅助页面!$V$5:$Y$18,2,0)</f>
        <v>7</v>
      </c>
      <c r="AK182" s="174">
        <f t="shared" ref="AK182" si="313">IF(AI182,2*AI182,"")</f>
        <v>90000</v>
      </c>
      <c r="AL182" s="174">
        <f>VLOOKUP(D182&amp;E182,计算辅助页面!$V$5:$Y$18,3,0)</f>
        <v>5</v>
      </c>
      <c r="AM182" s="179">
        <f t="shared" ref="AM182" si="314">IF(AN182="×",AN182,IF(AI182,6*AI182,""))</f>
        <v>270000</v>
      </c>
      <c r="AN182" s="179">
        <f>VLOOKUP(D182&amp;E182,计算辅助页面!$V$5:$Y$18,4,0)</f>
        <v>4</v>
      </c>
      <c r="AO182" s="173">
        <f t="shared" ref="AO182" si="315">IF(AI182,IF(AN182="×",4*(AI182*AJ182+AK182*AL182),4*(AI182*AJ182+AK182*AL182+AM182*AN182)),"")</f>
        <v>7380000</v>
      </c>
      <c r="AP182" s="195">
        <f t="shared" ref="AP182" si="316">IF(AND(AH182,AO182),AO182+AH182,"")</f>
        <v>35106000</v>
      </c>
      <c r="AQ182" s="365" t="s">
        <v>1093</v>
      </c>
      <c r="AR182" s="366" t="str">
        <f t="shared" si="274"/>
        <v>Tachyon Speed🔑</v>
      </c>
      <c r="AS182" s="352" t="s">
        <v>1082</v>
      </c>
      <c r="AT182" s="353" t="s">
        <v>1094</v>
      </c>
      <c r="AU182" s="327" t="s">
        <v>712</v>
      </c>
      <c r="AW182" s="357">
        <v>416</v>
      </c>
      <c r="AY182" s="357">
        <v>555</v>
      </c>
      <c r="AZ182" s="357" t="s">
        <v>1115</v>
      </c>
      <c r="BA182" s="369"/>
      <c r="BB182" s="369"/>
      <c r="BC182" s="369"/>
      <c r="BD182" s="369"/>
      <c r="BE182" s="369"/>
      <c r="BF182" s="369"/>
      <c r="BG182" s="369"/>
      <c r="BH182" s="369"/>
      <c r="BI182" s="369"/>
      <c r="BJ182" s="369"/>
      <c r="BK182" s="369"/>
      <c r="BL182" s="369">
        <v>1</v>
      </c>
      <c r="BM182" s="369"/>
      <c r="BN182" s="369">
        <v>1</v>
      </c>
      <c r="BO182" s="369">
        <v>1</v>
      </c>
      <c r="BP182" s="369"/>
      <c r="BQ182" s="369"/>
      <c r="BR182" s="369"/>
      <c r="BS182" s="369"/>
      <c r="BT182" s="369"/>
      <c r="BU182" s="387" t="s">
        <v>1203</v>
      </c>
      <c r="BV182" s="326"/>
      <c r="BW182" s="326"/>
      <c r="BX182" s="326"/>
      <c r="BY182" s="367"/>
      <c r="BZ182" s="368"/>
      <c r="CA182" s="368"/>
      <c r="CB182" s="368"/>
      <c r="CC182" s="368"/>
      <c r="CD182" s="368"/>
      <c r="CE182" s="368"/>
      <c r="CF182" s="368"/>
      <c r="CG182" s="368"/>
      <c r="CH182" s="368"/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505</v>
      </c>
      <c r="C183" s="86" t="s">
        <v>819</v>
      </c>
      <c r="D183" s="255" t="s">
        <v>42</v>
      </c>
      <c r="E183" s="247" t="s">
        <v>79</v>
      </c>
      <c r="F183" s="173">
        <f t="shared" si="275"/>
        <v>3</v>
      </c>
      <c r="G183" s="83" t="s">
        <v>77</v>
      </c>
      <c r="H183" s="22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58"/>
        <v>200</v>
      </c>
      <c r="O183" s="53">
        <v>4148</v>
      </c>
      <c r="P183" s="210">
        <v>370.2</v>
      </c>
      <c r="Q183" s="217">
        <v>81.2</v>
      </c>
      <c r="R183" s="217">
        <v>62.39</v>
      </c>
      <c r="S183" s="217">
        <v>78.790000000000006</v>
      </c>
      <c r="T183" s="217">
        <v>8.82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45000</v>
      </c>
      <c r="AJ183" s="260">
        <f>VLOOKUP(D183&amp;E183,计算辅助页面!$V$5:$Y$18,2,0)</f>
        <v>7</v>
      </c>
      <c r="AK183" s="174">
        <f t="shared" si="282"/>
        <v>90000</v>
      </c>
      <c r="AL183" s="174">
        <f>VLOOKUP(D183&amp;E183,计算辅助页面!$V$5:$Y$18,3,0)</f>
        <v>5</v>
      </c>
      <c r="AM183" s="179">
        <f t="shared" si="283"/>
        <v>270000</v>
      </c>
      <c r="AN183" s="179">
        <f>VLOOKUP(D183&amp;E183,计算辅助页面!$V$5:$Y$18,4,0)</f>
        <v>4</v>
      </c>
      <c r="AO183" s="173">
        <f t="shared" si="284"/>
        <v>7380000</v>
      </c>
      <c r="AP183" s="195">
        <f t="shared" si="285"/>
        <v>35106000</v>
      </c>
      <c r="AQ183" s="365" t="s">
        <v>566</v>
      </c>
      <c r="AR183" s="366" t="str">
        <f t="shared" si="274"/>
        <v>Veneno</v>
      </c>
      <c r="AS183" s="352" t="s">
        <v>963</v>
      </c>
      <c r="AT183" s="353" t="s">
        <v>695</v>
      </c>
      <c r="AU183" s="327" t="s">
        <v>712</v>
      </c>
      <c r="AW183" s="357">
        <v>387</v>
      </c>
      <c r="AY183" s="357">
        <v>516</v>
      </c>
      <c r="AZ183" s="357" t="s">
        <v>1121</v>
      </c>
      <c r="BA183" s="369"/>
      <c r="BB183" s="369"/>
      <c r="BC183" s="369"/>
      <c r="BD183" s="369"/>
      <c r="BE183" s="369"/>
      <c r="BF183" s="369"/>
      <c r="BG183" s="369"/>
      <c r="BH183" s="369"/>
      <c r="BI183" s="369"/>
      <c r="BJ183" s="369"/>
      <c r="BK183" s="369">
        <v>1</v>
      </c>
      <c r="BL183" s="369"/>
      <c r="BM183" s="369"/>
      <c r="BN183" s="369"/>
      <c r="BO183" s="369">
        <v>1</v>
      </c>
      <c r="BP183" s="369"/>
      <c r="BQ183" s="369"/>
      <c r="BR183" s="369"/>
      <c r="BS183" s="369"/>
      <c r="BT183" s="369"/>
      <c r="BU183" s="387" t="s">
        <v>1204</v>
      </c>
      <c r="BV183" s="326"/>
      <c r="BW183" s="326"/>
      <c r="BX183" s="326"/>
      <c r="BY183" s="367">
        <v>355</v>
      </c>
      <c r="BZ183" s="368">
        <v>73.900000000000006</v>
      </c>
      <c r="CA183" s="368">
        <v>53.52</v>
      </c>
      <c r="CB183" s="368">
        <v>61.51</v>
      </c>
      <c r="CC183" s="368">
        <f t="shared" si="286"/>
        <v>15.199999999999989</v>
      </c>
      <c r="CD183" s="368">
        <f t="shared" si="287"/>
        <v>7.2999999999999972</v>
      </c>
      <c r="CE183" s="368">
        <f t="shared" si="288"/>
        <v>8.8699999999999974</v>
      </c>
      <c r="CF183" s="368">
        <f t="shared" si="289"/>
        <v>17.280000000000008</v>
      </c>
      <c r="CG183" s="368">
        <f t="shared" si="290"/>
        <v>48.649999999999991</v>
      </c>
      <c r="CH183" s="368">
        <f t="shared" si="291"/>
        <v>49.780500000000004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2" t="s">
        <v>1324</v>
      </c>
      <c r="C184" s="86" t="s">
        <v>1319</v>
      </c>
      <c r="D184" s="255" t="s">
        <v>42</v>
      </c>
      <c r="E184" s="247" t="s">
        <v>79</v>
      </c>
      <c r="F184" s="230"/>
      <c r="G184" s="229"/>
      <c r="H184" s="233" t="s">
        <v>408</v>
      </c>
      <c r="I184" s="236">
        <v>40</v>
      </c>
      <c r="J184" s="236">
        <v>45</v>
      </c>
      <c r="K184" s="236">
        <v>60</v>
      </c>
      <c r="L184" s="236">
        <v>70</v>
      </c>
      <c r="M184" s="236">
        <v>85</v>
      </c>
      <c r="N184" s="239">
        <f t="shared" ref="N184" si="317">IF(COUNTBLANK(H184:M184),"",SUM(H184:M184))</f>
        <v>300</v>
      </c>
      <c r="O184" s="53">
        <v>4173</v>
      </c>
      <c r="P184" s="210">
        <v>383.2</v>
      </c>
      <c r="Q184" s="217">
        <v>75.17</v>
      </c>
      <c r="R184" s="217">
        <v>60.57</v>
      </c>
      <c r="S184" s="217">
        <v>82.21</v>
      </c>
      <c r="T184" s="217"/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45000</v>
      </c>
      <c r="AJ184" s="260">
        <f>VLOOKUP(D184&amp;E184,计算辅助页面!$V$5:$Y$18,2,0)</f>
        <v>7</v>
      </c>
      <c r="AK184" s="174">
        <f t="shared" ref="AK184" si="318">IF(AI184,2*AI184,"")</f>
        <v>90000</v>
      </c>
      <c r="AL184" s="174">
        <f>VLOOKUP(D184&amp;E184,计算辅助页面!$V$5:$Y$18,3,0)</f>
        <v>5</v>
      </c>
      <c r="AM184" s="179">
        <f t="shared" ref="AM184" si="319">IF(AN184="×",AN184,IF(AI184,6*AI184,""))</f>
        <v>270000</v>
      </c>
      <c r="AN184" s="179">
        <f>VLOOKUP(D184&amp;E184,计算辅助页面!$V$5:$Y$18,4,0)</f>
        <v>4</v>
      </c>
      <c r="AO184" s="173">
        <f t="shared" ref="AO184" si="320">IF(AI184,IF(AN184="×",4*(AI184*AJ184+AK184*AL184),4*(AI184*AJ184+AK184*AL184+AM184*AN184)),"")</f>
        <v>7380000</v>
      </c>
      <c r="AP184" s="195">
        <f t="shared" ref="AP184" si="321">IF(AND(AH184,AO184),AO184+AH184,"")</f>
        <v>35106000</v>
      </c>
      <c r="AQ184" s="365" t="s">
        <v>596</v>
      </c>
      <c r="AR184" s="366" t="str">
        <f t="shared" si="274"/>
        <v>XJ220 TWR🔑</v>
      </c>
      <c r="AS184" s="352" t="s">
        <v>1308</v>
      </c>
      <c r="AT184" s="353" t="s">
        <v>1320</v>
      </c>
      <c r="AU184" s="327" t="s">
        <v>712</v>
      </c>
      <c r="AW184" s="357">
        <v>398</v>
      </c>
      <c r="AY184" s="357">
        <v>535</v>
      </c>
      <c r="AZ184" s="384" t="s">
        <v>1280</v>
      </c>
      <c r="BA184" s="369"/>
      <c r="BB184" s="369"/>
      <c r="BC184" s="369"/>
      <c r="BD184" s="369"/>
      <c r="BE184" s="369"/>
      <c r="BF184" s="369"/>
      <c r="BG184" s="369"/>
      <c r="BH184" s="369"/>
      <c r="BI184" s="369"/>
      <c r="BJ184" s="369"/>
      <c r="BK184" s="369"/>
      <c r="BL184" s="369">
        <v>1</v>
      </c>
      <c r="BM184" s="369"/>
      <c r="BN184" s="369">
        <v>1</v>
      </c>
      <c r="BO184" s="369">
        <v>1</v>
      </c>
      <c r="BP184" s="369"/>
      <c r="BQ184" s="369"/>
      <c r="BR184" s="369"/>
      <c r="BS184" s="369"/>
      <c r="BT184" s="369"/>
      <c r="BU184" s="389" t="s">
        <v>26</v>
      </c>
      <c r="BV184" s="326"/>
      <c r="BW184" s="326"/>
      <c r="BX184" s="326"/>
      <c r="BY184" s="367"/>
      <c r="BZ184" s="368"/>
      <c r="CA184" s="368"/>
      <c r="CB184" s="368"/>
      <c r="CC184" s="368"/>
      <c r="CD184" s="368"/>
      <c r="CE184" s="368"/>
      <c r="CF184" s="368"/>
      <c r="CG184" s="368"/>
      <c r="CH184" s="368"/>
      <c r="CI184" s="42"/>
      <c r="CJ184" s="42"/>
      <c r="CK184" s="42"/>
      <c r="CL184" s="42"/>
    </row>
    <row r="185" spans="1:90" ht="21" customHeight="1">
      <c r="A185" s="80">
        <v>183</v>
      </c>
      <c r="B185" s="49" t="s">
        <v>140</v>
      </c>
      <c r="C185" s="86" t="s">
        <v>820</v>
      </c>
      <c r="D185" s="255" t="s">
        <v>42</v>
      </c>
      <c r="E185" s="247" t="s">
        <v>79</v>
      </c>
      <c r="F185" s="173">
        <f t="shared" si="275"/>
        <v>3</v>
      </c>
      <c r="G185" s="83" t="s">
        <v>77</v>
      </c>
      <c r="H185" s="222">
        <v>60</v>
      </c>
      <c r="I185" s="222">
        <v>13</v>
      </c>
      <c r="J185" s="222">
        <v>16</v>
      </c>
      <c r="K185" s="222">
        <v>25</v>
      </c>
      <c r="L185" s="222">
        <v>38</v>
      </c>
      <c r="M185" s="222">
        <v>48</v>
      </c>
      <c r="N185" s="226">
        <f t="shared" si="258"/>
        <v>200</v>
      </c>
      <c r="O185" s="51">
        <v>4213</v>
      </c>
      <c r="P185" s="209">
        <v>366.4</v>
      </c>
      <c r="Q185" s="216">
        <v>84.48</v>
      </c>
      <c r="R185" s="216">
        <v>61.54</v>
      </c>
      <c r="S185" s="216">
        <v>72.02</v>
      </c>
      <c r="T185" s="216">
        <v>7.516</v>
      </c>
      <c r="U185" s="84">
        <v>5640</v>
      </c>
      <c r="V185" s="292">
        <f>VLOOKUP($U185,计算辅助页面!$Z$5:$AM$26,COLUMN()-20,0)</f>
        <v>9200</v>
      </c>
      <c r="W185" s="292">
        <f>VLOOKUP($U185,计算辅助页面!$Z$5:$AM$26,COLUMN()-20,0)</f>
        <v>14700</v>
      </c>
      <c r="X185" s="226">
        <f>VLOOKUP($U185,计算辅助页面!$Z$5:$AM$26,COLUMN()-20,0)</f>
        <v>22100</v>
      </c>
      <c r="Y185" s="226">
        <f>VLOOKUP($U185,计算辅助页面!$Z$5:$AM$26,COLUMN()-20,0)</f>
        <v>31900</v>
      </c>
      <c r="Z185" s="293">
        <f>VLOOKUP($U185,计算辅助页面!$Z$5:$AM$26,COLUMN()-20,0)</f>
        <v>44500</v>
      </c>
      <c r="AA185" s="226">
        <f>VLOOKUP($U185,计算辅助页面!$Z$5:$AM$26,COLUMN()-20,0)</f>
        <v>62500</v>
      </c>
      <c r="AB185" s="226">
        <f>VLOOKUP($U185,计算辅助页面!$Z$5:$AM$26,COLUMN()-20,0)</f>
        <v>87500</v>
      </c>
      <c r="AC185" s="226">
        <f>VLOOKUP($U185,计算辅助页面!$Z$5:$AM$26,COLUMN()-20,0)</f>
        <v>122500</v>
      </c>
      <c r="AD185" s="226">
        <f>VLOOKUP($U185,计算辅助页面!$Z$5:$AM$26,COLUMN()-20,0)</f>
        <v>171500</v>
      </c>
      <c r="AE185" s="226">
        <f>VLOOKUP($U185,计算辅助页面!$Z$5:$AM$26,COLUMN()-20,0)</f>
        <v>240000</v>
      </c>
      <c r="AF185" s="226">
        <f>VLOOKUP($U185,计算辅助页面!$Z$5:$AM$26,COLUMN()-20,0)</f>
        <v>336000</v>
      </c>
      <c r="AG185" s="226">
        <f>VLOOKUP($U185,计算辅助页面!$Z$5:$AM$26,COLUMN()-20,0)</f>
        <v>551500</v>
      </c>
      <c r="AH185" s="173">
        <f>VLOOKUP($U185,计算辅助页面!$Z$5:$AM$26,COLUMN()-20,0)</f>
        <v>6798160</v>
      </c>
      <c r="AI185" s="267">
        <v>45000</v>
      </c>
      <c r="AJ185" s="260">
        <f>VLOOKUP(D185&amp;E185,计算辅助页面!$V$5:$Y$18,2,0)</f>
        <v>7</v>
      </c>
      <c r="AK185" s="174">
        <f t="shared" si="282"/>
        <v>90000</v>
      </c>
      <c r="AL185" s="174">
        <f>VLOOKUP(D185&amp;E185,计算辅助页面!$V$5:$Y$18,3,0)</f>
        <v>5</v>
      </c>
      <c r="AM185" s="179">
        <f t="shared" si="283"/>
        <v>270000</v>
      </c>
      <c r="AN185" s="179">
        <f>VLOOKUP(D185&amp;E185,计算辅助页面!$V$5:$Y$18,4,0)</f>
        <v>4</v>
      </c>
      <c r="AO185" s="173">
        <f t="shared" si="284"/>
        <v>7380000</v>
      </c>
      <c r="AP185" s="195">
        <f t="shared" si="285"/>
        <v>14178160</v>
      </c>
      <c r="AQ185" s="365" t="s">
        <v>566</v>
      </c>
      <c r="AR185" s="366" t="str">
        <f t="shared" si="274"/>
        <v>Egoista</v>
      </c>
      <c r="AS185" s="352" t="s">
        <v>603</v>
      </c>
      <c r="AT185" s="353" t="s">
        <v>666</v>
      </c>
      <c r="AU185" s="327" t="s">
        <v>712</v>
      </c>
      <c r="AW185" s="357">
        <v>381</v>
      </c>
      <c r="AY185" s="357">
        <v>506</v>
      </c>
      <c r="AZ185" s="357" t="s">
        <v>1116</v>
      </c>
      <c r="BA185" s="369"/>
      <c r="BB185" s="369"/>
      <c r="BC185" s="369"/>
      <c r="BD185" s="369"/>
      <c r="BE185" s="369">
        <v>1</v>
      </c>
      <c r="BF185" s="369"/>
      <c r="BG185" s="369"/>
      <c r="BH185" s="369"/>
      <c r="BI185" s="369"/>
      <c r="BJ185" s="369"/>
      <c r="BK185" s="369"/>
      <c r="BL185" s="369"/>
      <c r="BM185" s="369"/>
      <c r="BN185" s="369"/>
      <c r="BO185" s="369"/>
      <c r="BP185" s="369"/>
      <c r="BQ185" s="369"/>
      <c r="BR185" s="369"/>
      <c r="BS185" s="369"/>
      <c r="BT185" s="369"/>
      <c r="BU185" s="387" t="s">
        <v>1205</v>
      </c>
      <c r="BV185" s="326">
        <v>1</v>
      </c>
      <c r="BW185" s="326"/>
      <c r="BX185" s="326"/>
      <c r="BY185" s="367">
        <v>350</v>
      </c>
      <c r="BZ185" s="368">
        <v>78.400000000000006</v>
      </c>
      <c r="CA185" s="368">
        <v>49.16</v>
      </c>
      <c r="CB185" s="368">
        <v>65.98</v>
      </c>
      <c r="CC185" s="368">
        <f t="shared" si="286"/>
        <v>16.399999999999977</v>
      </c>
      <c r="CD185" s="368">
        <f t="shared" si="287"/>
        <v>6.0799999999999983</v>
      </c>
      <c r="CE185" s="368">
        <f t="shared" si="288"/>
        <v>12.380000000000003</v>
      </c>
      <c r="CF185" s="368">
        <f t="shared" si="289"/>
        <v>6.039999999999992</v>
      </c>
      <c r="CG185" s="368">
        <f t="shared" si="290"/>
        <v>40.89999999999997</v>
      </c>
      <c r="CH185" s="368">
        <f t="shared" si="291"/>
        <v>37.608599999999981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1470</v>
      </c>
      <c r="C186" s="86" t="s">
        <v>1471</v>
      </c>
      <c r="D186" s="255" t="s">
        <v>42</v>
      </c>
      <c r="E186" s="247" t="s">
        <v>79</v>
      </c>
      <c r="F186" s="230"/>
      <c r="G186" s="229"/>
      <c r="H186" s="236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26">
        <f t="shared" si="258"/>
        <v>300</v>
      </c>
      <c r="O186" s="53">
        <v>4241</v>
      </c>
      <c r="P186" s="210">
        <v>399.1</v>
      </c>
      <c r="Q186" s="217">
        <v>74.900000000000006</v>
      </c>
      <c r="R186" s="217">
        <v>66.52</v>
      </c>
      <c r="S186" s="217">
        <v>63.39</v>
      </c>
      <c r="T186" s="217"/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si="282"/>
        <v>180000</v>
      </c>
      <c r="AL186" s="174">
        <f>VLOOKUP(D186&amp;E186,计算辅助页面!$V$5:$Y$18,3,0)</f>
        <v>5</v>
      </c>
      <c r="AM186" s="179">
        <f t="shared" si="283"/>
        <v>540000</v>
      </c>
      <c r="AN186" s="179">
        <f>VLOOKUP(D186&amp;E186,计算辅助页面!$V$5:$Y$18,4,0)</f>
        <v>4</v>
      </c>
      <c r="AO186" s="173">
        <f t="shared" si="284"/>
        <v>14760000</v>
      </c>
      <c r="AP186" s="195">
        <f t="shared" si="285"/>
        <v>42486000</v>
      </c>
      <c r="AQ186" s="365" t="s">
        <v>1472</v>
      </c>
      <c r="AR186" s="366" t="str">
        <f t="shared" si="274"/>
        <v>ME412</v>
      </c>
      <c r="AS186" s="352" t="s">
        <v>1457</v>
      </c>
      <c r="AT186" s="353" t="s">
        <v>1477</v>
      </c>
      <c r="AU186" s="327" t="s">
        <v>712</v>
      </c>
      <c r="AW186" s="357">
        <v>415</v>
      </c>
      <c r="AY186" s="357">
        <v>555</v>
      </c>
      <c r="AZ186" s="384" t="s">
        <v>1330</v>
      </c>
      <c r="BA186" s="369"/>
      <c r="BB186" s="369"/>
      <c r="BC186" s="369"/>
      <c r="BD186" s="369"/>
      <c r="BE186" s="369"/>
      <c r="BF186" s="369"/>
      <c r="BG186" s="369"/>
      <c r="BH186" s="369"/>
      <c r="BI186" s="369"/>
      <c r="BJ186" s="369"/>
      <c r="BK186" s="369"/>
      <c r="BL186" s="369"/>
      <c r="BM186" s="369"/>
      <c r="BN186" s="369"/>
      <c r="BO186" s="369"/>
      <c r="BP186" s="369"/>
      <c r="BQ186" s="369"/>
      <c r="BR186" s="369"/>
      <c r="BS186" s="369"/>
      <c r="BT186" s="369"/>
      <c r="BU186" s="389" t="s">
        <v>1481</v>
      </c>
      <c r="BV186" s="326"/>
      <c r="BW186" s="326"/>
      <c r="BX186" s="326"/>
      <c r="BY186" s="367"/>
      <c r="BZ186" s="368"/>
      <c r="CA186" s="368"/>
      <c r="CB186" s="368"/>
      <c r="CC186" s="368"/>
      <c r="CD186" s="368"/>
      <c r="CE186" s="368"/>
      <c r="CF186" s="368"/>
      <c r="CG186" s="368"/>
      <c r="CH186" s="368"/>
      <c r="CI186" s="42"/>
      <c r="CJ186" s="42"/>
      <c r="CK186" s="42"/>
      <c r="CL186" s="42"/>
    </row>
    <row r="187" spans="1:90" ht="21" customHeight="1">
      <c r="A187" s="80">
        <v>185</v>
      </c>
      <c r="B187" s="49" t="s">
        <v>142</v>
      </c>
      <c r="C187" s="86" t="s">
        <v>821</v>
      </c>
      <c r="D187" s="255" t="s">
        <v>42</v>
      </c>
      <c r="E187" s="247" t="s">
        <v>79</v>
      </c>
      <c r="F187" s="173">
        <f t="shared" si="275"/>
        <v>3</v>
      </c>
      <c r="G187" s="83" t="s">
        <v>77</v>
      </c>
      <c r="H187" s="222">
        <v>60</v>
      </c>
      <c r="I187" s="222">
        <v>13</v>
      </c>
      <c r="J187" s="222">
        <v>16</v>
      </c>
      <c r="K187" s="222">
        <v>25</v>
      </c>
      <c r="L187" s="222">
        <v>38</v>
      </c>
      <c r="M187" s="222">
        <v>48</v>
      </c>
      <c r="N187" s="226">
        <f t="shared" si="258"/>
        <v>200</v>
      </c>
      <c r="O187" s="51">
        <v>4344</v>
      </c>
      <c r="P187" s="209">
        <v>450.7</v>
      </c>
      <c r="Q187" s="216">
        <v>79.98</v>
      </c>
      <c r="R187" s="216">
        <v>48.49</v>
      </c>
      <c r="S187" s="216">
        <v>44.79</v>
      </c>
      <c r="T187" s="216">
        <v>4.2659999999999991</v>
      </c>
      <c r="U187" s="84">
        <v>5640</v>
      </c>
      <c r="V187" s="292">
        <f>VLOOKUP($U187,计算辅助页面!$Z$5:$AM$26,COLUMN()-20,0)</f>
        <v>9200</v>
      </c>
      <c r="W187" s="292">
        <f>VLOOKUP($U187,计算辅助页面!$Z$5:$AM$26,COLUMN()-20,0)</f>
        <v>14700</v>
      </c>
      <c r="X187" s="226">
        <f>VLOOKUP($U187,计算辅助页面!$Z$5:$AM$26,COLUMN()-20,0)</f>
        <v>22100</v>
      </c>
      <c r="Y187" s="226">
        <f>VLOOKUP($U187,计算辅助页面!$Z$5:$AM$26,COLUMN()-20,0)</f>
        <v>31900</v>
      </c>
      <c r="Z187" s="293">
        <f>VLOOKUP($U187,计算辅助页面!$Z$5:$AM$26,COLUMN()-20,0)</f>
        <v>44500</v>
      </c>
      <c r="AA187" s="226">
        <f>VLOOKUP($U187,计算辅助页面!$Z$5:$AM$26,COLUMN()-20,0)</f>
        <v>62500</v>
      </c>
      <c r="AB187" s="226">
        <f>VLOOKUP($U187,计算辅助页面!$Z$5:$AM$26,COLUMN()-20,0)</f>
        <v>87500</v>
      </c>
      <c r="AC187" s="226">
        <f>VLOOKUP($U187,计算辅助页面!$Z$5:$AM$26,COLUMN()-20,0)</f>
        <v>122500</v>
      </c>
      <c r="AD187" s="226">
        <f>VLOOKUP($U187,计算辅助页面!$Z$5:$AM$26,COLUMN()-20,0)</f>
        <v>171500</v>
      </c>
      <c r="AE187" s="226">
        <f>VLOOKUP($U187,计算辅助页面!$Z$5:$AM$26,COLUMN()-20,0)</f>
        <v>240000</v>
      </c>
      <c r="AF187" s="226">
        <f>VLOOKUP($U187,计算辅助页面!$Z$5:$AM$26,COLUMN()-20,0)</f>
        <v>336000</v>
      </c>
      <c r="AG187" s="226">
        <f>VLOOKUP($U187,计算辅助页面!$Z$5:$AM$26,COLUMN()-20,0)</f>
        <v>551500</v>
      </c>
      <c r="AH187" s="173">
        <f>VLOOKUP($U187,计算辅助页面!$Z$5:$AM$26,COLUMN()-20,0)</f>
        <v>6798160</v>
      </c>
      <c r="AI187" s="267">
        <v>45000</v>
      </c>
      <c r="AJ187" s="260">
        <f>VLOOKUP(D187&amp;E187,计算辅助页面!$V$5:$Y$18,2,0)</f>
        <v>7</v>
      </c>
      <c r="AK187" s="174">
        <f t="shared" si="282"/>
        <v>90000</v>
      </c>
      <c r="AL187" s="174">
        <f>VLOOKUP(D187&amp;E187,计算辅助页面!$V$5:$Y$18,3,0)</f>
        <v>5</v>
      </c>
      <c r="AM187" s="179">
        <f t="shared" si="283"/>
        <v>270000</v>
      </c>
      <c r="AN187" s="179">
        <f>VLOOKUP(D187&amp;E187,计算辅助页面!$V$5:$Y$18,4,0)</f>
        <v>4</v>
      </c>
      <c r="AO187" s="173">
        <f t="shared" si="284"/>
        <v>7380000</v>
      </c>
      <c r="AP187" s="195">
        <f t="shared" si="285"/>
        <v>14178160</v>
      </c>
      <c r="AQ187" s="365" t="s">
        <v>1046</v>
      </c>
      <c r="AR187" s="366" t="str">
        <f t="shared" si="274"/>
        <v>Nemesis</v>
      </c>
      <c r="AS187" s="352" t="s">
        <v>603</v>
      </c>
      <c r="AT187" s="353" t="s">
        <v>687</v>
      </c>
      <c r="AU187" s="327" t="s">
        <v>712</v>
      </c>
      <c r="AW187" s="357">
        <v>475</v>
      </c>
      <c r="AY187" s="357">
        <v>582</v>
      </c>
      <c r="AZ187" s="357" t="s">
        <v>1116</v>
      </c>
      <c r="BA187" s="369"/>
      <c r="BB187" s="369"/>
      <c r="BC187" s="369"/>
      <c r="BD187" s="369"/>
      <c r="BE187" s="369">
        <v>1</v>
      </c>
      <c r="BF187" s="369"/>
      <c r="BG187" s="369"/>
      <c r="BH187" s="369"/>
      <c r="BI187" s="369"/>
      <c r="BJ187" s="369"/>
      <c r="BK187" s="369"/>
      <c r="BL187" s="369"/>
      <c r="BM187" s="369"/>
      <c r="BN187" s="369"/>
      <c r="BO187" s="369"/>
      <c r="BP187" s="369"/>
      <c r="BQ187" s="369"/>
      <c r="BR187" s="369"/>
      <c r="BS187" s="369"/>
      <c r="BT187" s="369"/>
      <c r="BU187" s="387" t="s">
        <v>1206</v>
      </c>
      <c r="BV187" s="326">
        <v>1</v>
      </c>
      <c r="BW187" s="326"/>
      <c r="BX187" s="326"/>
      <c r="BY187" s="367">
        <v>434</v>
      </c>
      <c r="BZ187" s="368">
        <v>73.900000000000006</v>
      </c>
      <c r="CA187" s="368">
        <v>39.450000000000003</v>
      </c>
      <c r="CB187" s="368">
        <v>35.29</v>
      </c>
      <c r="CC187" s="368">
        <f t="shared" si="286"/>
        <v>16.699999999999989</v>
      </c>
      <c r="CD187" s="368">
        <f t="shared" si="287"/>
        <v>6.0799999999999983</v>
      </c>
      <c r="CE187" s="368">
        <f t="shared" si="288"/>
        <v>9.0399999999999991</v>
      </c>
      <c r="CF187" s="368">
        <f t="shared" si="289"/>
        <v>9.5</v>
      </c>
      <c r="CG187" s="368">
        <f t="shared" si="290"/>
        <v>41.319999999999986</v>
      </c>
      <c r="CH187" s="368">
        <f t="shared" si="291"/>
        <v>38.359199999999987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2" t="s">
        <v>1496</v>
      </c>
      <c r="C188" s="86" t="s">
        <v>1497</v>
      </c>
      <c r="D188" s="255" t="s">
        <v>42</v>
      </c>
      <c r="E188" s="247" t="s">
        <v>79</v>
      </c>
      <c r="F188" s="230"/>
      <c r="G188" s="229"/>
      <c r="H188" s="236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26">
        <f t="shared" ref="N188" si="322">IF(COUNTBLANK(H188:M188),"",SUM(H188:M188))</f>
        <v>300</v>
      </c>
      <c r="O188" s="53">
        <v>4373</v>
      </c>
      <c r="P188" s="210">
        <v>383.7</v>
      </c>
      <c r="Q188" s="217">
        <v>81.2</v>
      </c>
      <c r="R188" s="217">
        <v>59.72</v>
      </c>
      <c r="S188" s="217">
        <v>69.97</v>
      </c>
      <c r="T188" s="217"/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323">IF(AI188,2*AI188,"")</f>
        <v>180000</v>
      </c>
      <c r="AL188" s="174">
        <f>VLOOKUP(D188&amp;E188,计算辅助页面!$V$5:$Y$18,3,0)</f>
        <v>5</v>
      </c>
      <c r="AM188" s="179">
        <f t="shared" ref="AM188" si="324">IF(AN188="×",AN188,IF(AI188,6*AI188,""))</f>
        <v>540000</v>
      </c>
      <c r="AN188" s="179">
        <f>VLOOKUP(D188&amp;E188,计算辅助页面!$V$5:$Y$18,4,0)</f>
        <v>4</v>
      </c>
      <c r="AO188" s="173">
        <f t="shared" ref="AO188" si="325">IF(AI188,IF(AN188="×",4*(AI188*AJ188+AK188*AL188),4*(AI188*AJ188+AK188*AL188+AM188*AN188)),"")</f>
        <v>14760000</v>
      </c>
      <c r="AP188" s="195">
        <f t="shared" ref="AP188" si="326">IF(AND(AH188,AO188),AO188+AH188,"")</f>
        <v>42486000</v>
      </c>
      <c r="AQ188" s="365" t="s">
        <v>1498</v>
      </c>
      <c r="AR188" s="366" t="str">
        <f t="shared" si="274"/>
        <v>2015 GTA Spano</v>
      </c>
      <c r="AS188" s="352" t="s">
        <v>1487</v>
      </c>
      <c r="AT188" s="353" t="s">
        <v>1499</v>
      </c>
      <c r="AU188" s="327" t="s">
        <v>712</v>
      </c>
      <c r="AW188" s="357">
        <v>399</v>
      </c>
      <c r="AY188" s="357">
        <v>536</v>
      </c>
      <c r="AZ188" s="384" t="s">
        <v>1330</v>
      </c>
      <c r="BA188" s="369"/>
      <c r="BB188" s="369"/>
      <c r="BC188" s="369"/>
      <c r="BD188" s="369"/>
      <c r="BE188" s="369"/>
      <c r="BF188" s="369"/>
      <c r="BG188" s="369"/>
      <c r="BH188" s="369"/>
      <c r="BI188" s="369"/>
      <c r="BJ188" s="369"/>
      <c r="BK188" s="369"/>
      <c r="BL188" s="369"/>
      <c r="BM188" s="369"/>
      <c r="BN188" s="369"/>
      <c r="BO188" s="369"/>
      <c r="BP188" s="369"/>
      <c r="BQ188" s="369"/>
      <c r="BR188" s="369"/>
      <c r="BS188" s="369"/>
      <c r="BT188" s="369"/>
      <c r="BU188" s="387"/>
      <c r="BV188" s="326"/>
      <c r="BW188" s="326"/>
      <c r="BX188" s="326"/>
      <c r="BY188" s="367"/>
      <c r="BZ188" s="368"/>
      <c r="CA188" s="368"/>
      <c r="CB188" s="368"/>
      <c r="CC188" s="368"/>
      <c r="CD188" s="368"/>
      <c r="CE188" s="368"/>
      <c r="CF188" s="368"/>
      <c r="CG188" s="368"/>
      <c r="CH188" s="368"/>
      <c r="CI188" s="42"/>
      <c r="CJ188" s="42"/>
      <c r="CK188" s="42"/>
      <c r="CL188" s="42"/>
    </row>
    <row r="189" spans="1:90" ht="21" customHeight="1">
      <c r="A189" s="80">
        <v>187</v>
      </c>
      <c r="B189" s="52" t="s">
        <v>701</v>
      </c>
      <c r="C189" s="86" t="s">
        <v>822</v>
      </c>
      <c r="D189" s="255" t="s">
        <v>42</v>
      </c>
      <c r="E189" s="247" t="s">
        <v>79</v>
      </c>
      <c r="F189" s="173">
        <f t="shared" si="275"/>
        <v>3</v>
      </c>
      <c r="G189" s="83" t="s">
        <v>76</v>
      </c>
      <c r="H189" s="222">
        <v>60</v>
      </c>
      <c r="I189" s="222">
        <v>25</v>
      </c>
      <c r="J189" s="222">
        <v>30</v>
      </c>
      <c r="K189" s="222">
        <v>35</v>
      </c>
      <c r="L189" s="222">
        <v>45</v>
      </c>
      <c r="M189" s="222">
        <v>55</v>
      </c>
      <c r="N189" s="226">
        <f t="shared" si="258"/>
        <v>250</v>
      </c>
      <c r="O189" s="53">
        <v>4395</v>
      </c>
      <c r="P189" s="210">
        <v>355.4</v>
      </c>
      <c r="Q189" s="217">
        <v>86.83</v>
      </c>
      <c r="R189" s="217">
        <v>93.51</v>
      </c>
      <c r="S189" s="217">
        <v>69.900000000000006</v>
      </c>
      <c r="T189" s="217">
        <v>7.33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282"/>
        <v>180000</v>
      </c>
      <c r="AL189" s="174">
        <f>VLOOKUP(D189&amp;E189,计算辅助页面!$V$5:$Y$18,3,0)</f>
        <v>5</v>
      </c>
      <c r="AM189" s="179">
        <f t="shared" si="283"/>
        <v>540000</v>
      </c>
      <c r="AN189" s="179">
        <f>VLOOKUP(D189&amp;E189,计算辅助页面!$V$5:$Y$18,4,0)</f>
        <v>4</v>
      </c>
      <c r="AO189" s="173">
        <f t="shared" si="284"/>
        <v>14760000</v>
      </c>
      <c r="AP189" s="195">
        <f t="shared" si="285"/>
        <v>42486000</v>
      </c>
      <c r="AQ189" s="365" t="s">
        <v>568</v>
      </c>
      <c r="AR189" s="366" t="str">
        <f t="shared" si="274"/>
        <v>SF90 Stradale</v>
      </c>
      <c r="AS189" s="352" t="s">
        <v>702</v>
      </c>
      <c r="AT189" s="353" t="s">
        <v>707</v>
      </c>
      <c r="AU189" s="327" t="s">
        <v>712</v>
      </c>
      <c r="AW189" s="357">
        <v>370</v>
      </c>
      <c r="AX189" s="357">
        <v>379</v>
      </c>
      <c r="AY189" s="357">
        <v>501</v>
      </c>
      <c r="AZ189" s="357" t="s">
        <v>1121</v>
      </c>
      <c r="BA189" s="369"/>
      <c r="BB189" s="369"/>
      <c r="BC189" s="369"/>
      <c r="BD189" s="369"/>
      <c r="BE189" s="369"/>
      <c r="BF189" s="369"/>
      <c r="BG189" s="369"/>
      <c r="BH189" s="369"/>
      <c r="BI189" s="369"/>
      <c r="BJ189" s="369"/>
      <c r="BK189" s="369">
        <v>1</v>
      </c>
      <c r="BL189" s="369"/>
      <c r="BM189" s="369"/>
      <c r="BN189" s="369"/>
      <c r="BO189" s="369">
        <v>1</v>
      </c>
      <c r="BP189" s="369"/>
      <c r="BQ189" s="369"/>
      <c r="BR189" s="369"/>
      <c r="BS189" s="369"/>
      <c r="BT189" s="369"/>
      <c r="BU189" s="387" t="s">
        <v>1207</v>
      </c>
      <c r="BV189" s="326"/>
      <c r="BW189" s="326"/>
      <c r="BX189" s="326">
        <v>1</v>
      </c>
      <c r="BY189" s="367">
        <v>340</v>
      </c>
      <c r="BZ189" s="368">
        <v>77.5</v>
      </c>
      <c r="CA189" s="368">
        <v>66.86</v>
      </c>
      <c r="CB189" s="368">
        <v>49.64</v>
      </c>
      <c r="CC189" s="368">
        <f t="shared" si="286"/>
        <v>15.399999999999977</v>
      </c>
      <c r="CD189" s="368">
        <f t="shared" si="287"/>
        <v>9.3299999999999983</v>
      </c>
      <c r="CE189" s="368">
        <f t="shared" si="288"/>
        <v>26.650000000000006</v>
      </c>
      <c r="CF189" s="368">
        <f t="shared" si="289"/>
        <v>20.260000000000005</v>
      </c>
      <c r="CG189" s="368">
        <f t="shared" si="290"/>
        <v>71.639999999999986</v>
      </c>
      <c r="CH189" s="368">
        <f t="shared" si="291"/>
        <v>77.302799999999991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52" t="s">
        <v>1529</v>
      </c>
      <c r="C190" s="86" t="s">
        <v>1530</v>
      </c>
      <c r="D190" s="255" t="s">
        <v>42</v>
      </c>
      <c r="E190" s="247" t="s">
        <v>79</v>
      </c>
      <c r="F190" s="230"/>
      <c r="G190" s="229"/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ref="N190" si="327">IF(COUNTBLANK(H190:M190),"",SUM(H190:M190))</f>
        <v>300</v>
      </c>
      <c r="O190" s="53">
        <v>4398</v>
      </c>
      <c r="P190" s="210">
        <v>391.3</v>
      </c>
      <c r="Q190" s="217">
        <v>85.7</v>
      </c>
      <c r="R190" s="217">
        <v>56.68</v>
      </c>
      <c r="S190" s="217">
        <v>47.35</v>
      </c>
      <c r="T190" s="217">
        <v>3.3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" si="328">IF(AI190,2*AI190,"")</f>
        <v>180000</v>
      </c>
      <c r="AL190" s="174">
        <f>VLOOKUP(D190&amp;E190,计算辅助页面!$V$5:$Y$18,3,0)</f>
        <v>5</v>
      </c>
      <c r="AM190" s="179">
        <f t="shared" ref="AM190" si="329">IF(AN190="×",AN190,IF(AI190,6*AI190,""))</f>
        <v>540000</v>
      </c>
      <c r="AN190" s="179">
        <f>VLOOKUP(D190&amp;E190,计算辅助页面!$V$5:$Y$18,4,0)</f>
        <v>4</v>
      </c>
      <c r="AO190" s="173">
        <f t="shared" ref="AO190" si="330">IF(AI190,IF(AN190="×",4*(AI190*AJ190+AK190*AL190),4*(AI190*AJ190+AK190*AL190+AM190*AN190)),"")</f>
        <v>14760000</v>
      </c>
      <c r="AP190" s="195"/>
      <c r="AQ190" s="365" t="s">
        <v>1531</v>
      </c>
      <c r="AR190" s="366" t="str">
        <f t="shared" si="274"/>
        <v>Sorpasso GT3</v>
      </c>
      <c r="AS190" s="352" t="s">
        <v>1514</v>
      </c>
      <c r="AT190" s="353" t="s">
        <v>1532</v>
      </c>
      <c r="AU190" s="327" t="s">
        <v>712</v>
      </c>
      <c r="AW190" s="357">
        <v>407</v>
      </c>
      <c r="AY190" s="357">
        <v>549</v>
      </c>
      <c r="AZ190" s="384" t="s">
        <v>1536</v>
      </c>
      <c r="BA190" s="369"/>
      <c r="BB190" s="369"/>
      <c r="BC190" s="369"/>
      <c r="BD190" s="369"/>
      <c r="BE190" s="369"/>
      <c r="BF190" s="369"/>
      <c r="BG190" s="369"/>
      <c r="BH190" s="369"/>
      <c r="BI190" s="369"/>
      <c r="BJ190" s="369"/>
      <c r="BK190" s="369"/>
      <c r="BL190" s="369"/>
      <c r="BM190" s="369"/>
      <c r="BN190" s="369">
        <v>1</v>
      </c>
      <c r="BO190" s="369"/>
      <c r="BP190" s="369"/>
      <c r="BQ190" s="369"/>
      <c r="BR190" s="369"/>
      <c r="BS190" s="369"/>
      <c r="BT190" s="369"/>
      <c r="BU190" s="387"/>
      <c r="BV190" s="326"/>
      <c r="BW190" s="326"/>
      <c r="BX190" s="326"/>
      <c r="BY190" s="367"/>
      <c r="BZ190" s="368"/>
      <c r="CA190" s="368"/>
      <c r="CB190" s="368"/>
      <c r="CC190" s="368"/>
      <c r="CD190" s="368"/>
      <c r="CE190" s="368"/>
      <c r="CF190" s="368"/>
      <c r="CG190" s="368"/>
      <c r="CH190" s="368"/>
      <c r="CI190" s="42"/>
      <c r="CJ190" s="42"/>
      <c r="CK190" s="42"/>
      <c r="CL190" s="42"/>
    </row>
    <row r="191" spans="1:90" ht="21" customHeight="1">
      <c r="A191" s="80">
        <v>189</v>
      </c>
      <c r="B191" s="49" t="s">
        <v>334</v>
      </c>
      <c r="C191" s="86" t="s">
        <v>823</v>
      </c>
      <c r="D191" s="255" t="s">
        <v>42</v>
      </c>
      <c r="E191" s="247" t="s">
        <v>79</v>
      </c>
      <c r="F191" s="173">
        <f t="shared" si="275"/>
        <v>3</v>
      </c>
      <c r="G191" s="83" t="s">
        <v>76</v>
      </c>
      <c r="H191" s="222">
        <v>60</v>
      </c>
      <c r="I191" s="222">
        <v>13</v>
      </c>
      <c r="J191" s="222">
        <v>16</v>
      </c>
      <c r="K191" s="222">
        <v>25</v>
      </c>
      <c r="L191" s="222">
        <v>38</v>
      </c>
      <c r="M191" s="222">
        <v>48</v>
      </c>
      <c r="N191" s="226">
        <f t="shared" si="258"/>
        <v>200</v>
      </c>
      <c r="O191" s="51">
        <v>4406</v>
      </c>
      <c r="P191" s="209">
        <v>358.7</v>
      </c>
      <c r="Q191" s="216">
        <v>82.91</v>
      </c>
      <c r="R191" s="216">
        <v>101.81</v>
      </c>
      <c r="S191" s="216">
        <v>78.25</v>
      </c>
      <c r="T191" s="216">
        <v>9.1489999999999974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282"/>
        <v>180000</v>
      </c>
      <c r="AL191" s="174">
        <f>VLOOKUP(D191&amp;E191,计算辅助页面!$V$5:$Y$18,3,0)</f>
        <v>5</v>
      </c>
      <c r="AM191" s="179">
        <f t="shared" si="283"/>
        <v>540000</v>
      </c>
      <c r="AN191" s="179">
        <f>VLOOKUP(D191&amp;E191,计算辅助页面!$V$5:$Y$18,4,0)</f>
        <v>4</v>
      </c>
      <c r="AO191" s="173">
        <f t="shared" si="284"/>
        <v>14760000</v>
      </c>
      <c r="AP191" s="195">
        <f t="shared" si="285"/>
        <v>42486000</v>
      </c>
      <c r="AQ191" s="365" t="s">
        <v>569</v>
      </c>
      <c r="AR191" s="366" t="str">
        <f t="shared" si="274"/>
        <v>Senna</v>
      </c>
      <c r="AS191" s="352" t="s">
        <v>958</v>
      </c>
      <c r="AT191" s="353" t="s">
        <v>653</v>
      </c>
      <c r="AU191" s="327" t="s">
        <v>712</v>
      </c>
      <c r="AW191" s="357">
        <v>373</v>
      </c>
      <c r="AY191" s="357">
        <v>493</v>
      </c>
      <c r="AZ191" s="357" t="s">
        <v>1121</v>
      </c>
      <c r="BA191" s="369"/>
      <c r="BB191" s="369"/>
      <c r="BC191" s="369"/>
      <c r="BD191" s="369"/>
      <c r="BE191" s="369"/>
      <c r="BF191" s="369"/>
      <c r="BG191" s="369"/>
      <c r="BH191" s="369"/>
      <c r="BI191" s="369"/>
      <c r="BJ191" s="369"/>
      <c r="BK191" s="369">
        <v>1</v>
      </c>
      <c r="BL191" s="369"/>
      <c r="BM191" s="369"/>
      <c r="BN191" s="369"/>
      <c r="BO191" s="369">
        <v>1</v>
      </c>
      <c r="BP191" s="369"/>
      <c r="BQ191" s="369">
        <v>1</v>
      </c>
      <c r="BR191" s="369"/>
      <c r="BS191" s="369"/>
      <c r="BT191" s="369"/>
      <c r="BU191" s="387" t="s">
        <v>1208</v>
      </c>
      <c r="BV191" s="326"/>
      <c r="BW191" s="326"/>
      <c r="BX191" s="326"/>
      <c r="BY191" s="367">
        <v>340</v>
      </c>
      <c r="BZ191" s="368">
        <v>74.8</v>
      </c>
      <c r="CA191" s="368">
        <v>73.569999999999993</v>
      </c>
      <c r="CB191" s="368">
        <v>53.07</v>
      </c>
      <c r="CC191" s="368">
        <f t="shared" si="286"/>
        <v>18.699999999999989</v>
      </c>
      <c r="CD191" s="368">
        <f t="shared" si="287"/>
        <v>8.11</v>
      </c>
      <c r="CE191" s="368">
        <f t="shared" si="288"/>
        <v>28.240000000000009</v>
      </c>
      <c r="CF191" s="368">
        <f t="shared" si="289"/>
        <v>25.18</v>
      </c>
      <c r="CG191" s="368">
        <f t="shared" si="290"/>
        <v>80.22999999999999</v>
      </c>
      <c r="CH191" s="368">
        <f t="shared" si="291"/>
        <v>84.318100000000015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2" t="s">
        <v>999</v>
      </c>
      <c r="C192" s="86" t="s">
        <v>1000</v>
      </c>
      <c r="D192" s="255" t="s">
        <v>42</v>
      </c>
      <c r="E192" s="247" t="s">
        <v>79</v>
      </c>
      <c r="F192" s="230"/>
      <c r="G192" s="229"/>
      <c r="H192" s="236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26">
        <f t="shared" si="258"/>
        <v>300</v>
      </c>
      <c r="O192" s="53">
        <v>4406</v>
      </c>
      <c r="P192" s="210">
        <v>419</v>
      </c>
      <c r="Q192" s="217">
        <v>81.06</v>
      </c>
      <c r="R192" s="217">
        <v>49.15</v>
      </c>
      <c r="S192" s="217">
        <v>50.72</v>
      </c>
      <c r="T192" s="217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31">IF(AI192,2*AI192,"")</f>
        <v>180000</v>
      </c>
      <c r="AL192" s="174">
        <f>VLOOKUP(D192&amp;E192,计算辅助页面!$V$5:$Y$18,3,0)</f>
        <v>5</v>
      </c>
      <c r="AM192" s="179">
        <f t="shared" ref="AM192" si="332">IF(AN192="×",AN192,IF(AI192,6*AI192,""))</f>
        <v>540000</v>
      </c>
      <c r="AN192" s="179">
        <f>VLOOKUP(D192&amp;E192,计算辅助页面!$V$5:$Y$18,4,0)</f>
        <v>4</v>
      </c>
      <c r="AO192" s="173">
        <f t="shared" ref="AO192" si="333">IF(AI192,IF(AN192="×",4*(AI192*AJ192+AK192*AL192),4*(AI192*AJ192+AK192*AL192+AM192*AN192)),"")</f>
        <v>14760000</v>
      </c>
      <c r="AP192" s="195">
        <f t="shared" ref="AP192" si="334">IF(AND(AH192,AO192),AO192+AH192,"")</f>
        <v>42486000</v>
      </c>
      <c r="AQ192" s="365" t="s">
        <v>721</v>
      </c>
      <c r="AR192" s="366" t="str">
        <f t="shared" si="274"/>
        <v>Veyron 16.4 Grand Sport Vitesse</v>
      </c>
      <c r="AS192" s="352" t="s">
        <v>991</v>
      </c>
      <c r="AT192" s="353" t="s">
        <v>1001</v>
      </c>
      <c r="AU192" s="327" t="s">
        <v>712</v>
      </c>
      <c r="AW192" s="357">
        <v>441</v>
      </c>
      <c r="AY192" s="357">
        <v>568</v>
      </c>
      <c r="AZ192" s="357" t="s">
        <v>1121</v>
      </c>
      <c r="BA192" s="369"/>
      <c r="BB192" s="369"/>
      <c r="BC192" s="369"/>
      <c r="BD192" s="369"/>
      <c r="BE192" s="369"/>
      <c r="BF192" s="369"/>
      <c r="BG192" s="369"/>
      <c r="BH192" s="369"/>
      <c r="BI192" s="369"/>
      <c r="BJ192" s="369"/>
      <c r="BK192" s="369">
        <v>1</v>
      </c>
      <c r="BL192" s="369"/>
      <c r="BM192" s="369"/>
      <c r="BN192" s="369"/>
      <c r="BO192" s="369">
        <v>1</v>
      </c>
      <c r="BP192" s="369"/>
      <c r="BQ192" s="369"/>
      <c r="BR192" s="369" t="s">
        <v>1146</v>
      </c>
      <c r="BS192" s="369"/>
      <c r="BT192" s="369"/>
      <c r="BU192" s="387" t="s">
        <v>1209</v>
      </c>
      <c r="BV192" s="326"/>
      <c r="BW192" s="326"/>
      <c r="BX192" s="326"/>
      <c r="BY192" s="367"/>
      <c r="BZ192" s="368"/>
      <c r="CA192" s="368"/>
      <c r="CB192" s="368"/>
      <c r="CC192" s="368"/>
      <c r="CD192" s="368"/>
      <c r="CE192" s="368"/>
      <c r="CF192" s="368"/>
      <c r="CG192" s="368"/>
      <c r="CH192" s="368"/>
      <c r="CI192" s="42"/>
      <c r="CJ192" s="42"/>
      <c r="CK192" s="42"/>
      <c r="CL192" s="42"/>
    </row>
    <row r="193" spans="1:90" ht="21" customHeight="1">
      <c r="A193" s="80">
        <v>191</v>
      </c>
      <c r="B193" s="49" t="s">
        <v>144</v>
      </c>
      <c r="C193" s="86" t="s">
        <v>824</v>
      </c>
      <c r="D193" s="255" t="s">
        <v>42</v>
      </c>
      <c r="E193" s="247" t="s">
        <v>79</v>
      </c>
      <c r="F193" s="173">
        <f t="shared" ref="F193:F226" si="335">9-LEN(E193)-LEN(SUBSTITUTE(E193,"★",""))</f>
        <v>3</v>
      </c>
      <c r="G193" s="83" t="s">
        <v>76</v>
      </c>
      <c r="H193" s="222">
        <v>60</v>
      </c>
      <c r="I193" s="222">
        <v>13</v>
      </c>
      <c r="J193" s="222">
        <v>16</v>
      </c>
      <c r="K193" s="222">
        <v>25</v>
      </c>
      <c r="L193" s="222">
        <v>38</v>
      </c>
      <c r="M193" s="222">
        <v>48</v>
      </c>
      <c r="N193" s="226">
        <f t="shared" si="258"/>
        <v>200</v>
      </c>
      <c r="O193" s="51">
        <v>4411</v>
      </c>
      <c r="P193" s="209">
        <v>394.3</v>
      </c>
      <c r="Q193" s="216">
        <v>82.77</v>
      </c>
      <c r="R193" s="216">
        <v>52.84</v>
      </c>
      <c r="S193" s="216">
        <v>69.290000000000006</v>
      </c>
      <c r="T193" s="216">
        <v>6.55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ref="AK193:AK226" si="336">IF(AI193,2*AI193,"")</f>
        <v>180000</v>
      </c>
      <c r="AL193" s="174">
        <f>VLOOKUP(D193&amp;E193,计算辅助页面!$V$5:$Y$18,3,0)</f>
        <v>5</v>
      </c>
      <c r="AM193" s="179">
        <f t="shared" ref="AM193:AM226" si="337">IF(AN193="×",AN193,IF(AI193,6*AI193,""))</f>
        <v>540000</v>
      </c>
      <c r="AN193" s="179">
        <f>VLOOKUP(D193&amp;E193,计算辅助页面!$V$5:$Y$18,4,0)</f>
        <v>4</v>
      </c>
      <c r="AO193" s="173">
        <f t="shared" ref="AO193:AO226" si="338">IF(AI193,IF(AN193="×",4*(AI193*AJ193+AK193*AL193),4*(AI193*AJ193+AK193*AL193+AM193*AN193)),"")</f>
        <v>14760000</v>
      </c>
      <c r="AP193" s="195">
        <f t="shared" ref="AP193:AP226" si="339">IF(AND(AH193,AO193),AO193+AH193,"")</f>
        <v>42486000</v>
      </c>
      <c r="AQ193" s="365" t="s">
        <v>566</v>
      </c>
      <c r="AR193" s="366" t="str">
        <f t="shared" si="274"/>
        <v>Terzo Millennio</v>
      </c>
      <c r="AS193" s="352" t="s">
        <v>603</v>
      </c>
      <c r="AT193" s="353" t="s">
        <v>679</v>
      </c>
      <c r="AU193" s="327" t="s">
        <v>712</v>
      </c>
      <c r="AW193" s="357">
        <v>410</v>
      </c>
      <c r="AY193" s="357">
        <v>551</v>
      </c>
      <c r="AZ193" s="357" t="s">
        <v>1111</v>
      </c>
      <c r="BA193" s="369"/>
      <c r="BB193" s="369"/>
      <c r="BC193" s="369"/>
      <c r="BD193" s="369">
        <v>1</v>
      </c>
      <c r="BE193" s="369"/>
      <c r="BF193" s="369"/>
      <c r="BG193" s="369"/>
      <c r="BH193" s="369"/>
      <c r="BI193" s="369"/>
      <c r="BJ193" s="369"/>
      <c r="BK193" s="369">
        <v>1</v>
      </c>
      <c r="BL193" s="369"/>
      <c r="BM193" s="369"/>
      <c r="BN193" s="369"/>
      <c r="BO193" s="369">
        <v>1</v>
      </c>
      <c r="BP193" s="369"/>
      <c r="BQ193" s="369"/>
      <c r="BR193" s="369"/>
      <c r="BS193" s="369"/>
      <c r="BT193" s="369">
        <v>1</v>
      </c>
      <c r="BU193" s="387" t="s">
        <v>1210</v>
      </c>
      <c r="BV193" s="326">
        <v>1</v>
      </c>
      <c r="BW193" s="326"/>
      <c r="BX193" s="326"/>
      <c r="BY193" s="367">
        <v>380.8</v>
      </c>
      <c r="BZ193" s="368">
        <v>78.19</v>
      </c>
      <c r="CA193" s="368">
        <v>45.16</v>
      </c>
      <c r="CB193" s="368">
        <v>54.79</v>
      </c>
      <c r="CC193" s="368">
        <f t="shared" ref="CC193:CC226" si="340">P193-BY193</f>
        <v>13.5</v>
      </c>
      <c r="CD193" s="368">
        <f t="shared" ref="CD193:CD226" si="341">Q193-BZ193</f>
        <v>4.5799999999999983</v>
      </c>
      <c r="CE193" s="368">
        <f t="shared" ref="CE193:CE226" si="342">R193-CA193</f>
        <v>7.6800000000000068</v>
      </c>
      <c r="CF193" s="368">
        <f t="shared" ref="CF193:CF226" si="343">S193-CB193</f>
        <v>14.500000000000007</v>
      </c>
      <c r="CG193" s="368">
        <f t="shared" ref="CG193:CG226" si="344">SUM(CC193:CF193)</f>
        <v>40.260000000000012</v>
      </c>
      <c r="CH193" s="368">
        <f t="shared" ref="CH193:CH226" si="345">0.32*(P193-BY193)+1.75*(Q193-BZ193)+1.13*(R193-CA193)+1.28*(S193-CB193)</f>
        <v>39.573400000000014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2" t="s">
        <v>1349</v>
      </c>
      <c r="C194" s="86" t="s">
        <v>1350</v>
      </c>
      <c r="D194" s="255" t="s">
        <v>42</v>
      </c>
      <c r="E194" s="247" t="s">
        <v>79</v>
      </c>
      <c r="F194" s="230"/>
      <c r="G194" s="229"/>
      <c r="H194" s="236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26">
        <f t="shared" si="258"/>
        <v>300</v>
      </c>
      <c r="O194" s="53">
        <v>4435</v>
      </c>
      <c r="P194" s="210">
        <v>390.2</v>
      </c>
      <c r="Q194" s="217">
        <v>81.290000000000006</v>
      </c>
      <c r="R194" s="217">
        <v>59.91</v>
      </c>
      <c r="S194" s="217">
        <v>72.19</v>
      </c>
      <c r="T194" s="217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si="336"/>
        <v>180000</v>
      </c>
      <c r="AL194" s="174">
        <f>VLOOKUP(D194&amp;E194,计算辅助页面!$V$5:$Y$18,3,0)</f>
        <v>5</v>
      </c>
      <c r="AM194" s="179">
        <f t="shared" si="337"/>
        <v>540000</v>
      </c>
      <c r="AN194" s="179">
        <f>VLOOKUP(D194&amp;E194,计算辅助页面!$V$5:$Y$18,4,0)</f>
        <v>4</v>
      </c>
      <c r="AO194" s="173">
        <f t="shared" si="338"/>
        <v>14760000</v>
      </c>
      <c r="AP194" s="195">
        <f t="shared" si="339"/>
        <v>42486000</v>
      </c>
      <c r="AQ194" s="365" t="s">
        <v>1351</v>
      </c>
      <c r="AR194" s="366" t="str">
        <f t="shared" si="274"/>
        <v>1789</v>
      </c>
      <c r="AS194" s="352" t="s">
        <v>1334</v>
      </c>
      <c r="AT194" s="353" t="s">
        <v>1350</v>
      </c>
      <c r="AU194" s="327" t="s">
        <v>712</v>
      </c>
      <c r="AW194" s="357">
        <v>405</v>
      </c>
      <c r="AY194" s="357">
        <v>547</v>
      </c>
      <c r="AZ194" s="384" t="s">
        <v>1353</v>
      </c>
      <c r="BA194" s="369"/>
      <c r="BB194" s="369"/>
      <c r="BC194" s="369"/>
      <c r="BD194" s="369"/>
      <c r="BE194" s="369"/>
      <c r="BF194" s="369"/>
      <c r="BG194" s="369"/>
      <c r="BH194" s="369"/>
      <c r="BI194" s="369">
        <v>1</v>
      </c>
      <c r="BJ194" s="369"/>
      <c r="BK194" s="369"/>
      <c r="BL194" s="369"/>
      <c r="BM194" s="369"/>
      <c r="BN194" s="369"/>
      <c r="BO194" s="369"/>
      <c r="BP194" s="369"/>
      <c r="BQ194" s="369"/>
      <c r="BR194" s="369"/>
      <c r="BS194" s="369"/>
      <c r="BT194" s="369"/>
      <c r="BU194" s="387"/>
      <c r="BV194" s="326"/>
      <c r="BW194" s="326"/>
      <c r="BX194" s="326"/>
      <c r="BY194" s="367"/>
      <c r="BZ194" s="368"/>
      <c r="CA194" s="368"/>
      <c r="CB194" s="368"/>
      <c r="CC194" s="368"/>
      <c r="CD194" s="368"/>
      <c r="CE194" s="368"/>
      <c r="CF194" s="368"/>
      <c r="CG194" s="368"/>
      <c r="CH194" s="368"/>
      <c r="CI194" s="42"/>
      <c r="CJ194" s="42"/>
      <c r="CK194" s="42"/>
      <c r="CL194" s="42"/>
    </row>
    <row r="195" spans="1:90" ht="21" customHeight="1">
      <c r="A195" s="80">
        <v>193</v>
      </c>
      <c r="B195" s="49" t="s">
        <v>146</v>
      </c>
      <c r="C195" s="86" t="s">
        <v>825</v>
      </c>
      <c r="D195" s="255" t="s">
        <v>42</v>
      </c>
      <c r="E195" s="247" t="s">
        <v>79</v>
      </c>
      <c r="F195" s="173">
        <f t="shared" si="335"/>
        <v>3</v>
      </c>
      <c r="G195" s="83" t="s">
        <v>76</v>
      </c>
      <c r="H195" s="22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258"/>
        <v>200</v>
      </c>
      <c r="O195" s="51">
        <v>4479</v>
      </c>
      <c r="P195" s="209">
        <v>416.9</v>
      </c>
      <c r="Q195" s="216">
        <v>82.19</v>
      </c>
      <c r="R195" s="216">
        <v>43.24</v>
      </c>
      <c r="S195" s="216">
        <v>68.599999999999994</v>
      </c>
      <c r="T195" s="216">
        <v>6.1</v>
      </c>
      <c r="U195" s="84">
        <v>5640</v>
      </c>
      <c r="V195" s="292">
        <f>VLOOKUP($U195,计算辅助页面!$Z$5:$AM$26,COLUMN()-20,0)</f>
        <v>9200</v>
      </c>
      <c r="W195" s="292">
        <f>VLOOKUP($U195,计算辅助页面!$Z$5:$AM$26,COLUMN()-20,0)</f>
        <v>14700</v>
      </c>
      <c r="X195" s="226">
        <f>VLOOKUP($U195,计算辅助页面!$Z$5:$AM$26,COLUMN()-20,0)</f>
        <v>22100</v>
      </c>
      <c r="Y195" s="226">
        <f>VLOOKUP($U195,计算辅助页面!$Z$5:$AM$26,COLUMN()-20,0)</f>
        <v>31900</v>
      </c>
      <c r="Z195" s="293">
        <f>VLOOKUP($U195,计算辅助页面!$Z$5:$AM$26,COLUMN()-20,0)</f>
        <v>44500</v>
      </c>
      <c r="AA195" s="226">
        <f>VLOOKUP($U195,计算辅助页面!$Z$5:$AM$26,COLUMN()-20,0)</f>
        <v>62500</v>
      </c>
      <c r="AB195" s="226">
        <f>VLOOKUP($U195,计算辅助页面!$Z$5:$AM$26,COLUMN()-20,0)</f>
        <v>87500</v>
      </c>
      <c r="AC195" s="226">
        <f>VLOOKUP($U195,计算辅助页面!$Z$5:$AM$26,COLUMN()-20,0)</f>
        <v>122500</v>
      </c>
      <c r="AD195" s="226">
        <f>VLOOKUP($U195,计算辅助页面!$Z$5:$AM$26,COLUMN()-20,0)</f>
        <v>171500</v>
      </c>
      <c r="AE195" s="226">
        <f>VLOOKUP($U195,计算辅助页面!$Z$5:$AM$26,COLUMN()-20,0)</f>
        <v>240000</v>
      </c>
      <c r="AF195" s="226">
        <f>VLOOKUP($U195,计算辅助页面!$Z$5:$AM$26,COLUMN()-20,0)</f>
        <v>336000</v>
      </c>
      <c r="AG195" s="226">
        <f>VLOOKUP($U195,计算辅助页面!$Z$5:$AM$26,COLUMN()-20,0)</f>
        <v>551500</v>
      </c>
      <c r="AH195" s="173">
        <f>VLOOKUP($U195,计算辅助页面!$Z$5:$AM$26,COLUMN()-20,0)</f>
        <v>6798160</v>
      </c>
      <c r="AI195" s="267">
        <v>45000</v>
      </c>
      <c r="AJ195" s="260">
        <f>VLOOKUP(D195&amp;E195,计算辅助页面!$V$5:$Y$18,2,0)</f>
        <v>7</v>
      </c>
      <c r="AK195" s="174">
        <f t="shared" si="336"/>
        <v>90000</v>
      </c>
      <c r="AL195" s="174">
        <f>VLOOKUP(D195&amp;E195,计算辅助页面!$V$5:$Y$18,3,0)</f>
        <v>5</v>
      </c>
      <c r="AM195" s="179">
        <f t="shared" si="337"/>
        <v>270000</v>
      </c>
      <c r="AN195" s="179">
        <f>VLOOKUP(D195&amp;E195,计算辅助页面!$V$5:$Y$18,4,0)</f>
        <v>4</v>
      </c>
      <c r="AO195" s="173">
        <f t="shared" si="338"/>
        <v>7380000</v>
      </c>
      <c r="AP195" s="195">
        <f t="shared" si="339"/>
        <v>14178160</v>
      </c>
      <c r="AQ195" s="365" t="s">
        <v>570</v>
      </c>
      <c r="AR195" s="366" t="str">
        <f t="shared" si="274"/>
        <v>Fenyr SuperSport</v>
      </c>
      <c r="AS195" s="352" t="s">
        <v>603</v>
      </c>
      <c r="AT195" s="353" t="s">
        <v>682</v>
      </c>
      <c r="AU195" s="327" t="s">
        <v>712</v>
      </c>
      <c r="AW195" s="357">
        <v>438</v>
      </c>
      <c r="AY195" s="357">
        <v>566</v>
      </c>
      <c r="AZ195" s="357" t="s">
        <v>1120</v>
      </c>
      <c r="BA195" s="369"/>
      <c r="BB195" s="369"/>
      <c r="BC195" s="369"/>
      <c r="BD195" s="369"/>
      <c r="BE195" s="369"/>
      <c r="BF195" s="369"/>
      <c r="BG195" s="369"/>
      <c r="BH195" s="369"/>
      <c r="BI195" s="369">
        <v>1</v>
      </c>
      <c r="BJ195" s="369"/>
      <c r="BK195" s="369"/>
      <c r="BL195" s="369"/>
      <c r="BM195" s="369"/>
      <c r="BN195" s="369"/>
      <c r="BO195" s="369"/>
      <c r="BP195" s="369"/>
      <c r="BQ195" s="369"/>
      <c r="BR195" s="369"/>
      <c r="BS195" s="369"/>
      <c r="BT195" s="369"/>
      <c r="BU195" s="387" t="s">
        <v>1211</v>
      </c>
      <c r="BV195" s="326"/>
      <c r="BW195" s="326"/>
      <c r="BX195" s="326"/>
      <c r="BY195" s="367">
        <v>405</v>
      </c>
      <c r="BZ195" s="368">
        <v>75.7</v>
      </c>
      <c r="CA195" s="368">
        <v>37.700000000000003</v>
      </c>
      <c r="CB195" s="368">
        <v>60.97</v>
      </c>
      <c r="CC195" s="368">
        <f t="shared" si="340"/>
        <v>11.899999999999977</v>
      </c>
      <c r="CD195" s="368">
        <f t="shared" si="341"/>
        <v>6.4899999999999949</v>
      </c>
      <c r="CE195" s="368">
        <f t="shared" si="342"/>
        <v>5.5399999999999991</v>
      </c>
      <c r="CF195" s="368">
        <f t="shared" si="343"/>
        <v>7.6299999999999955</v>
      </c>
      <c r="CG195" s="368">
        <f t="shared" si="344"/>
        <v>31.559999999999967</v>
      </c>
      <c r="CH195" s="368">
        <f t="shared" si="345"/>
        <v>31.192099999999975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2" t="s">
        <v>967</v>
      </c>
      <c r="C196" s="86" t="s">
        <v>968</v>
      </c>
      <c r="D196" s="255" t="s">
        <v>42</v>
      </c>
      <c r="E196" s="247" t="s">
        <v>79</v>
      </c>
      <c r="F196" s="173">
        <f t="shared" si="335"/>
        <v>3</v>
      </c>
      <c r="G196" s="229"/>
      <c r="H196" s="236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26">
        <f t="shared" si="258"/>
        <v>300</v>
      </c>
      <c r="O196" s="53">
        <v>4488</v>
      </c>
      <c r="P196" s="210">
        <v>378.2</v>
      </c>
      <c r="Q196" s="217">
        <v>80.3</v>
      </c>
      <c r="R196" s="217">
        <v>77.91</v>
      </c>
      <c r="S196" s="217">
        <v>76.7</v>
      </c>
      <c r="T196" s="217">
        <v>8</v>
      </c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si="336"/>
        <v>180000</v>
      </c>
      <c r="AL196" s="174">
        <f>VLOOKUP(D196&amp;E196,计算辅助页面!$V$5:$Y$18,3,0)</f>
        <v>5</v>
      </c>
      <c r="AM196" s="179">
        <f t="shared" si="337"/>
        <v>540000</v>
      </c>
      <c r="AN196" s="179">
        <f>VLOOKUP(D196&amp;E196,计算辅助页面!$V$5:$Y$18,4,0)</f>
        <v>4</v>
      </c>
      <c r="AO196" s="173">
        <f t="shared" si="338"/>
        <v>14760000</v>
      </c>
      <c r="AP196" s="195">
        <f t="shared" si="339"/>
        <v>42486000</v>
      </c>
      <c r="AQ196" s="365" t="s">
        <v>567</v>
      </c>
      <c r="AR196" s="366" t="str">
        <f t="shared" si="274"/>
        <v>Valkyrie</v>
      </c>
      <c r="AS196" s="352" t="s">
        <v>975</v>
      </c>
      <c r="AT196" s="353" t="s">
        <v>980</v>
      </c>
      <c r="AU196" s="327" t="s">
        <v>712</v>
      </c>
      <c r="AW196" s="357">
        <v>393</v>
      </c>
      <c r="AY196" s="357">
        <v>527</v>
      </c>
      <c r="AZ196" s="357" t="s">
        <v>1121</v>
      </c>
      <c r="BA196" s="369"/>
      <c r="BB196" s="369"/>
      <c r="BC196" s="369"/>
      <c r="BD196" s="369"/>
      <c r="BE196" s="369"/>
      <c r="BF196" s="369"/>
      <c r="BG196" s="369"/>
      <c r="BH196" s="369"/>
      <c r="BI196" s="369"/>
      <c r="BJ196" s="369"/>
      <c r="BK196" s="369">
        <v>1</v>
      </c>
      <c r="BL196" s="369"/>
      <c r="BM196" s="369"/>
      <c r="BN196" s="369"/>
      <c r="BO196" s="369">
        <v>1</v>
      </c>
      <c r="BP196" s="369"/>
      <c r="BQ196" s="369"/>
      <c r="BR196" s="369"/>
      <c r="BS196" s="369"/>
      <c r="BT196" s="369"/>
      <c r="BU196" s="387" t="s">
        <v>1212</v>
      </c>
      <c r="BV196" s="326"/>
      <c r="BW196" s="326"/>
      <c r="BX196" s="326"/>
      <c r="BY196" s="367">
        <v>360</v>
      </c>
      <c r="BZ196" s="368">
        <v>73</v>
      </c>
      <c r="CA196" s="368">
        <v>52.9</v>
      </c>
      <c r="CB196" s="368">
        <v>57.97</v>
      </c>
      <c r="CC196" s="368">
        <f t="shared" si="340"/>
        <v>18.199999999999989</v>
      </c>
      <c r="CD196" s="368">
        <f t="shared" si="341"/>
        <v>7.2999999999999972</v>
      </c>
      <c r="CE196" s="368">
        <f t="shared" si="342"/>
        <v>25.009999999999998</v>
      </c>
      <c r="CF196" s="368">
        <f t="shared" si="343"/>
        <v>18.730000000000004</v>
      </c>
      <c r="CG196" s="368">
        <f t="shared" si="344"/>
        <v>69.239999999999981</v>
      </c>
      <c r="CH196" s="368">
        <f t="shared" si="345"/>
        <v>70.834699999999984</v>
      </c>
      <c r="CI196" s="42"/>
      <c r="CJ196" s="42"/>
      <c r="CK196" s="42"/>
      <c r="CL196" s="42"/>
    </row>
    <row r="197" spans="1:90" ht="21" customHeight="1">
      <c r="A197" s="80">
        <v>195</v>
      </c>
      <c r="B197" s="49" t="s">
        <v>173</v>
      </c>
      <c r="C197" s="86" t="s">
        <v>826</v>
      </c>
      <c r="D197" s="255" t="s">
        <v>42</v>
      </c>
      <c r="E197" s="247" t="s">
        <v>79</v>
      </c>
      <c r="F197" s="173">
        <f t="shared" si="335"/>
        <v>3</v>
      </c>
      <c r="G197" s="83" t="s">
        <v>76</v>
      </c>
      <c r="H197" s="222">
        <v>60</v>
      </c>
      <c r="I197" s="222">
        <v>13</v>
      </c>
      <c r="J197" s="222">
        <v>16</v>
      </c>
      <c r="K197" s="222">
        <v>25</v>
      </c>
      <c r="L197" s="222">
        <v>38</v>
      </c>
      <c r="M197" s="222">
        <v>48</v>
      </c>
      <c r="N197" s="226">
        <f t="shared" si="258"/>
        <v>200</v>
      </c>
      <c r="O197" s="51">
        <v>4514</v>
      </c>
      <c r="P197" s="209">
        <v>418.2</v>
      </c>
      <c r="Q197" s="216">
        <v>81.290000000000006</v>
      </c>
      <c r="R197" s="216">
        <v>46.66</v>
      </c>
      <c r="S197" s="216">
        <v>63.43</v>
      </c>
      <c r="T197" s="216">
        <v>5.5670000000000011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36"/>
        <v>180000</v>
      </c>
      <c r="AL197" s="174">
        <f>VLOOKUP(D197&amp;E197,计算辅助页面!$V$5:$Y$18,3,0)</f>
        <v>5</v>
      </c>
      <c r="AM197" s="179">
        <f t="shared" si="337"/>
        <v>540000</v>
      </c>
      <c r="AN197" s="179">
        <f>VLOOKUP(D197&amp;E197,计算辅助页面!$V$5:$Y$18,4,0)</f>
        <v>4</v>
      </c>
      <c r="AO197" s="173">
        <f t="shared" si="338"/>
        <v>14760000</v>
      </c>
      <c r="AP197" s="195">
        <f t="shared" si="339"/>
        <v>42486000</v>
      </c>
      <c r="AQ197" s="365" t="s">
        <v>972</v>
      </c>
      <c r="AR197" s="366" t="str">
        <f t="shared" si="274"/>
        <v>TS1 GT Anniversary</v>
      </c>
      <c r="AS197" s="352" t="s">
        <v>962</v>
      </c>
      <c r="AT197" s="353" t="s">
        <v>683</v>
      </c>
      <c r="AU197" s="327" t="s">
        <v>712</v>
      </c>
      <c r="AW197" s="357">
        <v>443</v>
      </c>
      <c r="AY197" s="357">
        <v>568</v>
      </c>
      <c r="AZ197" s="357" t="s">
        <v>1120</v>
      </c>
      <c r="BA197" s="369"/>
      <c r="BB197" s="369"/>
      <c r="BC197" s="369"/>
      <c r="BD197" s="369"/>
      <c r="BE197" s="369"/>
      <c r="BF197" s="369"/>
      <c r="BG197" s="369"/>
      <c r="BH197" s="369"/>
      <c r="BI197" s="369">
        <v>1</v>
      </c>
      <c r="BJ197" s="369"/>
      <c r="BK197" s="369">
        <v>1</v>
      </c>
      <c r="BL197" s="369"/>
      <c r="BM197" s="369"/>
      <c r="BN197" s="369"/>
      <c r="BO197" s="369"/>
      <c r="BP197" s="369"/>
      <c r="BQ197" s="369"/>
      <c r="BR197" s="369"/>
      <c r="BS197" s="369"/>
      <c r="BT197" s="369"/>
      <c r="BU197" s="387" t="s">
        <v>1213</v>
      </c>
      <c r="BV197" s="326"/>
      <c r="BW197" s="326"/>
      <c r="BX197" s="326"/>
      <c r="BY197" s="367">
        <v>402</v>
      </c>
      <c r="BZ197" s="368">
        <v>74.8</v>
      </c>
      <c r="CA197" s="368">
        <v>37.49</v>
      </c>
      <c r="CB197" s="368">
        <v>47.09</v>
      </c>
      <c r="CC197" s="368">
        <f t="shared" si="340"/>
        <v>16.199999999999989</v>
      </c>
      <c r="CD197" s="368">
        <f t="shared" si="341"/>
        <v>6.4900000000000091</v>
      </c>
      <c r="CE197" s="368">
        <f t="shared" si="342"/>
        <v>9.1699999999999946</v>
      </c>
      <c r="CF197" s="368">
        <f t="shared" si="343"/>
        <v>16.339999999999996</v>
      </c>
      <c r="CG197" s="368">
        <f t="shared" si="344"/>
        <v>48.199999999999989</v>
      </c>
      <c r="CH197" s="368">
        <f t="shared" si="345"/>
        <v>47.818799999999996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2" t="s">
        <v>1626</v>
      </c>
      <c r="C198" s="86" t="s">
        <v>1627</v>
      </c>
      <c r="D198" s="255" t="s">
        <v>42</v>
      </c>
      <c r="E198" s="247" t="s">
        <v>79</v>
      </c>
      <c r="F198" s="230"/>
      <c r="G198" s="229"/>
      <c r="H198" s="236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26">
        <f t="shared" ref="N198" si="346">IF(COUNTBLANK(H198:M198),"",SUM(H198:M198))</f>
        <v>300</v>
      </c>
      <c r="O198" s="53">
        <v>4528</v>
      </c>
      <c r="P198" s="210">
        <v>376.3</v>
      </c>
      <c r="Q198" s="217">
        <v>84.53</v>
      </c>
      <c r="R198" s="217">
        <v>79.900000000000006</v>
      </c>
      <c r="S198" s="217">
        <v>69.86</v>
      </c>
      <c r="T198" s="217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47">IF(AI198,2*AI198,"")</f>
        <v>180000</v>
      </c>
      <c r="AL198" s="174">
        <f>VLOOKUP(D198&amp;E198,计算辅助页面!$V$5:$Y$18,3,0)</f>
        <v>5</v>
      </c>
      <c r="AM198" s="179">
        <f t="shared" ref="AM198" si="348">IF(AN198="×",AN198,IF(AI198,6*AI198,""))</f>
        <v>540000</v>
      </c>
      <c r="AN198" s="179">
        <f>VLOOKUP(D198&amp;E198,计算辅助页面!$V$5:$Y$18,4,0)</f>
        <v>4</v>
      </c>
      <c r="AO198" s="173">
        <f t="shared" ref="AO198" si="349">IF(AI198,IF(AN198="×",4*(AI198*AJ198+AK198*AL198),4*(AI198*AJ198+AK198*AL198+AM198*AN198)),"")</f>
        <v>14760000</v>
      </c>
      <c r="AP198" s="195">
        <f t="shared" ref="AP198" si="350">IF(AND(AH198,AO198),AO198+AH198,"")</f>
        <v>42486000</v>
      </c>
      <c r="AQ198" s="365" t="s">
        <v>1041</v>
      </c>
      <c r="AR198" s="366" t="str">
        <f t="shared" si="274"/>
        <v>Concept S</v>
      </c>
      <c r="AS198" s="352" t="s">
        <v>1622</v>
      </c>
      <c r="AT198" s="353" t="s">
        <v>1628</v>
      </c>
      <c r="AU198" s="327" t="s">
        <v>712</v>
      </c>
      <c r="AZ198" s="384" t="s">
        <v>1330</v>
      </c>
      <c r="BA198" s="369"/>
      <c r="BB198" s="369"/>
      <c r="BC198" s="369"/>
      <c r="BD198" s="369"/>
      <c r="BE198" s="369"/>
      <c r="BF198" s="369"/>
      <c r="BG198" s="369"/>
      <c r="BH198" s="369"/>
      <c r="BI198" s="369"/>
      <c r="BJ198" s="369"/>
      <c r="BK198" s="369"/>
      <c r="BL198" s="369"/>
      <c r="BM198" s="369"/>
      <c r="BN198" s="369"/>
      <c r="BO198" s="369"/>
      <c r="BP198" s="369"/>
      <c r="BQ198" s="369"/>
      <c r="BR198" s="369"/>
      <c r="BS198" s="369"/>
      <c r="BT198" s="369"/>
      <c r="BU198" s="387"/>
      <c r="BV198" s="326"/>
      <c r="BW198" s="326"/>
      <c r="BX198" s="326"/>
      <c r="BY198" s="367"/>
      <c r="BZ198" s="368"/>
      <c r="CA198" s="368"/>
      <c r="CB198" s="368"/>
      <c r="CC198" s="368"/>
      <c r="CD198" s="368"/>
      <c r="CE198" s="368"/>
      <c r="CF198" s="368"/>
      <c r="CG198" s="368"/>
      <c r="CH198" s="368"/>
      <c r="CI198" s="42"/>
      <c r="CJ198" s="42"/>
      <c r="CK198" s="42"/>
      <c r="CL198" s="42"/>
    </row>
    <row r="199" spans="1:90" ht="21" customHeight="1">
      <c r="A199" s="80">
        <v>197</v>
      </c>
      <c r="B199" s="52" t="s">
        <v>385</v>
      </c>
      <c r="C199" s="86" t="s">
        <v>827</v>
      </c>
      <c r="D199" s="255" t="s">
        <v>42</v>
      </c>
      <c r="E199" s="247" t="s">
        <v>79</v>
      </c>
      <c r="F199" s="173">
        <f t="shared" si="335"/>
        <v>3</v>
      </c>
      <c r="G199" s="83" t="s">
        <v>76</v>
      </c>
      <c r="H199" s="222">
        <v>60</v>
      </c>
      <c r="I199" s="222">
        <v>25</v>
      </c>
      <c r="J199" s="222">
        <v>35</v>
      </c>
      <c r="K199" s="222">
        <v>46</v>
      </c>
      <c r="L199" s="222">
        <v>58</v>
      </c>
      <c r="M199" s="222">
        <v>76</v>
      </c>
      <c r="N199" s="226">
        <f t="shared" si="258"/>
        <v>300</v>
      </c>
      <c r="O199" s="53">
        <v>4550</v>
      </c>
      <c r="P199" s="210">
        <v>368.5</v>
      </c>
      <c r="Q199" s="217">
        <v>88.49</v>
      </c>
      <c r="R199" s="217">
        <v>80.45</v>
      </c>
      <c r="S199" s="217">
        <v>78.260000000000005</v>
      </c>
      <c r="T199" s="217">
        <v>8.6300000000000008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36"/>
        <v>180000</v>
      </c>
      <c r="AL199" s="174">
        <f>VLOOKUP(D199&amp;E199,计算辅助页面!$V$5:$Y$18,3,0)</f>
        <v>5</v>
      </c>
      <c r="AM199" s="179">
        <f t="shared" si="337"/>
        <v>540000</v>
      </c>
      <c r="AN199" s="179">
        <f>VLOOKUP(D199&amp;E199,计算辅助页面!$V$5:$Y$18,4,0)</f>
        <v>4</v>
      </c>
      <c r="AO199" s="173">
        <f t="shared" si="338"/>
        <v>14760000</v>
      </c>
      <c r="AP199" s="195">
        <f t="shared" si="339"/>
        <v>42486000</v>
      </c>
      <c r="AQ199" s="365" t="s">
        <v>1045</v>
      </c>
      <c r="AR199" s="366" t="str">
        <f t="shared" si="274"/>
        <v>Battista</v>
      </c>
      <c r="AS199" s="352" t="s">
        <v>965</v>
      </c>
      <c r="AT199" s="353" t="s">
        <v>671</v>
      </c>
      <c r="AU199" s="327" t="s">
        <v>712</v>
      </c>
      <c r="AW199" s="357">
        <v>383</v>
      </c>
      <c r="AY199" s="357">
        <v>509</v>
      </c>
      <c r="AZ199" s="357" t="s">
        <v>1121</v>
      </c>
      <c r="BA199" s="369"/>
      <c r="BB199" s="369"/>
      <c r="BC199" s="369"/>
      <c r="BD199" s="369"/>
      <c r="BE199" s="369"/>
      <c r="BF199" s="369"/>
      <c r="BG199" s="369"/>
      <c r="BH199" s="369"/>
      <c r="BI199" s="369"/>
      <c r="BJ199" s="369"/>
      <c r="BK199" s="369">
        <v>1</v>
      </c>
      <c r="BL199" s="369"/>
      <c r="BM199" s="369"/>
      <c r="BN199" s="369"/>
      <c r="BO199" s="369">
        <v>1</v>
      </c>
      <c r="BP199" s="369"/>
      <c r="BQ199" s="369"/>
      <c r="BR199" s="369"/>
      <c r="BS199" s="369"/>
      <c r="BT199" s="369"/>
      <c r="BU199" s="387" t="s">
        <v>1214</v>
      </c>
      <c r="BV199" s="326"/>
      <c r="BW199" s="326"/>
      <c r="BX199" s="326">
        <v>1</v>
      </c>
      <c r="BY199" s="367">
        <v>350</v>
      </c>
      <c r="BZ199" s="368">
        <v>82</v>
      </c>
      <c r="CA199" s="368">
        <v>56.8</v>
      </c>
      <c r="CB199" s="368">
        <v>54.76</v>
      </c>
      <c r="CC199" s="368">
        <f t="shared" si="340"/>
        <v>18.5</v>
      </c>
      <c r="CD199" s="368">
        <f t="shared" si="341"/>
        <v>6.4899999999999949</v>
      </c>
      <c r="CE199" s="368">
        <f t="shared" si="342"/>
        <v>23.650000000000006</v>
      </c>
      <c r="CF199" s="368">
        <f t="shared" si="343"/>
        <v>23.500000000000007</v>
      </c>
      <c r="CG199" s="368">
        <f t="shared" si="344"/>
        <v>72.140000000000015</v>
      </c>
      <c r="CH199" s="368">
        <f t="shared" si="345"/>
        <v>74.082000000000008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2" t="s">
        <v>1283</v>
      </c>
      <c r="C200" s="86" t="s">
        <v>1284</v>
      </c>
      <c r="D200" s="255" t="s">
        <v>42</v>
      </c>
      <c r="E200" s="247" t="s">
        <v>79</v>
      </c>
      <c r="F200" s="230"/>
      <c r="G200" s="229"/>
      <c r="H200" s="232">
        <v>85</v>
      </c>
      <c r="I200" s="236">
        <v>25</v>
      </c>
      <c r="J200" s="236">
        <v>29</v>
      </c>
      <c r="K200" s="236">
        <v>38</v>
      </c>
      <c r="L200" s="236">
        <v>54</v>
      </c>
      <c r="M200" s="236">
        <v>69</v>
      </c>
      <c r="N200" s="226">
        <f t="shared" si="258"/>
        <v>300</v>
      </c>
      <c r="O200" s="53">
        <v>4566</v>
      </c>
      <c r="P200" s="210">
        <v>383.4</v>
      </c>
      <c r="Q200" s="217">
        <v>85.79</v>
      </c>
      <c r="R200" s="217">
        <v>67.31</v>
      </c>
      <c r="S200" s="217">
        <v>65.58</v>
      </c>
      <c r="T200" s="217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51">IF(AI200,2*AI200,"")</f>
        <v>180000</v>
      </c>
      <c r="AL200" s="174">
        <f>VLOOKUP(D200&amp;E200,计算辅助页面!$V$5:$Y$18,3,0)</f>
        <v>5</v>
      </c>
      <c r="AM200" s="179">
        <f t="shared" ref="AM200" si="352">IF(AN200="×",AN200,IF(AI200,6*AI200,""))</f>
        <v>540000</v>
      </c>
      <c r="AN200" s="179">
        <f>VLOOKUP(D200&amp;E200,计算辅助页面!$V$5:$Y$18,4,0)</f>
        <v>4</v>
      </c>
      <c r="AO200" s="173">
        <f t="shared" ref="AO200" si="353">IF(AI200,IF(AN200="×",4*(AI200*AJ200+AK200*AL200),4*(AI200*AJ200+AK200*AL200+AM200*AN200)),"")</f>
        <v>14760000</v>
      </c>
      <c r="AP200" s="195">
        <f t="shared" ref="AP200" si="354">IF(AND(AH200,AO200),AO200+AH200,"")</f>
        <v>42486000</v>
      </c>
      <c r="AQ200" s="365" t="s">
        <v>1285</v>
      </c>
      <c r="AR200" s="366" t="str">
        <f t="shared" si="274"/>
        <v>Hyper Coupe</v>
      </c>
      <c r="AS200" s="352" t="s">
        <v>1268</v>
      </c>
      <c r="AT200" s="353" t="s">
        <v>1286</v>
      </c>
      <c r="AU200" s="327" t="s">
        <v>712</v>
      </c>
      <c r="AW200" s="357">
        <v>398</v>
      </c>
      <c r="AY200" s="357">
        <v>536</v>
      </c>
      <c r="AZ200" s="357" t="s">
        <v>1121</v>
      </c>
      <c r="BA200" s="369"/>
      <c r="BB200" s="369"/>
      <c r="BC200" s="369"/>
      <c r="BD200" s="369"/>
      <c r="BE200" s="369"/>
      <c r="BF200" s="369"/>
      <c r="BG200" s="369"/>
      <c r="BH200" s="369"/>
      <c r="BI200" s="369"/>
      <c r="BJ200" s="369"/>
      <c r="BK200" s="369"/>
      <c r="BL200" s="369"/>
      <c r="BM200" s="369"/>
      <c r="BN200" s="369"/>
      <c r="BO200" s="369"/>
      <c r="BP200" s="369"/>
      <c r="BQ200" s="369"/>
      <c r="BR200" s="369"/>
      <c r="BS200" s="369"/>
      <c r="BT200" s="369"/>
      <c r="BU200" s="389" t="s">
        <v>1284</v>
      </c>
      <c r="BV200" s="326"/>
      <c r="BW200" s="326"/>
      <c r="BX200" s="326"/>
      <c r="BY200" s="367"/>
      <c r="BZ200" s="368"/>
      <c r="CA200" s="368"/>
      <c r="CB200" s="368"/>
      <c r="CC200" s="368"/>
      <c r="CD200" s="368"/>
      <c r="CE200" s="368"/>
      <c r="CF200" s="368"/>
      <c r="CG200" s="368"/>
      <c r="CH200" s="368"/>
      <c r="CI200" s="42"/>
      <c r="CJ200" s="42"/>
      <c r="CK200" s="42"/>
      <c r="CL200" s="42"/>
    </row>
    <row r="201" spans="1:90" ht="21" customHeight="1">
      <c r="A201" s="80">
        <v>199</v>
      </c>
      <c r="B201" s="52" t="s">
        <v>595</v>
      </c>
      <c r="C201" s="86" t="s">
        <v>828</v>
      </c>
      <c r="D201" s="255" t="s">
        <v>42</v>
      </c>
      <c r="E201" s="247" t="s">
        <v>79</v>
      </c>
      <c r="F201" s="173">
        <f t="shared" si="335"/>
        <v>3</v>
      </c>
      <c r="G201" s="83" t="s">
        <v>76</v>
      </c>
      <c r="H201" s="232">
        <v>85</v>
      </c>
      <c r="I201" s="236">
        <v>25</v>
      </c>
      <c r="J201" s="236">
        <v>29</v>
      </c>
      <c r="K201" s="236">
        <v>38</v>
      </c>
      <c r="L201" s="236">
        <v>54</v>
      </c>
      <c r="M201" s="236">
        <v>69</v>
      </c>
      <c r="N201" s="226">
        <f t="shared" si="258"/>
        <v>300</v>
      </c>
      <c r="O201" s="53">
        <v>4593</v>
      </c>
      <c r="P201" s="210">
        <v>416.7</v>
      </c>
      <c r="Q201" s="217">
        <v>81.11</v>
      </c>
      <c r="R201" s="217">
        <v>56.65</v>
      </c>
      <c r="S201" s="217">
        <v>74.2</v>
      </c>
      <c r="T201" s="217">
        <v>6.77</v>
      </c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si="336"/>
        <v>180000</v>
      </c>
      <c r="AL201" s="174">
        <f>VLOOKUP(D201&amp;E201,计算辅助页面!$V$5:$Y$18,3,0)</f>
        <v>5</v>
      </c>
      <c r="AM201" s="179">
        <f t="shared" si="337"/>
        <v>540000</v>
      </c>
      <c r="AN201" s="179">
        <f>VLOOKUP(D201&amp;E201,计算辅助页面!$V$5:$Y$18,4,0)</f>
        <v>4</v>
      </c>
      <c r="AO201" s="173">
        <f t="shared" si="338"/>
        <v>14760000</v>
      </c>
      <c r="AP201" s="195">
        <f t="shared" si="339"/>
        <v>42486000</v>
      </c>
      <c r="AQ201" s="365" t="s">
        <v>569</v>
      </c>
      <c r="AR201" s="366" t="str">
        <f t="shared" si="274"/>
        <v>Speedtail</v>
      </c>
      <c r="AS201" s="352" t="s">
        <v>959</v>
      </c>
      <c r="AT201" s="353" t="s">
        <v>681</v>
      </c>
      <c r="AU201" s="327" t="s">
        <v>712</v>
      </c>
      <c r="AW201" s="357">
        <v>438</v>
      </c>
      <c r="AY201" s="357">
        <v>566</v>
      </c>
      <c r="AZ201" s="357" t="s">
        <v>1121</v>
      </c>
      <c r="BA201" s="369"/>
      <c r="BB201" s="369"/>
      <c r="BC201" s="369"/>
      <c r="BD201" s="369"/>
      <c r="BE201" s="369"/>
      <c r="BF201" s="369"/>
      <c r="BG201" s="369"/>
      <c r="BH201" s="369"/>
      <c r="BI201" s="369"/>
      <c r="BJ201" s="369"/>
      <c r="BK201" s="369">
        <v>1</v>
      </c>
      <c r="BL201" s="369"/>
      <c r="BM201" s="369"/>
      <c r="BN201" s="369"/>
      <c r="BO201" s="369">
        <v>1</v>
      </c>
      <c r="BP201" s="369"/>
      <c r="BQ201" s="369"/>
      <c r="BR201" s="369"/>
      <c r="BS201" s="369"/>
      <c r="BT201" s="369"/>
      <c r="BU201" s="387" t="s">
        <v>1215</v>
      </c>
      <c r="BV201" s="326"/>
      <c r="BW201" s="326"/>
      <c r="BX201" s="326"/>
      <c r="BY201" s="367">
        <v>403</v>
      </c>
      <c r="BZ201" s="368">
        <v>73</v>
      </c>
      <c r="CA201" s="368">
        <v>46.04</v>
      </c>
      <c r="CB201" s="368">
        <v>53.96</v>
      </c>
      <c r="CC201" s="368">
        <f t="shared" si="340"/>
        <v>13.699999999999989</v>
      </c>
      <c r="CD201" s="368">
        <f t="shared" si="341"/>
        <v>8.11</v>
      </c>
      <c r="CE201" s="368">
        <f t="shared" si="342"/>
        <v>10.61</v>
      </c>
      <c r="CF201" s="368">
        <f t="shared" si="343"/>
        <v>20.240000000000002</v>
      </c>
      <c r="CG201" s="368">
        <f t="shared" si="344"/>
        <v>52.659999999999989</v>
      </c>
      <c r="CH201" s="368">
        <f t="shared" si="345"/>
        <v>56.472999999999999</v>
      </c>
      <c r="CI201" s="42"/>
      <c r="CJ201" s="42"/>
      <c r="CK201" s="42"/>
      <c r="CL201" s="42"/>
    </row>
    <row r="202" spans="1:90" ht="21" customHeight="1" thickBot="1">
      <c r="A202" s="48">
        <v>200</v>
      </c>
      <c r="B202" s="52" t="s">
        <v>1618</v>
      </c>
      <c r="C202" s="86" t="s">
        <v>1473</v>
      </c>
      <c r="D202" s="255" t="s">
        <v>42</v>
      </c>
      <c r="E202" s="247" t="s">
        <v>79</v>
      </c>
      <c r="F202" s="173">
        <f t="shared" ref="F202" si="355">9-LEN(E202)-LEN(SUBSTITUTE(E202,"★",""))</f>
        <v>3</v>
      </c>
      <c r="G202" s="83" t="s">
        <v>904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26">
        <f t="shared" ref="N202" si="356">IF(COUNTBLANK(H202:M202),"",SUM(H202:M202))</f>
        <v>300</v>
      </c>
      <c r="O202" s="53">
        <v>4602</v>
      </c>
      <c r="P202" s="210">
        <v>423</v>
      </c>
      <c r="Q202" s="217">
        <v>86.06</v>
      </c>
      <c r="R202" s="217">
        <v>42.83</v>
      </c>
      <c r="S202" s="217">
        <v>51.7</v>
      </c>
      <c r="T202" s="217"/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ref="AK202" si="357">IF(AI202,2*AI202,"")</f>
        <v>180000</v>
      </c>
      <c r="AL202" s="174">
        <f>VLOOKUP(D202&amp;E202,计算辅助页面!$V$5:$Y$18,3,0)</f>
        <v>5</v>
      </c>
      <c r="AM202" s="179">
        <f t="shared" ref="AM202" si="358">IF(AN202="×",AN202,IF(AI202,6*AI202,""))</f>
        <v>540000</v>
      </c>
      <c r="AN202" s="179">
        <f>VLOOKUP(D202&amp;E202,计算辅助页面!$V$5:$Y$18,4,0)</f>
        <v>4</v>
      </c>
      <c r="AO202" s="173">
        <f t="shared" ref="AO202" si="359">IF(AI202,IF(AN202="×",4*(AI202*AJ202+AK202*AL202),4*(AI202*AJ202+AK202*AL202+AM202*AN202)),"")</f>
        <v>14760000</v>
      </c>
      <c r="AP202" s="195">
        <f t="shared" ref="AP202" si="360">IF(AND(AH202,AO202),AO202+AH202,"")</f>
        <v>42486000</v>
      </c>
      <c r="AQ202" s="365" t="s">
        <v>1474</v>
      </c>
      <c r="AR202" s="366" t="str">
        <f t="shared" si="274"/>
        <v>FFZero1</v>
      </c>
      <c r="AS202" s="352" t="s">
        <v>1487</v>
      </c>
      <c r="AT202" s="353" t="s">
        <v>1478</v>
      </c>
      <c r="AU202" s="327" t="s">
        <v>712</v>
      </c>
      <c r="AW202" s="357">
        <v>445</v>
      </c>
      <c r="AY202" s="357">
        <v>569</v>
      </c>
      <c r="AZ202" s="384" t="s">
        <v>1508</v>
      </c>
      <c r="BA202" s="369"/>
      <c r="BB202" s="369"/>
      <c r="BC202" s="369"/>
      <c r="BD202" s="369"/>
      <c r="BE202" s="369"/>
      <c r="BF202" s="369"/>
      <c r="BG202" s="369"/>
      <c r="BH202" s="369"/>
      <c r="BI202" s="369"/>
      <c r="BJ202" s="369"/>
      <c r="BK202" s="369"/>
      <c r="BL202" s="369"/>
      <c r="BM202" s="369"/>
      <c r="BN202" s="369"/>
      <c r="BO202" s="369"/>
      <c r="BP202" s="369"/>
      <c r="BQ202" s="369"/>
      <c r="BR202" s="369"/>
      <c r="BS202" s="369"/>
      <c r="BT202" s="369"/>
      <c r="BU202" s="389" t="s">
        <v>1482</v>
      </c>
      <c r="BV202" s="326"/>
      <c r="BW202" s="326"/>
      <c r="BX202" s="326"/>
      <c r="BY202" s="367"/>
      <c r="BZ202" s="368"/>
      <c r="CA202" s="368"/>
      <c r="CB202" s="368"/>
      <c r="CC202" s="368"/>
      <c r="CD202" s="368"/>
      <c r="CE202" s="368"/>
      <c r="CF202" s="368"/>
      <c r="CG202" s="368"/>
      <c r="CH202" s="368"/>
      <c r="CI202" s="42"/>
      <c r="CJ202" s="42"/>
      <c r="CK202" s="42"/>
      <c r="CL202" s="42"/>
    </row>
    <row r="203" spans="1:90" ht="21" customHeight="1">
      <c r="A203" s="80">
        <v>201</v>
      </c>
      <c r="B203" s="49" t="s">
        <v>148</v>
      </c>
      <c r="C203" s="86" t="s">
        <v>829</v>
      </c>
      <c r="D203" s="255" t="s">
        <v>42</v>
      </c>
      <c r="E203" s="247" t="s">
        <v>79</v>
      </c>
      <c r="F203" s="173">
        <f t="shared" si="335"/>
        <v>3</v>
      </c>
      <c r="G203" s="83" t="s">
        <v>76</v>
      </c>
      <c r="H203" s="222">
        <v>60</v>
      </c>
      <c r="I203" s="222">
        <v>13</v>
      </c>
      <c r="J203" s="222">
        <v>16</v>
      </c>
      <c r="K203" s="222">
        <v>25</v>
      </c>
      <c r="L203" s="222">
        <v>38</v>
      </c>
      <c r="M203" s="222">
        <v>48</v>
      </c>
      <c r="N203" s="226">
        <f t="shared" si="258"/>
        <v>200</v>
      </c>
      <c r="O203" s="51">
        <v>4616</v>
      </c>
      <c r="P203" s="209">
        <v>457.1</v>
      </c>
      <c r="Q203" s="216">
        <v>80.88</v>
      </c>
      <c r="R203" s="216">
        <v>48.75</v>
      </c>
      <c r="S203" s="216">
        <v>52.48</v>
      </c>
      <c r="T203" s="216">
        <v>4.6159999999999997</v>
      </c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si="336"/>
        <v>180000</v>
      </c>
      <c r="AL203" s="174">
        <f>VLOOKUP(D203&amp;E203,计算辅助页面!$V$5:$Y$18,3,0)</f>
        <v>5</v>
      </c>
      <c r="AM203" s="179">
        <f t="shared" si="337"/>
        <v>540000</v>
      </c>
      <c r="AN203" s="179">
        <f>VLOOKUP(D203&amp;E203,计算辅助页面!$V$5:$Y$18,4,0)</f>
        <v>4</v>
      </c>
      <c r="AO203" s="173">
        <f t="shared" si="338"/>
        <v>14760000</v>
      </c>
      <c r="AP203" s="195">
        <f t="shared" si="339"/>
        <v>42486000</v>
      </c>
      <c r="AQ203" s="365" t="s">
        <v>571</v>
      </c>
      <c r="AR203" s="366" t="str">
        <f t="shared" si="274"/>
        <v>Regera</v>
      </c>
      <c r="AS203" s="352" t="s">
        <v>603</v>
      </c>
      <c r="AT203" s="353" t="s">
        <v>312</v>
      </c>
      <c r="AU203" s="327" t="s">
        <v>712</v>
      </c>
      <c r="AV203" s="357">
        <v>17</v>
      </c>
      <c r="AW203" s="357">
        <v>481</v>
      </c>
      <c r="AY203" s="357">
        <v>585</v>
      </c>
      <c r="AZ203" s="357" t="s">
        <v>1119</v>
      </c>
      <c r="BA203" s="369"/>
      <c r="BB203" s="369"/>
      <c r="BC203" s="369"/>
      <c r="BD203" s="369">
        <v>1</v>
      </c>
      <c r="BE203" s="369"/>
      <c r="BF203" s="369"/>
      <c r="BG203" s="369"/>
      <c r="BH203" s="369"/>
      <c r="BI203" s="369"/>
      <c r="BJ203" s="369"/>
      <c r="BK203" s="369">
        <v>1</v>
      </c>
      <c r="BL203" s="369"/>
      <c r="BM203" s="369"/>
      <c r="BN203" s="369"/>
      <c r="BO203" s="369">
        <v>1</v>
      </c>
      <c r="BP203" s="369"/>
      <c r="BQ203" s="369"/>
      <c r="BR203" s="369"/>
      <c r="BS203" s="369"/>
      <c r="BT203" s="369">
        <v>1</v>
      </c>
      <c r="BU203" s="387" t="s">
        <v>1216</v>
      </c>
      <c r="BV203" s="326"/>
      <c r="BW203" s="326"/>
      <c r="BX203" s="326"/>
      <c r="BY203" s="367">
        <v>440.9</v>
      </c>
      <c r="BZ203" s="368">
        <v>75.19</v>
      </c>
      <c r="CA203" s="368">
        <v>42</v>
      </c>
      <c r="CB203" s="368">
        <v>43.35</v>
      </c>
      <c r="CC203" s="368">
        <f t="shared" si="340"/>
        <v>16.200000000000045</v>
      </c>
      <c r="CD203" s="368">
        <f t="shared" si="341"/>
        <v>5.6899999999999977</v>
      </c>
      <c r="CE203" s="368">
        <f t="shared" si="342"/>
        <v>6.75</v>
      </c>
      <c r="CF203" s="368">
        <f t="shared" si="343"/>
        <v>9.1299999999999955</v>
      </c>
      <c r="CG203" s="368">
        <f t="shared" si="344"/>
        <v>37.770000000000039</v>
      </c>
      <c r="CH203" s="368">
        <f t="shared" si="345"/>
        <v>34.455400000000004</v>
      </c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1601</v>
      </c>
      <c r="C204" s="86" t="s">
        <v>1597</v>
      </c>
      <c r="D204" s="255" t="s">
        <v>42</v>
      </c>
      <c r="E204" s="247" t="s">
        <v>79</v>
      </c>
      <c r="F204" s="230"/>
      <c r="G204" s="229"/>
      <c r="H204" s="232" t="s">
        <v>408</v>
      </c>
      <c r="I204" s="222">
        <v>40</v>
      </c>
      <c r="J204" s="222">
        <v>45</v>
      </c>
      <c r="K204" s="222">
        <v>60</v>
      </c>
      <c r="L204" s="222">
        <v>70</v>
      </c>
      <c r="M204" s="222">
        <v>85</v>
      </c>
      <c r="N204" s="226">
        <f t="shared" ref="N204" si="361">IF(COUNTBLANK(H204:M204),"",SUM(H204:M204))</f>
        <v>300</v>
      </c>
      <c r="O204" s="57">
        <v>4629</v>
      </c>
      <c r="P204" s="211">
        <v>429.9</v>
      </c>
      <c r="Q204" s="218">
        <v>69.5</v>
      </c>
      <c r="R204" s="218">
        <v>68.97</v>
      </c>
      <c r="S204" s="218">
        <v>77.31</v>
      </c>
      <c r="T204" s="218"/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336"/>
        <v>180000</v>
      </c>
      <c r="AL204" s="174">
        <f>VLOOKUP(D204&amp;E204,计算辅助页面!$V$5:$Y$18,3,0)</f>
        <v>5</v>
      </c>
      <c r="AM204" s="179">
        <f t="shared" si="337"/>
        <v>540000</v>
      </c>
      <c r="AN204" s="179">
        <f>VLOOKUP(D204&amp;E204,计算辅助页面!$V$5:$Y$18,4,0)</f>
        <v>4</v>
      </c>
      <c r="AO204" s="173">
        <f t="shared" si="338"/>
        <v>14760000</v>
      </c>
      <c r="AP204" s="195">
        <f t="shared" si="339"/>
        <v>42486000</v>
      </c>
      <c r="AQ204" s="365" t="s">
        <v>1266</v>
      </c>
      <c r="AR204" s="366" t="str">
        <f t="shared" si="274"/>
        <v>S7 Twin Turbo🔑</v>
      </c>
      <c r="AS204" s="352" t="s">
        <v>1585</v>
      </c>
      <c r="AT204" s="353" t="s">
        <v>1598</v>
      </c>
      <c r="AU204" s="327" t="s">
        <v>1596</v>
      </c>
      <c r="AW204" s="357">
        <v>452</v>
      </c>
      <c r="AY204" s="357">
        <v>572</v>
      </c>
      <c r="AZ204" s="384" t="s">
        <v>1613</v>
      </c>
      <c r="BA204" s="369"/>
      <c r="BB204" s="369"/>
      <c r="BC204" s="369"/>
      <c r="BD204" s="369"/>
      <c r="BE204" s="369"/>
      <c r="BF204" s="369"/>
      <c r="BG204" s="369"/>
      <c r="BH204" s="369"/>
      <c r="BI204" s="369"/>
      <c r="BJ204" s="369"/>
      <c r="BK204" s="369"/>
      <c r="BL204" s="369"/>
      <c r="BM204" s="369"/>
      <c r="BN204" s="369">
        <v>1</v>
      </c>
      <c r="BO204" s="369"/>
      <c r="BP204" s="369"/>
      <c r="BQ204" s="369"/>
      <c r="BR204" s="369"/>
      <c r="BS204" s="369"/>
      <c r="BT204" s="369"/>
      <c r="BU204" s="389" t="s">
        <v>1607</v>
      </c>
      <c r="BV204" s="326"/>
      <c r="BW204" s="326"/>
      <c r="BX204" s="326"/>
      <c r="BY204" s="367"/>
      <c r="BZ204" s="368"/>
      <c r="CA204" s="368"/>
      <c r="CB204" s="368"/>
      <c r="CC204" s="368"/>
      <c r="CD204" s="368"/>
      <c r="CE204" s="368"/>
      <c r="CF204" s="368"/>
      <c r="CG204" s="368"/>
      <c r="CH204" s="368"/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1326</v>
      </c>
      <c r="C205" s="86" t="s">
        <v>1321</v>
      </c>
      <c r="D205" s="255" t="s">
        <v>42</v>
      </c>
      <c r="E205" s="247" t="s">
        <v>79</v>
      </c>
      <c r="F205" s="230"/>
      <c r="G205" s="229"/>
      <c r="H205" s="232" t="s">
        <v>408</v>
      </c>
      <c r="I205" s="222">
        <v>40</v>
      </c>
      <c r="J205" s="222">
        <v>45</v>
      </c>
      <c r="K205" s="222">
        <v>60</v>
      </c>
      <c r="L205" s="222">
        <v>70</v>
      </c>
      <c r="M205" s="222">
        <v>85</v>
      </c>
      <c r="N205" s="226">
        <f t="shared" si="258"/>
        <v>300</v>
      </c>
      <c r="O205" s="57">
        <v>4644</v>
      </c>
      <c r="P205" s="211">
        <v>418.2</v>
      </c>
      <c r="Q205" s="218">
        <v>81.38</v>
      </c>
      <c r="R205" s="218">
        <v>63.54</v>
      </c>
      <c r="S205" s="218">
        <v>63.24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ref="AK205" si="362">IF(AI205,2*AI205,"")</f>
        <v>180000</v>
      </c>
      <c r="AL205" s="174">
        <f>VLOOKUP(D205&amp;E205,计算辅助页面!$V$5:$Y$18,3,0)</f>
        <v>5</v>
      </c>
      <c r="AM205" s="179">
        <f t="shared" ref="AM205" si="363">IF(AN205="×",AN205,IF(AI205,6*AI205,""))</f>
        <v>540000</v>
      </c>
      <c r="AN205" s="179">
        <f>VLOOKUP(D205&amp;E205,计算辅助页面!$V$5:$Y$18,4,0)</f>
        <v>4</v>
      </c>
      <c r="AO205" s="173">
        <f t="shared" ref="AO205" si="364">IF(AI205,IF(AN205="×",4*(AI205*AJ205+AK205*AL205),4*(AI205*AJ205+AK205*AL205+AM205*AN205)),"")</f>
        <v>14760000</v>
      </c>
      <c r="AP205" s="195">
        <f t="shared" ref="AP205" si="365">IF(AND(AH205,AO205),AO205+AH205,"")</f>
        <v>42486000</v>
      </c>
      <c r="AQ205" s="365" t="s">
        <v>1322</v>
      </c>
      <c r="AR205" s="366" t="str">
        <f t="shared" si="274"/>
        <v>RS🔑</v>
      </c>
      <c r="AS205" s="352" t="s">
        <v>1308</v>
      </c>
      <c r="AT205" s="353" t="s">
        <v>1323</v>
      </c>
      <c r="AU205" s="327" t="s">
        <v>712</v>
      </c>
      <c r="AW205" s="357">
        <v>440</v>
      </c>
      <c r="AY205" s="357">
        <v>567</v>
      </c>
      <c r="AZ205" s="384" t="s">
        <v>1330</v>
      </c>
      <c r="BA205" s="369"/>
      <c r="BB205" s="369"/>
      <c r="BC205" s="369"/>
      <c r="BD205" s="369"/>
      <c r="BE205" s="369"/>
      <c r="BF205" s="369"/>
      <c r="BG205" s="369"/>
      <c r="BH205" s="369"/>
      <c r="BI205" s="369"/>
      <c r="BJ205" s="369"/>
      <c r="BK205" s="369">
        <v>1</v>
      </c>
      <c r="BL205" s="369"/>
      <c r="BM205" s="369"/>
      <c r="BN205" s="369">
        <v>1</v>
      </c>
      <c r="BO205" s="369">
        <v>1</v>
      </c>
      <c r="BP205" s="369"/>
      <c r="BQ205" s="369"/>
      <c r="BR205" s="369"/>
      <c r="BS205" s="369"/>
      <c r="BT205" s="369"/>
      <c r="BU205" s="389" t="s">
        <v>1359</v>
      </c>
      <c r="BV205" s="326"/>
      <c r="BW205" s="326"/>
      <c r="BX205" s="326"/>
      <c r="BY205" s="367"/>
      <c r="BZ205" s="368"/>
      <c r="CA205" s="368"/>
      <c r="CB205" s="368"/>
      <c r="CC205" s="368"/>
      <c r="CD205" s="368"/>
      <c r="CE205" s="368"/>
      <c r="CF205" s="368"/>
      <c r="CG205" s="368"/>
      <c r="CH205" s="368"/>
      <c r="CI205" s="42"/>
      <c r="CJ205" s="42"/>
      <c r="CK205" s="42"/>
      <c r="CL205" s="42"/>
    </row>
    <row r="206" spans="1:90" ht="21" customHeight="1" thickBot="1">
      <c r="A206" s="48">
        <v>204</v>
      </c>
      <c r="B206" s="55" t="s">
        <v>507</v>
      </c>
      <c r="C206" s="86" t="s">
        <v>830</v>
      </c>
      <c r="D206" s="255" t="s">
        <v>42</v>
      </c>
      <c r="E206" s="247" t="s">
        <v>79</v>
      </c>
      <c r="F206" s="173">
        <f t="shared" si="335"/>
        <v>3</v>
      </c>
      <c r="G206" s="83" t="s">
        <v>76</v>
      </c>
      <c r="H206" s="232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26">
        <f t="shared" ref="N206:N226" si="366">IF(COUNTBLANK(H206:M206),"",SUM(H206:M206))</f>
        <v>300</v>
      </c>
      <c r="O206" s="57">
        <v>4685</v>
      </c>
      <c r="P206" s="211">
        <v>368.1</v>
      </c>
      <c r="Q206" s="218">
        <v>82.1</v>
      </c>
      <c r="R206" s="218">
        <v>92.35</v>
      </c>
      <c r="S206" s="218">
        <v>81.180000000000007</v>
      </c>
      <c r="T206" s="218">
        <v>9.57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si="336"/>
        <v>180000</v>
      </c>
      <c r="AL206" s="174">
        <f>VLOOKUP(D206&amp;E206,计算辅助页面!$V$5:$Y$18,3,0)</f>
        <v>5</v>
      </c>
      <c r="AM206" s="179">
        <f t="shared" si="337"/>
        <v>540000</v>
      </c>
      <c r="AN206" s="179">
        <f>VLOOKUP(D206&amp;E206,计算辅助页面!$V$5:$Y$18,4,0)</f>
        <v>4</v>
      </c>
      <c r="AO206" s="173">
        <f t="shared" si="338"/>
        <v>14760000</v>
      </c>
      <c r="AP206" s="195">
        <f t="shared" si="339"/>
        <v>42486000</v>
      </c>
      <c r="AQ206" s="365" t="s">
        <v>566</v>
      </c>
      <c r="AR206" s="366" t="str">
        <f t="shared" si="274"/>
        <v>Sian FKP 37</v>
      </c>
      <c r="AS206" s="352" t="s">
        <v>963</v>
      </c>
      <c r="AT206" s="353" t="s">
        <v>670</v>
      </c>
      <c r="AU206" s="327" t="s">
        <v>712</v>
      </c>
      <c r="AW206" s="357">
        <v>383</v>
      </c>
      <c r="AX206" s="357">
        <v>393</v>
      </c>
      <c r="AY206" s="357">
        <v>523</v>
      </c>
      <c r="AZ206" s="357" t="s">
        <v>1121</v>
      </c>
      <c r="BA206" s="369"/>
      <c r="BB206" s="369"/>
      <c r="BC206" s="369"/>
      <c r="BD206" s="369"/>
      <c r="BE206" s="369"/>
      <c r="BF206" s="369"/>
      <c r="BG206" s="369"/>
      <c r="BH206" s="369"/>
      <c r="BI206" s="369"/>
      <c r="BJ206" s="369"/>
      <c r="BK206" s="369">
        <v>1</v>
      </c>
      <c r="BL206" s="369"/>
      <c r="BM206" s="369"/>
      <c r="BN206" s="369"/>
      <c r="BO206" s="369">
        <v>1</v>
      </c>
      <c r="BP206" s="369"/>
      <c r="BQ206" s="369"/>
      <c r="BR206" s="369"/>
      <c r="BS206" s="369"/>
      <c r="BT206" s="369"/>
      <c r="BU206" s="387" t="s">
        <v>1217</v>
      </c>
      <c r="BV206" s="326"/>
      <c r="BW206" s="326"/>
      <c r="BX206" s="326"/>
      <c r="BY206" s="367">
        <v>350</v>
      </c>
      <c r="BZ206" s="368">
        <v>74.8</v>
      </c>
      <c r="CA206" s="368">
        <v>68.27</v>
      </c>
      <c r="CB206" s="368">
        <v>69.040000000000006</v>
      </c>
      <c r="CC206" s="368">
        <f t="shared" si="340"/>
        <v>18.100000000000023</v>
      </c>
      <c r="CD206" s="368">
        <f t="shared" si="341"/>
        <v>7.2999999999999972</v>
      </c>
      <c r="CE206" s="368">
        <f t="shared" si="342"/>
        <v>24.08</v>
      </c>
      <c r="CF206" s="368">
        <f t="shared" si="343"/>
        <v>12.14</v>
      </c>
      <c r="CG206" s="368">
        <f t="shared" si="344"/>
        <v>61.620000000000019</v>
      </c>
      <c r="CH206" s="368">
        <f t="shared" si="345"/>
        <v>61.316600000000001</v>
      </c>
      <c r="CI206" s="42"/>
      <c r="CJ206" s="42"/>
      <c r="CK206" s="42"/>
      <c r="CL206" s="42"/>
    </row>
    <row r="207" spans="1:90" ht="21" customHeight="1">
      <c r="A207" s="80">
        <v>205</v>
      </c>
      <c r="B207" s="55" t="s">
        <v>1437</v>
      </c>
      <c r="C207" s="86" t="s">
        <v>1438</v>
      </c>
      <c r="D207" s="255" t="s">
        <v>42</v>
      </c>
      <c r="E207" s="247" t="s">
        <v>79</v>
      </c>
      <c r="F207" s="173">
        <f t="shared" ref="F207" si="367">9-LEN(E207)-LEN(SUBSTITUTE(E207,"★",""))</f>
        <v>3</v>
      </c>
      <c r="G207" s="83" t="s">
        <v>904</v>
      </c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ref="N207" si="368">IF(COUNTBLANK(H207:M207),"",SUM(H207:M207))</f>
        <v>300</v>
      </c>
      <c r="O207" s="57">
        <v>4702</v>
      </c>
      <c r="P207" s="211">
        <v>441</v>
      </c>
      <c r="Q207" s="218">
        <v>81.56</v>
      </c>
      <c r="R207" s="218">
        <v>47.91</v>
      </c>
      <c r="S207" s="218">
        <v>60.58</v>
      </c>
      <c r="T207" s="218"/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ref="AK207" si="369">IF(AI207,2*AI207,"")</f>
        <v>180000</v>
      </c>
      <c r="AL207" s="174">
        <f>VLOOKUP(D207&amp;E207,计算辅助页面!$V$5:$Y$18,3,0)</f>
        <v>5</v>
      </c>
      <c r="AM207" s="179">
        <f t="shared" ref="AM207" si="370">IF(AN207="×",AN207,IF(AI207,6*AI207,""))</f>
        <v>540000</v>
      </c>
      <c r="AN207" s="179">
        <f>VLOOKUP(D207&amp;E207,计算辅助页面!$V$5:$Y$18,4,0)</f>
        <v>4</v>
      </c>
      <c r="AO207" s="173">
        <f t="shared" ref="AO207" si="371">IF(AI207,IF(AN207="×",4*(AI207*AJ207+AK207*AL207),4*(AI207*AJ207+AK207*AL207+AM207*AN207)),"")</f>
        <v>14760000</v>
      </c>
      <c r="AP207" s="195">
        <f t="shared" ref="AP207" si="372">IF(AND(AH207,AO207),AO207+AH207,"")</f>
        <v>42486000</v>
      </c>
      <c r="AQ207" s="365" t="s">
        <v>1439</v>
      </c>
      <c r="AR207" s="366" t="str">
        <f t="shared" si="274"/>
        <v>Drakuma</v>
      </c>
      <c r="AS207" s="352" t="s">
        <v>1427</v>
      </c>
      <c r="AT207" s="353" t="s">
        <v>1440</v>
      </c>
      <c r="AU207" s="327" t="s">
        <v>712</v>
      </c>
      <c r="AW207" s="357">
        <v>464</v>
      </c>
      <c r="AY207" s="357">
        <v>578</v>
      </c>
      <c r="AZ207" s="384" t="s">
        <v>1330</v>
      </c>
      <c r="BA207" s="369"/>
      <c r="BB207" s="369"/>
      <c r="BC207" s="369"/>
      <c r="BD207" s="369"/>
      <c r="BE207" s="369"/>
      <c r="BF207" s="369"/>
      <c r="BG207" s="369"/>
      <c r="BH207" s="369"/>
      <c r="BI207" s="369"/>
      <c r="BJ207" s="369"/>
      <c r="BK207" s="369"/>
      <c r="BL207" s="369"/>
      <c r="BM207" s="369"/>
      <c r="BN207" s="369"/>
      <c r="BO207" s="369"/>
      <c r="BP207" s="369"/>
      <c r="BQ207" s="369"/>
      <c r="BR207" s="369"/>
      <c r="BS207" s="369"/>
      <c r="BT207" s="369"/>
      <c r="BU207" s="387"/>
      <c r="BV207" s="326"/>
      <c r="BW207" s="326"/>
      <c r="BX207" s="326"/>
      <c r="BY207" s="367"/>
      <c r="BZ207" s="368"/>
      <c r="CA207" s="368"/>
      <c r="CB207" s="368"/>
      <c r="CC207" s="368"/>
      <c r="CD207" s="368"/>
      <c r="CE207" s="368"/>
      <c r="CF207" s="368"/>
      <c r="CG207" s="368"/>
      <c r="CH207" s="368"/>
      <c r="CI207" s="42"/>
      <c r="CJ207" s="42"/>
      <c r="CK207" s="42"/>
      <c r="CL207" s="42"/>
    </row>
    <row r="208" spans="1:90" ht="21" customHeight="1" thickBot="1">
      <c r="A208" s="48">
        <v>206</v>
      </c>
      <c r="B208" s="55" t="s">
        <v>726</v>
      </c>
      <c r="C208" s="86" t="s">
        <v>873</v>
      </c>
      <c r="D208" s="255" t="s">
        <v>42</v>
      </c>
      <c r="E208" s="247" t="s">
        <v>79</v>
      </c>
      <c r="F208" s="173">
        <f t="shared" si="335"/>
        <v>3</v>
      </c>
      <c r="G208" s="83" t="s">
        <v>736</v>
      </c>
      <c r="H208" s="232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si="366"/>
        <v>300</v>
      </c>
      <c r="O208" s="57">
        <v>4722</v>
      </c>
      <c r="P208" s="211">
        <v>412.6</v>
      </c>
      <c r="Q208" s="218">
        <v>83.05</v>
      </c>
      <c r="R208" s="218">
        <v>54.88</v>
      </c>
      <c r="S208" s="218">
        <v>76.62</v>
      </c>
      <c r="T208" s="218">
        <v>7</v>
      </c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36"/>
        <v>180000</v>
      </c>
      <c r="AL208" s="174">
        <f>VLOOKUP(D208&amp;E208,计算辅助页面!$V$5:$Y$18,3,0)</f>
        <v>5</v>
      </c>
      <c r="AM208" s="179">
        <f t="shared" si="337"/>
        <v>540000</v>
      </c>
      <c r="AN208" s="179">
        <f>VLOOKUP(D208&amp;E208,计算辅助页面!$V$5:$Y$18,4,0)</f>
        <v>4</v>
      </c>
      <c r="AO208" s="173">
        <f t="shared" si="338"/>
        <v>14760000</v>
      </c>
      <c r="AP208" s="195">
        <f t="shared" si="339"/>
        <v>42486000</v>
      </c>
      <c r="AQ208" s="365" t="s">
        <v>1044</v>
      </c>
      <c r="AR208" s="366" t="str">
        <f t="shared" si="274"/>
        <v>Automobili Inferno</v>
      </c>
      <c r="AS208" s="352" t="s">
        <v>734</v>
      </c>
      <c r="AT208" s="353" t="s">
        <v>882</v>
      </c>
      <c r="AU208" s="327" t="s">
        <v>712</v>
      </c>
      <c r="AW208" s="357">
        <v>432</v>
      </c>
      <c r="AY208" s="357">
        <v>563</v>
      </c>
      <c r="AZ208" s="357" t="s">
        <v>1121</v>
      </c>
      <c r="BA208" s="369"/>
      <c r="BB208" s="369"/>
      <c r="BC208" s="369"/>
      <c r="BD208" s="369"/>
      <c r="BE208" s="369"/>
      <c r="BF208" s="369"/>
      <c r="BG208" s="369"/>
      <c r="BH208" s="369"/>
      <c r="BI208" s="369"/>
      <c r="BJ208" s="369"/>
      <c r="BK208" s="369">
        <v>1</v>
      </c>
      <c r="BL208" s="369"/>
      <c r="BM208" s="369"/>
      <c r="BN208" s="369"/>
      <c r="BO208" s="369">
        <v>1</v>
      </c>
      <c r="BP208" s="369"/>
      <c r="BQ208" s="369"/>
      <c r="BR208" s="369"/>
      <c r="BS208" s="369"/>
      <c r="BT208" s="369"/>
      <c r="BU208" s="387" t="s">
        <v>1218</v>
      </c>
      <c r="BV208" s="326"/>
      <c r="BW208" s="326"/>
      <c r="BX208" s="326">
        <v>1</v>
      </c>
      <c r="BY208" s="367">
        <v>395</v>
      </c>
      <c r="BZ208" s="368">
        <v>75.7</v>
      </c>
      <c r="CA208" s="368">
        <v>47.45</v>
      </c>
      <c r="CB208" s="368">
        <v>62.07</v>
      </c>
      <c r="CC208" s="368">
        <f t="shared" si="340"/>
        <v>17.600000000000023</v>
      </c>
      <c r="CD208" s="368">
        <f t="shared" si="341"/>
        <v>7.3499999999999943</v>
      </c>
      <c r="CE208" s="368">
        <f t="shared" si="342"/>
        <v>7.43</v>
      </c>
      <c r="CF208" s="368">
        <f t="shared" si="343"/>
        <v>14.550000000000004</v>
      </c>
      <c r="CG208" s="368">
        <f t="shared" si="344"/>
        <v>46.930000000000021</v>
      </c>
      <c r="CH208" s="368">
        <f t="shared" si="345"/>
        <v>45.514400000000009</v>
      </c>
      <c r="CI208" s="42"/>
      <c r="CJ208" s="42"/>
      <c r="CK208" s="42"/>
      <c r="CL208" s="42"/>
    </row>
    <row r="209" spans="1:90" ht="21" customHeight="1">
      <c r="A209" s="80">
        <v>207</v>
      </c>
      <c r="B209" s="55" t="s">
        <v>1506</v>
      </c>
      <c r="C209" s="86" t="s">
        <v>1500</v>
      </c>
      <c r="D209" s="255" t="s">
        <v>42</v>
      </c>
      <c r="E209" s="247" t="s">
        <v>79</v>
      </c>
      <c r="F209" s="230"/>
      <c r="G209" s="229"/>
      <c r="H209" s="232" t="s">
        <v>408</v>
      </c>
      <c r="I209" s="222">
        <v>40</v>
      </c>
      <c r="J209" s="222">
        <v>45</v>
      </c>
      <c r="K209" s="222">
        <v>60</v>
      </c>
      <c r="L209" s="222">
        <v>70</v>
      </c>
      <c r="M209" s="222">
        <v>85</v>
      </c>
      <c r="N209" s="226">
        <f t="shared" si="366"/>
        <v>300</v>
      </c>
      <c r="O209" s="57">
        <v>4741</v>
      </c>
      <c r="P209" s="211">
        <v>405.3</v>
      </c>
      <c r="Q209" s="218">
        <v>82.28</v>
      </c>
      <c r="R209" s="218">
        <v>62.3</v>
      </c>
      <c r="S209" s="218">
        <v>75.81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73">IF(AI209,2*AI209,"")</f>
        <v>180000</v>
      </c>
      <c r="AL209" s="174">
        <f>VLOOKUP(D209&amp;E209,计算辅助页面!$V$5:$Y$18,3,0)</f>
        <v>5</v>
      </c>
      <c r="AM209" s="179">
        <f t="shared" ref="AM209" si="374">IF(AN209="×",AN209,IF(AI209,6*AI209,""))</f>
        <v>540000</v>
      </c>
      <c r="AN209" s="179">
        <f>VLOOKUP(D209&amp;E209,计算辅助页面!$V$5:$Y$18,4,0)</f>
        <v>4</v>
      </c>
      <c r="AO209" s="173">
        <f t="shared" ref="AO209" si="375">IF(AI209,IF(AN209="×",4*(AI209*AJ209+AK209*AL209),4*(AI209*AJ209+AK209*AL209+AM209*AN209)),"")</f>
        <v>14760000</v>
      </c>
      <c r="AP209" s="195">
        <f t="shared" ref="AP209" si="376">IF(AND(AH209,AO209),AO209+AH209,"")</f>
        <v>42486000</v>
      </c>
      <c r="AQ209" s="365" t="s">
        <v>1501</v>
      </c>
      <c r="AR209" s="366" t="str">
        <f t="shared" si="274"/>
        <v>Super Sport🔑</v>
      </c>
      <c r="AS209" s="352" t="s">
        <v>1487</v>
      </c>
      <c r="AT209" s="353" t="s">
        <v>1502</v>
      </c>
      <c r="AU209" s="327" t="s">
        <v>712</v>
      </c>
      <c r="AW209" s="357">
        <v>422</v>
      </c>
      <c r="AY209" s="357">
        <v>559</v>
      </c>
      <c r="AZ209" s="384" t="s">
        <v>1330</v>
      </c>
      <c r="BA209" s="369"/>
      <c r="BB209" s="369"/>
      <c r="BC209" s="369"/>
      <c r="BD209" s="369"/>
      <c r="BE209" s="369"/>
      <c r="BF209" s="369"/>
      <c r="BG209" s="369"/>
      <c r="BH209" s="369"/>
      <c r="BI209" s="369"/>
      <c r="BJ209" s="369"/>
      <c r="BK209" s="369"/>
      <c r="BL209" s="369"/>
      <c r="BM209" s="369"/>
      <c r="BN209" s="369">
        <v>1</v>
      </c>
      <c r="BO209" s="369"/>
      <c r="BP209" s="369"/>
      <c r="BQ209" s="369"/>
      <c r="BR209" s="369"/>
      <c r="BS209" s="369"/>
      <c r="BT209" s="369"/>
      <c r="BU209" s="387"/>
      <c r="BV209" s="326"/>
      <c r="BW209" s="326"/>
      <c r="BX209" s="326"/>
      <c r="BY209" s="367"/>
      <c r="BZ209" s="368"/>
      <c r="CA209" s="368"/>
      <c r="CB209" s="368"/>
      <c r="CC209" s="368"/>
      <c r="CD209" s="368"/>
      <c r="CE209" s="368"/>
      <c r="CF209" s="368"/>
      <c r="CG209" s="368"/>
      <c r="CH209" s="368"/>
      <c r="CI209" s="42"/>
      <c r="CJ209" s="42"/>
      <c r="CK209" s="42"/>
      <c r="CL209" s="42"/>
    </row>
    <row r="210" spans="1:90" ht="21" customHeight="1" thickBot="1">
      <c r="A210" s="48">
        <v>208</v>
      </c>
      <c r="B210" s="55" t="s">
        <v>400</v>
      </c>
      <c r="C210" s="86" t="s">
        <v>831</v>
      </c>
      <c r="D210" s="255" t="s">
        <v>42</v>
      </c>
      <c r="E210" s="247" t="s">
        <v>79</v>
      </c>
      <c r="F210" s="173">
        <f t="shared" si="335"/>
        <v>3</v>
      </c>
      <c r="G210" s="83" t="s">
        <v>76</v>
      </c>
      <c r="H210" s="232">
        <v>60</v>
      </c>
      <c r="I210" s="222">
        <v>13</v>
      </c>
      <c r="J210" s="222">
        <v>16</v>
      </c>
      <c r="K210" s="222">
        <v>25</v>
      </c>
      <c r="L210" s="222">
        <v>38</v>
      </c>
      <c r="M210" s="222">
        <v>48</v>
      </c>
      <c r="N210" s="226">
        <f t="shared" si="366"/>
        <v>200</v>
      </c>
      <c r="O210" s="57">
        <v>4755</v>
      </c>
      <c r="P210" s="211">
        <v>443.4</v>
      </c>
      <c r="Q210" s="218">
        <v>84.4</v>
      </c>
      <c r="R210" s="218">
        <v>45.62</v>
      </c>
      <c r="S210" s="218">
        <v>63.63</v>
      </c>
      <c r="T210" s="218">
        <v>5.4329999999999989</v>
      </c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36"/>
        <v>180000</v>
      </c>
      <c r="AL210" s="174">
        <f>VLOOKUP(D210&amp;E210,计算辅助页面!$V$5:$Y$18,3,0)</f>
        <v>5</v>
      </c>
      <c r="AM210" s="179">
        <f t="shared" si="337"/>
        <v>540000</v>
      </c>
      <c r="AN210" s="179">
        <f>VLOOKUP(D210&amp;E210,计算辅助页面!$V$5:$Y$18,4,0)</f>
        <v>4</v>
      </c>
      <c r="AO210" s="173">
        <f t="shared" si="338"/>
        <v>14760000</v>
      </c>
      <c r="AP210" s="195">
        <f t="shared" si="339"/>
        <v>42486000</v>
      </c>
      <c r="AQ210" s="365" t="s">
        <v>721</v>
      </c>
      <c r="AR210" s="366" t="str">
        <f t="shared" si="274"/>
        <v>Chiron</v>
      </c>
      <c r="AS210" s="352" t="s">
        <v>603</v>
      </c>
      <c r="AT210" s="353" t="s">
        <v>685</v>
      </c>
      <c r="AU210" s="327" t="s">
        <v>712</v>
      </c>
      <c r="AV210" s="357">
        <v>18</v>
      </c>
      <c r="AW210" s="357">
        <v>467</v>
      </c>
      <c r="AY210" s="357">
        <v>579</v>
      </c>
      <c r="AZ210" s="357" t="s">
        <v>1119</v>
      </c>
      <c r="BA210" s="369"/>
      <c r="BB210" s="369"/>
      <c r="BC210" s="369"/>
      <c r="BD210" s="369">
        <v>1</v>
      </c>
      <c r="BE210" s="369"/>
      <c r="BF210" s="369"/>
      <c r="BG210" s="369"/>
      <c r="BH210" s="369"/>
      <c r="BI210" s="369"/>
      <c r="BJ210" s="369"/>
      <c r="BK210" s="369">
        <v>1</v>
      </c>
      <c r="BL210" s="369"/>
      <c r="BM210" s="369"/>
      <c r="BN210" s="369"/>
      <c r="BO210" s="369">
        <v>1</v>
      </c>
      <c r="BP210" s="369"/>
      <c r="BQ210" s="369">
        <v>1</v>
      </c>
      <c r="BR210" s="369"/>
      <c r="BS210" s="369"/>
      <c r="BT210" s="369">
        <v>1</v>
      </c>
      <c r="BU210" s="387" t="s">
        <v>1219</v>
      </c>
      <c r="BV210" s="326"/>
      <c r="BW210" s="326"/>
      <c r="BX210" s="326"/>
      <c r="BY210" s="367">
        <v>420</v>
      </c>
      <c r="BZ210" s="368">
        <v>77.5</v>
      </c>
      <c r="CA210" s="368">
        <v>38.75</v>
      </c>
      <c r="CB210" s="368">
        <v>53.33</v>
      </c>
      <c r="CC210" s="368">
        <f t="shared" si="340"/>
        <v>23.399999999999977</v>
      </c>
      <c r="CD210" s="368">
        <f t="shared" si="341"/>
        <v>6.9000000000000057</v>
      </c>
      <c r="CE210" s="368">
        <f t="shared" si="342"/>
        <v>6.8699999999999974</v>
      </c>
      <c r="CF210" s="368">
        <f t="shared" si="343"/>
        <v>10.300000000000004</v>
      </c>
      <c r="CG210" s="368">
        <f t="shared" si="344"/>
        <v>47.469999999999985</v>
      </c>
      <c r="CH210" s="368">
        <f t="shared" si="345"/>
        <v>40.510100000000001</v>
      </c>
      <c r="CI210" s="42"/>
      <c r="CJ210" s="42"/>
      <c r="CK210" s="42"/>
      <c r="CL210" s="42"/>
    </row>
    <row r="211" spans="1:90" ht="21" customHeight="1">
      <c r="A211" s="80">
        <v>209</v>
      </c>
      <c r="B211" s="55" t="s">
        <v>588</v>
      </c>
      <c r="C211" s="86" t="s">
        <v>832</v>
      </c>
      <c r="D211" s="255" t="s">
        <v>42</v>
      </c>
      <c r="E211" s="247" t="s">
        <v>79</v>
      </c>
      <c r="F211" s="173">
        <f t="shared" si="335"/>
        <v>3</v>
      </c>
      <c r="G211" s="83" t="s">
        <v>76</v>
      </c>
      <c r="H211" s="232">
        <v>85</v>
      </c>
      <c r="I211" s="236">
        <v>25</v>
      </c>
      <c r="J211" s="236">
        <v>29</v>
      </c>
      <c r="K211" s="236">
        <v>38</v>
      </c>
      <c r="L211" s="236">
        <v>54</v>
      </c>
      <c r="M211" s="236">
        <v>69</v>
      </c>
      <c r="N211" s="243">
        <f t="shared" si="366"/>
        <v>300</v>
      </c>
      <c r="O211" s="57">
        <v>4764</v>
      </c>
      <c r="P211" s="211">
        <v>449.5</v>
      </c>
      <c r="Q211" s="218">
        <v>80.48</v>
      </c>
      <c r="R211" s="218">
        <v>46.87</v>
      </c>
      <c r="S211" s="218">
        <v>70.66</v>
      </c>
      <c r="T211" s="218">
        <v>5.97</v>
      </c>
      <c r="U211" s="84">
        <v>23000</v>
      </c>
      <c r="V211" s="292">
        <f>VLOOKUP($U211,计算辅助页面!$Z$5:$AM$26,COLUMN()-20,0)</f>
        <v>37500</v>
      </c>
      <c r="W211" s="292">
        <f>VLOOKUP($U211,计算辅助页面!$Z$5:$AM$26,COLUMN()-20,0)</f>
        <v>60000</v>
      </c>
      <c r="X211" s="226">
        <f>VLOOKUP($U211,计算辅助页面!$Z$5:$AM$26,COLUMN()-20,0)</f>
        <v>90000</v>
      </c>
      <c r="Y211" s="226">
        <f>VLOOKUP($U211,计算辅助页面!$Z$5:$AM$26,COLUMN()-20,0)</f>
        <v>130000</v>
      </c>
      <c r="Z211" s="293">
        <f>VLOOKUP($U211,计算辅助页面!$Z$5:$AM$26,COLUMN()-20,0)</f>
        <v>182000</v>
      </c>
      <c r="AA211" s="226">
        <f>VLOOKUP($U211,计算辅助页面!$Z$5:$AM$26,COLUMN()-20,0)</f>
        <v>255000</v>
      </c>
      <c r="AB211" s="226">
        <f>VLOOKUP($U211,计算辅助页面!$Z$5:$AM$26,COLUMN()-20,0)</f>
        <v>356500</v>
      </c>
      <c r="AC211" s="226">
        <f>VLOOKUP($U211,计算辅助页面!$Z$5:$AM$26,COLUMN()-20,0)</f>
        <v>499500</v>
      </c>
      <c r="AD211" s="226">
        <f>VLOOKUP($U211,计算辅助页面!$Z$5:$AM$26,COLUMN()-20,0)</f>
        <v>699000</v>
      </c>
      <c r="AE211" s="226">
        <f>VLOOKUP($U211,计算辅助页面!$Z$5:$AM$26,COLUMN()-20,0)</f>
        <v>979000</v>
      </c>
      <c r="AF211" s="226">
        <f>VLOOKUP($U211,计算辅助页面!$Z$5:$AM$26,COLUMN()-20,0)</f>
        <v>1370000</v>
      </c>
      <c r="AG211" s="226">
        <f>VLOOKUP($U211,计算辅助页面!$Z$5:$AM$26,COLUMN()-20,0)</f>
        <v>2250000</v>
      </c>
      <c r="AH211" s="173">
        <f>VLOOKUP($U211,计算辅助页面!$Z$5:$AM$26,COLUMN()-20,0)</f>
        <v>27726000</v>
      </c>
      <c r="AI211" s="267">
        <v>90000</v>
      </c>
      <c r="AJ211" s="260">
        <f>VLOOKUP(D211&amp;E211,计算辅助页面!$V$5:$Y$18,2,0)</f>
        <v>7</v>
      </c>
      <c r="AK211" s="174">
        <f t="shared" si="336"/>
        <v>180000</v>
      </c>
      <c r="AL211" s="174">
        <f>VLOOKUP(D211&amp;E211,计算辅助页面!$V$5:$Y$18,3,0)</f>
        <v>5</v>
      </c>
      <c r="AM211" s="179">
        <f t="shared" si="337"/>
        <v>540000</v>
      </c>
      <c r="AN211" s="179">
        <f>VLOOKUP(D211&amp;E211,计算辅助页面!$V$5:$Y$18,4,0)</f>
        <v>4</v>
      </c>
      <c r="AO211" s="173">
        <f t="shared" si="338"/>
        <v>14760000</v>
      </c>
      <c r="AP211" s="195">
        <f t="shared" si="339"/>
        <v>42486000</v>
      </c>
      <c r="AQ211" s="365" t="s">
        <v>832</v>
      </c>
      <c r="AR211" s="366" t="str">
        <f t="shared" si="274"/>
        <v>Bailey Blade GT1</v>
      </c>
      <c r="AS211" s="352" t="s">
        <v>961</v>
      </c>
      <c r="AT211" s="353" t="s">
        <v>686</v>
      </c>
      <c r="AU211" s="327" t="s">
        <v>712</v>
      </c>
      <c r="AW211" s="357">
        <v>473</v>
      </c>
      <c r="AY211" s="357">
        <v>582</v>
      </c>
      <c r="AZ211" s="357" t="s">
        <v>1121</v>
      </c>
      <c r="BA211" s="369"/>
      <c r="BB211" s="369"/>
      <c r="BC211" s="369"/>
      <c r="BD211" s="369"/>
      <c r="BE211" s="369"/>
      <c r="BF211" s="369"/>
      <c r="BG211" s="369"/>
      <c r="BH211" s="369"/>
      <c r="BI211" s="369"/>
      <c r="BJ211" s="369"/>
      <c r="BK211" s="369">
        <v>1</v>
      </c>
      <c r="BL211" s="369"/>
      <c r="BM211" s="369"/>
      <c r="BN211" s="369"/>
      <c r="BO211" s="369"/>
      <c r="BP211" s="369"/>
      <c r="BQ211" s="369"/>
      <c r="BR211" s="369"/>
      <c r="BS211" s="369"/>
      <c r="BT211" s="369"/>
      <c r="BU211" s="387" t="s">
        <v>1220</v>
      </c>
      <c r="BV211" s="326"/>
      <c r="BW211" s="326"/>
      <c r="BX211" s="326"/>
      <c r="BY211" s="367">
        <v>434</v>
      </c>
      <c r="BZ211" s="368">
        <v>74.8</v>
      </c>
      <c r="CA211" s="368">
        <v>40.340000000000003</v>
      </c>
      <c r="CB211" s="368">
        <v>40.340000000000003</v>
      </c>
      <c r="CC211" s="368">
        <f t="shared" si="340"/>
        <v>15.5</v>
      </c>
      <c r="CD211" s="368">
        <f t="shared" si="341"/>
        <v>5.6800000000000068</v>
      </c>
      <c r="CE211" s="368">
        <f t="shared" si="342"/>
        <v>6.529999999999994</v>
      </c>
      <c r="CF211" s="368">
        <f t="shared" si="343"/>
        <v>30.319999999999993</v>
      </c>
      <c r="CG211" s="368">
        <f t="shared" si="344"/>
        <v>58.029999999999994</v>
      </c>
      <c r="CH211" s="368">
        <f t="shared" si="345"/>
        <v>61.088499999999996</v>
      </c>
      <c r="CI211" s="42"/>
      <c r="CJ211" s="42"/>
      <c r="CK211" s="42"/>
      <c r="CL211" s="42"/>
    </row>
    <row r="212" spans="1:90" ht="21" customHeight="1" thickBot="1">
      <c r="A212" s="48">
        <v>210</v>
      </c>
      <c r="B212" s="55" t="s">
        <v>719</v>
      </c>
      <c r="C212" s="86" t="s">
        <v>833</v>
      </c>
      <c r="D212" s="255" t="s">
        <v>42</v>
      </c>
      <c r="E212" s="247" t="s">
        <v>79</v>
      </c>
      <c r="F212" s="173">
        <f t="shared" si="335"/>
        <v>3</v>
      </c>
      <c r="G212" s="83" t="s">
        <v>76</v>
      </c>
      <c r="H212" s="232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si="366"/>
        <v>300</v>
      </c>
      <c r="O212" s="57">
        <v>4773</v>
      </c>
      <c r="P212" s="211">
        <v>396</v>
      </c>
      <c r="Q212" s="218">
        <v>85.7</v>
      </c>
      <c r="R212" s="218">
        <v>61.48</v>
      </c>
      <c r="S212" s="218">
        <v>73.989999999999995</v>
      </c>
      <c r="T212" s="218"/>
      <c r="U212" s="84">
        <v>23000</v>
      </c>
      <c r="V212" s="292">
        <f>VLOOKUP($U212,计算辅助页面!$Z$5:$AM$26,COLUMN()-20,0)</f>
        <v>37500</v>
      </c>
      <c r="W212" s="292">
        <f>VLOOKUP($U212,计算辅助页面!$Z$5:$AM$26,COLUMN()-20,0)</f>
        <v>60000</v>
      </c>
      <c r="X212" s="226">
        <f>VLOOKUP($U212,计算辅助页面!$Z$5:$AM$26,COLUMN()-20,0)</f>
        <v>90000</v>
      </c>
      <c r="Y212" s="226">
        <f>VLOOKUP($U212,计算辅助页面!$Z$5:$AM$26,COLUMN()-20,0)</f>
        <v>130000</v>
      </c>
      <c r="Z212" s="293">
        <f>VLOOKUP($U212,计算辅助页面!$Z$5:$AM$26,COLUMN()-20,0)</f>
        <v>182000</v>
      </c>
      <c r="AA212" s="226">
        <f>VLOOKUP($U212,计算辅助页面!$Z$5:$AM$26,COLUMN()-20,0)</f>
        <v>255000</v>
      </c>
      <c r="AB212" s="226">
        <f>VLOOKUP($U212,计算辅助页面!$Z$5:$AM$26,COLUMN()-20,0)</f>
        <v>356500</v>
      </c>
      <c r="AC212" s="226">
        <f>VLOOKUP($U212,计算辅助页面!$Z$5:$AM$26,COLUMN()-20,0)</f>
        <v>499500</v>
      </c>
      <c r="AD212" s="226">
        <f>VLOOKUP($U212,计算辅助页面!$Z$5:$AM$26,COLUMN()-20,0)</f>
        <v>699000</v>
      </c>
      <c r="AE212" s="226">
        <f>VLOOKUP($U212,计算辅助页面!$Z$5:$AM$26,COLUMN()-20,0)</f>
        <v>979000</v>
      </c>
      <c r="AF212" s="226">
        <f>VLOOKUP($U212,计算辅助页面!$Z$5:$AM$26,COLUMN()-20,0)</f>
        <v>1370000</v>
      </c>
      <c r="AG212" s="226">
        <f>VLOOKUP($U212,计算辅助页面!$Z$5:$AM$26,COLUMN()-20,0)</f>
        <v>2250000</v>
      </c>
      <c r="AH212" s="173">
        <f>VLOOKUP($U212,计算辅助页面!$Z$5:$AM$26,COLUMN()-20,0)</f>
        <v>27726000</v>
      </c>
      <c r="AI212" s="267">
        <v>90000</v>
      </c>
      <c r="AJ212" s="260">
        <f>VLOOKUP(D212&amp;E212,计算辅助页面!$V$5:$Y$18,2,0)</f>
        <v>7</v>
      </c>
      <c r="AK212" s="174">
        <f t="shared" si="336"/>
        <v>180000</v>
      </c>
      <c r="AL212" s="174">
        <f>VLOOKUP(D212&amp;E212,计算辅助页面!$V$5:$Y$18,3,0)</f>
        <v>5</v>
      </c>
      <c r="AM212" s="179">
        <f t="shared" si="337"/>
        <v>540000</v>
      </c>
      <c r="AN212" s="179">
        <f>VLOOKUP(D212&amp;E212,计算辅助页面!$V$5:$Y$18,4,0)</f>
        <v>4</v>
      </c>
      <c r="AO212" s="173">
        <f t="shared" si="338"/>
        <v>14760000</v>
      </c>
      <c r="AP212" s="195">
        <f t="shared" si="339"/>
        <v>42486000</v>
      </c>
      <c r="AQ212" s="365" t="s">
        <v>721</v>
      </c>
      <c r="AR212" s="366" t="str">
        <f t="shared" si="274"/>
        <v>Divo</v>
      </c>
      <c r="AS212" s="352" t="s">
        <v>723</v>
      </c>
      <c r="AT212" s="353" t="s">
        <v>883</v>
      </c>
      <c r="AU212" s="327" t="s">
        <v>712</v>
      </c>
      <c r="AW212" s="357">
        <v>411</v>
      </c>
      <c r="AY212" s="357">
        <v>552</v>
      </c>
      <c r="AZ212" s="357" t="s">
        <v>1121</v>
      </c>
      <c r="BA212" s="369"/>
      <c r="BB212" s="369"/>
      <c r="BC212" s="369"/>
      <c r="BD212" s="369"/>
      <c r="BE212" s="369"/>
      <c r="BF212" s="369"/>
      <c r="BG212" s="369"/>
      <c r="BH212" s="369"/>
      <c r="BI212" s="369"/>
      <c r="BJ212" s="369"/>
      <c r="BK212" s="369">
        <v>1</v>
      </c>
      <c r="BL212" s="369"/>
      <c r="BM212" s="369"/>
      <c r="BN212" s="369"/>
      <c r="BO212" s="369">
        <v>1</v>
      </c>
      <c r="BP212" s="369"/>
      <c r="BQ212" s="369"/>
      <c r="BR212" s="369"/>
      <c r="BS212" s="369"/>
      <c r="BT212" s="369"/>
      <c r="BU212" s="387" t="s">
        <v>1221</v>
      </c>
      <c r="BV212" s="326"/>
      <c r="BW212" s="326"/>
      <c r="BX212" s="326">
        <v>1</v>
      </c>
      <c r="BY212" s="367">
        <v>380</v>
      </c>
      <c r="BZ212" s="368">
        <v>78.400000000000006</v>
      </c>
      <c r="CA212" s="368">
        <v>52.2</v>
      </c>
      <c r="CB212" s="368">
        <v>57.07</v>
      </c>
      <c r="CC212" s="368">
        <f t="shared" si="340"/>
        <v>16</v>
      </c>
      <c r="CD212" s="368">
        <f t="shared" si="341"/>
        <v>7.2999999999999972</v>
      </c>
      <c r="CE212" s="368">
        <f t="shared" si="342"/>
        <v>9.279999999999994</v>
      </c>
      <c r="CF212" s="368">
        <f t="shared" si="343"/>
        <v>16.919999999999995</v>
      </c>
      <c r="CG212" s="368">
        <f t="shared" si="344"/>
        <v>49.499999999999986</v>
      </c>
      <c r="CH212" s="368">
        <f t="shared" si="345"/>
        <v>50.038999999999987</v>
      </c>
      <c r="CI212" s="42"/>
      <c r="CJ212" s="42"/>
      <c r="CK212" s="42"/>
      <c r="CL212" s="42"/>
    </row>
    <row r="213" spans="1:90" ht="21" customHeight="1">
      <c r="A213" s="80">
        <v>211</v>
      </c>
      <c r="B213" s="55" t="s">
        <v>1345</v>
      </c>
      <c r="C213" s="86" t="s">
        <v>1346</v>
      </c>
      <c r="D213" s="255" t="s">
        <v>42</v>
      </c>
      <c r="E213" s="247" t="s">
        <v>79</v>
      </c>
      <c r="F213" s="173">
        <f t="shared" ref="F213" si="377">9-LEN(E213)-LEN(SUBSTITUTE(E213,"★",""))</f>
        <v>3</v>
      </c>
      <c r="G213" s="83" t="s">
        <v>904</v>
      </c>
      <c r="H213" s="232">
        <v>85</v>
      </c>
      <c r="I213" s="236">
        <v>25</v>
      </c>
      <c r="J213" s="236">
        <v>29</v>
      </c>
      <c r="K213" s="236">
        <v>38</v>
      </c>
      <c r="L213" s="236">
        <v>54</v>
      </c>
      <c r="M213" s="236">
        <v>69</v>
      </c>
      <c r="N213" s="243">
        <f t="shared" ref="N213" si="378">IF(COUNTBLANK(H213:M213),"",SUM(H213:M213))</f>
        <v>300</v>
      </c>
      <c r="O213" s="57">
        <v>4779</v>
      </c>
      <c r="P213" s="211">
        <v>395.2</v>
      </c>
      <c r="Q213" s="218">
        <v>86</v>
      </c>
      <c r="R213" s="218">
        <v>73.709999999999994</v>
      </c>
      <c r="S213" s="218">
        <v>61.51</v>
      </c>
      <c r="T213" s="218"/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ref="AK213" si="379">IF(AI213,2*AI213,"")</f>
        <v>180000</v>
      </c>
      <c r="AL213" s="174">
        <f>VLOOKUP(D213&amp;E213,计算辅助页面!$V$5:$Y$18,3,0)</f>
        <v>5</v>
      </c>
      <c r="AM213" s="179">
        <f t="shared" ref="AM213" si="380">IF(AN213="×",AN213,IF(AI213,6*AI213,""))</f>
        <v>540000</v>
      </c>
      <c r="AN213" s="179">
        <f>VLOOKUP(D213&amp;E213,计算辅助页面!$V$5:$Y$18,4,0)</f>
        <v>4</v>
      </c>
      <c r="AO213" s="173">
        <f t="shared" ref="AO213" si="381">IF(AI213,IF(AN213="×",4*(AI213*AJ213+AK213*AL213),4*(AI213*AJ213+AK213*AL213+AM213*AN213)),"")</f>
        <v>14760000</v>
      </c>
      <c r="AP213" s="195">
        <f t="shared" ref="AP213" si="382">IF(AND(AH213,AO213),AO213+AH213,"")</f>
        <v>42486000</v>
      </c>
      <c r="AQ213" s="365" t="s">
        <v>1347</v>
      </c>
      <c r="AR213" s="366" t="str">
        <f t="shared" si="274"/>
        <v>TS 900 Racer Pro</v>
      </c>
      <c r="AS213" s="352" t="s">
        <v>1334</v>
      </c>
      <c r="AT213" s="353" t="s">
        <v>1348</v>
      </c>
      <c r="AU213" s="327" t="s">
        <v>712</v>
      </c>
      <c r="AW213" s="357">
        <v>411</v>
      </c>
      <c r="AY213" s="357">
        <v>552</v>
      </c>
      <c r="AZ213" s="384" t="s">
        <v>1330</v>
      </c>
      <c r="BA213" s="369"/>
      <c r="BB213" s="369"/>
      <c r="BC213" s="369"/>
      <c r="BD213" s="369"/>
      <c r="BE213" s="369"/>
      <c r="BF213" s="369"/>
      <c r="BG213" s="369"/>
      <c r="BH213" s="369"/>
      <c r="BI213" s="369"/>
      <c r="BJ213" s="369"/>
      <c r="BK213" s="369">
        <v>1</v>
      </c>
      <c r="BL213" s="369"/>
      <c r="BM213" s="369"/>
      <c r="BN213" s="369"/>
      <c r="BO213" s="369"/>
      <c r="BP213" s="369"/>
      <c r="BQ213" s="369"/>
      <c r="BR213" s="369"/>
      <c r="BS213" s="369"/>
      <c r="BT213" s="369"/>
      <c r="BU213" s="387"/>
      <c r="BV213" s="326"/>
      <c r="BW213" s="326"/>
      <c r="BX213" s="326"/>
      <c r="BY213" s="367"/>
      <c r="BZ213" s="368"/>
      <c r="CA213" s="368"/>
      <c r="CB213" s="368"/>
      <c r="CC213" s="368"/>
      <c r="CD213" s="368"/>
      <c r="CE213" s="368"/>
      <c r="CF213" s="368"/>
      <c r="CG213" s="368"/>
      <c r="CH213" s="368"/>
      <c r="CI213" s="42"/>
      <c r="CJ213" s="42"/>
      <c r="CK213" s="42"/>
      <c r="CL213" s="42"/>
    </row>
    <row r="214" spans="1:90" ht="21" customHeight="1" thickBot="1">
      <c r="A214" s="48">
        <v>212</v>
      </c>
      <c r="B214" s="55" t="s">
        <v>902</v>
      </c>
      <c r="C214" s="86" t="s">
        <v>903</v>
      </c>
      <c r="D214" s="255" t="s">
        <v>42</v>
      </c>
      <c r="E214" s="247" t="s">
        <v>79</v>
      </c>
      <c r="F214" s="173">
        <f t="shared" si="335"/>
        <v>3</v>
      </c>
      <c r="G214" s="83" t="s">
        <v>904</v>
      </c>
      <c r="H214" s="232">
        <v>85</v>
      </c>
      <c r="I214" s="236">
        <v>25</v>
      </c>
      <c r="J214" s="236">
        <v>29</v>
      </c>
      <c r="K214" s="236">
        <v>38</v>
      </c>
      <c r="L214" s="236">
        <v>54</v>
      </c>
      <c r="M214" s="236">
        <v>69</v>
      </c>
      <c r="N214" s="243">
        <f t="shared" si="366"/>
        <v>300</v>
      </c>
      <c r="O214" s="57">
        <v>4796</v>
      </c>
      <c r="P214" s="211">
        <v>412.5</v>
      </c>
      <c r="Q214" s="218">
        <v>82.6</v>
      </c>
      <c r="R214" s="218">
        <v>63.86</v>
      </c>
      <c r="S214" s="218">
        <v>64.86</v>
      </c>
      <c r="T214" s="218"/>
      <c r="U214" s="84">
        <v>23000</v>
      </c>
      <c r="V214" s="292">
        <f>VLOOKUP($U214,计算辅助页面!$Z$5:$AM$26,COLUMN()-20,0)</f>
        <v>37500</v>
      </c>
      <c r="W214" s="292">
        <f>VLOOKUP($U214,计算辅助页面!$Z$5:$AM$26,COLUMN()-20,0)</f>
        <v>60000</v>
      </c>
      <c r="X214" s="226">
        <f>VLOOKUP($U214,计算辅助页面!$Z$5:$AM$26,COLUMN()-20,0)</f>
        <v>90000</v>
      </c>
      <c r="Y214" s="226">
        <f>VLOOKUP($U214,计算辅助页面!$Z$5:$AM$26,COLUMN()-20,0)</f>
        <v>130000</v>
      </c>
      <c r="Z214" s="293">
        <f>VLOOKUP($U214,计算辅助页面!$Z$5:$AM$26,COLUMN()-20,0)</f>
        <v>182000</v>
      </c>
      <c r="AA214" s="226">
        <f>VLOOKUP($U214,计算辅助页面!$Z$5:$AM$26,COLUMN()-20,0)</f>
        <v>255000</v>
      </c>
      <c r="AB214" s="226">
        <f>VLOOKUP($U214,计算辅助页面!$Z$5:$AM$26,COLUMN()-20,0)</f>
        <v>356500</v>
      </c>
      <c r="AC214" s="226">
        <f>VLOOKUP($U214,计算辅助页面!$Z$5:$AM$26,COLUMN()-20,0)</f>
        <v>499500</v>
      </c>
      <c r="AD214" s="226">
        <f>VLOOKUP($U214,计算辅助页面!$Z$5:$AM$26,COLUMN()-20,0)</f>
        <v>699000</v>
      </c>
      <c r="AE214" s="226">
        <f>VLOOKUP($U214,计算辅助页面!$Z$5:$AM$26,COLUMN()-20,0)</f>
        <v>979000</v>
      </c>
      <c r="AF214" s="226">
        <f>VLOOKUP($U214,计算辅助页面!$Z$5:$AM$26,COLUMN()-20,0)</f>
        <v>1370000</v>
      </c>
      <c r="AG214" s="226">
        <f>VLOOKUP($U214,计算辅助页面!$Z$5:$AM$26,COLUMN()-20,0)</f>
        <v>2250000</v>
      </c>
      <c r="AH214" s="173">
        <f>VLOOKUP($U214,计算辅助页面!$Z$5:$AM$26,COLUMN()-20,0)</f>
        <v>27726000</v>
      </c>
      <c r="AI214" s="267">
        <v>90000</v>
      </c>
      <c r="AJ214" s="260">
        <f>VLOOKUP(D214&amp;E214,计算辅助页面!$V$5:$Y$18,2,0)</f>
        <v>7</v>
      </c>
      <c r="AK214" s="174">
        <f t="shared" si="336"/>
        <v>180000</v>
      </c>
      <c r="AL214" s="174">
        <f>VLOOKUP(D214&amp;E214,计算辅助页面!$V$5:$Y$18,3,0)</f>
        <v>5</v>
      </c>
      <c r="AM214" s="179">
        <f t="shared" si="337"/>
        <v>540000</v>
      </c>
      <c r="AN214" s="179">
        <f>VLOOKUP(D214&amp;E214,计算辅助页面!$V$5:$Y$18,4,0)</f>
        <v>4</v>
      </c>
      <c r="AO214" s="173">
        <f t="shared" si="338"/>
        <v>14760000</v>
      </c>
      <c r="AP214" s="195">
        <f t="shared" si="339"/>
        <v>42486000</v>
      </c>
      <c r="AQ214" s="365" t="s">
        <v>1043</v>
      </c>
      <c r="AR214" s="366" t="str">
        <f t="shared" si="274"/>
        <v>Evantra Millecavalli</v>
      </c>
      <c r="AS214" s="352" t="s">
        <v>905</v>
      </c>
      <c r="AT214" s="353" t="s">
        <v>917</v>
      </c>
      <c r="AU214" s="327" t="s">
        <v>712</v>
      </c>
      <c r="AW214" s="357">
        <v>432</v>
      </c>
      <c r="AY214" s="357">
        <v>563</v>
      </c>
      <c r="AZ214" s="357" t="s">
        <v>1121</v>
      </c>
      <c r="BA214" s="369"/>
      <c r="BB214" s="369"/>
      <c r="BC214" s="369"/>
      <c r="BD214" s="369"/>
      <c r="BE214" s="369"/>
      <c r="BF214" s="369"/>
      <c r="BG214" s="369"/>
      <c r="BH214" s="369"/>
      <c r="BI214" s="369"/>
      <c r="BJ214" s="369"/>
      <c r="BK214" s="369">
        <v>1</v>
      </c>
      <c r="BL214" s="369"/>
      <c r="BM214" s="369"/>
      <c r="BN214" s="369"/>
      <c r="BO214" s="369">
        <v>1</v>
      </c>
      <c r="BP214" s="369"/>
      <c r="BQ214" s="369"/>
      <c r="BR214" s="369"/>
      <c r="BS214" s="369"/>
      <c r="BT214" s="369"/>
      <c r="BU214" s="388" t="s">
        <v>1304</v>
      </c>
      <c r="BV214" s="326"/>
      <c r="BW214" s="326"/>
      <c r="BX214" s="326">
        <v>1</v>
      </c>
      <c r="BY214" s="367">
        <v>403</v>
      </c>
      <c r="BZ214" s="368">
        <v>75.7</v>
      </c>
      <c r="CA214" s="368">
        <v>52.41</v>
      </c>
      <c r="CB214" s="368">
        <v>49.44</v>
      </c>
      <c r="CC214" s="368">
        <f t="shared" si="340"/>
        <v>9.5</v>
      </c>
      <c r="CD214" s="368">
        <f t="shared" si="341"/>
        <v>6.8999999999999915</v>
      </c>
      <c r="CE214" s="368">
        <f t="shared" si="342"/>
        <v>11.450000000000003</v>
      </c>
      <c r="CF214" s="368">
        <f t="shared" si="343"/>
        <v>15.420000000000002</v>
      </c>
      <c r="CG214" s="368">
        <f t="shared" si="344"/>
        <v>43.269999999999996</v>
      </c>
      <c r="CH214" s="368">
        <f t="shared" si="345"/>
        <v>47.791099999999986</v>
      </c>
      <c r="CI214" s="42"/>
      <c r="CJ214" s="42"/>
      <c r="CK214" s="42"/>
      <c r="CL214" s="42"/>
    </row>
    <row r="215" spans="1:90" ht="21" customHeight="1">
      <c r="A215" s="80">
        <v>213</v>
      </c>
      <c r="B215" s="55" t="s">
        <v>1096</v>
      </c>
      <c r="C215" s="86" t="s">
        <v>1097</v>
      </c>
      <c r="D215" s="255" t="s">
        <v>42</v>
      </c>
      <c r="E215" s="247" t="s">
        <v>79</v>
      </c>
      <c r="F215" s="173">
        <f t="shared" ref="F215" si="383">9-LEN(E215)-LEN(SUBSTITUTE(E215,"★",""))</f>
        <v>3</v>
      </c>
      <c r="G215" s="229"/>
      <c r="H215" s="232">
        <v>85</v>
      </c>
      <c r="I215" s="236">
        <v>25</v>
      </c>
      <c r="J215" s="236">
        <v>29</v>
      </c>
      <c r="K215" s="236">
        <v>38</v>
      </c>
      <c r="L215" s="236">
        <v>54</v>
      </c>
      <c r="M215" s="236">
        <v>69</v>
      </c>
      <c r="N215" s="243">
        <f t="shared" ref="N215" si="384">IF(COUNTBLANK(H215:M215),"",SUM(H215:M215))</f>
        <v>300</v>
      </c>
      <c r="O215" s="57">
        <v>4806</v>
      </c>
      <c r="P215" s="211">
        <v>460.6</v>
      </c>
      <c r="Q215" s="218">
        <v>81.290000000000006</v>
      </c>
      <c r="R215" s="218">
        <v>60.32</v>
      </c>
      <c r="S215" s="218">
        <v>54.19</v>
      </c>
      <c r="T215" s="218">
        <v>4.5</v>
      </c>
      <c r="U215" s="84">
        <v>23000</v>
      </c>
      <c r="V215" s="292">
        <f>VLOOKUP($U215,计算辅助页面!$Z$5:$AM$26,COLUMN()-20,0)</f>
        <v>37500</v>
      </c>
      <c r="W215" s="292">
        <f>VLOOKUP($U215,计算辅助页面!$Z$5:$AM$26,COLUMN()-20,0)</f>
        <v>60000</v>
      </c>
      <c r="X215" s="226">
        <f>VLOOKUP($U215,计算辅助页面!$Z$5:$AM$26,COLUMN()-20,0)</f>
        <v>90000</v>
      </c>
      <c r="Y215" s="226">
        <f>VLOOKUP($U215,计算辅助页面!$Z$5:$AM$26,COLUMN()-20,0)</f>
        <v>130000</v>
      </c>
      <c r="Z215" s="293">
        <f>VLOOKUP($U215,计算辅助页面!$Z$5:$AM$26,COLUMN()-20,0)</f>
        <v>182000</v>
      </c>
      <c r="AA215" s="226">
        <f>VLOOKUP($U215,计算辅助页面!$Z$5:$AM$26,COLUMN()-20,0)</f>
        <v>255000</v>
      </c>
      <c r="AB215" s="226">
        <f>VLOOKUP($U215,计算辅助页面!$Z$5:$AM$26,COLUMN()-20,0)</f>
        <v>356500</v>
      </c>
      <c r="AC215" s="226">
        <f>VLOOKUP($U215,计算辅助页面!$Z$5:$AM$26,COLUMN()-20,0)</f>
        <v>499500</v>
      </c>
      <c r="AD215" s="226">
        <f>VLOOKUP($U215,计算辅助页面!$Z$5:$AM$26,COLUMN()-20,0)</f>
        <v>699000</v>
      </c>
      <c r="AE215" s="226">
        <f>VLOOKUP($U215,计算辅助页面!$Z$5:$AM$26,COLUMN()-20,0)</f>
        <v>979000</v>
      </c>
      <c r="AF215" s="226">
        <f>VLOOKUP($U215,计算辅助页面!$Z$5:$AM$26,COLUMN()-20,0)</f>
        <v>1370000</v>
      </c>
      <c r="AG215" s="226">
        <f>VLOOKUP($U215,计算辅助页面!$Z$5:$AM$26,COLUMN()-20,0)</f>
        <v>2250000</v>
      </c>
      <c r="AH215" s="173">
        <f>VLOOKUP($U215,计算辅助页面!$Z$5:$AM$26,COLUMN()-20,0)</f>
        <v>27726000</v>
      </c>
      <c r="AI215" s="267">
        <v>90000</v>
      </c>
      <c r="AJ215" s="260">
        <f>VLOOKUP(D215&amp;E215,计算辅助页面!$V$5:$Y$18,2,0)</f>
        <v>7</v>
      </c>
      <c r="AK215" s="174">
        <f t="shared" ref="AK215" si="385">IF(AI215,2*AI215,"")</f>
        <v>180000</v>
      </c>
      <c r="AL215" s="174">
        <f>VLOOKUP(D215&amp;E215,计算辅助页面!$V$5:$Y$18,3,0)</f>
        <v>5</v>
      </c>
      <c r="AM215" s="179">
        <f t="shared" ref="AM215" si="386">IF(AN215="×",AN215,IF(AI215,6*AI215,""))</f>
        <v>540000</v>
      </c>
      <c r="AN215" s="179">
        <f>VLOOKUP(D215&amp;E215,计算辅助页面!$V$5:$Y$18,4,0)</f>
        <v>4</v>
      </c>
      <c r="AO215" s="173">
        <f t="shared" ref="AO215" si="387">IF(AI215,IF(AN215="×",4*(AI215*AJ215+AK215*AL215),4*(AI215*AJ215+AK215*AL215+AM215*AN215)),"")</f>
        <v>14760000</v>
      </c>
      <c r="AP215" s="195">
        <f t="shared" ref="AP215" si="388">IF(AND(AH215,AO215),AO215+AH215,"")</f>
        <v>42486000</v>
      </c>
      <c r="AQ215" s="365" t="s">
        <v>1099</v>
      </c>
      <c r="AR215" s="366" t="str">
        <f t="shared" si="274"/>
        <v>1MW</v>
      </c>
      <c r="AS215" s="352" t="s">
        <v>1082</v>
      </c>
      <c r="AT215" s="353" t="s">
        <v>1100</v>
      </c>
      <c r="AU215" s="327" t="s">
        <v>712</v>
      </c>
      <c r="AW215" s="357">
        <v>485</v>
      </c>
      <c r="AY215" s="357">
        <v>587</v>
      </c>
      <c r="AZ215" s="357" t="s">
        <v>1121</v>
      </c>
      <c r="BA215" s="369"/>
      <c r="BB215" s="369"/>
      <c r="BC215" s="369"/>
      <c r="BD215" s="369"/>
      <c r="BE215" s="369"/>
      <c r="BF215" s="369"/>
      <c r="BG215" s="369"/>
      <c r="BH215" s="369"/>
      <c r="BI215" s="369"/>
      <c r="BJ215" s="369"/>
      <c r="BK215" s="369">
        <v>1</v>
      </c>
      <c r="BL215" s="369"/>
      <c r="BM215" s="369"/>
      <c r="BN215" s="369"/>
      <c r="BO215" s="369"/>
      <c r="BP215" s="369"/>
      <c r="BQ215" s="369"/>
      <c r="BR215" s="369"/>
      <c r="BS215" s="369"/>
      <c r="BT215" s="369"/>
      <c r="BU215" s="387" t="s">
        <v>1222</v>
      </c>
      <c r="BV215" s="326"/>
      <c r="BW215" s="326"/>
      <c r="BX215" s="326"/>
      <c r="BY215" s="367"/>
      <c r="BZ215" s="368"/>
      <c r="CA215" s="368"/>
      <c r="CB215" s="368"/>
      <c r="CC215" s="368"/>
      <c r="CD215" s="368"/>
      <c r="CE215" s="368"/>
      <c r="CF215" s="368"/>
      <c r="CG215" s="368"/>
      <c r="CH215" s="368"/>
      <c r="CI215" s="42"/>
      <c r="CJ215" s="42"/>
      <c r="CK215" s="42"/>
      <c r="CL215" s="42"/>
    </row>
    <row r="216" spans="1:90" ht="21" customHeight="1" thickBot="1">
      <c r="A216" s="48">
        <v>214</v>
      </c>
      <c r="B216" s="55" t="s">
        <v>1443</v>
      </c>
      <c r="C216" s="86" t="s">
        <v>1444</v>
      </c>
      <c r="D216" s="255" t="s">
        <v>42</v>
      </c>
      <c r="E216" s="247" t="s">
        <v>79</v>
      </c>
      <c r="F216" s="230"/>
      <c r="G216" s="229"/>
      <c r="H216" s="232">
        <v>85</v>
      </c>
      <c r="I216" s="236">
        <v>25</v>
      </c>
      <c r="J216" s="236">
        <v>29</v>
      </c>
      <c r="K216" s="236">
        <v>38</v>
      </c>
      <c r="L216" s="236">
        <v>54</v>
      </c>
      <c r="M216" s="236">
        <v>69</v>
      </c>
      <c r="N216" s="243">
        <f t="shared" ref="N216" si="389">IF(COUNTBLANK(H216:M216),"",SUM(H216:M216))</f>
        <v>300</v>
      </c>
      <c r="O216" s="57">
        <v>4817</v>
      </c>
      <c r="P216" s="211">
        <v>447.1</v>
      </c>
      <c r="Q216" s="218">
        <v>84.34</v>
      </c>
      <c r="R216" s="218">
        <v>61.43</v>
      </c>
      <c r="S216" s="218">
        <v>39.21</v>
      </c>
      <c r="T216" s="218"/>
      <c r="U216" s="84">
        <v>23000</v>
      </c>
      <c r="V216" s="292">
        <f>VLOOKUP($U216,计算辅助页面!$Z$5:$AM$26,COLUMN()-20,0)</f>
        <v>37500</v>
      </c>
      <c r="W216" s="292">
        <f>VLOOKUP($U216,计算辅助页面!$Z$5:$AM$26,COLUMN()-20,0)</f>
        <v>60000</v>
      </c>
      <c r="X216" s="226">
        <f>VLOOKUP($U216,计算辅助页面!$Z$5:$AM$26,COLUMN()-20,0)</f>
        <v>90000</v>
      </c>
      <c r="Y216" s="226">
        <f>VLOOKUP($U216,计算辅助页面!$Z$5:$AM$26,COLUMN()-20,0)</f>
        <v>130000</v>
      </c>
      <c r="Z216" s="293">
        <f>VLOOKUP($U216,计算辅助页面!$Z$5:$AM$26,COLUMN()-20,0)</f>
        <v>182000</v>
      </c>
      <c r="AA216" s="226">
        <f>VLOOKUP($U216,计算辅助页面!$Z$5:$AM$26,COLUMN()-20,0)</f>
        <v>255000</v>
      </c>
      <c r="AB216" s="226">
        <f>VLOOKUP($U216,计算辅助页面!$Z$5:$AM$26,COLUMN()-20,0)</f>
        <v>356500</v>
      </c>
      <c r="AC216" s="226">
        <f>VLOOKUP($U216,计算辅助页面!$Z$5:$AM$26,COLUMN()-20,0)</f>
        <v>499500</v>
      </c>
      <c r="AD216" s="226">
        <f>VLOOKUP($U216,计算辅助页面!$Z$5:$AM$26,COLUMN()-20,0)</f>
        <v>699000</v>
      </c>
      <c r="AE216" s="226">
        <f>VLOOKUP($U216,计算辅助页面!$Z$5:$AM$26,COLUMN()-20,0)</f>
        <v>979000</v>
      </c>
      <c r="AF216" s="226">
        <f>VLOOKUP($U216,计算辅助页面!$Z$5:$AM$26,COLUMN()-20,0)</f>
        <v>1370000</v>
      </c>
      <c r="AG216" s="226">
        <f>VLOOKUP($U216,计算辅助页面!$Z$5:$AM$26,COLUMN()-20,0)</f>
        <v>2250000</v>
      </c>
      <c r="AH216" s="173">
        <f>VLOOKUP($U216,计算辅助页面!$Z$5:$AM$26,COLUMN()-20,0)</f>
        <v>27726000</v>
      </c>
      <c r="AI216" s="267">
        <v>90000</v>
      </c>
      <c r="AJ216" s="260">
        <f>VLOOKUP(D216&amp;E216,计算辅助页面!$V$5:$Y$18,2,0)</f>
        <v>7</v>
      </c>
      <c r="AK216" s="174">
        <f t="shared" ref="AK216" si="390">IF(AI216,2*AI216,"")</f>
        <v>180000</v>
      </c>
      <c r="AL216" s="174">
        <f>VLOOKUP(D216&amp;E216,计算辅助页面!$V$5:$Y$18,3,0)</f>
        <v>5</v>
      </c>
      <c r="AM216" s="179">
        <f t="shared" ref="AM216" si="391">IF(AN216="×",AN216,IF(AI216,6*AI216,""))</f>
        <v>540000</v>
      </c>
      <c r="AN216" s="179">
        <f>VLOOKUP(D216&amp;E216,计算辅助页面!$V$5:$Y$18,4,0)</f>
        <v>4</v>
      </c>
      <c r="AO216" s="173">
        <f t="shared" ref="AO216" si="392">IF(AI216,IF(AN216="×",4*(AI216*AJ216+AK216*AL216),4*(AI216*AJ216+AK216*AL216+AM216*AN216)),"")</f>
        <v>14760000</v>
      </c>
      <c r="AP216" s="195">
        <f t="shared" ref="AP216" si="393">IF(AND(AH216,AO216),AO216+AH216,"")</f>
        <v>42486000</v>
      </c>
      <c r="AQ216" s="365" t="s">
        <v>1044</v>
      </c>
      <c r="AR216" s="366" t="str">
        <f t="shared" si="274"/>
        <v>Settimo Cerchio</v>
      </c>
      <c r="AS216" s="352" t="s">
        <v>1427</v>
      </c>
      <c r="AT216" s="353" t="s">
        <v>1445</v>
      </c>
      <c r="AU216" s="327" t="s">
        <v>712</v>
      </c>
      <c r="AW216" s="357">
        <v>470</v>
      </c>
      <c r="AY216" s="357">
        <v>581</v>
      </c>
      <c r="AZ216" s="384" t="s">
        <v>1330</v>
      </c>
      <c r="BA216" s="369"/>
      <c r="BB216" s="369"/>
      <c r="BC216" s="369"/>
      <c r="BD216" s="369"/>
      <c r="BE216" s="369"/>
      <c r="BF216" s="369"/>
      <c r="BG216" s="369"/>
      <c r="BH216" s="369"/>
      <c r="BI216" s="369"/>
      <c r="BJ216" s="369"/>
      <c r="BK216" s="369"/>
      <c r="BL216" s="369"/>
      <c r="BM216" s="369"/>
      <c r="BN216" s="369"/>
      <c r="BO216" s="369"/>
      <c r="BP216" s="369"/>
      <c r="BQ216" s="369"/>
      <c r="BR216" s="369"/>
      <c r="BS216" s="369"/>
      <c r="BT216" s="369"/>
      <c r="BU216" s="389" t="s">
        <v>1446</v>
      </c>
      <c r="BV216" s="326"/>
      <c r="BW216" s="326"/>
      <c r="BX216" s="326"/>
      <c r="BY216" s="367"/>
      <c r="BZ216" s="368"/>
      <c r="CA216" s="368"/>
      <c r="CB216" s="368"/>
      <c r="CC216" s="368"/>
      <c r="CD216" s="368"/>
      <c r="CE216" s="368"/>
      <c r="CF216" s="368"/>
      <c r="CG216" s="368"/>
      <c r="CH216" s="368"/>
      <c r="CI216" s="42"/>
      <c r="CJ216" s="42"/>
      <c r="CK216" s="42"/>
      <c r="CL216" s="42"/>
    </row>
    <row r="217" spans="1:90" ht="21" customHeight="1">
      <c r="A217" s="80">
        <v>215</v>
      </c>
      <c r="B217" s="55" t="s">
        <v>1325</v>
      </c>
      <c r="C217" s="86" t="s">
        <v>834</v>
      </c>
      <c r="D217" s="255" t="s">
        <v>42</v>
      </c>
      <c r="E217" s="247" t="s">
        <v>79</v>
      </c>
      <c r="F217" s="173">
        <f t="shared" si="335"/>
        <v>3</v>
      </c>
      <c r="G217" s="83" t="s">
        <v>76</v>
      </c>
      <c r="H217" s="232" t="s">
        <v>408</v>
      </c>
      <c r="I217" s="222">
        <v>40</v>
      </c>
      <c r="J217" s="222">
        <v>45</v>
      </c>
      <c r="K217" s="222">
        <v>60</v>
      </c>
      <c r="L217" s="222">
        <v>70</v>
      </c>
      <c r="M217" s="222">
        <v>85</v>
      </c>
      <c r="N217" s="226">
        <f t="shared" si="366"/>
        <v>300</v>
      </c>
      <c r="O217" s="57">
        <v>4826</v>
      </c>
      <c r="P217" s="211">
        <v>496.6</v>
      </c>
      <c r="Q217" s="218">
        <v>80.069999999999993</v>
      </c>
      <c r="R217" s="218">
        <v>48.19</v>
      </c>
      <c r="S217" s="218">
        <v>58.23</v>
      </c>
      <c r="T217" s="218">
        <v>4.8</v>
      </c>
      <c r="U217" s="84">
        <v>23000</v>
      </c>
      <c r="V217" s="292">
        <f>VLOOKUP($U217,计算辅助页面!$Z$5:$AM$26,COLUMN()-20,0)</f>
        <v>37500</v>
      </c>
      <c r="W217" s="292">
        <f>VLOOKUP($U217,计算辅助页面!$Z$5:$AM$26,COLUMN()-20,0)</f>
        <v>60000</v>
      </c>
      <c r="X217" s="226">
        <f>VLOOKUP($U217,计算辅助页面!$Z$5:$AM$26,COLUMN()-20,0)</f>
        <v>90000</v>
      </c>
      <c r="Y217" s="226">
        <f>VLOOKUP($U217,计算辅助页面!$Z$5:$AM$26,COLUMN()-20,0)</f>
        <v>130000</v>
      </c>
      <c r="Z217" s="293">
        <f>VLOOKUP($U217,计算辅助页面!$Z$5:$AM$26,COLUMN()-20,0)</f>
        <v>182000</v>
      </c>
      <c r="AA217" s="226">
        <f>VLOOKUP($U217,计算辅助页面!$Z$5:$AM$26,COLUMN()-20,0)</f>
        <v>255000</v>
      </c>
      <c r="AB217" s="226">
        <f>VLOOKUP($U217,计算辅助页面!$Z$5:$AM$26,COLUMN()-20,0)</f>
        <v>356500</v>
      </c>
      <c r="AC217" s="226">
        <f>VLOOKUP($U217,计算辅助页面!$Z$5:$AM$26,COLUMN()-20,0)</f>
        <v>499500</v>
      </c>
      <c r="AD217" s="226">
        <f>VLOOKUP($U217,计算辅助页面!$Z$5:$AM$26,COLUMN()-20,0)</f>
        <v>699000</v>
      </c>
      <c r="AE217" s="226">
        <f>VLOOKUP($U217,计算辅助页面!$Z$5:$AM$26,COLUMN()-20,0)</f>
        <v>979000</v>
      </c>
      <c r="AF217" s="226">
        <f>VLOOKUP($U217,计算辅助页面!$Z$5:$AM$26,COLUMN()-20,0)</f>
        <v>1370000</v>
      </c>
      <c r="AG217" s="226">
        <f>VLOOKUP($U217,计算辅助页面!$Z$5:$AM$26,COLUMN()-20,0)</f>
        <v>2250000</v>
      </c>
      <c r="AH217" s="173">
        <f>VLOOKUP($U217,计算辅助页面!$Z$5:$AM$26,COLUMN()-20,0)</f>
        <v>27726000</v>
      </c>
      <c r="AI217" s="267">
        <v>90000</v>
      </c>
      <c r="AJ217" s="260">
        <f>VLOOKUP(D217&amp;E217,计算辅助页面!$V$5:$Y$18,2,0)</f>
        <v>7</v>
      </c>
      <c r="AK217" s="174">
        <f t="shared" si="336"/>
        <v>180000</v>
      </c>
      <c r="AL217" s="174">
        <f>VLOOKUP(D217&amp;E217,计算辅助页面!$V$5:$Y$18,3,0)</f>
        <v>5</v>
      </c>
      <c r="AM217" s="179">
        <f t="shared" si="337"/>
        <v>540000</v>
      </c>
      <c r="AN217" s="179">
        <f>VLOOKUP(D217&amp;E217,计算辅助页面!$V$5:$Y$18,4,0)</f>
        <v>4</v>
      </c>
      <c r="AO217" s="173">
        <f t="shared" si="338"/>
        <v>14760000</v>
      </c>
      <c r="AP217" s="195">
        <f t="shared" si="339"/>
        <v>42486000</v>
      </c>
      <c r="AQ217" s="365" t="s">
        <v>571</v>
      </c>
      <c r="AR217" s="366" t="str">
        <f t="shared" ref="AR217:AR231" si="394">TRIM(RIGHT(B217,LEN(B217)-LEN(AQ217)-1))</f>
        <v>Jesko🔑</v>
      </c>
      <c r="AS217" s="352" t="s">
        <v>955</v>
      </c>
      <c r="AT217" s="353" t="s">
        <v>689</v>
      </c>
      <c r="AU217" s="327" t="s">
        <v>712</v>
      </c>
      <c r="AW217" s="357">
        <v>522</v>
      </c>
      <c r="AY217" s="357">
        <v>600</v>
      </c>
      <c r="AZ217" s="357" t="s">
        <v>1112</v>
      </c>
      <c r="BA217" s="369"/>
      <c r="BB217" s="369"/>
      <c r="BC217" s="369"/>
      <c r="BD217" s="369"/>
      <c r="BE217" s="369"/>
      <c r="BF217" s="369"/>
      <c r="BG217" s="369"/>
      <c r="BH217" s="369"/>
      <c r="BI217" s="369"/>
      <c r="BJ217" s="369"/>
      <c r="BK217" s="369"/>
      <c r="BL217" s="369"/>
      <c r="BM217" s="369">
        <v>1</v>
      </c>
      <c r="BN217" s="369">
        <v>1</v>
      </c>
      <c r="BO217" s="369">
        <v>1</v>
      </c>
      <c r="BP217" s="369"/>
      <c r="BQ217" s="369"/>
      <c r="BR217" s="369"/>
      <c r="BS217" s="369"/>
      <c r="BT217" s="369"/>
      <c r="BU217" s="387" t="s">
        <v>1223</v>
      </c>
      <c r="BV217" s="326"/>
      <c r="BW217" s="326"/>
      <c r="BX217" s="326"/>
      <c r="BY217" s="367">
        <v>484</v>
      </c>
      <c r="BZ217" s="368">
        <v>74.8</v>
      </c>
      <c r="CA217" s="368">
        <v>41.93</v>
      </c>
      <c r="CB217" s="368">
        <v>42.56</v>
      </c>
      <c r="CC217" s="368">
        <f t="shared" si="340"/>
        <v>12.600000000000023</v>
      </c>
      <c r="CD217" s="368">
        <f t="shared" si="341"/>
        <v>5.269999999999996</v>
      </c>
      <c r="CE217" s="368">
        <f t="shared" si="342"/>
        <v>6.259999999999998</v>
      </c>
      <c r="CF217" s="368">
        <f t="shared" si="343"/>
        <v>15.669999999999995</v>
      </c>
      <c r="CG217" s="368">
        <f t="shared" si="344"/>
        <v>39.800000000000011</v>
      </c>
      <c r="CH217" s="368">
        <f t="shared" si="345"/>
        <v>40.385899999999992</v>
      </c>
      <c r="CI217" s="42"/>
      <c r="CJ217" s="42"/>
      <c r="CK217" s="42"/>
      <c r="CL217" s="42"/>
    </row>
    <row r="218" spans="1:90" ht="21" customHeight="1" thickBot="1">
      <c r="A218" s="48">
        <v>216</v>
      </c>
      <c r="B218" s="55" t="s">
        <v>1410</v>
      </c>
      <c r="C218" s="86" t="s">
        <v>1409</v>
      </c>
      <c r="D218" s="255" t="s">
        <v>190</v>
      </c>
      <c r="E218" s="394" t="s">
        <v>191</v>
      </c>
      <c r="F218" s="230"/>
      <c r="G218" s="229"/>
      <c r="H218" s="232" t="s">
        <v>449</v>
      </c>
      <c r="I218" s="236">
        <v>40</v>
      </c>
      <c r="J218" s="236">
        <v>45</v>
      </c>
      <c r="K218" s="236">
        <v>60</v>
      </c>
      <c r="L218" s="236">
        <v>70</v>
      </c>
      <c r="M218" s="236">
        <v>85</v>
      </c>
      <c r="N218" s="243">
        <v>300</v>
      </c>
      <c r="O218" s="57">
        <v>4843</v>
      </c>
      <c r="P218" s="211">
        <v>402.7</v>
      </c>
      <c r="Q218" s="218">
        <v>86.51</v>
      </c>
      <c r="R218" s="218">
        <v>62.58</v>
      </c>
      <c r="S218" s="218">
        <v>77.09</v>
      </c>
      <c r="T218" s="218">
        <v>7.3</v>
      </c>
      <c r="U218" s="84">
        <v>23000</v>
      </c>
      <c r="V218" s="292">
        <f>VLOOKUP($U218,计算辅助页面!$Z$5:$AM$26,COLUMN()-20,0)</f>
        <v>37500</v>
      </c>
      <c r="W218" s="292">
        <f>VLOOKUP($U218,计算辅助页面!$Z$5:$AM$26,COLUMN()-20,0)</f>
        <v>60000</v>
      </c>
      <c r="X218" s="226">
        <f>VLOOKUP($U218,计算辅助页面!$Z$5:$AM$26,COLUMN()-20,0)</f>
        <v>90000</v>
      </c>
      <c r="Y218" s="226">
        <f>VLOOKUP($U218,计算辅助页面!$Z$5:$AM$26,COLUMN()-20,0)</f>
        <v>130000</v>
      </c>
      <c r="Z218" s="293">
        <f>VLOOKUP($U218,计算辅助页面!$Z$5:$AM$26,COLUMN()-20,0)</f>
        <v>182000</v>
      </c>
      <c r="AA218" s="226">
        <f>VLOOKUP($U218,计算辅助页面!$Z$5:$AM$26,COLUMN()-20,0)</f>
        <v>255000</v>
      </c>
      <c r="AB218" s="226">
        <f>VLOOKUP($U218,计算辅助页面!$Z$5:$AM$26,COLUMN()-20,0)</f>
        <v>356500</v>
      </c>
      <c r="AC218" s="226">
        <f>VLOOKUP($U218,计算辅助页面!$Z$5:$AM$26,COLUMN()-20,0)</f>
        <v>499500</v>
      </c>
      <c r="AD218" s="226">
        <f>VLOOKUP($U218,计算辅助页面!$Z$5:$AM$26,COLUMN()-20,0)</f>
        <v>699000</v>
      </c>
      <c r="AE218" s="226">
        <f>VLOOKUP($U218,计算辅助页面!$Z$5:$AM$26,COLUMN()-20,0)</f>
        <v>979000</v>
      </c>
      <c r="AF218" s="226">
        <f>VLOOKUP($U218,计算辅助页面!$Z$5:$AM$26,COLUMN()-20,0)</f>
        <v>1370000</v>
      </c>
      <c r="AG218" s="226">
        <f>VLOOKUP($U218,计算辅助页面!$Z$5:$AM$26,COLUMN()-20,0)</f>
        <v>2250000</v>
      </c>
      <c r="AH218" s="173">
        <f>VLOOKUP($U218,计算辅助页面!$Z$5:$AM$26,COLUMN()-20,0)</f>
        <v>27726000</v>
      </c>
      <c r="AI218" s="267">
        <v>90000</v>
      </c>
      <c r="AJ218" s="260">
        <f>VLOOKUP(D218&amp;E218,计算辅助页面!$V$5:$Y$18,2,0)</f>
        <v>7</v>
      </c>
      <c r="AK218" s="174">
        <f t="shared" ref="AK218" si="395">IF(AI218,2*AI218,"")</f>
        <v>180000</v>
      </c>
      <c r="AL218" s="174">
        <f>VLOOKUP(D218&amp;E218,计算辅助页面!$V$5:$Y$18,3,0)</f>
        <v>5</v>
      </c>
      <c r="AM218" s="179">
        <f t="shared" ref="AM218" si="396">IF(AN218="×",AN218,IF(AI218,6*AI218,""))</f>
        <v>540000</v>
      </c>
      <c r="AN218" s="179">
        <f>VLOOKUP(D218&amp;E218,计算辅助页面!$V$5:$Y$18,4,0)</f>
        <v>4</v>
      </c>
      <c r="AO218" s="173">
        <f t="shared" ref="AO218" si="397">IF(AI218,IF(AN218="×",4*(AI218*AJ218+AK218*AL218),4*(AI218*AJ218+AK218*AL218+AM218*AN218)),"")</f>
        <v>14760000</v>
      </c>
      <c r="AP218" s="195">
        <f t="shared" ref="AP218" si="398">IF(AND(AH218,AO218),AO218+AH218,"")</f>
        <v>42486000</v>
      </c>
      <c r="AQ218" s="365" t="s">
        <v>721</v>
      </c>
      <c r="AR218" s="366" t="str">
        <f t="shared" si="394"/>
        <v>Centodieci🔑</v>
      </c>
      <c r="AS218" s="352" t="s">
        <v>1392</v>
      </c>
      <c r="AT218" s="353" t="s">
        <v>1411</v>
      </c>
      <c r="AU218" s="327" t="s">
        <v>712</v>
      </c>
      <c r="AW218" s="357">
        <v>418</v>
      </c>
      <c r="AY218" s="357">
        <v>557</v>
      </c>
      <c r="AZ218" s="384" t="s">
        <v>1412</v>
      </c>
      <c r="BA218" s="369"/>
      <c r="BB218" s="369"/>
      <c r="BC218" s="369"/>
      <c r="BD218" s="369"/>
      <c r="BE218" s="369"/>
      <c r="BF218" s="369"/>
      <c r="BG218" s="369"/>
      <c r="BH218" s="369"/>
      <c r="BI218" s="369"/>
      <c r="BJ218" s="369"/>
      <c r="BK218" s="369"/>
      <c r="BL218" s="369"/>
      <c r="BM218" s="369">
        <v>1</v>
      </c>
      <c r="BN218" s="369">
        <v>1</v>
      </c>
      <c r="BO218" s="369">
        <v>1</v>
      </c>
      <c r="BP218" s="369"/>
      <c r="BQ218" s="369"/>
      <c r="BR218" s="369"/>
      <c r="BS218" s="369"/>
      <c r="BT218" s="369"/>
      <c r="BU218" s="389" t="s">
        <v>1413</v>
      </c>
      <c r="BV218" s="326"/>
      <c r="BW218" s="326"/>
      <c r="BX218" s="326"/>
      <c r="BY218" s="367"/>
      <c r="BZ218" s="368"/>
      <c r="CA218" s="368"/>
      <c r="CB218" s="368"/>
      <c r="CC218" s="368"/>
      <c r="CD218" s="368"/>
      <c r="CE218" s="368"/>
      <c r="CF218" s="368"/>
      <c r="CG218" s="368"/>
      <c r="CH218" s="368"/>
      <c r="CI218" s="42"/>
      <c r="CJ218" s="42"/>
      <c r="CK218" s="42"/>
      <c r="CL218" s="42"/>
    </row>
    <row r="219" spans="1:90" ht="21" customHeight="1">
      <c r="A219" s="80">
        <v>217</v>
      </c>
      <c r="B219" s="55" t="s">
        <v>724</v>
      </c>
      <c r="C219" s="86" t="s">
        <v>725</v>
      </c>
      <c r="D219" s="255" t="s">
        <v>42</v>
      </c>
      <c r="E219" s="247" t="s">
        <v>79</v>
      </c>
      <c r="F219" s="173">
        <f t="shared" si="335"/>
        <v>3</v>
      </c>
      <c r="G219" s="83" t="s">
        <v>736</v>
      </c>
      <c r="H219" s="232">
        <v>85</v>
      </c>
      <c r="I219" s="236">
        <v>25</v>
      </c>
      <c r="J219" s="236">
        <v>29</v>
      </c>
      <c r="K219" s="236">
        <v>38</v>
      </c>
      <c r="L219" s="236">
        <v>54</v>
      </c>
      <c r="M219" s="236">
        <v>69</v>
      </c>
      <c r="N219" s="243">
        <f t="shared" si="366"/>
        <v>300</v>
      </c>
      <c r="O219" s="57">
        <v>4863</v>
      </c>
      <c r="P219" s="211">
        <v>414.7</v>
      </c>
      <c r="Q219" s="218">
        <v>89.4</v>
      </c>
      <c r="R219" s="218">
        <v>51.75</v>
      </c>
      <c r="S219" s="218">
        <v>51.27</v>
      </c>
      <c r="T219" s="218">
        <v>4.5</v>
      </c>
      <c r="U219" s="84">
        <v>23000</v>
      </c>
      <c r="V219" s="292">
        <f>VLOOKUP($U219,计算辅助页面!$Z$5:$AM$26,COLUMN()-20,0)</f>
        <v>37500</v>
      </c>
      <c r="W219" s="292">
        <f>VLOOKUP($U219,计算辅助页面!$Z$5:$AM$26,COLUMN()-20,0)</f>
        <v>60000</v>
      </c>
      <c r="X219" s="226">
        <f>VLOOKUP($U219,计算辅助页面!$Z$5:$AM$26,COLUMN()-20,0)</f>
        <v>90000</v>
      </c>
      <c r="Y219" s="226">
        <f>VLOOKUP($U219,计算辅助页面!$Z$5:$AM$26,COLUMN()-20,0)</f>
        <v>130000</v>
      </c>
      <c r="Z219" s="293">
        <f>VLOOKUP($U219,计算辅助页面!$Z$5:$AM$26,COLUMN()-20,0)</f>
        <v>182000</v>
      </c>
      <c r="AA219" s="226">
        <f>VLOOKUP($U219,计算辅助页面!$Z$5:$AM$26,COLUMN()-20,0)</f>
        <v>255000</v>
      </c>
      <c r="AB219" s="226">
        <f>VLOOKUP($U219,计算辅助页面!$Z$5:$AM$26,COLUMN()-20,0)</f>
        <v>356500</v>
      </c>
      <c r="AC219" s="226">
        <f>VLOOKUP($U219,计算辅助页面!$Z$5:$AM$26,COLUMN()-20,0)</f>
        <v>499500</v>
      </c>
      <c r="AD219" s="226">
        <f>VLOOKUP($U219,计算辅助页面!$Z$5:$AM$26,COLUMN()-20,0)</f>
        <v>699000</v>
      </c>
      <c r="AE219" s="226">
        <f>VLOOKUP($U219,计算辅助页面!$Z$5:$AM$26,COLUMN()-20,0)</f>
        <v>979000</v>
      </c>
      <c r="AF219" s="226">
        <f>VLOOKUP($U219,计算辅助页面!$Z$5:$AM$26,COLUMN()-20,0)</f>
        <v>1370000</v>
      </c>
      <c r="AG219" s="226">
        <f>VLOOKUP($U219,计算辅助页面!$Z$5:$AM$26,COLUMN()-20,0)</f>
        <v>2250000</v>
      </c>
      <c r="AH219" s="173">
        <f>VLOOKUP($U219,计算辅助页面!$Z$5:$AM$26,COLUMN()-20,0)</f>
        <v>27726000</v>
      </c>
      <c r="AI219" s="267">
        <v>90000</v>
      </c>
      <c r="AJ219" s="260">
        <f>VLOOKUP(D219&amp;E219,计算辅助页面!$V$5:$Y$18,2,0)</f>
        <v>7</v>
      </c>
      <c r="AK219" s="174">
        <f t="shared" si="336"/>
        <v>180000</v>
      </c>
      <c r="AL219" s="174">
        <f>VLOOKUP(D219&amp;E219,计算辅助页面!$V$5:$Y$18,3,0)</f>
        <v>5</v>
      </c>
      <c r="AM219" s="179">
        <f t="shared" si="337"/>
        <v>540000</v>
      </c>
      <c r="AN219" s="179">
        <f>VLOOKUP(D219&amp;E219,计算辅助页面!$V$5:$Y$18,4,0)</f>
        <v>4</v>
      </c>
      <c r="AO219" s="173">
        <f t="shared" si="338"/>
        <v>14760000</v>
      </c>
      <c r="AP219" s="195">
        <f t="shared" si="339"/>
        <v>42486000</v>
      </c>
      <c r="AQ219" s="365" t="s">
        <v>1042</v>
      </c>
      <c r="AR219" s="366" t="str">
        <f t="shared" si="394"/>
        <v>Owl</v>
      </c>
      <c r="AS219" s="352" t="s">
        <v>734</v>
      </c>
      <c r="AT219" s="353" t="s">
        <v>884</v>
      </c>
      <c r="AU219" s="327" t="s">
        <v>712</v>
      </c>
      <c r="AW219" s="357">
        <v>435</v>
      </c>
      <c r="AY219" s="357">
        <v>565</v>
      </c>
      <c r="AZ219" s="357" t="s">
        <v>1121</v>
      </c>
      <c r="BA219" s="369"/>
      <c r="BB219" s="369"/>
      <c r="BC219" s="369"/>
      <c r="BD219" s="369"/>
      <c r="BE219" s="369"/>
      <c r="BF219" s="369"/>
      <c r="BG219" s="369"/>
      <c r="BH219" s="369"/>
      <c r="BI219" s="369"/>
      <c r="BJ219" s="369"/>
      <c r="BK219" s="369">
        <v>1</v>
      </c>
      <c r="BL219" s="369"/>
      <c r="BM219" s="369"/>
      <c r="BN219" s="369"/>
      <c r="BO219" s="369">
        <v>1</v>
      </c>
      <c r="BP219" s="369"/>
      <c r="BQ219" s="369"/>
      <c r="BR219" s="369"/>
      <c r="BS219" s="369"/>
      <c r="BT219" s="369"/>
      <c r="BU219" s="387" t="s">
        <v>1224</v>
      </c>
      <c r="BV219" s="326"/>
      <c r="BW219" s="326"/>
      <c r="BX219" s="326">
        <v>1</v>
      </c>
      <c r="BY219" s="367">
        <v>400</v>
      </c>
      <c r="BZ219" s="368">
        <v>82.99</v>
      </c>
      <c r="CA219" s="368">
        <v>45.79</v>
      </c>
      <c r="CB219" s="368">
        <v>35.67</v>
      </c>
      <c r="CC219" s="368">
        <f t="shared" si="340"/>
        <v>14.699999999999989</v>
      </c>
      <c r="CD219" s="368">
        <f t="shared" si="341"/>
        <v>6.4100000000000108</v>
      </c>
      <c r="CE219" s="368">
        <f t="shared" si="342"/>
        <v>5.9600000000000009</v>
      </c>
      <c r="CF219" s="368">
        <f t="shared" si="343"/>
        <v>15.600000000000001</v>
      </c>
      <c r="CG219" s="368">
        <f t="shared" si="344"/>
        <v>42.67</v>
      </c>
      <c r="CH219" s="368">
        <f t="shared" si="345"/>
        <v>42.624300000000019</v>
      </c>
      <c r="CI219" s="42"/>
      <c r="CJ219" s="42"/>
      <c r="CK219" s="42"/>
      <c r="CL219" s="42"/>
    </row>
    <row r="220" spans="1:90" ht="21" customHeight="1" thickBot="1">
      <c r="A220" s="48">
        <v>218</v>
      </c>
      <c r="B220" s="55" t="s">
        <v>1295</v>
      </c>
      <c r="C220" s="86" t="s">
        <v>401</v>
      </c>
      <c r="D220" s="258" t="s">
        <v>42</v>
      </c>
      <c r="E220" s="253" t="s">
        <v>79</v>
      </c>
      <c r="F220" s="185">
        <f t="shared" si="335"/>
        <v>3</v>
      </c>
      <c r="G220" s="83" t="s">
        <v>76</v>
      </c>
      <c r="H220" s="244" t="s">
        <v>408</v>
      </c>
      <c r="I220" s="237">
        <v>40</v>
      </c>
      <c r="J220" s="237">
        <v>45</v>
      </c>
      <c r="K220" s="237">
        <v>60</v>
      </c>
      <c r="L220" s="237">
        <v>70</v>
      </c>
      <c r="M220" s="237">
        <v>85</v>
      </c>
      <c r="N220" s="245">
        <f t="shared" si="366"/>
        <v>300</v>
      </c>
      <c r="O220" s="57">
        <v>4897</v>
      </c>
      <c r="P220" s="211">
        <v>421.6</v>
      </c>
      <c r="Q220" s="218">
        <v>87.71</v>
      </c>
      <c r="R220" s="218">
        <v>51.33</v>
      </c>
      <c r="S220" s="218">
        <v>56.51</v>
      </c>
      <c r="T220" s="218">
        <v>5</v>
      </c>
      <c r="U220" s="96">
        <v>23000</v>
      </c>
      <c r="V220" s="304">
        <f>VLOOKUP($U220,计算辅助页面!$Z$5:$AM$26,COLUMN()-20,0)</f>
        <v>37500</v>
      </c>
      <c r="W220" s="304">
        <f>VLOOKUP($U220,计算辅助页面!$Z$5:$AM$26,COLUMN()-20,0)</f>
        <v>60000</v>
      </c>
      <c r="X220" s="245">
        <f>VLOOKUP($U220,计算辅助页面!$Z$5:$AM$26,COLUMN()-20,0)</f>
        <v>90000</v>
      </c>
      <c r="Y220" s="245">
        <f>VLOOKUP($U220,计算辅助页面!$Z$5:$AM$26,COLUMN()-20,0)</f>
        <v>130000</v>
      </c>
      <c r="Z220" s="305">
        <f>VLOOKUP($U220,计算辅助页面!$Z$5:$AM$26,COLUMN()-20,0)</f>
        <v>182000</v>
      </c>
      <c r="AA220" s="245">
        <f>VLOOKUP($U220,计算辅助页面!$Z$5:$AM$26,COLUMN()-20,0)</f>
        <v>255000</v>
      </c>
      <c r="AB220" s="245">
        <f>VLOOKUP($U220,计算辅助页面!$Z$5:$AM$26,COLUMN()-20,0)</f>
        <v>356500</v>
      </c>
      <c r="AC220" s="245">
        <f>VLOOKUP($U220,计算辅助页面!$Z$5:$AM$26,COLUMN()-20,0)</f>
        <v>499500</v>
      </c>
      <c r="AD220" s="245">
        <f>VLOOKUP($U220,计算辅助页面!$Z$5:$AM$26,COLUMN()-20,0)</f>
        <v>699000</v>
      </c>
      <c r="AE220" s="245">
        <f>VLOOKUP($U220,计算辅助页面!$Z$5:$AM$26,COLUMN()-20,0)</f>
        <v>979000</v>
      </c>
      <c r="AF220" s="245">
        <f>VLOOKUP($U220,计算辅助页面!$Z$5:$AM$26,COLUMN()-20,0)</f>
        <v>1370000</v>
      </c>
      <c r="AG220" s="245">
        <f>VLOOKUP($U220,计算辅助页面!$Z$5:$AM$26,COLUMN()-20,0)</f>
        <v>2250000</v>
      </c>
      <c r="AH220" s="187">
        <f>VLOOKUP($U220,计算辅助页面!$Z$5:$AM$26,COLUMN()-20,0)</f>
        <v>27726000</v>
      </c>
      <c r="AI220" s="272">
        <v>90000</v>
      </c>
      <c r="AJ220" s="306">
        <f>VLOOKUP(D220&amp;E220,计算辅助页面!$V$5:$Y$18,2,0)</f>
        <v>7</v>
      </c>
      <c r="AK220" s="190">
        <f t="shared" si="336"/>
        <v>180000</v>
      </c>
      <c r="AL220" s="190">
        <f>VLOOKUP(D220&amp;E220,计算辅助页面!$V$5:$Y$18,3,0)</f>
        <v>5</v>
      </c>
      <c r="AM220" s="184">
        <f t="shared" si="337"/>
        <v>540000</v>
      </c>
      <c r="AN220" s="184">
        <f>VLOOKUP(D220&amp;E220,计算辅助页面!$V$5:$Y$18,4,0)</f>
        <v>4</v>
      </c>
      <c r="AO220" s="187">
        <f t="shared" si="338"/>
        <v>14760000</v>
      </c>
      <c r="AP220" s="199">
        <f t="shared" si="339"/>
        <v>42486000</v>
      </c>
      <c r="AQ220" s="365" t="s">
        <v>1041</v>
      </c>
      <c r="AR220" s="366" t="str">
        <f t="shared" si="394"/>
        <v>Nevera🔑</v>
      </c>
      <c r="AS220" s="352" t="s">
        <v>960</v>
      </c>
      <c r="AT220" s="353" t="s">
        <v>684</v>
      </c>
      <c r="AU220" s="327" t="s">
        <v>712</v>
      </c>
      <c r="AW220" s="357">
        <v>444</v>
      </c>
      <c r="AY220" s="357">
        <v>569</v>
      </c>
      <c r="AZ220" s="357" t="s">
        <v>1112</v>
      </c>
      <c r="BA220" s="369"/>
      <c r="BB220" s="369"/>
      <c r="BC220" s="369"/>
      <c r="BD220" s="369"/>
      <c r="BE220" s="369"/>
      <c r="BF220" s="369"/>
      <c r="BG220" s="369"/>
      <c r="BH220" s="369"/>
      <c r="BI220" s="369"/>
      <c r="BJ220" s="369"/>
      <c r="BK220" s="369"/>
      <c r="BL220" s="369"/>
      <c r="BM220" s="369">
        <v>1</v>
      </c>
      <c r="BN220" s="369">
        <v>1</v>
      </c>
      <c r="BO220" s="369">
        <v>1</v>
      </c>
      <c r="BP220" s="369"/>
      <c r="BQ220" s="369"/>
      <c r="BR220" s="369"/>
      <c r="BS220" s="369"/>
      <c r="BT220" s="369"/>
      <c r="BU220" s="387" t="s">
        <v>1038</v>
      </c>
      <c r="BV220" s="326"/>
      <c r="BW220" s="326"/>
      <c r="BX220" s="326"/>
      <c r="BY220" s="367">
        <v>412</v>
      </c>
      <c r="BZ220" s="368">
        <v>82.27</v>
      </c>
      <c r="CA220" s="368">
        <v>41.64</v>
      </c>
      <c r="CB220" s="368">
        <v>37.619999999999997</v>
      </c>
      <c r="CC220" s="368">
        <f t="shared" si="340"/>
        <v>9.6000000000000227</v>
      </c>
      <c r="CD220" s="368">
        <f t="shared" si="341"/>
        <v>5.4399999999999977</v>
      </c>
      <c r="CE220" s="368">
        <f t="shared" si="342"/>
        <v>9.6899999999999977</v>
      </c>
      <c r="CF220" s="368">
        <f t="shared" si="343"/>
        <v>18.89</v>
      </c>
      <c r="CG220" s="368">
        <f t="shared" si="344"/>
        <v>43.620000000000019</v>
      </c>
      <c r="CH220" s="368">
        <f t="shared" si="345"/>
        <v>47.7209</v>
      </c>
      <c r="CI220" s="42"/>
      <c r="CJ220" s="42"/>
      <c r="CK220" s="42"/>
      <c r="CL220" s="42"/>
    </row>
    <row r="221" spans="1:90" ht="21" customHeight="1" thickTop="1" thickBot="1">
      <c r="A221" s="80">
        <v>219</v>
      </c>
      <c r="B221" s="326" t="s">
        <v>1447</v>
      </c>
      <c r="C221" s="86" t="s">
        <v>1448</v>
      </c>
      <c r="D221" s="258" t="s">
        <v>42</v>
      </c>
      <c r="E221" s="253" t="s">
        <v>79</v>
      </c>
      <c r="F221" s="185"/>
      <c r="G221" s="229"/>
      <c r="H221" s="244">
        <v>85</v>
      </c>
      <c r="I221" s="236">
        <v>25</v>
      </c>
      <c r="J221" s="236">
        <v>29</v>
      </c>
      <c r="K221" s="236">
        <v>38</v>
      </c>
      <c r="L221" s="236">
        <v>54</v>
      </c>
      <c r="M221" s="236">
        <v>69</v>
      </c>
      <c r="N221" s="243">
        <f t="shared" ref="N221" si="399">IF(COUNTBLANK(H221:M221),"",SUM(H221:M221))</f>
        <v>300</v>
      </c>
      <c r="O221" s="328">
        <v>4940</v>
      </c>
      <c r="P221" s="329">
        <v>484.8</v>
      </c>
      <c r="Q221" s="330">
        <v>79.67</v>
      </c>
      <c r="R221" s="330">
        <v>60.03</v>
      </c>
      <c r="S221" s="330">
        <v>58.86</v>
      </c>
      <c r="T221" s="330"/>
      <c r="U221" s="96">
        <v>23000</v>
      </c>
      <c r="V221" s="304">
        <f>VLOOKUP($U221,计算辅助页面!$Z$5:$AM$26,COLUMN()-20,0)</f>
        <v>37500</v>
      </c>
      <c r="W221" s="304">
        <f>VLOOKUP($U221,计算辅助页面!$Z$5:$AM$26,COLUMN()-20,0)</f>
        <v>60000</v>
      </c>
      <c r="X221" s="245">
        <f>VLOOKUP($U221,计算辅助页面!$Z$5:$AM$26,COLUMN()-20,0)</f>
        <v>90000</v>
      </c>
      <c r="Y221" s="245">
        <f>VLOOKUP($U221,计算辅助页面!$Z$5:$AM$26,COLUMN()-20,0)</f>
        <v>130000</v>
      </c>
      <c r="Z221" s="305">
        <f>VLOOKUP($U221,计算辅助页面!$Z$5:$AM$26,COLUMN()-20,0)</f>
        <v>182000</v>
      </c>
      <c r="AA221" s="245">
        <f>VLOOKUP($U221,计算辅助页面!$Z$5:$AM$26,COLUMN()-20,0)</f>
        <v>255000</v>
      </c>
      <c r="AB221" s="245">
        <f>VLOOKUP($U221,计算辅助页面!$Z$5:$AM$26,COLUMN()-20,0)</f>
        <v>356500</v>
      </c>
      <c r="AC221" s="245">
        <f>VLOOKUP($U221,计算辅助页面!$Z$5:$AM$26,COLUMN()-20,0)</f>
        <v>499500</v>
      </c>
      <c r="AD221" s="245">
        <f>VLOOKUP($U221,计算辅助页面!$Z$5:$AM$26,COLUMN()-20,0)</f>
        <v>699000</v>
      </c>
      <c r="AE221" s="245">
        <f>VLOOKUP($U221,计算辅助页面!$Z$5:$AM$26,COLUMN()-20,0)</f>
        <v>979000</v>
      </c>
      <c r="AF221" s="245">
        <f>VLOOKUP($U221,计算辅助页面!$Z$5:$AM$26,COLUMN()-20,0)</f>
        <v>1370000</v>
      </c>
      <c r="AG221" s="245">
        <f>VLOOKUP($U221,计算辅助页面!$Z$5:$AM$26,COLUMN()-20,0)</f>
        <v>2250000</v>
      </c>
      <c r="AH221" s="187">
        <f>VLOOKUP($U221,计算辅助页面!$Z$5:$AM$26,COLUMN()-20,0)</f>
        <v>27726000</v>
      </c>
      <c r="AI221" s="272">
        <v>90000</v>
      </c>
      <c r="AJ221" s="306">
        <f>VLOOKUP(D221&amp;E221,计算辅助页面!$V$5:$Y$18,2,0)</f>
        <v>7</v>
      </c>
      <c r="AK221" s="190">
        <f t="shared" ref="AK221" si="400">IF(AI221,2*AI221,"")</f>
        <v>180000</v>
      </c>
      <c r="AL221" s="190">
        <f>VLOOKUP(D221&amp;E221,计算辅助页面!$V$5:$Y$18,3,0)</f>
        <v>5</v>
      </c>
      <c r="AM221" s="184">
        <f t="shared" ref="AM221" si="401">IF(AN221="×",AN221,IF(AI221,6*AI221,""))</f>
        <v>540000</v>
      </c>
      <c r="AN221" s="184">
        <f>VLOOKUP(D221&amp;E221,计算辅助页面!$V$5:$Y$18,4,0)</f>
        <v>4</v>
      </c>
      <c r="AO221" s="187">
        <f t="shared" ref="AO221" si="402">IF(AI221,IF(AN221="×",4*(AI221*AJ221+AK221*AL221),4*(AI221*AJ221+AK221*AL221+AM221*AN221)),"")</f>
        <v>14760000</v>
      </c>
      <c r="AP221" s="199">
        <f t="shared" ref="AP221" si="403">IF(AND(AH221,AO221),AO221+AH221,"")</f>
        <v>42486000</v>
      </c>
      <c r="AQ221" s="365" t="s">
        <v>571</v>
      </c>
      <c r="AR221" s="366" t="str">
        <f t="shared" si="394"/>
        <v>Agera RS</v>
      </c>
      <c r="AS221" s="352" t="s">
        <v>1427</v>
      </c>
      <c r="AT221" s="353" t="s">
        <v>1449</v>
      </c>
      <c r="AU221" s="327" t="s">
        <v>712</v>
      </c>
      <c r="AW221" s="357">
        <v>510</v>
      </c>
      <c r="AY221" s="357">
        <v>598</v>
      </c>
      <c r="AZ221" s="384" t="s">
        <v>1452</v>
      </c>
      <c r="BA221" s="369"/>
      <c r="BB221" s="369"/>
      <c r="BC221" s="369"/>
      <c r="BD221" s="369"/>
      <c r="BE221" s="369"/>
      <c r="BF221" s="369"/>
      <c r="BG221" s="369"/>
      <c r="BH221" s="369"/>
      <c r="BI221" s="369"/>
      <c r="BJ221" s="369"/>
      <c r="BK221" s="369"/>
      <c r="BL221" s="369"/>
      <c r="BM221" s="369"/>
      <c r="BN221" s="369"/>
      <c r="BO221" s="369"/>
      <c r="BP221" s="369"/>
      <c r="BQ221" s="369"/>
      <c r="BR221" s="369"/>
      <c r="BS221" s="369"/>
      <c r="BT221" s="369"/>
      <c r="BU221" s="389" t="s">
        <v>1450</v>
      </c>
      <c r="BV221" s="326"/>
      <c r="BW221" s="326"/>
      <c r="BX221" s="326"/>
      <c r="BY221" s="367"/>
      <c r="BZ221" s="368"/>
      <c r="CA221" s="368"/>
      <c r="CB221" s="368"/>
      <c r="CC221" s="368"/>
      <c r="CD221" s="368"/>
      <c r="CE221" s="368"/>
      <c r="CF221" s="368"/>
      <c r="CG221" s="368"/>
      <c r="CH221" s="368"/>
      <c r="CI221" s="42"/>
      <c r="CJ221" s="42"/>
      <c r="CK221" s="42"/>
      <c r="CL221" s="42"/>
    </row>
    <row r="222" spans="1:90" ht="21" customHeight="1" thickTop="1" thickBot="1">
      <c r="A222" s="48">
        <v>220</v>
      </c>
      <c r="B222" s="326" t="s">
        <v>602</v>
      </c>
      <c r="C222" s="86" t="s">
        <v>589</v>
      </c>
      <c r="D222" s="258" t="s">
        <v>42</v>
      </c>
      <c r="E222" s="253" t="s">
        <v>79</v>
      </c>
      <c r="F222" s="185">
        <f t="shared" si="335"/>
        <v>3</v>
      </c>
      <c r="G222" s="83" t="s">
        <v>76</v>
      </c>
      <c r="H222" s="244" t="s">
        <v>408</v>
      </c>
      <c r="I222" s="237">
        <v>40</v>
      </c>
      <c r="J222" s="237">
        <v>45</v>
      </c>
      <c r="K222" s="237">
        <v>60</v>
      </c>
      <c r="L222" s="237">
        <v>70</v>
      </c>
      <c r="M222" s="237">
        <v>85</v>
      </c>
      <c r="N222" s="245">
        <f t="shared" si="366"/>
        <v>300</v>
      </c>
      <c r="O222" s="328">
        <v>4969</v>
      </c>
      <c r="P222" s="329">
        <v>490.6</v>
      </c>
      <c r="Q222" s="330">
        <v>82.51</v>
      </c>
      <c r="R222" s="330">
        <v>48.77</v>
      </c>
      <c r="S222" s="330">
        <v>62.04</v>
      </c>
      <c r="T222" s="330">
        <v>5.17</v>
      </c>
      <c r="U222" s="96">
        <v>23000</v>
      </c>
      <c r="V222" s="304">
        <f>VLOOKUP($U222,计算辅助页面!$Z$5:$AM$26,COLUMN()-20,0)</f>
        <v>37500</v>
      </c>
      <c r="W222" s="304">
        <f>VLOOKUP($U222,计算辅助页面!$Z$5:$AM$26,COLUMN()-20,0)</f>
        <v>60000</v>
      </c>
      <c r="X222" s="245">
        <f>VLOOKUP($U222,计算辅助页面!$Z$5:$AM$26,COLUMN()-20,0)</f>
        <v>90000</v>
      </c>
      <c r="Y222" s="245">
        <f>VLOOKUP($U222,计算辅助页面!$Z$5:$AM$26,COLUMN()-20,0)</f>
        <v>130000</v>
      </c>
      <c r="Z222" s="305">
        <f>VLOOKUP($U222,计算辅助页面!$Z$5:$AM$26,COLUMN()-20,0)</f>
        <v>182000</v>
      </c>
      <c r="AA222" s="245">
        <f>VLOOKUP($U222,计算辅助页面!$Z$5:$AM$26,COLUMN()-20,0)</f>
        <v>255000</v>
      </c>
      <c r="AB222" s="245">
        <f>VLOOKUP($U222,计算辅助页面!$Z$5:$AM$26,COLUMN()-20,0)</f>
        <v>356500</v>
      </c>
      <c r="AC222" s="245">
        <f>VLOOKUP($U222,计算辅助页面!$Z$5:$AM$26,COLUMN()-20,0)</f>
        <v>499500</v>
      </c>
      <c r="AD222" s="245">
        <f>VLOOKUP($U222,计算辅助页面!$Z$5:$AM$26,COLUMN()-20,0)</f>
        <v>699000</v>
      </c>
      <c r="AE222" s="245">
        <f>VLOOKUP($U222,计算辅助页面!$Z$5:$AM$26,COLUMN()-20,0)</f>
        <v>979000</v>
      </c>
      <c r="AF222" s="245">
        <f>VLOOKUP($U222,计算辅助页面!$Z$5:$AM$26,COLUMN()-20,0)</f>
        <v>1370000</v>
      </c>
      <c r="AG222" s="245">
        <f>VLOOKUP($U222,计算辅助页面!$Z$5:$AM$26,COLUMN()-20,0)</f>
        <v>2250000</v>
      </c>
      <c r="AH222" s="187">
        <f>VLOOKUP($U222,计算辅助页面!$Z$5:$AM$26,COLUMN()-20,0)</f>
        <v>27726000</v>
      </c>
      <c r="AI222" s="331">
        <v>45000</v>
      </c>
      <c r="AJ222" s="306">
        <f>VLOOKUP(D222&amp;E222,计算辅助页面!$V$5:$Y$18,2,0)</f>
        <v>7</v>
      </c>
      <c r="AK222" s="190">
        <f t="shared" si="336"/>
        <v>90000</v>
      </c>
      <c r="AL222" s="190">
        <f>VLOOKUP(D222&amp;E222,计算辅助页面!$V$5:$Y$18,3,0)</f>
        <v>5</v>
      </c>
      <c r="AM222" s="184">
        <f t="shared" si="337"/>
        <v>270000</v>
      </c>
      <c r="AN222" s="184">
        <f>VLOOKUP(D222&amp;E222,计算辅助页面!$V$5:$Y$18,4,0)</f>
        <v>4</v>
      </c>
      <c r="AO222" s="187">
        <f t="shared" si="338"/>
        <v>7380000</v>
      </c>
      <c r="AP222" s="199">
        <f t="shared" si="339"/>
        <v>35106000</v>
      </c>
      <c r="AQ222" s="365" t="s">
        <v>1040</v>
      </c>
      <c r="AR222" s="366" t="str">
        <f t="shared" si="394"/>
        <v>Tuatara🔑</v>
      </c>
      <c r="AS222" s="352" t="s">
        <v>961</v>
      </c>
      <c r="AT222" s="353" t="s">
        <v>688</v>
      </c>
      <c r="AU222" s="327" t="s">
        <v>712</v>
      </c>
      <c r="AW222" s="357">
        <v>516</v>
      </c>
      <c r="AY222" s="357">
        <v>600</v>
      </c>
      <c r="AZ222" s="357" t="s">
        <v>1121</v>
      </c>
      <c r="BA222" s="369"/>
      <c r="BB222" s="369"/>
      <c r="BC222" s="369"/>
      <c r="BD222" s="369"/>
      <c r="BE222" s="369"/>
      <c r="BF222" s="369"/>
      <c r="BG222" s="369"/>
      <c r="BH222" s="369"/>
      <c r="BI222" s="369"/>
      <c r="BJ222" s="369"/>
      <c r="BK222" s="369">
        <v>1</v>
      </c>
      <c r="BL222" s="369"/>
      <c r="BM222" s="369"/>
      <c r="BN222" s="369">
        <v>1</v>
      </c>
      <c r="BO222" s="369">
        <v>1</v>
      </c>
      <c r="BP222" s="369"/>
      <c r="BQ222" s="369"/>
      <c r="BR222" s="369"/>
      <c r="BS222" s="369"/>
      <c r="BT222" s="369"/>
      <c r="BU222" s="387" t="s">
        <v>1225</v>
      </c>
      <c r="BV222" s="326"/>
      <c r="BW222" s="326"/>
      <c r="BX222" s="326"/>
      <c r="BY222" s="367">
        <v>482.8</v>
      </c>
      <c r="BZ222" s="368">
        <v>74.8</v>
      </c>
      <c r="CA222" s="368">
        <v>42.34</v>
      </c>
      <c r="CB222" s="368">
        <v>38.72</v>
      </c>
      <c r="CC222" s="368">
        <f t="shared" si="340"/>
        <v>7.8000000000000114</v>
      </c>
      <c r="CD222" s="368">
        <f t="shared" si="341"/>
        <v>7.710000000000008</v>
      </c>
      <c r="CE222" s="368">
        <f t="shared" si="342"/>
        <v>6.43</v>
      </c>
      <c r="CF222" s="368">
        <f t="shared" si="343"/>
        <v>23.32</v>
      </c>
      <c r="CG222" s="368">
        <f t="shared" si="344"/>
        <v>45.260000000000019</v>
      </c>
      <c r="CH222" s="368">
        <f t="shared" si="345"/>
        <v>53.104000000000021</v>
      </c>
      <c r="CI222" s="42"/>
      <c r="CJ222" s="42"/>
      <c r="CK222" s="42"/>
      <c r="CL222" s="42"/>
    </row>
    <row r="223" spans="1:90" ht="21" customHeight="1" thickTop="1" thickBot="1">
      <c r="A223" s="80">
        <v>221</v>
      </c>
      <c r="B223" s="326" t="s">
        <v>1421</v>
      </c>
      <c r="C223" s="86" t="s">
        <v>1424</v>
      </c>
      <c r="D223" s="258" t="s">
        <v>42</v>
      </c>
      <c r="E223" s="253" t="s">
        <v>79</v>
      </c>
      <c r="F223" s="185"/>
      <c r="G223" s="229"/>
      <c r="H223" s="244">
        <v>85</v>
      </c>
      <c r="I223" s="236">
        <v>25</v>
      </c>
      <c r="J223" s="236">
        <v>29</v>
      </c>
      <c r="K223" s="236">
        <v>38</v>
      </c>
      <c r="L223" s="236">
        <v>54</v>
      </c>
      <c r="M223" s="236">
        <v>69</v>
      </c>
      <c r="N223" s="243">
        <f t="shared" ref="N223:N225" si="404">IF(COUNTBLANK(H223:M223),"",SUM(H223:M223))</f>
        <v>300</v>
      </c>
      <c r="O223" s="328">
        <v>4977</v>
      </c>
      <c r="P223" s="329">
        <v>445.8</v>
      </c>
      <c r="Q223" s="330">
        <v>86.33</v>
      </c>
      <c r="R223" s="330">
        <v>61.08</v>
      </c>
      <c r="S223" s="330">
        <v>29.38</v>
      </c>
      <c r="T223" s="330"/>
      <c r="U223" s="319"/>
      <c r="V223" s="304"/>
      <c r="W223" s="304"/>
      <c r="X223" s="245"/>
      <c r="Y223" s="245"/>
      <c r="Z223" s="305"/>
      <c r="AA223" s="245"/>
      <c r="AB223" s="245"/>
      <c r="AC223" s="245"/>
      <c r="AD223" s="245"/>
      <c r="AE223" s="245"/>
      <c r="AF223" s="245"/>
      <c r="AG223" s="245"/>
      <c r="AH223" s="187"/>
      <c r="AI223" s="331"/>
      <c r="AJ223" s="306">
        <f>VLOOKUP(D223&amp;E223,计算辅助页面!$V$5:$Y$18,2,0)</f>
        <v>7</v>
      </c>
      <c r="AK223" s="190" t="str">
        <f t="shared" si="336"/>
        <v/>
      </c>
      <c r="AL223" s="190">
        <f>VLOOKUP(D223&amp;E223,计算辅助页面!$V$5:$Y$18,3,0)</f>
        <v>5</v>
      </c>
      <c r="AM223" s="184" t="str">
        <f t="shared" si="337"/>
        <v/>
      </c>
      <c r="AN223" s="184">
        <f>VLOOKUP(D223&amp;E223,计算辅助页面!$V$5:$Y$18,4,0)</f>
        <v>4</v>
      </c>
      <c r="AO223" s="187" t="str">
        <f t="shared" si="338"/>
        <v/>
      </c>
      <c r="AP223" s="199"/>
      <c r="AQ223" s="365" t="s">
        <v>570</v>
      </c>
      <c r="AR223" s="366" t="str">
        <f t="shared" si="394"/>
        <v>Lykan Security</v>
      </c>
      <c r="AS223" s="352" t="s">
        <v>1392</v>
      </c>
      <c r="AT223" s="353" t="s">
        <v>1422</v>
      </c>
      <c r="AU223" s="327" t="s">
        <v>712</v>
      </c>
      <c r="AW223" s="357">
        <v>469</v>
      </c>
      <c r="AY223" s="357">
        <v>580</v>
      </c>
      <c r="AZ223" s="357" t="s">
        <v>1112</v>
      </c>
      <c r="BA223" s="369"/>
      <c r="BB223" s="369"/>
      <c r="BC223" s="369"/>
      <c r="BD223" s="369"/>
      <c r="BE223" s="369"/>
      <c r="BF223" s="369"/>
      <c r="BG223" s="369"/>
      <c r="BH223" s="369"/>
      <c r="BI223" s="369"/>
      <c r="BJ223" s="369"/>
      <c r="BK223" s="369"/>
      <c r="BL223" s="369"/>
      <c r="BM223" s="369"/>
      <c r="BN223" s="369"/>
      <c r="BO223" s="369"/>
      <c r="BP223" s="369"/>
      <c r="BQ223" s="369"/>
      <c r="BR223" s="369"/>
      <c r="BS223" s="369"/>
      <c r="BT223" s="369"/>
      <c r="BU223" s="387"/>
      <c r="BV223" s="326"/>
      <c r="BW223" s="326"/>
      <c r="BX223" s="326"/>
      <c r="BY223" s="367"/>
      <c r="BZ223" s="368"/>
      <c r="CA223" s="368"/>
      <c r="CB223" s="368"/>
      <c r="CC223" s="368"/>
      <c r="CD223" s="368"/>
      <c r="CE223" s="368"/>
      <c r="CF223" s="368"/>
      <c r="CG223" s="368"/>
      <c r="CH223" s="368"/>
      <c r="CI223" s="42"/>
      <c r="CJ223" s="42"/>
      <c r="CK223" s="42"/>
      <c r="CL223" s="42"/>
    </row>
    <row r="224" spans="1:90" ht="21" customHeight="1" thickTop="1" thickBot="1">
      <c r="A224" s="48">
        <v>222</v>
      </c>
      <c r="B224" s="326" t="s">
        <v>1624</v>
      </c>
      <c r="C224" s="86" t="s">
        <v>1625</v>
      </c>
      <c r="D224" s="258" t="s">
        <v>42</v>
      </c>
      <c r="E224" s="253" t="s">
        <v>79</v>
      </c>
      <c r="F224" s="185"/>
      <c r="G224" s="229"/>
      <c r="H224" s="244" t="s">
        <v>408</v>
      </c>
      <c r="I224" s="237">
        <v>40</v>
      </c>
      <c r="J224" s="237">
        <v>45</v>
      </c>
      <c r="K224" s="237">
        <v>60</v>
      </c>
      <c r="L224" s="237">
        <v>70</v>
      </c>
      <c r="M224" s="237">
        <v>85</v>
      </c>
      <c r="N224" s="245">
        <f t="shared" si="404"/>
        <v>300</v>
      </c>
      <c r="O224" s="328">
        <v>4983</v>
      </c>
      <c r="P224" s="329">
        <v>453.6</v>
      </c>
      <c r="Q224" s="330">
        <v>83.27</v>
      </c>
      <c r="R224" s="330">
        <v>60.63</v>
      </c>
      <c r="S224" s="330">
        <v>41.7</v>
      </c>
      <c r="T224" s="330"/>
      <c r="U224" s="84">
        <v>23000</v>
      </c>
      <c r="V224" s="304">
        <f>VLOOKUP($U224,计算辅助页面!$Z$5:$AM$26,COLUMN()-20,0)</f>
        <v>37500</v>
      </c>
      <c r="W224" s="304">
        <f>VLOOKUP($U224,计算辅助页面!$Z$5:$AM$26,COLUMN()-20,0)</f>
        <v>60000</v>
      </c>
      <c r="X224" s="245">
        <f>VLOOKUP($U224,计算辅助页面!$Z$5:$AM$26,COLUMN()-20,0)</f>
        <v>90000</v>
      </c>
      <c r="Y224" s="245">
        <f>VLOOKUP($U224,计算辅助页面!$Z$5:$AM$26,COLUMN()-20,0)</f>
        <v>130000</v>
      </c>
      <c r="Z224" s="305">
        <f>VLOOKUP($U224,计算辅助页面!$Z$5:$AM$26,COLUMN()-20,0)</f>
        <v>182000</v>
      </c>
      <c r="AA224" s="245">
        <f>VLOOKUP($U224,计算辅助页面!$Z$5:$AM$26,COLUMN()-20,0)</f>
        <v>255000</v>
      </c>
      <c r="AB224" s="245">
        <f>VLOOKUP($U224,计算辅助页面!$Z$5:$AM$26,COLUMN()-20,0)</f>
        <v>356500</v>
      </c>
      <c r="AC224" s="245">
        <f>VLOOKUP($U224,计算辅助页面!$Z$5:$AM$26,COLUMN()-20,0)</f>
        <v>499500</v>
      </c>
      <c r="AD224" s="245">
        <f>VLOOKUP($U224,计算辅助页面!$Z$5:$AM$26,COLUMN()-20,0)</f>
        <v>699000</v>
      </c>
      <c r="AE224" s="245">
        <f>VLOOKUP($U224,计算辅助页面!$Z$5:$AM$26,COLUMN()-20,0)</f>
        <v>979000</v>
      </c>
      <c r="AF224" s="245">
        <f>VLOOKUP($U224,计算辅助页面!$Z$5:$AM$26,COLUMN()-20,0)</f>
        <v>1370000</v>
      </c>
      <c r="AG224" s="245">
        <f>VLOOKUP($U224,计算辅助页面!$Z$5:$AM$26,COLUMN()-20,0)</f>
        <v>2250000</v>
      </c>
      <c r="AH224" s="187">
        <f>VLOOKUP($U224,计算辅助页面!$Z$5:$AM$26,COLUMN()-20,0)</f>
        <v>27726000</v>
      </c>
      <c r="AI224" s="272">
        <v>90000</v>
      </c>
      <c r="AJ224" s="306">
        <f>VLOOKUP(D224&amp;E224,计算辅助页面!$V$5:$Y$18,2,0)</f>
        <v>7</v>
      </c>
      <c r="AK224" s="190">
        <f t="shared" si="336"/>
        <v>180000</v>
      </c>
      <c r="AL224" s="190">
        <f>VLOOKUP(D224&amp;E224,计算辅助页面!$V$5:$Y$18,3,0)</f>
        <v>5</v>
      </c>
      <c r="AM224" s="184">
        <f t="shared" si="337"/>
        <v>540000</v>
      </c>
      <c r="AN224" s="184">
        <f>VLOOKUP(D224&amp;E224,计算辅助页面!$V$5:$Y$18,4,0)</f>
        <v>4</v>
      </c>
      <c r="AO224" s="187">
        <f t="shared" si="338"/>
        <v>14760000</v>
      </c>
      <c r="AP224" s="199">
        <f t="shared" si="339"/>
        <v>42486000</v>
      </c>
      <c r="AQ224" s="365" t="s">
        <v>721</v>
      </c>
      <c r="AR224" s="366" t="str">
        <f t="shared" si="394"/>
        <v>Chiron Super Sport 300+</v>
      </c>
      <c r="AS224" s="352" t="s">
        <v>1622</v>
      </c>
      <c r="AT224" s="353" t="s">
        <v>1625</v>
      </c>
      <c r="AU224" s="327" t="s">
        <v>712</v>
      </c>
      <c r="AZ224" s="384" t="s">
        <v>1330</v>
      </c>
      <c r="BA224" s="369"/>
      <c r="BB224" s="369"/>
      <c r="BC224" s="369"/>
      <c r="BD224" s="369"/>
      <c r="BE224" s="369"/>
      <c r="BF224" s="369"/>
      <c r="BG224" s="369"/>
      <c r="BH224" s="369"/>
      <c r="BI224" s="369"/>
      <c r="BJ224" s="369"/>
      <c r="BK224" s="369"/>
      <c r="BL224" s="369"/>
      <c r="BM224" s="369"/>
      <c r="BN224" s="369"/>
      <c r="BO224" s="369"/>
      <c r="BP224" s="369"/>
      <c r="BQ224" s="369"/>
      <c r="BR224" s="369"/>
      <c r="BS224" s="369"/>
      <c r="BT224" s="369"/>
      <c r="BU224" s="387"/>
      <c r="BV224" s="326"/>
      <c r="BW224" s="326"/>
      <c r="BX224" s="326"/>
      <c r="BY224" s="367"/>
      <c r="BZ224" s="368"/>
      <c r="CA224" s="368"/>
      <c r="CB224" s="368"/>
      <c r="CC224" s="368"/>
      <c r="CD224" s="368"/>
      <c r="CE224" s="368"/>
      <c r="CF224" s="368"/>
      <c r="CG224" s="368"/>
      <c r="CH224" s="368"/>
      <c r="CI224" s="42"/>
      <c r="CJ224" s="42"/>
      <c r="CK224" s="42"/>
      <c r="CL224" s="42"/>
    </row>
    <row r="225" spans="1:90" ht="21" customHeight="1" thickTop="1" thickBot="1">
      <c r="A225" s="80">
        <v>223</v>
      </c>
      <c r="B225" s="326" t="s">
        <v>1571</v>
      </c>
      <c r="C225" s="86" t="s">
        <v>1533</v>
      </c>
      <c r="D225" s="258" t="s">
        <v>42</v>
      </c>
      <c r="E225" s="253" t="s">
        <v>79</v>
      </c>
      <c r="F225" s="185"/>
      <c r="G225" s="229"/>
      <c r="H225" s="244" t="s">
        <v>408</v>
      </c>
      <c r="I225" s="237">
        <v>40</v>
      </c>
      <c r="J225" s="237">
        <v>45</v>
      </c>
      <c r="K225" s="237">
        <v>60</v>
      </c>
      <c r="L225" s="237">
        <v>70</v>
      </c>
      <c r="M225" s="237">
        <v>85</v>
      </c>
      <c r="N225" s="245">
        <f t="shared" si="404"/>
        <v>300</v>
      </c>
      <c r="O225" s="328">
        <v>4998</v>
      </c>
      <c r="P225" s="329">
        <v>412.2</v>
      </c>
      <c r="Q225" s="330">
        <v>79.400000000000006</v>
      </c>
      <c r="R225" s="330">
        <v>79.09</v>
      </c>
      <c r="S225" s="330">
        <v>71.510000000000005</v>
      </c>
      <c r="T225" s="330">
        <v>6.4</v>
      </c>
      <c r="U225" s="84">
        <v>23000</v>
      </c>
      <c r="V225" s="304">
        <f>VLOOKUP($U225,计算辅助页面!$Z$5:$AM$26,COLUMN()-20,0)</f>
        <v>37500</v>
      </c>
      <c r="W225" s="304">
        <f>VLOOKUP($U225,计算辅助页面!$Z$5:$AM$26,COLUMN()-20,0)</f>
        <v>60000</v>
      </c>
      <c r="X225" s="245">
        <f>VLOOKUP($U225,计算辅助页面!$Z$5:$AM$26,COLUMN()-20,0)</f>
        <v>90000</v>
      </c>
      <c r="Y225" s="245">
        <f>VLOOKUP($U225,计算辅助页面!$Z$5:$AM$26,COLUMN()-20,0)</f>
        <v>130000</v>
      </c>
      <c r="Z225" s="305">
        <f>VLOOKUP($U225,计算辅助页面!$Z$5:$AM$26,COLUMN()-20,0)</f>
        <v>182000</v>
      </c>
      <c r="AA225" s="245">
        <f>VLOOKUP($U225,计算辅助页面!$Z$5:$AM$26,COLUMN()-20,0)</f>
        <v>255000</v>
      </c>
      <c r="AB225" s="245">
        <f>VLOOKUP($U225,计算辅助页面!$Z$5:$AM$26,COLUMN()-20,0)</f>
        <v>356500</v>
      </c>
      <c r="AC225" s="245">
        <f>VLOOKUP($U225,计算辅助页面!$Z$5:$AM$26,COLUMN()-20,0)</f>
        <v>499500</v>
      </c>
      <c r="AD225" s="245">
        <f>VLOOKUP($U225,计算辅助页面!$Z$5:$AM$26,COLUMN()-20,0)</f>
        <v>699000</v>
      </c>
      <c r="AE225" s="245">
        <f>VLOOKUP($U225,计算辅助页面!$Z$5:$AM$26,COLUMN()-20,0)</f>
        <v>979000</v>
      </c>
      <c r="AF225" s="245">
        <f>VLOOKUP($U225,计算辅助页面!$Z$5:$AM$26,COLUMN()-20,0)</f>
        <v>1370000</v>
      </c>
      <c r="AG225" s="245">
        <f>VLOOKUP($U225,计算辅助页面!$Z$5:$AM$26,COLUMN()-20,0)</f>
        <v>2250000</v>
      </c>
      <c r="AH225" s="187">
        <f>VLOOKUP($U225,计算辅助页面!$Z$5:$AM$26,COLUMN()-20,0)</f>
        <v>27726000</v>
      </c>
      <c r="AI225" s="272">
        <v>90000</v>
      </c>
      <c r="AJ225" s="306">
        <f>VLOOKUP(D225&amp;E225,计算辅助页面!$V$5:$Y$18,2,0)</f>
        <v>7</v>
      </c>
      <c r="AK225" s="190">
        <f t="shared" ref="AK225" si="405">IF(AI225,2*AI225,"")</f>
        <v>180000</v>
      </c>
      <c r="AL225" s="190">
        <f>VLOOKUP(D225&amp;E225,计算辅助页面!$V$5:$Y$18,3,0)</f>
        <v>5</v>
      </c>
      <c r="AM225" s="184">
        <f t="shared" ref="AM225" si="406">IF(AN225="×",AN225,IF(AI225,6*AI225,""))</f>
        <v>540000</v>
      </c>
      <c r="AN225" s="184">
        <f>VLOOKUP(D225&amp;E225,计算辅助页面!$V$5:$Y$18,4,0)</f>
        <v>4</v>
      </c>
      <c r="AO225" s="187">
        <f t="shared" ref="AO225" si="407">IF(AI225,IF(AN225="×",4*(AI225*AJ225+AK225*AL225),4*(AI225*AJ225+AK225*AL225+AM225*AN225)),"")</f>
        <v>14760000</v>
      </c>
      <c r="AP225" s="199">
        <f t="shared" ref="AP225" si="408">IF(AND(AH225,AO225),AO225+AH225,"")</f>
        <v>42486000</v>
      </c>
      <c r="AQ225" s="365" t="s">
        <v>571</v>
      </c>
      <c r="AR225" s="366" t="str">
        <f t="shared" si="394"/>
        <v>CCXR🔑</v>
      </c>
      <c r="AS225" s="352" t="s">
        <v>1514</v>
      </c>
      <c r="AT225" s="353" t="s">
        <v>1534</v>
      </c>
      <c r="AU225" s="327" t="s">
        <v>712</v>
      </c>
      <c r="AW225" s="357">
        <v>432</v>
      </c>
      <c r="AY225" s="357">
        <v>563</v>
      </c>
      <c r="AZ225" s="384" t="s">
        <v>1538</v>
      </c>
      <c r="BA225" s="369"/>
      <c r="BB225" s="369"/>
      <c r="BC225" s="369"/>
      <c r="BD225" s="369"/>
      <c r="BE225" s="369"/>
      <c r="BF225" s="369"/>
      <c r="BG225" s="369"/>
      <c r="BH225" s="369"/>
      <c r="BI225" s="369"/>
      <c r="BJ225" s="369"/>
      <c r="BK225" s="369"/>
      <c r="BL225" s="369"/>
      <c r="BM225" s="369"/>
      <c r="BN225" s="369">
        <v>1</v>
      </c>
      <c r="BO225" s="369"/>
      <c r="BP225" s="369"/>
      <c r="BQ225" s="369"/>
      <c r="BR225" s="369"/>
      <c r="BS225" s="369"/>
      <c r="BT225" s="369"/>
      <c r="BU225" s="389" t="s">
        <v>1541</v>
      </c>
      <c r="BV225" s="326"/>
      <c r="BW225" s="326"/>
      <c r="BX225" s="326"/>
      <c r="BY225" s="367"/>
      <c r="BZ225" s="368"/>
      <c r="CA225" s="368"/>
      <c r="CB225" s="368"/>
      <c r="CC225" s="368"/>
      <c r="CD225" s="368"/>
      <c r="CE225" s="368"/>
      <c r="CF225" s="368"/>
      <c r="CG225" s="368"/>
      <c r="CH225" s="368"/>
      <c r="CI225" s="42"/>
      <c r="CJ225" s="42"/>
      <c r="CK225" s="42"/>
      <c r="CL225" s="42"/>
    </row>
    <row r="226" spans="1:90" ht="21" customHeight="1" thickTop="1" thickBot="1">
      <c r="A226" s="48">
        <v>224</v>
      </c>
      <c r="B226" s="326" t="s">
        <v>907</v>
      </c>
      <c r="C226" s="86" t="s">
        <v>720</v>
      </c>
      <c r="D226" s="258" t="s">
        <v>42</v>
      </c>
      <c r="E226" s="253" t="s">
        <v>79</v>
      </c>
      <c r="F226" s="185">
        <f t="shared" si="335"/>
        <v>3</v>
      </c>
      <c r="G226" s="83" t="s">
        <v>76</v>
      </c>
      <c r="H226" s="244" t="s">
        <v>408</v>
      </c>
      <c r="I226" s="237">
        <v>40</v>
      </c>
      <c r="J226" s="237">
        <v>45</v>
      </c>
      <c r="K226" s="237">
        <v>60</v>
      </c>
      <c r="L226" s="237">
        <v>70</v>
      </c>
      <c r="M226" s="237">
        <v>85</v>
      </c>
      <c r="N226" s="245">
        <f t="shared" si="366"/>
        <v>300</v>
      </c>
      <c r="O226" s="328">
        <v>5041</v>
      </c>
      <c r="P226" s="329">
        <v>443.4</v>
      </c>
      <c r="Q226" s="330">
        <v>84.89</v>
      </c>
      <c r="R226" s="330">
        <v>54.63</v>
      </c>
      <c r="S226" s="330">
        <v>63.79</v>
      </c>
      <c r="T226" s="330"/>
      <c r="U226" s="84">
        <v>23000</v>
      </c>
      <c r="V226" s="304">
        <f>VLOOKUP($U226,计算辅助页面!$Z$5:$AM$26,COLUMN()-20,0)</f>
        <v>37500</v>
      </c>
      <c r="W226" s="304">
        <f>VLOOKUP($U226,计算辅助页面!$Z$5:$AM$26,COLUMN()-20,0)</f>
        <v>60000</v>
      </c>
      <c r="X226" s="245">
        <f>VLOOKUP($U226,计算辅助页面!$Z$5:$AM$26,COLUMN()-20,0)</f>
        <v>90000</v>
      </c>
      <c r="Y226" s="245">
        <f>VLOOKUP($U226,计算辅助页面!$Z$5:$AM$26,COLUMN()-20,0)</f>
        <v>130000</v>
      </c>
      <c r="Z226" s="305">
        <f>VLOOKUP($U226,计算辅助页面!$Z$5:$AM$26,COLUMN()-20,0)</f>
        <v>182000</v>
      </c>
      <c r="AA226" s="245">
        <f>VLOOKUP($U226,计算辅助页面!$Z$5:$AM$26,COLUMN()-20,0)</f>
        <v>255000</v>
      </c>
      <c r="AB226" s="245">
        <f>VLOOKUP($U226,计算辅助页面!$Z$5:$AM$26,COLUMN()-20,0)</f>
        <v>356500</v>
      </c>
      <c r="AC226" s="245">
        <f>VLOOKUP($U226,计算辅助页面!$Z$5:$AM$26,COLUMN()-20,0)</f>
        <v>499500</v>
      </c>
      <c r="AD226" s="245">
        <f>VLOOKUP($U226,计算辅助页面!$Z$5:$AM$26,COLUMN()-20,0)</f>
        <v>699000</v>
      </c>
      <c r="AE226" s="245">
        <f>VLOOKUP($U226,计算辅助页面!$Z$5:$AM$26,COLUMN()-20,0)</f>
        <v>979000</v>
      </c>
      <c r="AF226" s="245">
        <f>VLOOKUP($U226,计算辅助页面!$Z$5:$AM$26,COLUMN()-20,0)</f>
        <v>1370000</v>
      </c>
      <c r="AG226" s="245">
        <f>VLOOKUP($U226,计算辅助页面!$Z$5:$AM$26,COLUMN()-20,0)</f>
        <v>2250000</v>
      </c>
      <c r="AH226" s="187">
        <f>VLOOKUP($U226,计算辅助页面!$Z$5:$AM$26,COLUMN()-20,0)</f>
        <v>27726000</v>
      </c>
      <c r="AI226" s="272">
        <v>90000</v>
      </c>
      <c r="AJ226" s="306">
        <f>VLOOKUP(D226&amp;E226,计算辅助页面!$V$5:$Y$18,2,0)</f>
        <v>7</v>
      </c>
      <c r="AK226" s="190">
        <f t="shared" si="336"/>
        <v>180000</v>
      </c>
      <c r="AL226" s="190">
        <f>VLOOKUP(D226&amp;E226,计算辅助页面!$V$5:$Y$18,3,0)</f>
        <v>5</v>
      </c>
      <c r="AM226" s="184">
        <f t="shared" si="337"/>
        <v>540000</v>
      </c>
      <c r="AN226" s="184">
        <f>VLOOKUP(D226&amp;E226,计算辅助页面!$V$5:$Y$18,4,0)</f>
        <v>4</v>
      </c>
      <c r="AO226" s="187">
        <f t="shared" si="338"/>
        <v>14760000</v>
      </c>
      <c r="AP226" s="199">
        <f t="shared" si="339"/>
        <v>42486000</v>
      </c>
      <c r="AQ226" s="365" t="s">
        <v>721</v>
      </c>
      <c r="AR226" s="366" t="str">
        <f t="shared" si="394"/>
        <v>LA Voiture Noire🔑</v>
      </c>
      <c r="AS226" s="352" t="s">
        <v>723</v>
      </c>
      <c r="AT226" s="353" t="s">
        <v>885</v>
      </c>
      <c r="AU226" s="327" t="s">
        <v>712</v>
      </c>
      <c r="AW226" s="357">
        <v>467</v>
      </c>
      <c r="AY226" s="357">
        <v>579</v>
      </c>
      <c r="AZ226" s="357" t="s">
        <v>1112</v>
      </c>
      <c r="BA226" s="369"/>
      <c r="BB226" s="369"/>
      <c r="BC226" s="369"/>
      <c r="BD226" s="369"/>
      <c r="BE226" s="369"/>
      <c r="BF226" s="369"/>
      <c r="BG226" s="369"/>
      <c r="BH226" s="369"/>
      <c r="BI226" s="369"/>
      <c r="BJ226" s="369"/>
      <c r="BK226" s="369"/>
      <c r="BL226" s="369"/>
      <c r="BM226" s="369">
        <v>1</v>
      </c>
      <c r="BN226" s="369">
        <v>1</v>
      </c>
      <c r="BO226" s="369">
        <v>1</v>
      </c>
      <c r="BP226" s="369"/>
      <c r="BQ226" s="369"/>
      <c r="BR226" s="369"/>
      <c r="BS226" s="369"/>
      <c r="BT226" s="369"/>
      <c r="BU226" s="387" t="s">
        <v>1226</v>
      </c>
      <c r="BV226" s="326"/>
      <c r="BW226" s="326"/>
      <c r="BX226" s="326"/>
      <c r="BY226" s="367">
        <v>420</v>
      </c>
      <c r="BZ226" s="368">
        <v>78.400000000000006</v>
      </c>
      <c r="CA226" s="368">
        <v>47.5</v>
      </c>
      <c r="CB226" s="368">
        <v>44</v>
      </c>
      <c r="CC226" s="368">
        <f t="shared" si="340"/>
        <v>23.399999999999977</v>
      </c>
      <c r="CD226" s="368">
        <f t="shared" si="341"/>
        <v>6.4899999999999949</v>
      </c>
      <c r="CE226" s="368">
        <f t="shared" si="342"/>
        <v>7.1300000000000026</v>
      </c>
      <c r="CF226" s="368">
        <f t="shared" si="343"/>
        <v>19.79</v>
      </c>
      <c r="CG226" s="368">
        <f t="shared" si="344"/>
        <v>56.809999999999974</v>
      </c>
      <c r="CH226" s="368">
        <f t="shared" si="345"/>
        <v>52.233599999999981</v>
      </c>
      <c r="CI226" s="42"/>
      <c r="CJ226" s="42"/>
      <c r="CK226" s="42"/>
      <c r="CL226" s="42"/>
    </row>
    <row r="227" spans="1:90" ht="21" customHeight="1" thickTop="1" thickBot="1">
      <c r="A227" s="80">
        <v>225</v>
      </c>
      <c r="B227" s="326" t="s">
        <v>1619</v>
      </c>
      <c r="C227" s="86" t="s">
        <v>1620</v>
      </c>
      <c r="D227" s="258" t="s">
        <v>42</v>
      </c>
      <c r="E227" s="253" t="s">
        <v>79</v>
      </c>
      <c r="F227" s="185"/>
      <c r="G227" s="229"/>
      <c r="H227" s="244" t="s">
        <v>408</v>
      </c>
      <c r="I227" s="237">
        <v>40</v>
      </c>
      <c r="J227" s="237">
        <v>45</v>
      </c>
      <c r="K227" s="237">
        <v>60</v>
      </c>
      <c r="L227" s="237">
        <v>70</v>
      </c>
      <c r="M227" s="237">
        <v>85</v>
      </c>
      <c r="N227" s="245">
        <f t="shared" ref="N227" si="409">IF(COUNTBLANK(H227:M227),"",SUM(H227:M227))</f>
        <v>300</v>
      </c>
      <c r="O227" s="328">
        <v>5082</v>
      </c>
      <c r="P227" s="329">
        <v>438.7</v>
      </c>
      <c r="Q227" s="330">
        <v>86.55</v>
      </c>
      <c r="R227" s="330">
        <v>47.61</v>
      </c>
      <c r="S227" s="330">
        <v>47.08</v>
      </c>
      <c r="T227" s="330"/>
      <c r="U227" s="84">
        <v>23000</v>
      </c>
      <c r="V227" s="304">
        <f>VLOOKUP($U227,计算辅助页面!$Z$5:$AM$26,COLUMN()-20,0)</f>
        <v>37500</v>
      </c>
      <c r="W227" s="304">
        <f>VLOOKUP($U227,计算辅助页面!$Z$5:$AM$26,COLUMN()-20,0)</f>
        <v>60000</v>
      </c>
      <c r="X227" s="245">
        <f>VLOOKUP($U227,计算辅助页面!$Z$5:$AM$26,COLUMN()-20,0)</f>
        <v>90000</v>
      </c>
      <c r="Y227" s="245">
        <f>VLOOKUP($U227,计算辅助页面!$Z$5:$AM$26,COLUMN()-20,0)</f>
        <v>130000</v>
      </c>
      <c r="Z227" s="305">
        <f>VLOOKUP($U227,计算辅助页面!$Z$5:$AM$26,COLUMN()-20,0)</f>
        <v>182000</v>
      </c>
      <c r="AA227" s="245">
        <f>VLOOKUP($U227,计算辅助页面!$Z$5:$AM$26,COLUMN()-20,0)</f>
        <v>255000</v>
      </c>
      <c r="AB227" s="245">
        <f>VLOOKUP($U227,计算辅助页面!$Z$5:$AM$26,COLUMN()-20,0)</f>
        <v>356500</v>
      </c>
      <c r="AC227" s="245">
        <f>VLOOKUP($U227,计算辅助页面!$Z$5:$AM$26,COLUMN()-20,0)</f>
        <v>499500</v>
      </c>
      <c r="AD227" s="245">
        <f>VLOOKUP($U227,计算辅助页面!$Z$5:$AM$26,COLUMN()-20,0)</f>
        <v>699000</v>
      </c>
      <c r="AE227" s="245">
        <f>VLOOKUP($U227,计算辅助页面!$Z$5:$AM$26,COLUMN()-20,0)</f>
        <v>979000</v>
      </c>
      <c r="AF227" s="245">
        <f>VLOOKUP($U227,计算辅助页面!$Z$5:$AM$26,COLUMN()-20,0)</f>
        <v>1370000</v>
      </c>
      <c r="AG227" s="245">
        <f>VLOOKUP($U227,计算辅助页面!$Z$5:$AM$26,COLUMN()-20,0)</f>
        <v>2250000</v>
      </c>
      <c r="AH227" s="187">
        <f>VLOOKUP($U227,计算辅助页面!$Z$5:$AM$26,COLUMN()-20,0)</f>
        <v>27726000</v>
      </c>
      <c r="AI227" s="272">
        <v>90000</v>
      </c>
      <c r="AJ227" s="306">
        <f>VLOOKUP(D227&amp;E227,计算辅助页面!$V$5:$Y$18,2,0)</f>
        <v>7</v>
      </c>
      <c r="AK227" s="190">
        <f t="shared" ref="AK227" si="410">IF(AI227,2*AI227,"")</f>
        <v>180000</v>
      </c>
      <c r="AL227" s="190">
        <f>VLOOKUP(D227&amp;E227,计算辅助页面!$V$5:$Y$18,3,0)</f>
        <v>5</v>
      </c>
      <c r="AM227" s="184">
        <f t="shared" ref="AM227" si="411">IF(AN227="×",AN227,IF(AI227,6*AI227,""))</f>
        <v>540000</v>
      </c>
      <c r="AN227" s="184">
        <f>VLOOKUP(D227&amp;E227,计算辅助页面!$V$5:$Y$18,4,0)</f>
        <v>4</v>
      </c>
      <c r="AO227" s="187">
        <f t="shared" ref="AO227" si="412">IF(AI227,IF(AN227="×",4*(AI227*AJ227+AK227*AL227),4*(AI227*AJ227+AK227*AL227+AM227*AN227)),"")</f>
        <v>14760000</v>
      </c>
      <c r="AP227" s="199">
        <f t="shared" ref="AP227" si="413">IF(AND(AH227,AO227),AO227+AH227,"")</f>
        <v>42486000</v>
      </c>
      <c r="AQ227" s="365" t="s">
        <v>1621</v>
      </c>
      <c r="AR227" s="366" t="str">
        <f t="shared" si="394"/>
        <v>Vayanne</v>
      </c>
      <c r="AS227" s="352" t="s">
        <v>1622</v>
      </c>
      <c r="AT227" s="353" t="s">
        <v>1623</v>
      </c>
      <c r="AU227" s="327" t="s">
        <v>712</v>
      </c>
      <c r="AZ227" s="384" t="s">
        <v>1330</v>
      </c>
      <c r="BA227" s="369"/>
      <c r="BB227" s="369"/>
      <c r="BC227" s="369"/>
      <c r="BD227" s="369"/>
      <c r="BE227" s="369"/>
      <c r="BF227" s="369"/>
      <c r="BG227" s="369"/>
      <c r="BH227" s="369"/>
      <c r="BI227" s="369"/>
      <c r="BJ227" s="369"/>
      <c r="BK227" s="369"/>
      <c r="BL227" s="369"/>
      <c r="BM227" s="369"/>
      <c r="BN227" s="369"/>
      <c r="BO227" s="369"/>
      <c r="BP227" s="369"/>
      <c r="BQ227" s="369"/>
      <c r="BR227" s="369"/>
      <c r="BS227" s="369"/>
      <c r="BT227" s="369"/>
      <c r="BU227" s="387"/>
      <c r="BV227" s="326"/>
      <c r="BW227" s="326"/>
      <c r="BX227" s="326"/>
      <c r="BY227" s="367"/>
      <c r="BZ227" s="368"/>
      <c r="CA227" s="368"/>
      <c r="CB227" s="368"/>
      <c r="CC227" s="368"/>
      <c r="CD227" s="368"/>
      <c r="CE227" s="368"/>
      <c r="CF227" s="368"/>
      <c r="CG227" s="368"/>
      <c r="CH227" s="368"/>
      <c r="CI227" s="42"/>
      <c r="CJ227" s="42"/>
      <c r="CK227" s="42"/>
      <c r="CL227" s="42"/>
    </row>
    <row r="228" spans="1:90" ht="21" customHeight="1" thickTop="1" thickBot="1">
      <c r="A228" s="48">
        <v>226</v>
      </c>
      <c r="B228" s="326" t="s">
        <v>1292</v>
      </c>
      <c r="C228" s="86" t="s">
        <v>1287</v>
      </c>
      <c r="D228" s="258" t="s">
        <v>42</v>
      </c>
      <c r="E228" s="253" t="s">
        <v>79</v>
      </c>
      <c r="F228" s="185">
        <f t="shared" ref="F228" si="414">9-LEN(E228)-LEN(SUBSTITUTE(E228,"★",""))</f>
        <v>3</v>
      </c>
      <c r="G228" s="83" t="s">
        <v>904</v>
      </c>
      <c r="H228" s="386" t="s">
        <v>408</v>
      </c>
      <c r="I228" s="237">
        <v>40</v>
      </c>
      <c r="J228" s="237">
        <v>45</v>
      </c>
      <c r="K228" s="237">
        <v>60</v>
      </c>
      <c r="L228" s="237">
        <v>70</v>
      </c>
      <c r="M228" s="237">
        <v>85</v>
      </c>
      <c r="N228" s="245">
        <f t="shared" ref="N228" si="415">IF(COUNTBLANK(H228:M228),"",SUM(H228:M228))</f>
        <v>300</v>
      </c>
      <c r="O228" s="328">
        <v>5085</v>
      </c>
      <c r="P228" s="329">
        <v>413.1</v>
      </c>
      <c r="Q228" s="330">
        <v>88.58</v>
      </c>
      <c r="R228" s="330">
        <v>66.06</v>
      </c>
      <c r="S228" s="330">
        <v>48.36</v>
      </c>
      <c r="T228" s="330">
        <v>4.4000000000000004</v>
      </c>
      <c r="U228" s="84">
        <v>23000</v>
      </c>
      <c r="V228" s="304">
        <f>VLOOKUP($U228,计算辅助页面!$Z$5:$AM$26,COLUMN()-20,0)</f>
        <v>37500</v>
      </c>
      <c r="W228" s="304">
        <f>VLOOKUP($U228,计算辅助页面!$Z$5:$AM$26,COLUMN()-20,0)</f>
        <v>60000</v>
      </c>
      <c r="X228" s="245">
        <f>VLOOKUP($U228,计算辅助页面!$Z$5:$AM$26,COLUMN()-20,0)</f>
        <v>90000</v>
      </c>
      <c r="Y228" s="245">
        <f>VLOOKUP($U228,计算辅助页面!$Z$5:$AM$26,COLUMN()-20,0)</f>
        <v>130000</v>
      </c>
      <c r="Z228" s="305">
        <f>VLOOKUP($U228,计算辅助页面!$Z$5:$AM$26,COLUMN()-20,0)</f>
        <v>182000</v>
      </c>
      <c r="AA228" s="245">
        <f>VLOOKUP($U228,计算辅助页面!$Z$5:$AM$26,COLUMN()-20,0)</f>
        <v>255000</v>
      </c>
      <c r="AB228" s="245">
        <f>VLOOKUP($U228,计算辅助页面!$Z$5:$AM$26,COLUMN()-20,0)</f>
        <v>356500</v>
      </c>
      <c r="AC228" s="245">
        <f>VLOOKUP($U228,计算辅助页面!$Z$5:$AM$26,COLUMN()-20,0)</f>
        <v>499500</v>
      </c>
      <c r="AD228" s="245">
        <f>VLOOKUP($U228,计算辅助页面!$Z$5:$AM$26,COLUMN()-20,0)</f>
        <v>699000</v>
      </c>
      <c r="AE228" s="245">
        <f>VLOOKUP($U228,计算辅助页面!$Z$5:$AM$26,COLUMN()-20,0)</f>
        <v>979000</v>
      </c>
      <c r="AF228" s="245">
        <f>VLOOKUP($U228,计算辅助页面!$Z$5:$AM$26,COLUMN()-20,0)</f>
        <v>1370000</v>
      </c>
      <c r="AG228" s="245">
        <f>VLOOKUP($U228,计算辅助页面!$Z$5:$AM$26,COLUMN()-20,0)</f>
        <v>2250000</v>
      </c>
      <c r="AH228" s="187">
        <f>VLOOKUP($U228,计算辅助页面!$Z$5:$AM$26,COLUMN()-20,0)</f>
        <v>27726000</v>
      </c>
      <c r="AI228" s="267">
        <v>90000</v>
      </c>
      <c r="AJ228" s="306">
        <f>VLOOKUP(D228&amp;E228,计算辅助页面!$V$5:$Y$18,2,0)</f>
        <v>7</v>
      </c>
      <c r="AK228" s="190">
        <f t="shared" ref="AK228" si="416">IF(AI228,2*AI228,"")</f>
        <v>180000</v>
      </c>
      <c r="AL228" s="190">
        <f>VLOOKUP(D228&amp;E228,计算辅助页面!$V$5:$Y$18,3,0)</f>
        <v>5</v>
      </c>
      <c r="AM228" s="184">
        <f t="shared" ref="AM228" si="417">IF(AN228="×",AN228,IF(AI228,6*AI228,""))</f>
        <v>540000</v>
      </c>
      <c r="AN228" s="184">
        <f>VLOOKUP(D228&amp;E228,计算辅助页面!$V$5:$Y$18,4,0)</f>
        <v>4</v>
      </c>
      <c r="AO228" s="187">
        <f t="shared" ref="AO228" si="418">IF(AI228,IF(AN228="×",4*(AI228*AJ228+AK228*AL228),4*(AI228*AJ228+AK228*AL228+AM228*AN228)),"")</f>
        <v>14760000</v>
      </c>
      <c r="AP228" s="199">
        <f t="shared" ref="AP228" si="419">IF(AND(AH228,AO228),AO228+AH228,"")</f>
        <v>42486000</v>
      </c>
      <c r="AQ228" s="365" t="s">
        <v>571</v>
      </c>
      <c r="AR228" s="366" t="str">
        <f t="shared" si="394"/>
        <v>Gemera🔑</v>
      </c>
      <c r="AS228" s="352" t="s">
        <v>1268</v>
      </c>
      <c r="AT228" s="353" t="s">
        <v>1288</v>
      </c>
      <c r="AU228" s="327" t="s">
        <v>712</v>
      </c>
      <c r="AW228" s="357">
        <v>433</v>
      </c>
      <c r="AY228" s="357">
        <v>564</v>
      </c>
      <c r="AZ228" s="357" t="s">
        <v>1112</v>
      </c>
      <c r="BA228" s="369"/>
      <c r="BB228" s="369"/>
      <c r="BC228" s="369"/>
      <c r="BD228" s="369"/>
      <c r="BE228" s="369"/>
      <c r="BF228" s="369"/>
      <c r="BG228" s="369"/>
      <c r="BH228" s="369"/>
      <c r="BI228" s="369"/>
      <c r="BJ228" s="369"/>
      <c r="BK228" s="369"/>
      <c r="BL228" s="369"/>
      <c r="BM228" s="369"/>
      <c r="BN228" s="369">
        <v>1</v>
      </c>
      <c r="BO228" s="369">
        <v>1</v>
      </c>
      <c r="BP228" s="369"/>
      <c r="BQ228" s="369"/>
      <c r="BR228" s="369"/>
      <c r="BS228" s="369"/>
      <c r="BT228" s="369"/>
      <c r="BU228" s="389" t="s">
        <v>1296</v>
      </c>
      <c r="BV228" s="326"/>
      <c r="BW228" s="326"/>
      <c r="BX228" s="326"/>
      <c r="BY228" s="367"/>
      <c r="BZ228" s="368"/>
      <c r="CA228" s="368"/>
      <c r="CB228" s="368"/>
      <c r="CC228" s="368"/>
      <c r="CD228" s="368"/>
      <c r="CE228" s="368"/>
      <c r="CF228" s="368"/>
      <c r="CG228" s="368"/>
      <c r="CH228" s="368"/>
      <c r="CI228" s="42"/>
      <c r="CJ228" s="42"/>
      <c r="CK228" s="42"/>
      <c r="CL228" s="42"/>
    </row>
    <row r="229" spans="1:90" ht="21" customHeight="1" thickTop="1" thickBot="1">
      <c r="A229" s="80">
        <v>227</v>
      </c>
      <c r="B229" s="326" t="s">
        <v>1008</v>
      </c>
      <c r="C229" s="86" t="s">
        <v>1009</v>
      </c>
      <c r="D229" s="258" t="s">
        <v>42</v>
      </c>
      <c r="E229" s="253" t="s">
        <v>79</v>
      </c>
      <c r="F229" s="185"/>
      <c r="G229" s="229"/>
      <c r="H229" s="244">
        <v>85</v>
      </c>
      <c r="I229" s="236">
        <v>25</v>
      </c>
      <c r="J229" s="236">
        <v>29</v>
      </c>
      <c r="K229" s="236">
        <v>38</v>
      </c>
      <c r="L229" s="236">
        <v>54</v>
      </c>
      <c r="M229" s="236">
        <v>69</v>
      </c>
      <c r="N229" s="243">
        <f t="shared" ref="N229:N231" si="420">IF(COUNTBLANK(H229:M229),"",SUM(H229:M229))</f>
        <v>300</v>
      </c>
      <c r="O229" s="328">
        <v>5126</v>
      </c>
      <c r="P229" s="329">
        <v>512.29999999999995</v>
      </c>
      <c r="Q229" s="330">
        <v>80.66</v>
      </c>
      <c r="R229" s="330">
        <v>49.07</v>
      </c>
      <c r="S229" s="330">
        <v>49.53</v>
      </c>
      <c r="T229" s="330">
        <v>4.3</v>
      </c>
      <c r="U229" s="96">
        <v>23000</v>
      </c>
      <c r="V229" s="304">
        <f>VLOOKUP($U229,计算辅助页面!$Z$5:$AM$26,COLUMN()-20,0)</f>
        <v>37500</v>
      </c>
      <c r="W229" s="304">
        <f>VLOOKUP($U229,计算辅助页面!$Z$5:$AM$26,COLUMN()-20,0)</f>
        <v>60000</v>
      </c>
      <c r="X229" s="245">
        <f>VLOOKUP($U229,计算辅助页面!$Z$5:$AM$26,COLUMN()-20,0)</f>
        <v>90000</v>
      </c>
      <c r="Y229" s="245">
        <f>VLOOKUP($U229,计算辅助页面!$Z$5:$AM$26,COLUMN()-20,0)</f>
        <v>130000</v>
      </c>
      <c r="Z229" s="305">
        <f>VLOOKUP($U229,计算辅助页面!$Z$5:$AM$26,COLUMN()-20,0)</f>
        <v>182000</v>
      </c>
      <c r="AA229" s="245">
        <f>VLOOKUP($U229,计算辅助页面!$Z$5:$AM$26,COLUMN()-20,0)</f>
        <v>255000</v>
      </c>
      <c r="AB229" s="245">
        <f>VLOOKUP($U229,计算辅助页面!$Z$5:$AM$26,COLUMN()-20,0)</f>
        <v>356500</v>
      </c>
      <c r="AC229" s="245">
        <f>VLOOKUP($U229,计算辅助页面!$Z$5:$AM$26,COLUMN()-20,0)</f>
        <v>499500</v>
      </c>
      <c r="AD229" s="245">
        <f>VLOOKUP($U229,计算辅助页面!$Z$5:$AM$26,COLUMN()-20,0)</f>
        <v>699000</v>
      </c>
      <c r="AE229" s="245">
        <f>VLOOKUP($U229,计算辅助页面!$Z$5:$AM$26,COLUMN()-20,0)</f>
        <v>979000</v>
      </c>
      <c r="AF229" s="245">
        <f>VLOOKUP($U229,计算辅助页面!$Z$5:$AM$26,COLUMN()-20,0)</f>
        <v>1370000</v>
      </c>
      <c r="AG229" s="245">
        <f>VLOOKUP($U229,计算辅助页面!$Z$5:$AM$26,COLUMN()-20,0)</f>
        <v>2250000</v>
      </c>
      <c r="AH229" s="187">
        <f>VLOOKUP($U229,计算辅助页面!$Z$5:$AM$26,COLUMN()-20,0)</f>
        <v>27726000</v>
      </c>
      <c r="AI229" s="272">
        <v>90000</v>
      </c>
      <c r="AJ229" s="306">
        <f>VLOOKUP(D229&amp;E229,计算辅助页面!$V$5:$Y$18,2,0)</f>
        <v>7</v>
      </c>
      <c r="AK229" s="190">
        <f t="shared" ref="AK229:AK231" si="421">IF(AI229,2*AI229,"")</f>
        <v>180000</v>
      </c>
      <c r="AL229" s="190">
        <f>VLOOKUP(D229&amp;E229,计算辅助页面!$V$5:$Y$18,3,0)</f>
        <v>5</v>
      </c>
      <c r="AM229" s="184">
        <f t="shared" ref="AM229:AM231" si="422">IF(AN229="×",AN229,IF(AI229,6*AI229,""))</f>
        <v>540000</v>
      </c>
      <c r="AN229" s="184">
        <f>VLOOKUP(D229&amp;E229,计算辅助页面!$V$5:$Y$18,4,0)</f>
        <v>4</v>
      </c>
      <c r="AO229" s="187">
        <f t="shared" ref="AO229:AO231" si="423">IF(AI229,IF(AN229="×",4*(AI229*AJ229+AK229*AL229),4*(AI229*AJ229+AK229*AL229+AM229*AN229)),"")</f>
        <v>14760000</v>
      </c>
      <c r="AP229" s="199">
        <f t="shared" ref="AP229:AP231" si="424">IF(AND(AH229,AO229),AO229+AH229,"")</f>
        <v>42486000</v>
      </c>
      <c r="AQ229" s="365" t="s">
        <v>1039</v>
      </c>
      <c r="AR229" s="366" t="str">
        <f t="shared" si="394"/>
        <v>Venom F5</v>
      </c>
      <c r="AS229" s="352" t="s">
        <v>991</v>
      </c>
      <c r="AT229" s="353" t="s">
        <v>1010</v>
      </c>
      <c r="AU229" s="327" t="s">
        <v>712</v>
      </c>
      <c r="AW229" s="357">
        <v>538</v>
      </c>
      <c r="AY229" s="357">
        <v>600</v>
      </c>
      <c r="AZ229" s="357" t="s">
        <v>1121</v>
      </c>
      <c r="BA229" s="369"/>
      <c r="BB229" s="369"/>
      <c r="BC229" s="369"/>
      <c r="BD229" s="369"/>
      <c r="BE229" s="369"/>
      <c r="BF229" s="369"/>
      <c r="BG229" s="369"/>
      <c r="BH229" s="369"/>
      <c r="BI229" s="369"/>
      <c r="BJ229" s="369"/>
      <c r="BK229" s="369">
        <v>1</v>
      </c>
      <c r="BL229" s="369"/>
      <c r="BM229" s="369"/>
      <c r="BN229" s="369"/>
      <c r="BO229" s="369">
        <v>1</v>
      </c>
      <c r="BP229" s="369"/>
      <c r="BQ229" s="369"/>
      <c r="BR229" s="369" t="s">
        <v>1146</v>
      </c>
      <c r="BS229" s="369"/>
      <c r="BT229" s="369"/>
      <c r="BU229" s="387" t="s">
        <v>1227</v>
      </c>
      <c r="BV229" s="326"/>
      <c r="BW229" s="326"/>
      <c r="BX229" s="326"/>
      <c r="BY229" s="367"/>
      <c r="BZ229" s="368"/>
      <c r="CA229" s="368"/>
      <c r="CB229" s="368"/>
      <c r="CC229" s="368"/>
      <c r="CD229" s="368"/>
      <c r="CE229" s="368"/>
      <c r="CF229" s="368"/>
      <c r="CG229" s="368"/>
      <c r="CH229" s="368"/>
      <c r="CI229" s="42"/>
      <c r="CJ229" s="42"/>
      <c r="CK229" s="42"/>
      <c r="CL229" s="42"/>
    </row>
    <row r="230" spans="1:90" ht="21" customHeight="1" thickTop="1" thickBot="1">
      <c r="A230" s="48">
        <v>228</v>
      </c>
      <c r="B230" s="326" t="s">
        <v>1602</v>
      </c>
      <c r="C230" s="86" t="s">
        <v>1599</v>
      </c>
      <c r="D230" s="258" t="s">
        <v>42</v>
      </c>
      <c r="E230" s="253" t="s">
        <v>79</v>
      </c>
      <c r="F230" s="185">
        <f t="shared" ref="F230" si="425">9-LEN(E230)-LEN(SUBSTITUTE(E230,"★",""))</f>
        <v>3</v>
      </c>
      <c r="G230" s="83" t="s">
        <v>904</v>
      </c>
      <c r="H230" s="386" t="s">
        <v>408</v>
      </c>
      <c r="I230" s="237">
        <v>40</v>
      </c>
      <c r="J230" s="237">
        <v>45</v>
      </c>
      <c r="K230" s="237">
        <v>60</v>
      </c>
      <c r="L230" s="237">
        <v>70</v>
      </c>
      <c r="M230" s="237">
        <v>85</v>
      </c>
      <c r="N230" s="245">
        <f t="shared" si="420"/>
        <v>300</v>
      </c>
      <c r="O230" s="328">
        <v>5145</v>
      </c>
      <c r="P230" s="329">
        <v>478.3</v>
      </c>
      <c r="Q230" s="330">
        <v>82.37</v>
      </c>
      <c r="R230" s="330">
        <v>54.39</v>
      </c>
      <c r="S230" s="330">
        <v>39.44</v>
      </c>
      <c r="T230" s="330">
        <v>3.9</v>
      </c>
      <c r="U230" s="96">
        <v>23000</v>
      </c>
      <c r="V230" s="304">
        <f>VLOOKUP($U230,计算辅助页面!$Z$5:$AM$26,COLUMN()-20,0)</f>
        <v>37500</v>
      </c>
      <c r="W230" s="304">
        <f>VLOOKUP($U230,计算辅助页面!$Z$5:$AM$26,COLUMN()-20,0)</f>
        <v>60000</v>
      </c>
      <c r="X230" s="245">
        <f>VLOOKUP($U230,计算辅助页面!$Z$5:$AM$26,COLUMN()-20,0)</f>
        <v>90000</v>
      </c>
      <c r="Y230" s="245">
        <f>VLOOKUP($U230,计算辅助页面!$Z$5:$AM$26,COLUMN()-20,0)</f>
        <v>130000</v>
      </c>
      <c r="Z230" s="305">
        <f>VLOOKUP($U230,计算辅助页面!$Z$5:$AM$26,COLUMN()-20,0)</f>
        <v>182000</v>
      </c>
      <c r="AA230" s="245">
        <f>VLOOKUP($U230,计算辅助页面!$Z$5:$AM$26,COLUMN()-20,0)</f>
        <v>255000</v>
      </c>
      <c r="AB230" s="245">
        <f>VLOOKUP($U230,计算辅助页面!$Z$5:$AM$26,COLUMN()-20,0)</f>
        <v>356500</v>
      </c>
      <c r="AC230" s="245">
        <f>VLOOKUP($U230,计算辅助页面!$Z$5:$AM$26,COLUMN()-20,0)</f>
        <v>499500</v>
      </c>
      <c r="AD230" s="245">
        <f>VLOOKUP($U230,计算辅助页面!$Z$5:$AM$26,COLUMN()-20,0)</f>
        <v>699000</v>
      </c>
      <c r="AE230" s="245">
        <f>VLOOKUP($U230,计算辅助页面!$Z$5:$AM$26,COLUMN()-20,0)</f>
        <v>979000</v>
      </c>
      <c r="AF230" s="245">
        <f>VLOOKUP($U230,计算辅助页面!$Z$5:$AM$26,COLUMN()-20,0)</f>
        <v>1370000</v>
      </c>
      <c r="AG230" s="245">
        <f>VLOOKUP($U230,计算辅助页面!$Z$5:$AM$26,COLUMN()-20,0)</f>
        <v>2250000</v>
      </c>
      <c r="AH230" s="187">
        <f>VLOOKUP($U230,计算辅助页面!$Z$5:$AM$26,COLUMN()-20,0)</f>
        <v>27726000</v>
      </c>
      <c r="AI230" s="272">
        <v>90000</v>
      </c>
      <c r="AJ230" s="306">
        <f>VLOOKUP(D230&amp;E230,计算辅助页面!$V$5:$Y$18,2,0)</f>
        <v>7</v>
      </c>
      <c r="AK230" s="190">
        <f t="shared" ref="AK230" si="426">IF(AI230,2*AI230,"")</f>
        <v>180000</v>
      </c>
      <c r="AL230" s="190">
        <f>VLOOKUP(D230&amp;E230,计算辅助页面!$V$5:$Y$18,3,0)</f>
        <v>5</v>
      </c>
      <c r="AM230" s="184">
        <f t="shared" ref="AM230" si="427">IF(AN230="×",AN230,IF(AI230,6*AI230,""))</f>
        <v>540000</v>
      </c>
      <c r="AN230" s="184">
        <f>VLOOKUP(D230&amp;E230,计算辅助页面!$V$5:$Y$18,4,0)</f>
        <v>4</v>
      </c>
      <c r="AO230" s="187">
        <f t="shared" ref="AO230" si="428">IF(AI230,IF(AN230="×",4*(AI230*AJ230+AK230*AL230),4*(AI230*AJ230+AK230*AL230+AM230*AN230)),"")</f>
        <v>14760000</v>
      </c>
      <c r="AP230" s="199">
        <f t="shared" ref="AP230" si="429">IF(AND(AH230,AO230),AO230+AH230,"")</f>
        <v>42486000</v>
      </c>
      <c r="AQ230" s="365" t="s">
        <v>571</v>
      </c>
      <c r="AR230" s="366" t="str">
        <f t="shared" si="394"/>
        <v>CC850🔑</v>
      </c>
      <c r="AS230" s="352" t="s">
        <v>1585</v>
      </c>
      <c r="AT230" s="353" t="s">
        <v>1600</v>
      </c>
      <c r="AU230" s="327" t="s">
        <v>712</v>
      </c>
      <c r="AW230" s="357">
        <v>503</v>
      </c>
      <c r="AY230" s="357">
        <v>595</v>
      </c>
      <c r="AZ230" s="384" t="s">
        <v>1612</v>
      </c>
      <c r="BA230" s="369"/>
      <c r="BB230" s="369"/>
      <c r="BC230" s="369"/>
      <c r="BD230" s="369"/>
      <c r="BE230" s="369"/>
      <c r="BF230" s="369"/>
      <c r="BG230" s="369"/>
      <c r="BH230" s="369"/>
      <c r="BI230" s="369"/>
      <c r="BJ230" s="369"/>
      <c r="BK230" s="369"/>
      <c r="BL230" s="369"/>
      <c r="BM230" s="369"/>
      <c r="BN230" s="369">
        <v>1</v>
      </c>
      <c r="BO230" s="369"/>
      <c r="BP230" s="369"/>
      <c r="BQ230" s="369"/>
      <c r="BR230" s="369"/>
      <c r="BS230" s="369"/>
      <c r="BT230" s="369"/>
      <c r="BU230" s="391" t="s">
        <v>1608</v>
      </c>
      <c r="BV230" s="326"/>
      <c r="BW230" s="326"/>
      <c r="BX230" s="326"/>
      <c r="BY230" s="367"/>
      <c r="BZ230" s="368"/>
      <c r="CA230" s="368"/>
      <c r="CB230" s="368"/>
      <c r="CC230" s="368"/>
      <c r="CD230" s="368"/>
      <c r="CE230" s="368"/>
      <c r="CF230" s="368"/>
      <c r="CG230" s="368"/>
      <c r="CH230" s="368"/>
      <c r="CI230" s="42"/>
      <c r="CJ230" s="42"/>
      <c r="CK230" s="42"/>
      <c r="CL230" s="42"/>
    </row>
    <row r="231" spans="1:90" ht="21" customHeight="1" thickTop="1" thickBot="1">
      <c r="A231" s="80">
        <v>229</v>
      </c>
      <c r="B231" s="326" t="s">
        <v>1484</v>
      </c>
      <c r="C231" s="86" t="s">
        <v>1475</v>
      </c>
      <c r="D231" s="258" t="s">
        <v>42</v>
      </c>
      <c r="E231" s="253" t="s">
        <v>79</v>
      </c>
      <c r="F231" s="185"/>
      <c r="G231" s="229"/>
      <c r="H231" s="386" t="s">
        <v>408</v>
      </c>
      <c r="I231" s="237">
        <v>40</v>
      </c>
      <c r="J231" s="237">
        <v>45</v>
      </c>
      <c r="K231" s="237">
        <v>60</v>
      </c>
      <c r="L231" s="237">
        <v>70</v>
      </c>
      <c r="M231" s="237">
        <v>85</v>
      </c>
      <c r="N231" s="245">
        <f t="shared" si="420"/>
        <v>300</v>
      </c>
      <c r="O231" s="328">
        <v>5190</v>
      </c>
      <c r="P231" s="329">
        <v>497.1</v>
      </c>
      <c r="Q231" s="330">
        <v>84.28</v>
      </c>
      <c r="R231" s="330">
        <v>51.07</v>
      </c>
      <c r="S231" s="330">
        <v>27.5</v>
      </c>
      <c r="T231" s="330"/>
      <c r="U231" s="84">
        <v>23000</v>
      </c>
      <c r="V231" s="292">
        <f>VLOOKUP($U231,计算辅助页面!$Z$5:$AM$26,COLUMN()-20,0)</f>
        <v>37500</v>
      </c>
      <c r="W231" s="292">
        <f>VLOOKUP($U231,计算辅助页面!$Z$5:$AM$26,COLUMN()-20,0)</f>
        <v>60000</v>
      </c>
      <c r="X231" s="226">
        <f>VLOOKUP($U231,计算辅助页面!$Z$5:$AM$26,COLUMN()-20,0)</f>
        <v>90000</v>
      </c>
      <c r="Y231" s="226">
        <f>VLOOKUP($U231,计算辅助页面!$Z$5:$AM$26,COLUMN()-20,0)</f>
        <v>130000</v>
      </c>
      <c r="Z231" s="293">
        <f>VLOOKUP($U231,计算辅助页面!$Z$5:$AM$26,COLUMN()-20,0)</f>
        <v>182000</v>
      </c>
      <c r="AA231" s="226">
        <f>VLOOKUP($U231,计算辅助页面!$Z$5:$AM$26,COLUMN()-20,0)</f>
        <v>255000</v>
      </c>
      <c r="AB231" s="226">
        <f>VLOOKUP($U231,计算辅助页面!$Z$5:$AM$26,COLUMN()-20,0)</f>
        <v>356500</v>
      </c>
      <c r="AC231" s="226">
        <f>VLOOKUP($U231,计算辅助页面!$Z$5:$AM$26,COLUMN()-20,0)</f>
        <v>499500</v>
      </c>
      <c r="AD231" s="226">
        <f>VLOOKUP($U231,计算辅助页面!$Z$5:$AM$26,COLUMN()-20,0)</f>
        <v>699000</v>
      </c>
      <c r="AE231" s="226">
        <f>VLOOKUP($U231,计算辅助页面!$Z$5:$AM$26,COLUMN()-20,0)</f>
        <v>979000</v>
      </c>
      <c r="AF231" s="226">
        <f>VLOOKUP($U231,计算辅助页面!$Z$5:$AM$26,COLUMN()-20,0)</f>
        <v>1370000</v>
      </c>
      <c r="AG231" s="226">
        <f>VLOOKUP($U231,计算辅助页面!$Z$5:$AM$26,COLUMN()-20,0)</f>
        <v>2250000</v>
      </c>
      <c r="AH231" s="173">
        <f>VLOOKUP($U231,计算辅助页面!$Z$5:$AM$26,COLUMN()-20,0)</f>
        <v>27726000</v>
      </c>
      <c r="AI231" s="267">
        <v>90000</v>
      </c>
      <c r="AJ231" s="260">
        <f>VLOOKUP(D231&amp;E231,计算辅助页面!$V$5:$Y$18,2,0)</f>
        <v>7</v>
      </c>
      <c r="AK231" s="174">
        <f t="shared" si="421"/>
        <v>180000</v>
      </c>
      <c r="AL231" s="174">
        <f>VLOOKUP(D231&amp;E231,计算辅助页面!$V$5:$Y$18,3,0)</f>
        <v>5</v>
      </c>
      <c r="AM231" s="179">
        <f t="shared" si="422"/>
        <v>540000</v>
      </c>
      <c r="AN231" s="179">
        <f>VLOOKUP(D231&amp;E231,计算辅助页面!$V$5:$Y$18,4,0)</f>
        <v>4</v>
      </c>
      <c r="AO231" s="173">
        <f t="shared" si="423"/>
        <v>14760000</v>
      </c>
      <c r="AP231" s="195">
        <f t="shared" si="424"/>
        <v>42486000</v>
      </c>
      <c r="AQ231" s="365" t="s">
        <v>721</v>
      </c>
      <c r="AR231" s="366" t="str">
        <f t="shared" si="394"/>
        <v>Bolide🔑</v>
      </c>
      <c r="AS231" s="352" t="s">
        <v>1457</v>
      </c>
      <c r="AT231" s="353" t="s">
        <v>1479</v>
      </c>
      <c r="AU231" s="327" t="s">
        <v>712</v>
      </c>
      <c r="AW231" s="357">
        <v>522</v>
      </c>
      <c r="AY231" s="357">
        <v>600</v>
      </c>
      <c r="AZ231" s="384" t="s">
        <v>1412</v>
      </c>
      <c r="BA231" s="369"/>
      <c r="BB231" s="369"/>
      <c r="BC231" s="369"/>
      <c r="BD231" s="369"/>
      <c r="BE231" s="369"/>
      <c r="BF231" s="369"/>
      <c r="BG231" s="369"/>
      <c r="BH231" s="369"/>
      <c r="BI231" s="369"/>
      <c r="BJ231" s="369"/>
      <c r="BK231" s="369"/>
      <c r="BL231" s="369"/>
      <c r="BM231" s="369"/>
      <c r="BN231" s="369">
        <v>1</v>
      </c>
      <c r="BO231" s="369"/>
      <c r="BP231" s="369"/>
      <c r="BQ231" s="369"/>
      <c r="BR231" s="369"/>
      <c r="BS231" s="369"/>
      <c r="BT231" s="369"/>
      <c r="BU231" s="389" t="s">
        <v>1483</v>
      </c>
      <c r="BV231" s="326"/>
      <c r="BW231" s="326"/>
      <c r="BX231" s="326"/>
      <c r="BY231" s="367"/>
      <c r="BZ231" s="368"/>
      <c r="CA231" s="368"/>
      <c r="CB231" s="368"/>
      <c r="CC231" s="368"/>
      <c r="CD231" s="368"/>
      <c r="CE231" s="368"/>
      <c r="CF231" s="368"/>
      <c r="CG231" s="368"/>
      <c r="CH231" s="368"/>
      <c r="CI231" s="42"/>
      <c r="CJ231" s="42"/>
      <c r="CK231" s="42"/>
      <c r="CL231" s="42"/>
    </row>
    <row r="232" spans="1:90" ht="16.2" thickTop="1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77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69"/>
      <c r="BB232" s="369"/>
      <c r="BC232" s="369"/>
      <c r="BD232" s="369"/>
      <c r="BE232" s="369"/>
      <c r="BF232" s="369"/>
      <c r="BG232" s="369"/>
      <c r="BH232" s="369"/>
      <c r="BI232" s="369"/>
      <c r="BJ232" s="369"/>
      <c r="BK232" s="369"/>
      <c r="BL232" s="369"/>
      <c r="BM232" s="369"/>
      <c r="BN232" s="369"/>
      <c r="BO232" s="369"/>
      <c r="BP232" s="369"/>
      <c r="BQ232" s="369"/>
      <c r="BR232" s="369"/>
      <c r="BS232" s="369"/>
      <c r="BT232" s="369"/>
      <c r="BU232" s="369"/>
      <c r="BV232" s="326"/>
      <c r="BW232" s="326"/>
      <c r="BX232" s="326"/>
      <c r="BY232" s="367"/>
      <c r="BZ232" s="368"/>
      <c r="CA232" s="368"/>
      <c r="CB232" s="368"/>
      <c r="CC232" s="368"/>
      <c r="CD232" s="368"/>
      <c r="CE232" s="368"/>
      <c r="CF232" s="368"/>
      <c r="CG232" s="368"/>
      <c r="CH232" s="368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77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69"/>
      <c r="BB233" s="369"/>
      <c r="BC233" s="369"/>
      <c r="BD233" s="369"/>
      <c r="BE233" s="369"/>
      <c r="BF233" s="369"/>
      <c r="BG233" s="369"/>
      <c r="BH233" s="369"/>
      <c r="BI233" s="369"/>
      <c r="BJ233" s="369"/>
      <c r="BK233" s="369"/>
      <c r="BL233" s="369"/>
      <c r="BM233" s="369"/>
      <c r="BN233" s="369"/>
      <c r="BO233" s="369"/>
      <c r="BP233" s="369"/>
      <c r="BQ233" s="369"/>
      <c r="BR233" s="369"/>
      <c r="BS233" s="369"/>
      <c r="BT233" s="369"/>
      <c r="BU233" s="369"/>
      <c r="BV233" s="326"/>
      <c r="BW233" s="326"/>
      <c r="BX233" s="326"/>
      <c r="BY233" s="367"/>
      <c r="BZ233" s="368"/>
      <c r="CA233" s="368"/>
      <c r="CB233" s="368"/>
      <c r="CC233" s="368"/>
      <c r="CD233" s="368"/>
      <c r="CE233" s="368"/>
      <c r="CF233" s="368"/>
      <c r="CG233" s="368"/>
      <c r="CH233" s="368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77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69"/>
      <c r="BB234" s="369"/>
      <c r="BC234" s="369"/>
      <c r="BD234" s="369"/>
      <c r="BE234" s="369"/>
      <c r="BF234" s="369"/>
      <c r="BG234" s="369"/>
      <c r="BH234" s="369"/>
      <c r="BI234" s="369"/>
      <c r="BJ234" s="369"/>
      <c r="BK234" s="369"/>
      <c r="BL234" s="369"/>
      <c r="BM234" s="369"/>
      <c r="BN234" s="369"/>
      <c r="BO234" s="369"/>
      <c r="BP234" s="369"/>
      <c r="BQ234" s="369"/>
      <c r="BR234" s="369"/>
      <c r="BS234" s="369"/>
      <c r="BT234" s="369"/>
      <c r="BU234" s="369"/>
      <c r="BV234" s="326"/>
      <c r="BW234" s="326"/>
      <c r="BX234" s="326"/>
      <c r="BY234" s="367"/>
      <c r="BZ234" s="368"/>
      <c r="CA234" s="368"/>
      <c r="CB234" s="368"/>
      <c r="CC234" s="368"/>
      <c r="CD234" s="368"/>
      <c r="CE234" s="368"/>
      <c r="CF234" s="368"/>
      <c r="CG234" s="368"/>
      <c r="CH234" s="368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77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69"/>
      <c r="BB235" s="369"/>
      <c r="BC235" s="369"/>
      <c r="BD235" s="369"/>
      <c r="BE235" s="369"/>
      <c r="BF235" s="369"/>
      <c r="BG235" s="369"/>
      <c r="BH235" s="369"/>
      <c r="BI235" s="369"/>
      <c r="BJ235" s="369"/>
      <c r="BK235" s="369"/>
      <c r="BL235" s="369"/>
      <c r="BM235" s="369"/>
      <c r="BN235" s="369"/>
      <c r="BO235" s="369"/>
      <c r="BP235" s="369"/>
      <c r="BQ235" s="369"/>
      <c r="BR235" s="369"/>
      <c r="BS235" s="369"/>
      <c r="BT235" s="369"/>
      <c r="BU235" s="369"/>
      <c r="BV235" s="326"/>
      <c r="BW235" s="326"/>
      <c r="BX235" s="326"/>
      <c r="BY235" s="367"/>
      <c r="BZ235" s="368"/>
      <c r="CA235" s="368"/>
      <c r="CB235" s="368"/>
      <c r="CC235" s="368"/>
      <c r="CD235" s="368"/>
      <c r="CE235" s="368"/>
      <c r="CF235" s="368"/>
      <c r="CG235" s="368"/>
      <c r="CH235" s="368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69"/>
      <c r="BB236" s="369"/>
      <c r="BC236" s="369"/>
      <c r="BD236" s="369"/>
      <c r="BE236" s="369"/>
      <c r="BF236" s="369"/>
      <c r="BG236" s="369"/>
      <c r="BH236" s="369"/>
      <c r="BI236" s="369"/>
      <c r="BJ236" s="369"/>
      <c r="BK236" s="369"/>
      <c r="BL236" s="369"/>
      <c r="BM236" s="369"/>
      <c r="BN236" s="369"/>
      <c r="BO236" s="369"/>
      <c r="BP236" s="369"/>
      <c r="BQ236" s="369"/>
      <c r="BR236" s="369"/>
      <c r="BS236" s="369"/>
      <c r="BT236" s="369"/>
      <c r="BU236" s="369"/>
      <c r="BV236" s="326"/>
      <c r="BW236" s="326"/>
      <c r="BX236" s="326"/>
      <c r="BY236" s="367"/>
      <c r="BZ236" s="368"/>
      <c r="CA236" s="368"/>
      <c r="CB236" s="368"/>
      <c r="CC236" s="368"/>
      <c r="CD236" s="368"/>
      <c r="CE236" s="368"/>
      <c r="CF236" s="368"/>
      <c r="CG236" s="368"/>
      <c r="CH236" s="368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69"/>
      <c r="BB237" s="369"/>
      <c r="BC237" s="369"/>
      <c r="BD237" s="369"/>
      <c r="BE237" s="369"/>
      <c r="BF237" s="369"/>
      <c r="BG237" s="369"/>
      <c r="BH237" s="369"/>
      <c r="BI237" s="369"/>
      <c r="BJ237" s="369"/>
      <c r="BK237" s="369"/>
      <c r="BL237" s="369"/>
      <c r="BM237" s="369"/>
      <c r="BN237" s="369"/>
      <c r="BO237" s="369"/>
      <c r="BP237" s="369"/>
      <c r="BQ237" s="369"/>
      <c r="BR237" s="369"/>
      <c r="BS237" s="369"/>
      <c r="BT237" s="369"/>
      <c r="BU237" s="369"/>
      <c r="BV237" s="326"/>
      <c r="BW237" s="326"/>
      <c r="BX237" s="326"/>
      <c r="BY237" s="367"/>
      <c r="BZ237" s="368"/>
      <c r="CA237" s="368"/>
      <c r="CB237" s="368"/>
      <c r="CC237" s="368"/>
      <c r="CD237" s="368"/>
      <c r="CE237" s="368"/>
      <c r="CF237" s="368"/>
      <c r="CG237" s="368"/>
      <c r="CH237" s="368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69"/>
      <c r="BB238" s="369"/>
      <c r="BC238" s="369"/>
      <c r="BD238" s="369"/>
      <c r="BE238" s="369"/>
      <c r="BF238" s="369"/>
      <c r="BG238" s="369"/>
      <c r="BH238" s="369"/>
      <c r="BI238" s="369"/>
      <c r="BJ238" s="369"/>
      <c r="BK238" s="369"/>
      <c r="BL238" s="369"/>
      <c r="BM238" s="369"/>
      <c r="BN238" s="369"/>
      <c r="BO238" s="369"/>
      <c r="BP238" s="369"/>
      <c r="BQ238" s="369"/>
      <c r="BR238" s="369"/>
      <c r="BS238" s="369"/>
      <c r="BT238" s="369"/>
      <c r="BU238" s="369"/>
      <c r="BV238" s="326"/>
      <c r="BW238" s="326"/>
      <c r="BX238" s="326"/>
      <c r="BY238" s="367"/>
      <c r="BZ238" s="368"/>
      <c r="CA238" s="368"/>
      <c r="CB238" s="368"/>
      <c r="CC238" s="368"/>
      <c r="CD238" s="368"/>
      <c r="CE238" s="368"/>
      <c r="CF238" s="368"/>
      <c r="CG238" s="368"/>
      <c r="CH238" s="368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69"/>
      <c r="BB239" s="369"/>
      <c r="BC239" s="369"/>
      <c r="BD239" s="369"/>
      <c r="BE239" s="369"/>
      <c r="BF239" s="369"/>
      <c r="BG239" s="369"/>
      <c r="BH239" s="369"/>
      <c r="BI239" s="369"/>
      <c r="BJ239" s="369"/>
      <c r="BK239" s="369"/>
      <c r="BL239" s="369"/>
      <c r="BM239" s="369"/>
      <c r="BN239" s="369"/>
      <c r="BO239" s="369"/>
      <c r="BP239" s="369"/>
      <c r="BQ239" s="369"/>
      <c r="BR239" s="369"/>
      <c r="BS239" s="369"/>
      <c r="BT239" s="369"/>
      <c r="BU239" s="369"/>
      <c r="BV239" s="326"/>
      <c r="BW239" s="326"/>
      <c r="BX239" s="326"/>
      <c r="BY239" s="367"/>
      <c r="BZ239" s="368"/>
      <c r="CA239" s="368"/>
      <c r="CB239" s="368"/>
      <c r="CC239" s="368"/>
      <c r="CD239" s="368"/>
      <c r="CE239" s="368"/>
      <c r="CF239" s="368"/>
      <c r="CG239" s="368"/>
      <c r="CH239" s="368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69"/>
      <c r="BB240" s="369"/>
      <c r="BC240" s="369"/>
      <c r="BD240" s="369"/>
      <c r="BE240" s="369"/>
      <c r="BF240" s="369"/>
      <c r="BG240" s="369"/>
      <c r="BH240" s="369"/>
      <c r="BI240" s="369"/>
      <c r="BJ240" s="369"/>
      <c r="BK240" s="369"/>
      <c r="BL240" s="369"/>
      <c r="BM240" s="369"/>
      <c r="BN240" s="369"/>
      <c r="BO240" s="369"/>
      <c r="BP240" s="369"/>
      <c r="BQ240" s="369"/>
      <c r="BR240" s="369"/>
      <c r="BS240" s="369"/>
      <c r="BT240" s="369"/>
      <c r="BU240" s="369"/>
      <c r="BV240" s="326"/>
      <c r="BW240" s="326"/>
      <c r="BX240" s="326"/>
      <c r="BY240" s="367"/>
      <c r="BZ240" s="368"/>
      <c r="CA240" s="368"/>
      <c r="CB240" s="368"/>
      <c r="CC240" s="368"/>
      <c r="CD240" s="368"/>
      <c r="CE240" s="368"/>
      <c r="CF240" s="368"/>
      <c r="CG240" s="368"/>
      <c r="CH240" s="368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69"/>
      <c r="BB241" s="369"/>
      <c r="BC241" s="369"/>
      <c r="BD241" s="369"/>
      <c r="BE241" s="369"/>
      <c r="BF241" s="369"/>
      <c r="BG241" s="369"/>
      <c r="BH241" s="369"/>
      <c r="BI241" s="369"/>
      <c r="BJ241" s="369"/>
      <c r="BK241" s="369"/>
      <c r="BL241" s="369"/>
      <c r="BM241" s="369"/>
      <c r="BN241" s="369"/>
      <c r="BO241" s="369"/>
      <c r="BP241" s="369"/>
      <c r="BQ241" s="369"/>
      <c r="BR241" s="369"/>
      <c r="BS241" s="369"/>
      <c r="BT241" s="369"/>
      <c r="BU241" s="369"/>
      <c r="BV241" s="326"/>
      <c r="BW241" s="326"/>
      <c r="BX241" s="326"/>
      <c r="BY241" s="367"/>
      <c r="BZ241" s="368"/>
      <c r="CA241" s="368"/>
      <c r="CB241" s="368"/>
      <c r="CC241" s="368"/>
      <c r="CD241" s="368"/>
      <c r="CE241" s="368"/>
      <c r="CF241" s="368"/>
      <c r="CG241" s="368"/>
      <c r="CH241" s="368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69"/>
      <c r="BB242" s="369"/>
      <c r="BC242" s="369"/>
      <c r="BD242" s="369"/>
      <c r="BE242" s="369"/>
      <c r="BF242" s="369"/>
      <c r="BG242" s="369"/>
      <c r="BH242" s="369"/>
      <c r="BI242" s="369"/>
      <c r="BJ242" s="369"/>
      <c r="BK242" s="369"/>
      <c r="BL242" s="369"/>
      <c r="BM242" s="369"/>
      <c r="BN242" s="369"/>
      <c r="BO242" s="369"/>
      <c r="BP242" s="369"/>
      <c r="BQ242" s="369"/>
      <c r="BR242" s="369"/>
      <c r="BS242" s="369"/>
      <c r="BT242" s="369"/>
      <c r="BU242" s="369"/>
      <c r="BV242" s="326"/>
      <c r="BW242" s="326"/>
      <c r="BX242" s="326"/>
      <c r="BY242" s="367"/>
      <c r="BZ242" s="368"/>
      <c r="CA242" s="368"/>
      <c r="CB242" s="368"/>
      <c r="CC242" s="368"/>
      <c r="CD242" s="368"/>
      <c r="CE242" s="368"/>
      <c r="CF242" s="368"/>
      <c r="CG242" s="368"/>
      <c r="CH242" s="368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69"/>
      <c r="BB243" s="369"/>
      <c r="BC243" s="369"/>
      <c r="BD243" s="369"/>
      <c r="BE243" s="369"/>
      <c r="BF243" s="369"/>
      <c r="BG243" s="369"/>
      <c r="BH243" s="369"/>
      <c r="BI243" s="369"/>
      <c r="BJ243" s="369"/>
      <c r="BK243" s="369"/>
      <c r="BL243" s="369"/>
      <c r="BM243" s="369"/>
      <c r="BN243" s="369"/>
      <c r="BO243" s="369"/>
      <c r="BP243" s="369"/>
      <c r="BQ243" s="369"/>
      <c r="BR243" s="369"/>
      <c r="BS243" s="369"/>
      <c r="BT243" s="369"/>
      <c r="BU243" s="369"/>
      <c r="BV243" s="326"/>
      <c r="BW243" s="326"/>
      <c r="BX243" s="326"/>
      <c r="BY243" s="367"/>
      <c r="BZ243" s="368"/>
      <c r="CA243" s="368"/>
      <c r="CB243" s="368"/>
      <c r="CC243" s="368"/>
      <c r="CD243" s="368"/>
      <c r="CE243" s="368"/>
      <c r="CF243" s="368"/>
      <c r="CG243" s="368"/>
      <c r="CH243" s="368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69"/>
      <c r="BB244" s="369"/>
      <c r="BC244" s="369"/>
      <c r="BD244" s="369"/>
      <c r="BE244" s="369"/>
      <c r="BF244" s="369"/>
      <c r="BG244" s="369"/>
      <c r="BH244" s="369"/>
      <c r="BI244" s="369"/>
      <c r="BJ244" s="369"/>
      <c r="BK244" s="369"/>
      <c r="BL244" s="369"/>
      <c r="BM244" s="369"/>
      <c r="BN244" s="369"/>
      <c r="BO244" s="369"/>
      <c r="BP244" s="369"/>
      <c r="BQ244" s="369"/>
      <c r="BR244" s="369"/>
      <c r="BS244" s="369"/>
      <c r="BT244" s="369"/>
      <c r="BU244" s="369"/>
      <c r="BV244" s="326"/>
      <c r="BW244" s="326"/>
      <c r="BX244" s="326"/>
      <c r="BY244" s="367"/>
      <c r="BZ244" s="368"/>
      <c r="CA244" s="368"/>
      <c r="CB244" s="368"/>
      <c r="CC244" s="368"/>
      <c r="CD244" s="368"/>
      <c r="CE244" s="368"/>
      <c r="CF244" s="368"/>
      <c r="CG244" s="368"/>
      <c r="CH244" s="368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69"/>
      <c r="BB245" s="369"/>
      <c r="BC245" s="369"/>
      <c r="BD245" s="369"/>
      <c r="BE245" s="369"/>
      <c r="BF245" s="369"/>
      <c r="BG245" s="369"/>
      <c r="BH245" s="369"/>
      <c r="BI245" s="369"/>
      <c r="BJ245" s="369"/>
      <c r="BK245" s="369"/>
      <c r="BL245" s="369"/>
      <c r="BM245" s="369"/>
      <c r="BN245" s="369"/>
      <c r="BO245" s="369"/>
      <c r="BP245" s="369"/>
      <c r="BQ245" s="369"/>
      <c r="BR245" s="369"/>
      <c r="BS245" s="369"/>
      <c r="BT245" s="369"/>
      <c r="BU245" s="369"/>
      <c r="BV245" s="326"/>
      <c r="BW245" s="326"/>
      <c r="BX245" s="326"/>
      <c r="BY245" s="367"/>
      <c r="BZ245" s="368"/>
      <c r="CA245" s="368"/>
      <c r="CB245" s="368"/>
      <c r="CC245" s="368"/>
      <c r="CD245" s="368"/>
      <c r="CE245" s="368"/>
      <c r="CF245" s="368"/>
      <c r="CG245" s="368"/>
      <c r="CH245" s="368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69"/>
      <c r="BB246" s="369"/>
      <c r="BC246" s="369"/>
      <c r="BD246" s="369"/>
      <c r="BE246" s="369"/>
      <c r="BF246" s="369"/>
      <c r="BG246" s="369"/>
      <c r="BH246" s="369"/>
      <c r="BI246" s="369"/>
      <c r="BJ246" s="369"/>
      <c r="BK246" s="369"/>
      <c r="BL246" s="369"/>
      <c r="BM246" s="369"/>
      <c r="BN246" s="369"/>
      <c r="BO246" s="369"/>
      <c r="BP246" s="369"/>
      <c r="BQ246" s="369"/>
      <c r="BR246" s="369"/>
      <c r="BS246" s="369"/>
      <c r="BT246" s="369"/>
      <c r="BU246" s="369"/>
      <c r="BV246" s="326"/>
      <c r="BW246" s="326"/>
      <c r="BX246" s="326"/>
      <c r="BY246" s="367"/>
      <c r="BZ246" s="368"/>
      <c r="CA246" s="368"/>
      <c r="CB246" s="368"/>
      <c r="CC246" s="368"/>
      <c r="CD246" s="368"/>
      <c r="CE246" s="368"/>
      <c r="CF246" s="368"/>
      <c r="CG246" s="368"/>
      <c r="CH246" s="368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69"/>
      <c r="BB247" s="369"/>
      <c r="BC247" s="369"/>
      <c r="BD247" s="369"/>
      <c r="BE247" s="369"/>
      <c r="BF247" s="369"/>
      <c r="BG247" s="369"/>
      <c r="BH247" s="369"/>
      <c r="BI247" s="369"/>
      <c r="BJ247" s="369"/>
      <c r="BK247" s="369"/>
      <c r="BL247" s="369"/>
      <c r="BM247" s="369"/>
      <c r="BN247" s="369"/>
      <c r="BO247" s="369"/>
      <c r="BP247" s="369"/>
      <c r="BQ247" s="369"/>
      <c r="BR247" s="369"/>
      <c r="BS247" s="369"/>
      <c r="BT247" s="369"/>
      <c r="BU247" s="369"/>
      <c r="BV247" s="326"/>
      <c r="BW247" s="326"/>
      <c r="BX247" s="326"/>
      <c r="BY247" s="367"/>
      <c r="BZ247" s="368"/>
      <c r="CA247" s="368"/>
      <c r="CB247" s="368"/>
      <c r="CC247" s="368"/>
      <c r="CD247" s="368"/>
      <c r="CE247" s="368"/>
      <c r="CF247" s="368"/>
      <c r="CG247" s="368"/>
      <c r="CH247" s="368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69"/>
      <c r="BB248" s="369"/>
      <c r="BC248" s="369"/>
      <c r="BD248" s="369"/>
      <c r="BE248" s="369"/>
      <c r="BF248" s="369"/>
      <c r="BG248" s="369"/>
      <c r="BH248" s="369"/>
      <c r="BI248" s="369"/>
      <c r="BJ248" s="369"/>
      <c r="BK248" s="369"/>
      <c r="BL248" s="369"/>
      <c r="BM248" s="369"/>
      <c r="BN248" s="369"/>
      <c r="BO248" s="369"/>
      <c r="BP248" s="369"/>
      <c r="BQ248" s="369"/>
      <c r="BR248" s="369"/>
      <c r="BS248" s="369"/>
      <c r="BT248" s="369"/>
      <c r="BU248" s="369"/>
      <c r="BV248" s="326"/>
      <c r="BW248" s="326"/>
      <c r="BX248" s="326"/>
      <c r="BY248" s="367"/>
      <c r="BZ248" s="368"/>
      <c r="CA248" s="368"/>
      <c r="CB248" s="368"/>
      <c r="CC248" s="368"/>
      <c r="CD248" s="368"/>
      <c r="CE248" s="368"/>
      <c r="CF248" s="368"/>
      <c r="CG248" s="368"/>
      <c r="CH248" s="368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69"/>
      <c r="BB249" s="369"/>
      <c r="BC249" s="369"/>
      <c r="BD249" s="369"/>
      <c r="BE249" s="369"/>
      <c r="BF249" s="369"/>
      <c r="BG249" s="369"/>
      <c r="BH249" s="369"/>
      <c r="BI249" s="369"/>
      <c r="BJ249" s="369"/>
      <c r="BK249" s="369"/>
      <c r="BL249" s="369"/>
      <c r="BM249" s="369"/>
      <c r="BN249" s="369"/>
      <c r="BO249" s="369"/>
      <c r="BP249" s="369"/>
      <c r="BQ249" s="369"/>
      <c r="BR249" s="369"/>
      <c r="BS249" s="369"/>
      <c r="BT249" s="369"/>
      <c r="BU249" s="369"/>
      <c r="BV249" s="326"/>
      <c r="BW249" s="326"/>
      <c r="BX249" s="326"/>
      <c r="BY249" s="367"/>
      <c r="BZ249" s="368"/>
      <c r="CA249" s="368"/>
      <c r="CB249" s="368"/>
      <c r="CC249" s="368"/>
      <c r="CD249" s="368"/>
      <c r="CE249" s="368"/>
      <c r="CF249" s="368"/>
      <c r="CG249" s="368"/>
      <c r="CH249" s="368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69"/>
      <c r="BB250" s="369"/>
      <c r="BC250" s="369"/>
      <c r="BD250" s="369"/>
      <c r="BE250" s="369"/>
      <c r="BF250" s="369"/>
      <c r="BG250" s="369"/>
      <c r="BH250" s="369"/>
      <c r="BI250" s="369"/>
      <c r="BJ250" s="369"/>
      <c r="BK250" s="369"/>
      <c r="BL250" s="369"/>
      <c r="BM250" s="369"/>
      <c r="BN250" s="369"/>
      <c r="BO250" s="369"/>
      <c r="BP250" s="369"/>
      <c r="BQ250" s="369"/>
      <c r="BR250" s="369"/>
      <c r="BS250" s="369"/>
      <c r="BT250" s="369"/>
      <c r="BU250" s="369"/>
      <c r="BV250" s="326"/>
      <c r="BW250" s="326"/>
      <c r="BX250" s="326"/>
      <c r="BY250" s="367"/>
      <c r="BZ250" s="368"/>
      <c r="CA250" s="368"/>
      <c r="CB250" s="368"/>
      <c r="CC250" s="368"/>
      <c r="CD250" s="368"/>
      <c r="CE250" s="368"/>
      <c r="CF250" s="368"/>
      <c r="CG250" s="368"/>
      <c r="CH250" s="368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69"/>
      <c r="BB251" s="369"/>
      <c r="BC251" s="369"/>
      <c r="BD251" s="369"/>
      <c r="BE251" s="369"/>
      <c r="BF251" s="369"/>
      <c r="BG251" s="369"/>
      <c r="BH251" s="369"/>
      <c r="BI251" s="369"/>
      <c r="BJ251" s="369"/>
      <c r="BK251" s="369"/>
      <c r="BL251" s="369"/>
      <c r="BM251" s="369"/>
      <c r="BN251" s="369"/>
      <c r="BO251" s="369"/>
      <c r="BP251" s="369"/>
      <c r="BQ251" s="369"/>
      <c r="BR251" s="369"/>
      <c r="BS251" s="369"/>
      <c r="BT251" s="369"/>
      <c r="BU251" s="369"/>
      <c r="BV251" s="326"/>
      <c r="BW251" s="326"/>
      <c r="BX251" s="326"/>
      <c r="BY251" s="367"/>
      <c r="BZ251" s="368"/>
      <c r="CA251" s="368"/>
      <c r="CB251" s="368"/>
      <c r="CC251" s="368"/>
      <c r="CD251" s="368"/>
      <c r="CE251" s="368"/>
      <c r="CF251" s="368"/>
      <c r="CG251" s="368"/>
      <c r="CH251" s="368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69"/>
      <c r="BB252" s="369"/>
      <c r="BC252" s="369"/>
      <c r="BD252" s="369"/>
      <c r="BE252" s="369"/>
      <c r="BF252" s="369"/>
      <c r="BG252" s="369"/>
      <c r="BH252" s="369"/>
      <c r="BI252" s="369"/>
      <c r="BJ252" s="369"/>
      <c r="BK252" s="369"/>
      <c r="BL252" s="369"/>
      <c r="BM252" s="369"/>
      <c r="BN252" s="369"/>
      <c r="BO252" s="369"/>
      <c r="BP252" s="369"/>
      <c r="BQ252" s="369"/>
      <c r="BR252" s="369"/>
      <c r="BS252" s="369"/>
      <c r="BT252" s="369"/>
      <c r="BU252" s="369"/>
      <c r="BV252" s="326"/>
      <c r="BW252" s="326"/>
      <c r="BX252" s="326"/>
      <c r="BY252" s="367"/>
      <c r="BZ252" s="368"/>
      <c r="CA252" s="368"/>
      <c r="CB252" s="368"/>
      <c r="CC252" s="368"/>
      <c r="CD252" s="368"/>
      <c r="CE252" s="368"/>
      <c r="CF252" s="368"/>
      <c r="CG252" s="368"/>
      <c r="CH252" s="368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69"/>
      <c r="BB253" s="369"/>
      <c r="BC253" s="369"/>
      <c r="BD253" s="369"/>
      <c r="BE253" s="369"/>
      <c r="BF253" s="369"/>
      <c r="BG253" s="369"/>
      <c r="BH253" s="369"/>
      <c r="BI253" s="369"/>
      <c r="BJ253" s="369"/>
      <c r="BK253" s="369"/>
      <c r="BL253" s="369"/>
      <c r="BM253" s="369"/>
      <c r="BN253" s="369"/>
      <c r="BO253" s="369"/>
      <c r="BP253" s="369"/>
      <c r="BQ253" s="369"/>
      <c r="BR253" s="369"/>
      <c r="BS253" s="369"/>
      <c r="BT253" s="369"/>
      <c r="BU253" s="369"/>
      <c r="BV253" s="326"/>
      <c r="BW253" s="326"/>
      <c r="BX253" s="326"/>
      <c r="BY253" s="367"/>
      <c r="BZ253" s="368"/>
      <c r="CA253" s="368"/>
      <c r="CB253" s="368"/>
      <c r="CC253" s="368"/>
      <c r="CD253" s="368"/>
      <c r="CE253" s="368"/>
      <c r="CF253" s="368"/>
      <c r="CG253" s="368"/>
      <c r="CH253" s="368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69"/>
      <c r="BB254" s="369"/>
      <c r="BC254" s="369"/>
      <c r="BD254" s="369"/>
      <c r="BE254" s="369"/>
      <c r="BF254" s="369"/>
      <c r="BG254" s="369"/>
      <c r="BH254" s="369"/>
      <c r="BI254" s="369"/>
      <c r="BJ254" s="369"/>
      <c r="BK254" s="369"/>
      <c r="BL254" s="369"/>
      <c r="BM254" s="369"/>
      <c r="BN254" s="369"/>
      <c r="BO254" s="369"/>
      <c r="BP254" s="369"/>
      <c r="BQ254" s="369"/>
      <c r="BR254" s="369"/>
      <c r="BS254" s="369"/>
      <c r="BT254" s="369"/>
      <c r="BU254" s="369"/>
      <c r="BV254" s="326"/>
      <c r="BW254" s="326"/>
      <c r="BX254" s="326"/>
      <c r="BY254" s="367"/>
      <c r="BZ254" s="368"/>
      <c r="CA254" s="368"/>
      <c r="CB254" s="368"/>
      <c r="CC254" s="368"/>
      <c r="CD254" s="368"/>
      <c r="CE254" s="368"/>
      <c r="CF254" s="368"/>
      <c r="CG254" s="368"/>
      <c r="CH254" s="368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69"/>
      <c r="BB255" s="369"/>
      <c r="BC255" s="369"/>
      <c r="BD255" s="369"/>
      <c r="BE255" s="369"/>
      <c r="BF255" s="369"/>
      <c r="BG255" s="369"/>
      <c r="BH255" s="369"/>
      <c r="BI255" s="369"/>
      <c r="BJ255" s="369"/>
      <c r="BK255" s="369"/>
      <c r="BL255" s="369"/>
      <c r="BM255" s="369"/>
      <c r="BN255" s="369"/>
      <c r="BO255" s="369"/>
      <c r="BP255" s="369"/>
      <c r="BQ255" s="369"/>
      <c r="BR255" s="369"/>
      <c r="BS255" s="369"/>
      <c r="BT255" s="369"/>
      <c r="BU255" s="369"/>
      <c r="BV255" s="326"/>
      <c r="BW255" s="326"/>
      <c r="BX255" s="326"/>
      <c r="BY255" s="367"/>
      <c r="BZ255" s="368"/>
      <c r="CA255" s="368"/>
      <c r="CB255" s="368"/>
      <c r="CC255" s="368"/>
      <c r="CD255" s="368"/>
      <c r="CE255" s="368"/>
      <c r="CF255" s="368"/>
      <c r="CG255" s="368"/>
      <c r="CH255" s="368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69"/>
      <c r="BB256" s="369"/>
      <c r="BC256" s="369"/>
      <c r="BD256" s="369"/>
      <c r="BE256" s="369"/>
      <c r="BF256" s="369"/>
      <c r="BG256" s="369"/>
      <c r="BH256" s="369"/>
      <c r="BI256" s="369"/>
      <c r="BJ256" s="369"/>
      <c r="BK256" s="369"/>
      <c r="BL256" s="369"/>
      <c r="BM256" s="369"/>
      <c r="BN256" s="369"/>
      <c r="BO256" s="369"/>
      <c r="BP256" s="369"/>
      <c r="BQ256" s="369"/>
      <c r="BR256" s="369"/>
      <c r="BS256" s="369"/>
      <c r="BT256" s="369"/>
      <c r="BU256" s="369"/>
      <c r="BV256" s="326"/>
      <c r="BW256" s="326"/>
      <c r="BX256" s="326"/>
      <c r="BY256" s="367"/>
      <c r="BZ256" s="368"/>
      <c r="CA256" s="368"/>
      <c r="CB256" s="368"/>
      <c r="CC256" s="368"/>
      <c r="CD256" s="368"/>
      <c r="CE256" s="368"/>
      <c r="CF256" s="368"/>
      <c r="CG256" s="368"/>
      <c r="CH256" s="368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69"/>
      <c r="BB257" s="369"/>
      <c r="BC257" s="369"/>
      <c r="BD257" s="369"/>
      <c r="BE257" s="369"/>
      <c r="BF257" s="369"/>
      <c r="BG257" s="369"/>
      <c r="BH257" s="369"/>
      <c r="BI257" s="369"/>
      <c r="BJ257" s="369"/>
      <c r="BK257" s="369"/>
      <c r="BL257" s="369"/>
      <c r="BM257" s="369"/>
      <c r="BN257" s="369"/>
      <c r="BO257" s="369"/>
      <c r="BP257" s="369"/>
      <c r="BQ257" s="369"/>
      <c r="BR257" s="369"/>
      <c r="BS257" s="369"/>
      <c r="BT257" s="369"/>
      <c r="BU257" s="369"/>
      <c r="BV257" s="326"/>
      <c r="BW257" s="326"/>
      <c r="BX257" s="326"/>
      <c r="BY257" s="367"/>
      <c r="BZ257" s="368"/>
      <c r="CA257" s="368"/>
      <c r="CB257" s="368"/>
      <c r="CC257" s="368"/>
      <c r="CD257" s="368"/>
      <c r="CE257" s="368"/>
      <c r="CF257" s="368"/>
      <c r="CG257" s="368"/>
      <c r="CH257" s="368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69"/>
      <c r="BB258" s="369"/>
      <c r="BC258" s="369"/>
      <c r="BD258" s="369"/>
      <c r="BE258" s="369"/>
      <c r="BF258" s="369"/>
      <c r="BG258" s="369"/>
      <c r="BH258" s="369"/>
      <c r="BI258" s="369"/>
      <c r="BJ258" s="369"/>
      <c r="BK258" s="369"/>
      <c r="BL258" s="369"/>
      <c r="BM258" s="369"/>
      <c r="BN258" s="369"/>
      <c r="BO258" s="369"/>
      <c r="BP258" s="369"/>
      <c r="BQ258" s="369"/>
      <c r="BR258" s="369"/>
      <c r="BS258" s="369"/>
      <c r="BT258" s="369"/>
      <c r="BU258" s="369"/>
      <c r="BV258" s="326"/>
      <c r="BW258" s="326"/>
      <c r="BX258" s="326"/>
      <c r="BY258" s="367"/>
      <c r="BZ258" s="368"/>
      <c r="CA258" s="368"/>
      <c r="CB258" s="368"/>
      <c r="CC258" s="368"/>
      <c r="CD258" s="368"/>
      <c r="CE258" s="368"/>
      <c r="CF258" s="368"/>
      <c r="CG258" s="368"/>
      <c r="CH258" s="368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69"/>
      <c r="BB259" s="369"/>
      <c r="BC259" s="369"/>
      <c r="BD259" s="369"/>
      <c r="BE259" s="369"/>
      <c r="BF259" s="369"/>
      <c r="BG259" s="369"/>
      <c r="BH259" s="369"/>
      <c r="BI259" s="369"/>
      <c r="BJ259" s="369"/>
      <c r="BK259" s="369"/>
      <c r="BL259" s="369"/>
      <c r="BM259" s="369"/>
      <c r="BN259" s="369"/>
      <c r="BO259" s="369"/>
      <c r="BP259" s="369"/>
      <c r="BQ259" s="369"/>
      <c r="BR259" s="369"/>
      <c r="BS259" s="369"/>
      <c r="BT259" s="369"/>
      <c r="BU259" s="369"/>
      <c r="BV259" s="326"/>
      <c r="BW259" s="326"/>
      <c r="BX259" s="326"/>
      <c r="BY259" s="367"/>
      <c r="BZ259" s="368"/>
      <c r="CA259" s="368"/>
      <c r="CB259" s="368"/>
      <c r="CC259" s="368"/>
      <c r="CD259" s="368"/>
      <c r="CE259" s="368"/>
      <c r="CF259" s="368"/>
      <c r="CG259" s="368"/>
      <c r="CH259" s="368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69"/>
      <c r="BB260" s="369"/>
      <c r="BC260" s="369"/>
      <c r="BD260" s="369"/>
      <c r="BE260" s="369"/>
      <c r="BF260" s="369"/>
      <c r="BG260" s="369"/>
      <c r="BH260" s="369"/>
      <c r="BI260" s="369"/>
      <c r="BJ260" s="369"/>
      <c r="BK260" s="369"/>
      <c r="BL260" s="369"/>
      <c r="BM260" s="369"/>
      <c r="BN260" s="369"/>
      <c r="BO260" s="369"/>
      <c r="BP260" s="369"/>
      <c r="BQ260" s="369"/>
      <c r="BR260" s="369"/>
      <c r="BS260" s="369"/>
      <c r="BT260" s="369"/>
      <c r="BU260" s="369"/>
      <c r="BV260" s="326"/>
      <c r="BW260" s="326"/>
      <c r="BX260" s="326"/>
      <c r="BY260" s="367"/>
      <c r="BZ260" s="368"/>
      <c r="CA260" s="368"/>
      <c r="CB260" s="368"/>
      <c r="CC260" s="368"/>
      <c r="CD260" s="368"/>
      <c r="CE260" s="368"/>
      <c r="CF260" s="368"/>
      <c r="CG260" s="368"/>
      <c r="CH260" s="368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69"/>
      <c r="BB261" s="369"/>
      <c r="BC261" s="369"/>
      <c r="BD261" s="369"/>
      <c r="BE261" s="369"/>
      <c r="BF261" s="369"/>
      <c r="BG261" s="369"/>
      <c r="BH261" s="369"/>
      <c r="BI261" s="369"/>
      <c r="BJ261" s="369"/>
      <c r="BK261" s="369"/>
      <c r="BL261" s="369"/>
      <c r="BM261" s="369"/>
      <c r="BN261" s="369"/>
      <c r="BO261" s="369"/>
      <c r="BP261" s="369"/>
      <c r="BQ261" s="369"/>
      <c r="BR261" s="369"/>
      <c r="BS261" s="369"/>
      <c r="BT261" s="369"/>
      <c r="BU261" s="369"/>
      <c r="BV261" s="326"/>
      <c r="BW261" s="326"/>
      <c r="BX261" s="326"/>
      <c r="BY261" s="367"/>
      <c r="BZ261" s="368"/>
      <c r="CA261" s="368"/>
      <c r="CB261" s="368"/>
      <c r="CC261" s="368"/>
      <c r="CD261" s="368"/>
      <c r="CE261" s="368"/>
      <c r="CF261" s="368"/>
      <c r="CG261" s="368"/>
      <c r="CH261" s="368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69"/>
      <c r="BB262" s="369"/>
      <c r="BC262" s="369"/>
      <c r="BD262" s="369"/>
      <c r="BE262" s="369"/>
      <c r="BF262" s="369"/>
      <c r="BG262" s="369"/>
      <c r="BH262" s="369"/>
      <c r="BI262" s="369"/>
      <c r="BJ262" s="369"/>
      <c r="BK262" s="369"/>
      <c r="BL262" s="369"/>
      <c r="BM262" s="369"/>
      <c r="BN262" s="369"/>
      <c r="BO262" s="369"/>
      <c r="BP262" s="369"/>
      <c r="BQ262" s="369"/>
      <c r="BR262" s="369"/>
      <c r="BS262" s="369"/>
      <c r="BT262" s="369"/>
      <c r="BU262" s="369"/>
      <c r="BV262" s="326"/>
      <c r="BW262" s="326"/>
      <c r="BX262" s="326"/>
      <c r="BY262" s="367"/>
      <c r="BZ262" s="368"/>
      <c r="CA262" s="368"/>
      <c r="CB262" s="368"/>
      <c r="CC262" s="368"/>
      <c r="CD262" s="368"/>
      <c r="CE262" s="368"/>
      <c r="CF262" s="368"/>
      <c r="CG262" s="368"/>
      <c r="CH262" s="368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69"/>
      <c r="BB263" s="369"/>
      <c r="BC263" s="369"/>
      <c r="BD263" s="369"/>
      <c r="BE263" s="369"/>
      <c r="BF263" s="369"/>
      <c r="BG263" s="369"/>
      <c r="BH263" s="369"/>
      <c r="BI263" s="369"/>
      <c r="BJ263" s="369"/>
      <c r="BK263" s="369"/>
      <c r="BL263" s="369"/>
      <c r="BM263" s="369"/>
      <c r="BN263" s="369"/>
      <c r="BO263" s="369"/>
      <c r="BP263" s="369"/>
      <c r="BQ263" s="369"/>
      <c r="BR263" s="369"/>
      <c r="BS263" s="369"/>
      <c r="BT263" s="369"/>
      <c r="BU263" s="369"/>
      <c r="BV263" s="326"/>
      <c r="BW263" s="326"/>
      <c r="BX263" s="326"/>
      <c r="BY263" s="367"/>
      <c r="BZ263" s="368"/>
      <c r="CA263" s="368"/>
      <c r="CB263" s="368"/>
      <c r="CC263" s="368"/>
      <c r="CD263" s="368"/>
      <c r="CE263" s="368"/>
      <c r="CF263" s="368"/>
      <c r="CG263" s="368"/>
      <c r="CH263" s="368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69"/>
      <c r="BB264" s="369"/>
      <c r="BC264" s="369"/>
      <c r="BD264" s="369"/>
      <c r="BE264" s="369"/>
      <c r="BF264" s="369"/>
      <c r="BG264" s="369"/>
      <c r="BH264" s="369"/>
      <c r="BI264" s="369"/>
      <c r="BJ264" s="369"/>
      <c r="BK264" s="369"/>
      <c r="BL264" s="369"/>
      <c r="BM264" s="369"/>
      <c r="BN264" s="369"/>
      <c r="BO264" s="369"/>
      <c r="BP264" s="369"/>
      <c r="BQ264" s="369"/>
      <c r="BR264" s="369"/>
      <c r="BS264" s="369"/>
      <c r="BT264" s="369"/>
      <c r="BU264" s="369"/>
      <c r="BV264" s="326"/>
      <c r="BW264" s="326"/>
      <c r="BX264" s="326"/>
      <c r="BY264" s="367"/>
      <c r="BZ264" s="368"/>
      <c r="CA264" s="368"/>
      <c r="CB264" s="368"/>
      <c r="CC264" s="368"/>
      <c r="CD264" s="368"/>
      <c r="CE264" s="368"/>
      <c r="CF264" s="368"/>
      <c r="CG264" s="368"/>
      <c r="CH264" s="368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69"/>
      <c r="BB265" s="369"/>
      <c r="BC265" s="369"/>
      <c r="BD265" s="369"/>
      <c r="BE265" s="369"/>
      <c r="BF265" s="369"/>
      <c r="BG265" s="369"/>
      <c r="BH265" s="369"/>
      <c r="BI265" s="369"/>
      <c r="BJ265" s="369"/>
      <c r="BK265" s="369"/>
      <c r="BL265" s="369"/>
      <c r="BM265" s="369"/>
      <c r="BN265" s="369"/>
      <c r="BO265" s="369"/>
      <c r="BP265" s="369"/>
      <c r="BQ265" s="369"/>
      <c r="BR265" s="369"/>
      <c r="BS265" s="369"/>
      <c r="BT265" s="369"/>
      <c r="BU265" s="369"/>
      <c r="BV265" s="326"/>
      <c r="BW265" s="326"/>
      <c r="BX265" s="326"/>
      <c r="BY265" s="367"/>
      <c r="BZ265" s="368"/>
      <c r="CA265" s="368"/>
      <c r="CB265" s="368"/>
      <c r="CC265" s="368"/>
      <c r="CD265" s="368"/>
      <c r="CE265" s="368"/>
      <c r="CF265" s="368"/>
      <c r="CG265" s="368"/>
      <c r="CH265" s="368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69"/>
      <c r="BB266" s="369"/>
      <c r="BC266" s="369"/>
      <c r="BD266" s="369"/>
      <c r="BE266" s="369"/>
      <c r="BF266" s="369"/>
      <c r="BG266" s="369"/>
      <c r="BH266" s="369"/>
      <c r="BI266" s="369"/>
      <c r="BJ266" s="369"/>
      <c r="BK266" s="369"/>
      <c r="BL266" s="369"/>
      <c r="BM266" s="369"/>
      <c r="BN266" s="369"/>
      <c r="BO266" s="369"/>
      <c r="BP266" s="369"/>
      <c r="BQ266" s="369"/>
      <c r="BR266" s="369"/>
      <c r="BS266" s="369"/>
      <c r="BT266" s="369"/>
      <c r="BU266" s="369"/>
      <c r="BV266" s="326"/>
      <c r="BW266" s="326"/>
      <c r="BX266" s="326"/>
      <c r="BY266" s="367"/>
      <c r="BZ266" s="368"/>
      <c r="CA266" s="368"/>
      <c r="CB266" s="368"/>
      <c r="CC266" s="368"/>
      <c r="CD266" s="368"/>
      <c r="CE266" s="368"/>
      <c r="CF266" s="368"/>
      <c r="CG266" s="368"/>
      <c r="CH266" s="368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69"/>
      <c r="BB267" s="369"/>
      <c r="BC267" s="369"/>
      <c r="BD267" s="369"/>
      <c r="BE267" s="369"/>
      <c r="BF267" s="369"/>
      <c r="BG267" s="369"/>
      <c r="BH267" s="369"/>
      <c r="BI267" s="369"/>
      <c r="BJ267" s="369"/>
      <c r="BK267" s="369"/>
      <c r="BL267" s="369"/>
      <c r="BM267" s="369"/>
      <c r="BN267" s="369"/>
      <c r="BO267" s="369"/>
      <c r="BP267" s="369"/>
      <c r="BQ267" s="369"/>
      <c r="BR267" s="369"/>
      <c r="BS267" s="369"/>
      <c r="BT267" s="369"/>
      <c r="BU267" s="369"/>
      <c r="BV267" s="326"/>
      <c r="BW267" s="326"/>
      <c r="BX267" s="326"/>
      <c r="BY267" s="367"/>
      <c r="BZ267" s="368"/>
      <c r="CA267" s="368"/>
      <c r="CB267" s="368"/>
      <c r="CC267" s="368"/>
      <c r="CD267" s="368"/>
      <c r="CE267" s="368"/>
      <c r="CF267" s="368"/>
      <c r="CG267" s="368"/>
      <c r="CH267" s="368"/>
      <c r="CI267" s="42"/>
      <c r="CJ267" s="42"/>
      <c r="CK267" s="42"/>
      <c r="CL267" s="42"/>
    </row>
    <row r="268" spans="1:90">
      <c r="A268" s="42"/>
      <c r="B268" s="42"/>
      <c r="C268" s="7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326"/>
      <c r="AR268" s="326"/>
      <c r="AS268" s="353"/>
      <c r="AT268" s="353"/>
      <c r="AU268" s="326"/>
      <c r="BA268" s="369"/>
      <c r="BB268" s="369"/>
      <c r="BC268" s="369"/>
      <c r="BD268" s="369"/>
      <c r="BE268" s="369"/>
      <c r="BF268" s="369"/>
      <c r="BG268" s="369"/>
      <c r="BH268" s="369"/>
      <c r="BI268" s="369"/>
      <c r="BJ268" s="369"/>
      <c r="BK268" s="369"/>
      <c r="BL268" s="369"/>
      <c r="BM268" s="369"/>
      <c r="BN268" s="369"/>
      <c r="BO268" s="369"/>
      <c r="BP268" s="369"/>
      <c r="BQ268" s="369"/>
      <c r="BR268" s="369"/>
      <c r="BS268" s="369"/>
      <c r="BT268" s="369"/>
      <c r="BU268" s="369"/>
      <c r="BV268" s="326"/>
      <c r="BW268" s="326"/>
      <c r="BX268" s="326"/>
      <c r="BY268" s="367"/>
      <c r="BZ268" s="368"/>
      <c r="CA268" s="368"/>
      <c r="CB268" s="368"/>
      <c r="CC268" s="368"/>
      <c r="CD268" s="368"/>
      <c r="CE268" s="368"/>
      <c r="CF268" s="368"/>
      <c r="CG268" s="368"/>
      <c r="CH268" s="368"/>
      <c r="CI268" s="42"/>
      <c r="CJ268" s="42"/>
      <c r="CK268" s="42"/>
      <c r="CL268" s="42"/>
    </row>
    <row r="269" spans="1:90">
      <c r="A269" s="42"/>
      <c r="B269" s="42"/>
      <c r="C269" s="7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326"/>
      <c r="AR269" s="326"/>
      <c r="AS269" s="353"/>
      <c r="AT269" s="353"/>
      <c r="AU269" s="326"/>
      <c r="BA269" s="369"/>
      <c r="BB269" s="369"/>
      <c r="BC269" s="369"/>
      <c r="BD269" s="369"/>
      <c r="BE269" s="369"/>
      <c r="BF269" s="369"/>
      <c r="BG269" s="369"/>
      <c r="BH269" s="369"/>
      <c r="BI269" s="369"/>
      <c r="BJ269" s="369"/>
      <c r="BK269" s="369"/>
      <c r="BL269" s="369"/>
      <c r="BM269" s="369"/>
      <c r="BN269" s="369"/>
      <c r="BO269" s="369"/>
      <c r="BP269" s="369"/>
      <c r="BQ269" s="369"/>
      <c r="BR269" s="369"/>
      <c r="BS269" s="369"/>
      <c r="BT269" s="369"/>
      <c r="BU269" s="369"/>
      <c r="BV269" s="326"/>
      <c r="BW269" s="326"/>
      <c r="BX269" s="326"/>
      <c r="BY269" s="367"/>
      <c r="BZ269" s="368"/>
      <c r="CA269" s="368"/>
      <c r="CB269" s="368"/>
      <c r="CC269" s="368"/>
      <c r="CD269" s="368"/>
      <c r="CE269" s="368"/>
      <c r="CF269" s="368"/>
      <c r="CG269" s="368"/>
      <c r="CH269" s="368"/>
      <c r="CI269" s="42"/>
      <c r="CJ269" s="42"/>
      <c r="CK269" s="42"/>
      <c r="CL269" s="42"/>
    </row>
    <row r="270" spans="1:90">
      <c r="A270" s="42"/>
      <c r="B270" s="42"/>
      <c r="C270" s="7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326"/>
      <c r="AR270" s="326"/>
      <c r="AS270" s="353"/>
      <c r="AT270" s="353"/>
      <c r="AU270" s="326"/>
      <c r="BA270" s="369"/>
      <c r="BB270" s="369"/>
      <c r="BC270" s="369"/>
      <c r="BD270" s="369"/>
      <c r="BE270" s="369"/>
      <c r="BF270" s="369"/>
      <c r="BG270" s="369"/>
      <c r="BH270" s="369"/>
      <c r="BI270" s="369"/>
      <c r="BJ270" s="369"/>
      <c r="BK270" s="369"/>
      <c r="BL270" s="369"/>
      <c r="BM270" s="369"/>
      <c r="BN270" s="369"/>
      <c r="BO270" s="369"/>
      <c r="BP270" s="369"/>
      <c r="BQ270" s="369"/>
      <c r="BR270" s="369"/>
      <c r="BS270" s="369"/>
      <c r="BT270" s="369"/>
      <c r="BU270" s="369"/>
      <c r="BV270" s="326"/>
      <c r="BW270" s="326"/>
      <c r="BX270" s="326"/>
      <c r="BY270" s="367"/>
      <c r="BZ270" s="368"/>
      <c r="CA270" s="368"/>
      <c r="CB270" s="368"/>
      <c r="CC270" s="368"/>
      <c r="CD270" s="368"/>
      <c r="CE270" s="368"/>
      <c r="CF270" s="368"/>
      <c r="CG270" s="368"/>
      <c r="CH270" s="368"/>
      <c r="CI270" s="42"/>
      <c r="CJ270" s="42"/>
      <c r="CK270" s="42"/>
      <c r="CL270" s="42"/>
    </row>
    <row r="271" spans="1:90">
      <c r="A271" s="42"/>
      <c r="B271" s="42"/>
      <c r="C271" s="7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326"/>
      <c r="AR271" s="326"/>
      <c r="AS271" s="353"/>
      <c r="AT271" s="353"/>
      <c r="AU271" s="326"/>
      <c r="BA271" s="369"/>
      <c r="BB271" s="369"/>
      <c r="BC271" s="369"/>
      <c r="BD271" s="369"/>
      <c r="BE271" s="369"/>
      <c r="BF271" s="369"/>
      <c r="BG271" s="369"/>
      <c r="BH271" s="369"/>
      <c r="BI271" s="369"/>
      <c r="BJ271" s="369"/>
      <c r="BK271" s="369"/>
      <c r="BL271" s="369"/>
      <c r="BM271" s="369"/>
      <c r="BN271" s="369"/>
      <c r="BO271" s="369"/>
      <c r="BP271" s="369"/>
      <c r="BQ271" s="369"/>
      <c r="BR271" s="369"/>
      <c r="BS271" s="369"/>
      <c r="BT271" s="369"/>
      <c r="BU271" s="369"/>
      <c r="BV271" s="326"/>
      <c r="BW271" s="326"/>
      <c r="BX271" s="326"/>
      <c r="BY271" s="367"/>
      <c r="BZ271" s="368"/>
      <c r="CA271" s="368"/>
      <c r="CB271" s="368"/>
      <c r="CC271" s="368"/>
      <c r="CD271" s="368"/>
      <c r="CE271" s="368"/>
      <c r="CF271" s="368"/>
      <c r="CG271" s="368"/>
      <c r="CH271" s="368"/>
      <c r="CI271" s="42"/>
      <c r="CJ271" s="42"/>
      <c r="CK271" s="42"/>
      <c r="CL271" s="42"/>
    </row>
    <row r="272" spans="1:90">
      <c r="A272" s="42"/>
      <c r="B272" s="42"/>
      <c r="C272" s="7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326"/>
      <c r="AR272" s="326"/>
      <c r="AS272" s="353"/>
      <c r="AT272" s="353"/>
      <c r="AU272" s="326"/>
      <c r="BA272" s="369"/>
      <c r="BB272" s="369"/>
      <c r="BC272" s="369"/>
      <c r="BD272" s="369"/>
      <c r="BE272" s="369"/>
      <c r="BF272" s="369"/>
      <c r="BG272" s="369"/>
      <c r="BH272" s="369"/>
      <c r="BI272" s="369"/>
      <c r="BJ272" s="369"/>
      <c r="BK272" s="369"/>
      <c r="BL272" s="369"/>
      <c r="BM272" s="369"/>
      <c r="BN272" s="369"/>
      <c r="BO272" s="369"/>
      <c r="BP272" s="369"/>
      <c r="BQ272" s="369"/>
      <c r="BR272" s="369"/>
      <c r="BS272" s="369"/>
      <c r="BT272" s="369"/>
      <c r="BU272" s="369"/>
      <c r="BV272" s="326"/>
      <c r="BW272" s="326"/>
      <c r="BX272" s="326"/>
      <c r="BY272" s="367"/>
      <c r="BZ272" s="368"/>
      <c r="CA272" s="368"/>
      <c r="CB272" s="368"/>
      <c r="CC272" s="368"/>
      <c r="CD272" s="368"/>
      <c r="CE272" s="368"/>
      <c r="CF272" s="368"/>
      <c r="CG272" s="368"/>
      <c r="CH272" s="368"/>
      <c r="CI272" s="42"/>
      <c r="CJ272" s="42"/>
      <c r="CK272" s="42"/>
      <c r="CL272" s="42"/>
    </row>
    <row r="273" spans="1:90">
      <c r="A273" s="42"/>
      <c r="B273" s="42"/>
      <c r="C273" s="7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326"/>
      <c r="AR273" s="326"/>
      <c r="AS273" s="353"/>
      <c r="AT273" s="353"/>
      <c r="AU273" s="326"/>
      <c r="BA273" s="369"/>
      <c r="BB273" s="369"/>
      <c r="BC273" s="369"/>
      <c r="BD273" s="369"/>
      <c r="BE273" s="369"/>
      <c r="BF273" s="369"/>
      <c r="BG273" s="369"/>
      <c r="BH273" s="369"/>
      <c r="BI273" s="369"/>
      <c r="BJ273" s="369"/>
      <c r="BK273" s="369"/>
      <c r="BL273" s="369"/>
      <c r="BM273" s="369"/>
      <c r="BN273" s="369"/>
      <c r="BO273" s="369"/>
      <c r="BP273" s="369"/>
      <c r="BQ273" s="369"/>
      <c r="BR273" s="369"/>
      <c r="BS273" s="369"/>
      <c r="BT273" s="369"/>
      <c r="BU273" s="369"/>
      <c r="BV273" s="326"/>
      <c r="BW273" s="326"/>
      <c r="BX273" s="326"/>
      <c r="BY273" s="367"/>
      <c r="BZ273" s="368"/>
      <c r="CA273" s="368"/>
      <c r="CB273" s="368"/>
      <c r="CC273" s="368"/>
      <c r="CD273" s="368"/>
      <c r="CE273" s="368"/>
      <c r="CF273" s="368"/>
      <c r="CG273" s="368"/>
      <c r="CH273" s="368"/>
      <c r="CI273" s="42"/>
      <c r="CJ273" s="42"/>
      <c r="CK273" s="42"/>
      <c r="CL273" s="42"/>
    </row>
    <row r="274" spans="1:90">
      <c r="A274" s="42"/>
      <c r="B274" s="42"/>
      <c r="C274" s="79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326"/>
      <c r="AR274" s="326"/>
      <c r="AS274" s="353"/>
      <c r="AT274" s="353"/>
      <c r="AU274" s="326"/>
      <c r="BA274" s="369"/>
      <c r="BB274" s="369"/>
      <c r="BC274" s="369"/>
      <c r="BD274" s="369"/>
      <c r="BE274" s="369"/>
      <c r="BF274" s="369"/>
      <c r="BG274" s="369"/>
      <c r="BH274" s="369"/>
      <c r="BI274" s="369"/>
      <c r="BJ274" s="369"/>
      <c r="BK274" s="369"/>
      <c r="BL274" s="369"/>
      <c r="BM274" s="369"/>
      <c r="BN274" s="369"/>
      <c r="BO274" s="369"/>
      <c r="BP274" s="369"/>
      <c r="BQ274" s="369"/>
      <c r="BR274" s="369"/>
      <c r="BS274" s="369"/>
      <c r="BT274" s="369"/>
      <c r="BU274" s="369"/>
      <c r="BV274" s="326"/>
      <c r="BW274" s="326"/>
      <c r="BX274" s="326"/>
      <c r="BY274" s="367"/>
      <c r="BZ274" s="368"/>
      <c r="CA274" s="368"/>
      <c r="CB274" s="368"/>
      <c r="CC274" s="368"/>
      <c r="CD274" s="368"/>
      <c r="CE274" s="368"/>
      <c r="CF274" s="368"/>
      <c r="CG274" s="368"/>
      <c r="CH274" s="368"/>
      <c r="CI274" s="42"/>
      <c r="CJ274" s="42"/>
      <c r="CK274" s="42"/>
      <c r="CL274" s="42"/>
    </row>
    <row r="275" spans="1:90">
      <c r="A275" s="42"/>
      <c r="B275" s="42"/>
      <c r="C275" s="79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326"/>
      <c r="AR275" s="326"/>
      <c r="AS275" s="353"/>
      <c r="AT275" s="353"/>
      <c r="AU275" s="326"/>
      <c r="BA275" s="369"/>
      <c r="BB275" s="369"/>
      <c r="BC275" s="369"/>
      <c r="BD275" s="369"/>
      <c r="BE275" s="369"/>
      <c r="BF275" s="369"/>
      <c r="BG275" s="369"/>
      <c r="BH275" s="369"/>
      <c r="BI275" s="369"/>
      <c r="BJ275" s="369"/>
      <c r="BK275" s="369"/>
      <c r="BL275" s="369"/>
      <c r="BM275" s="369"/>
      <c r="BN275" s="369"/>
      <c r="BO275" s="369"/>
      <c r="BP275" s="369"/>
      <c r="BQ275" s="369"/>
      <c r="BR275" s="369"/>
      <c r="BS275" s="369"/>
      <c r="BT275" s="369"/>
      <c r="BU275" s="369"/>
      <c r="BV275" s="326"/>
      <c r="BW275" s="326"/>
      <c r="BX275" s="326"/>
      <c r="BY275" s="367"/>
      <c r="BZ275" s="368"/>
      <c r="CA275" s="368"/>
      <c r="CB275" s="368"/>
      <c r="CC275" s="368"/>
      <c r="CD275" s="368"/>
      <c r="CE275" s="368"/>
      <c r="CF275" s="368"/>
      <c r="CG275" s="368"/>
      <c r="CH275" s="368"/>
      <c r="CI275" s="42"/>
      <c r="CJ275" s="42"/>
      <c r="CK275" s="42"/>
      <c r="CL275" s="42"/>
    </row>
    <row r="276" spans="1:90">
      <c r="A276" s="42"/>
      <c r="B276" s="42"/>
      <c r="C276" s="79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326"/>
      <c r="AR276" s="326"/>
      <c r="AS276" s="353"/>
      <c r="AT276" s="353"/>
      <c r="AU276" s="326"/>
      <c r="BA276" s="369"/>
      <c r="BB276" s="369"/>
      <c r="BC276" s="369"/>
      <c r="BD276" s="369"/>
      <c r="BE276" s="369"/>
      <c r="BF276" s="369"/>
      <c r="BG276" s="369"/>
      <c r="BH276" s="369"/>
      <c r="BI276" s="369"/>
      <c r="BJ276" s="369"/>
      <c r="BK276" s="369"/>
      <c r="BL276" s="369"/>
      <c r="BM276" s="369"/>
      <c r="BN276" s="369"/>
      <c r="BO276" s="369"/>
      <c r="BP276" s="369"/>
      <c r="BQ276" s="369"/>
      <c r="BR276" s="369"/>
      <c r="BS276" s="369"/>
      <c r="BT276" s="369"/>
      <c r="BU276" s="369"/>
      <c r="BV276" s="326"/>
      <c r="BW276" s="326"/>
      <c r="BX276" s="326"/>
      <c r="BY276" s="367"/>
      <c r="BZ276" s="368"/>
      <c r="CA276" s="368"/>
      <c r="CB276" s="368"/>
      <c r="CC276" s="368"/>
      <c r="CD276" s="368"/>
      <c r="CE276" s="368"/>
      <c r="CF276" s="368"/>
      <c r="CG276" s="368"/>
      <c r="CH276" s="368"/>
      <c r="CI276" s="42"/>
      <c r="CJ276" s="42"/>
      <c r="CK276" s="42"/>
      <c r="CL276" s="42"/>
    </row>
    <row r="277" spans="1:90">
      <c r="A277" s="42"/>
      <c r="B277" s="42"/>
      <c r="C277" s="79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326"/>
      <c r="AR277" s="326"/>
      <c r="AS277" s="353"/>
      <c r="AT277" s="353"/>
      <c r="AU277" s="326"/>
      <c r="BA277" s="369"/>
      <c r="BB277" s="369"/>
      <c r="BC277" s="369"/>
      <c r="BD277" s="369"/>
      <c r="BE277" s="369"/>
      <c r="BF277" s="369"/>
      <c r="BG277" s="369"/>
      <c r="BH277" s="369"/>
      <c r="BI277" s="369"/>
      <c r="BJ277" s="369"/>
      <c r="BK277" s="369"/>
      <c r="BL277" s="369"/>
      <c r="BM277" s="369"/>
      <c r="BN277" s="369"/>
      <c r="BO277" s="369"/>
      <c r="BP277" s="369"/>
      <c r="BQ277" s="369"/>
      <c r="BR277" s="369"/>
      <c r="BS277" s="369"/>
      <c r="BT277" s="369"/>
      <c r="BU277" s="369"/>
      <c r="BV277" s="326"/>
      <c r="BW277" s="326"/>
      <c r="BX277" s="326"/>
      <c r="BY277" s="367"/>
      <c r="BZ277" s="368"/>
      <c r="CA277" s="368"/>
      <c r="CB277" s="368"/>
      <c r="CC277" s="368"/>
      <c r="CD277" s="368"/>
      <c r="CE277" s="368"/>
      <c r="CF277" s="368"/>
      <c r="CG277" s="368"/>
      <c r="CH277" s="368"/>
      <c r="CI277" s="42"/>
      <c r="CJ277" s="42"/>
      <c r="CK277" s="42"/>
      <c r="CL277" s="42"/>
    </row>
    <row r="278" spans="1:90">
      <c r="A278" s="42"/>
      <c r="B278" s="42"/>
      <c r="C278" s="79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326"/>
      <c r="AR278" s="326"/>
      <c r="AS278" s="353"/>
      <c r="AT278" s="353"/>
      <c r="AU278" s="326"/>
      <c r="BA278" s="369"/>
      <c r="BB278" s="369"/>
      <c r="BC278" s="369"/>
      <c r="BD278" s="369"/>
      <c r="BE278" s="369"/>
      <c r="BF278" s="369"/>
      <c r="BG278" s="369"/>
      <c r="BH278" s="369"/>
      <c r="BI278" s="369"/>
      <c r="BJ278" s="369"/>
      <c r="BK278" s="369"/>
      <c r="BL278" s="369"/>
      <c r="BM278" s="369"/>
      <c r="BN278" s="369"/>
      <c r="BO278" s="369"/>
      <c r="BP278" s="369"/>
      <c r="BQ278" s="369"/>
      <c r="BR278" s="369"/>
      <c r="BS278" s="369"/>
      <c r="BT278" s="369"/>
      <c r="BU278" s="369"/>
      <c r="BV278" s="326"/>
      <c r="BW278" s="326"/>
      <c r="BX278" s="326"/>
      <c r="BY278" s="367"/>
      <c r="BZ278" s="368"/>
      <c r="CA278" s="368"/>
      <c r="CB278" s="368"/>
      <c r="CC278" s="368"/>
      <c r="CD278" s="368"/>
      <c r="CE278" s="368"/>
      <c r="CF278" s="368"/>
      <c r="CG278" s="368"/>
      <c r="CH278" s="368"/>
      <c r="CI278" s="42"/>
      <c r="CJ278" s="42"/>
      <c r="CK278" s="42"/>
      <c r="CL278" s="42"/>
    </row>
    <row r="279" spans="1:90">
      <c r="A279" s="42"/>
      <c r="B279" s="42"/>
      <c r="C279" s="79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326"/>
      <c r="AR279" s="326"/>
      <c r="AS279" s="353"/>
      <c r="AT279" s="353"/>
      <c r="AU279" s="326"/>
      <c r="BA279" s="369"/>
      <c r="BB279" s="369"/>
      <c r="BC279" s="369"/>
      <c r="BD279" s="369"/>
      <c r="BE279" s="369"/>
      <c r="BF279" s="369"/>
      <c r="BG279" s="369"/>
      <c r="BH279" s="369"/>
      <c r="BI279" s="369"/>
      <c r="BJ279" s="369"/>
      <c r="BK279" s="369"/>
      <c r="BL279" s="369"/>
      <c r="BM279" s="369"/>
      <c r="BN279" s="369"/>
      <c r="BO279" s="369"/>
      <c r="BP279" s="369"/>
      <c r="BQ279" s="369"/>
      <c r="BR279" s="369"/>
      <c r="BS279" s="369"/>
      <c r="BT279" s="369"/>
      <c r="BU279" s="369"/>
      <c r="BV279" s="326"/>
      <c r="BW279" s="326"/>
      <c r="BX279" s="326"/>
      <c r="BY279" s="367"/>
      <c r="BZ279" s="368"/>
      <c r="CA279" s="368"/>
      <c r="CB279" s="368"/>
      <c r="CC279" s="368"/>
      <c r="CD279" s="368"/>
      <c r="CE279" s="368"/>
      <c r="CF279" s="368"/>
      <c r="CG279" s="368"/>
      <c r="CH279" s="368"/>
      <c r="CI279" s="42"/>
      <c r="CJ279" s="42"/>
      <c r="CK279" s="42"/>
      <c r="CL279" s="42"/>
    </row>
    <row r="280" spans="1:90">
      <c r="BA280" s="369"/>
      <c r="BB280" s="369"/>
      <c r="BC280" s="369"/>
      <c r="BD280" s="369"/>
      <c r="BE280" s="369"/>
      <c r="BF280" s="369"/>
      <c r="BG280" s="369"/>
      <c r="BH280" s="369"/>
      <c r="BI280" s="369"/>
      <c r="BJ280" s="369"/>
      <c r="BK280" s="369"/>
      <c r="BL280" s="369"/>
      <c r="BM280" s="369"/>
      <c r="BN280" s="369"/>
      <c r="BO280" s="369"/>
      <c r="BP280" s="369"/>
      <c r="BQ280" s="369"/>
      <c r="BR280" s="369"/>
      <c r="BS280" s="369"/>
      <c r="BT280" s="369"/>
      <c r="BU280" s="369"/>
      <c r="BY280" s="367"/>
      <c r="BZ280" s="368"/>
      <c r="CA280" s="368"/>
      <c r="CB280" s="368"/>
      <c r="CC280" s="368"/>
      <c r="CD280" s="368"/>
      <c r="CE280" s="368"/>
      <c r="CF280" s="368"/>
      <c r="CG280" s="368"/>
      <c r="CH280" s="368"/>
      <c r="CI280" s="42"/>
      <c r="CJ280" s="42"/>
      <c r="CK280" s="42"/>
      <c r="CL280" s="42"/>
    </row>
    <row r="281" spans="1:90">
      <c r="BA281" s="369"/>
      <c r="BB281" s="369"/>
      <c r="BC281" s="369"/>
      <c r="BD281" s="369"/>
      <c r="BE281" s="369"/>
      <c r="BF281" s="369"/>
      <c r="BG281" s="369"/>
      <c r="BH281" s="369"/>
      <c r="BI281" s="369"/>
      <c r="BJ281" s="369"/>
      <c r="BK281" s="369"/>
      <c r="BL281" s="369"/>
      <c r="BM281" s="369"/>
      <c r="BN281" s="369"/>
      <c r="BO281" s="369"/>
      <c r="BP281" s="369"/>
      <c r="BQ281" s="369"/>
      <c r="BR281" s="369"/>
      <c r="BS281" s="369"/>
      <c r="BT281" s="369"/>
      <c r="BU281" s="369"/>
      <c r="BY281" s="367"/>
      <c r="BZ281" s="368"/>
      <c r="CA281" s="368"/>
      <c r="CB281" s="368"/>
      <c r="CC281" s="368"/>
      <c r="CD281" s="368"/>
      <c r="CE281" s="368"/>
      <c r="CF281" s="368"/>
      <c r="CG281" s="368"/>
      <c r="CH281" s="368"/>
      <c r="CI281" s="42"/>
      <c r="CJ281" s="42"/>
      <c r="CK281" s="42"/>
      <c r="CL281" s="42"/>
    </row>
    <row r="282" spans="1:90">
      <c r="BA282" s="369"/>
      <c r="BB282" s="369"/>
      <c r="BC282" s="369"/>
      <c r="BD282" s="369"/>
      <c r="BE282" s="369"/>
      <c r="BF282" s="369"/>
      <c r="BG282" s="369"/>
      <c r="BH282" s="369"/>
      <c r="BI282" s="369"/>
      <c r="BJ282" s="369"/>
      <c r="BK282" s="369"/>
      <c r="BL282" s="369"/>
      <c r="BM282" s="369"/>
      <c r="BN282" s="369"/>
      <c r="BO282" s="369"/>
      <c r="BP282" s="369"/>
      <c r="BQ282" s="369"/>
      <c r="BR282" s="369"/>
      <c r="BS282" s="369"/>
      <c r="BT282" s="369"/>
      <c r="BU282" s="369"/>
      <c r="BY282" s="367"/>
      <c r="BZ282" s="368"/>
      <c r="CA282" s="368"/>
      <c r="CB282" s="368"/>
      <c r="CC282" s="368"/>
      <c r="CD282" s="368"/>
      <c r="CE282" s="368"/>
      <c r="CF282" s="368"/>
      <c r="CG282" s="368"/>
      <c r="CH282" s="368"/>
      <c r="CI282" s="42"/>
      <c r="CJ282" s="42"/>
      <c r="CK282" s="42"/>
      <c r="CL282" s="42"/>
    </row>
    <row r="283" spans="1:90">
      <c r="BA283" s="369"/>
      <c r="BB283" s="369"/>
      <c r="BC283" s="369"/>
      <c r="BD283" s="369"/>
      <c r="BE283" s="369"/>
      <c r="BF283" s="369"/>
      <c r="BG283" s="369"/>
      <c r="BH283" s="369"/>
      <c r="BI283" s="369"/>
      <c r="BJ283" s="369"/>
      <c r="BK283" s="369"/>
      <c r="BL283" s="369"/>
      <c r="BM283" s="369"/>
      <c r="BN283" s="369"/>
      <c r="BO283" s="369"/>
      <c r="BP283" s="369"/>
      <c r="BQ283" s="369"/>
      <c r="BR283" s="369"/>
      <c r="BS283" s="369"/>
      <c r="BT283" s="369"/>
      <c r="BU283" s="369"/>
      <c r="BY283" s="367"/>
      <c r="BZ283" s="368"/>
      <c r="CA283" s="368"/>
      <c r="CB283" s="368"/>
      <c r="CC283" s="368"/>
      <c r="CD283" s="368"/>
      <c r="CE283" s="368"/>
      <c r="CF283" s="368"/>
      <c r="CG283" s="368"/>
      <c r="CH283" s="368"/>
      <c r="CI283" s="42"/>
      <c r="CJ283" s="42"/>
      <c r="CK283" s="42"/>
      <c r="CL283" s="42"/>
    </row>
    <row r="284" spans="1:90">
      <c r="BA284" s="369"/>
      <c r="BB284" s="369"/>
      <c r="BC284" s="369"/>
      <c r="BD284" s="369"/>
      <c r="BE284" s="369"/>
      <c r="BF284" s="369"/>
      <c r="BG284" s="369"/>
      <c r="BH284" s="369"/>
      <c r="BI284" s="369"/>
      <c r="BJ284" s="369"/>
      <c r="BK284" s="369"/>
      <c r="BL284" s="369"/>
      <c r="BM284" s="369"/>
      <c r="BN284" s="369"/>
      <c r="BO284" s="369"/>
      <c r="BP284" s="369"/>
      <c r="BQ284" s="369"/>
      <c r="BR284" s="369"/>
      <c r="BS284" s="369"/>
      <c r="BT284" s="369"/>
      <c r="BU284" s="369"/>
      <c r="BY284" s="367"/>
      <c r="BZ284" s="368"/>
      <c r="CA284" s="368"/>
      <c r="CB284" s="368"/>
      <c r="CC284" s="368"/>
      <c r="CD284" s="368"/>
      <c r="CE284" s="368"/>
      <c r="CF284" s="368"/>
      <c r="CG284" s="368"/>
      <c r="CH284" s="368"/>
      <c r="CI284" s="42"/>
      <c r="CJ284" s="42"/>
      <c r="CK284" s="42"/>
      <c r="CL284" s="42"/>
    </row>
    <row r="285" spans="1:90">
      <c r="BA285" s="369"/>
      <c r="BB285" s="369"/>
      <c r="BC285" s="369"/>
      <c r="BD285" s="369"/>
      <c r="BE285" s="369"/>
      <c r="BF285" s="369"/>
      <c r="BG285" s="369"/>
      <c r="BH285" s="369"/>
      <c r="BI285" s="369"/>
      <c r="BJ285" s="369"/>
      <c r="BK285" s="369"/>
      <c r="BL285" s="369"/>
      <c r="BM285" s="369"/>
      <c r="BN285" s="369"/>
      <c r="BO285" s="369"/>
      <c r="BP285" s="369"/>
      <c r="BQ285" s="369"/>
      <c r="BR285" s="369"/>
      <c r="BS285" s="369"/>
      <c r="BT285" s="369"/>
      <c r="BU285" s="369"/>
      <c r="BY285" s="367"/>
      <c r="BZ285" s="368"/>
      <c r="CA285" s="368"/>
      <c r="CB285" s="368"/>
      <c r="CC285" s="368"/>
      <c r="CD285" s="368"/>
      <c r="CE285" s="368"/>
      <c r="CF285" s="368"/>
      <c r="CG285" s="368"/>
      <c r="CH285" s="368"/>
      <c r="CI285" s="42"/>
      <c r="CJ285" s="42"/>
      <c r="CK285" s="42"/>
      <c r="CL285" s="42"/>
    </row>
    <row r="286" spans="1:90">
      <c r="BA286" s="369"/>
      <c r="BB286" s="369"/>
      <c r="BC286" s="369"/>
      <c r="BD286" s="369"/>
      <c r="BE286" s="369"/>
      <c r="BF286" s="369"/>
      <c r="BG286" s="369"/>
      <c r="BH286" s="369"/>
      <c r="BI286" s="369"/>
      <c r="BJ286" s="369"/>
      <c r="BK286" s="369"/>
      <c r="BL286" s="369"/>
      <c r="BM286" s="369"/>
      <c r="BN286" s="369"/>
      <c r="BO286" s="369"/>
      <c r="BP286" s="369"/>
      <c r="BQ286" s="369"/>
      <c r="BR286" s="369"/>
      <c r="BS286" s="369"/>
      <c r="BT286" s="369"/>
      <c r="BU286" s="369"/>
      <c r="BY286" s="367"/>
      <c r="BZ286" s="368"/>
      <c r="CA286" s="368"/>
      <c r="CB286" s="368"/>
      <c r="CC286" s="368"/>
      <c r="CD286" s="368"/>
      <c r="CE286" s="368"/>
      <c r="CF286" s="368"/>
      <c r="CG286" s="368"/>
      <c r="CH286" s="368"/>
      <c r="CI286" s="42"/>
      <c r="CJ286" s="42"/>
      <c r="CK286" s="42"/>
      <c r="CL286" s="42"/>
    </row>
    <row r="287" spans="1:90">
      <c r="BA287" s="369"/>
      <c r="BB287" s="369"/>
      <c r="BC287" s="369"/>
      <c r="BD287" s="369"/>
      <c r="BE287" s="369"/>
      <c r="BF287" s="369"/>
      <c r="BG287" s="369"/>
      <c r="BH287" s="369"/>
      <c r="BI287" s="369"/>
      <c r="BJ287" s="369"/>
      <c r="BK287" s="369"/>
      <c r="BL287" s="369"/>
      <c r="BM287" s="369"/>
      <c r="BN287" s="369"/>
      <c r="BO287" s="369"/>
      <c r="BP287" s="369"/>
      <c r="BQ287" s="369"/>
      <c r="BR287" s="369"/>
      <c r="BS287" s="369"/>
      <c r="BT287" s="369"/>
      <c r="BU287" s="369"/>
      <c r="BY287" s="367"/>
      <c r="BZ287" s="368"/>
      <c r="CA287" s="368"/>
      <c r="CB287" s="368"/>
      <c r="CC287" s="368"/>
      <c r="CD287" s="368"/>
      <c r="CE287" s="368"/>
      <c r="CF287" s="368"/>
      <c r="CG287" s="368"/>
      <c r="CH287" s="368"/>
      <c r="CI287" s="42"/>
      <c r="CJ287" s="42"/>
      <c r="CK287" s="42"/>
      <c r="CL287" s="42"/>
    </row>
    <row r="288" spans="1:90">
      <c r="BA288" s="369"/>
      <c r="BB288" s="369"/>
      <c r="BC288" s="369"/>
      <c r="BD288" s="369"/>
      <c r="BE288" s="369"/>
      <c r="BF288" s="369"/>
      <c r="BG288" s="369"/>
      <c r="BH288" s="369"/>
      <c r="BI288" s="369"/>
      <c r="BJ288" s="369"/>
      <c r="BK288" s="369"/>
      <c r="BL288" s="369"/>
      <c r="BM288" s="369"/>
      <c r="BN288" s="369"/>
      <c r="BO288" s="369"/>
      <c r="BP288" s="369"/>
      <c r="BQ288" s="369"/>
      <c r="BR288" s="369"/>
      <c r="BS288" s="369"/>
      <c r="BT288" s="369"/>
      <c r="BU288" s="369"/>
      <c r="BY288" s="367"/>
      <c r="BZ288" s="368"/>
      <c r="CA288" s="368"/>
      <c r="CB288" s="368"/>
      <c r="CC288" s="368"/>
      <c r="CD288" s="368"/>
      <c r="CE288" s="368"/>
      <c r="CF288" s="368"/>
      <c r="CG288" s="368"/>
      <c r="CH288" s="368"/>
      <c r="CI288" s="42"/>
      <c r="CJ288" s="42"/>
      <c r="CK288" s="42"/>
      <c r="CL288" s="42"/>
    </row>
    <row r="289" spans="53:90">
      <c r="BA289" s="369"/>
      <c r="BB289" s="369"/>
      <c r="BC289" s="369"/>
      <c r="BD289" s="369"/>
      <c r="BE289" s="369"/>
      <c r="BF289" s="369"/>
      <c r="BG289" s="369"/>
      <c r="BH289" s="369"/>
      <c r="BI289" s="369"/>
      <c r="BJ289" s="369"/>
      <c r="BK289" s="369"/>
      <c r="BL289" s="369"/>
      <c r="BM289" s="369"/>
      <c r="BN289" s="369"/>
      <c r="BO289" s="369"/>
      <c r="BP289" s="369"/>
      <c r="BQ289" s="369"/>
      <c r="BR289" s="369"/>
      <c r="BS289" s="369"/>
      <c r="BT289" s="369"/>
      <c r="BU289" s="369"/>
      <c r="BY289" s="367"/>
      <c r="BZ289" s="368"/>
      <c r="CA289" s="368"/>
      <c r="CB289" s="368"/>
      <c r="CC289" s="368"/>
      <c r="CD289" s="368"/>
      <c r="CE289" s="368"/>
      <c r="CF289" s="368"/>
      <c r="CG289" s="368"/>
      <c r="CH289" s="368"/>
      <c r="CI289" s="42"/>
      <c r="CJ289" s="42"/>
      <c r="CK289" s="42"/>
      <c r="CL289" s="42"/>
    </row>
    <row r="290" spans="53:90">
      <c r="BA290" s="369"/>
      <c r="BB290" s="369"/>
      <c r="BC290" s="369"/>
      <c r="BD290" s="369"/>
      <c r="BE290" s="369"/>
      <c r="BF290" s="369"/>
      <c r="BG290" s="369"/>
      <c r="BH290" s="369"/>
      <c r="BI290" s="369"/>
      <c r="BJ290" s="369"/>
      <c r="BK290" s="369"/>
      <c r="BL290" s="369"/>
      <c r="BM290" s="369"/>
      <c r="BN290" s="369"/>
      <c r="BO290" s="369"/>
      <c r="BP290" s="369"/>
      <c r="BQ290" s="369"/>
      <c r="BR290" s="369"/>
      <c r="BS290" s="369"/>
      <c r="BT290" s="369"/>
      <c r="BU290" s="369"/>
      <c r="BY290" s="367"/>
      <c r="BZ290" s="368"/>
      <c r="CA290" s="368"/>
      <c r="CB290" s="368"/>
      <c r="CC290" s="368"/>
      <c r="CD290" s="368"/>
      <c r="CE290" s="368"/>
      <c r="CF290" s="368"/>
      <c r="CG290" s="368"/>
      <c r="CH290" s="368"/>
      <c r="CI290" s="42"/>
      <c r="CJ290" s="42"/>
      <c r="CK290" s="42"/>
      <c r="CL290" s="42"/>
    </row>
    <row r="291" spans="53:90">
      <c r="BA291" s="369"/>
      <c r="BB291" s="369"/>
      <c r="BC291" s="369"/>
      <c r="BD291" s="369"/>
      <c r="BE291" s="369"/>
      <c r="BF291" s="369"/>
      <c r="BG291" s="369"/>
      <c r="BH291" s="369"/>
      <c r="BI291" s="369"/>
      <c r="BJ291" s="369"/>
      <c r="BK291" s="369"/>
      <c r="BL291" s="369"/>
      <c r="BM291" s="369"/>
      <c r="BN291" s="369"/>
      <c r="BO291" s="369"/>
      <c r="BP291" s="369"/>
      <c r="BQ291" s="369"/>
      <c r="BR291" s="369"/>
      <c r="BS291" s="369"/>
      <c r="BT291" s="369"/>
      <c r="BU291" s="369"/>
      <c r="BY291" s="367"/>
      <c r="BZ291" s="368"/>
      <c r="CA291" s="368"/>
      <c r="CB291" s="368"/>
      <c r="CC291" s="368"/>
      <c r="CD291" s="368"/>
      <c r="CE291" s="368"/>
      <c r="CF291" s="368"/>
      <c r="CG291" s="368"/>
      <c r="CH291" s="368"/>
      <c r="CI291" s="42"/>
      <c r="CJ291" s="42"/>
      <c r="CK291" s="42"/>
      <c r="CL291" s="42"/>
    </row>
    <row r="292" spans="53:90">
      <c r="BA292" s="369"/>
      <c r="BB292" s="369"/>
      <c r="BC292" s="369"/>
      <c r="BD292" s="369"/>
      <c r="BE292" s="369"/>
      <c r="BF292" s="369"/>
      <c r="BG292" s="369"/>
      <c r="BH292" s="369"/>
      <c r="BI292" s="369"/>
      <c r="BJ292" s="369"/>
      <c r="BK292" s="369"/>
      <c r="BL292" s="369"/>
      <c r="BM292" s="369"/>
      <c r="BN292" s="369"/>
      <c r="BO292" s="369"/>
      <c r="BP292" s="369"/>
      <c r="BQ292" s="369"/>
      <c r="BR292" s="369"/>
      <c r="BS292" s="369"/>
      <c r="BT292" s="369"/>
      <c r="BU292" s="369"/>
      <c r="BY292" s="367"/>
      <c r="BZ292" s="368"/>
      <c r="CA292" s="368"/>
      <c r="CB292" s="368"/>
      <c r="CC292" s="368"/>
      <c r="CD292" s="368"/>
      <c r="CE292" s="368"/>
      <c r="CF292" s="368"/>
      <c r="CG292" s="368"/>
      <c r="CH292" s="368"/>
      <c r="CI292" s="42"/>
      <c r="CJ292" s="42"/>
      <c r="CK292" s="42"/>
      <c r="CL292" s="42"/>
    </row>
    <row r="293" spans="53:90">
      <c r="BA293" s="369"/>
      <c r="BB293" s="369"/>
      <c r="BC293" s="369"/>
      <c r="BD293" s="369"/>
      <c r="BE293" s="369"/>
      <c r="BF293" s="369"/>
      <c r="BG293" s="369"/>
      <c r="BH293" s="369"/>
      <c r="BI293" s="369"/>
      <c r="BJ293" s="369"/>
      <c r="BK293" s="369"/>
      <c r="BL293" s="369"/>
      <c r="BM293" s="369"/>
      <c r="BN293" s="369"/>
      <c r="BO293" s="369"/>
      <c r="BP293" s="369"/>
      <c r="BQ293" s="369"/>
      <c r="BR293" s="369"/>
      <c r="BS293" s="369"/>
      <c r="BT293" s="369"/>
      <c r="BU293" s="369"/>
      <c r="BY293" s="367"/>
      <c r="BZ293" s="368"/>
      <c r="CA293" s="368"/>
      <c r="CB293" s="368"/>
      <c r="CC293" s="368"/>
      <c r="CD293" s="368"/>
      <c r="CE293" s="368"/>
      <c r="CF293" s="368"/>
      <c r="CG293" s="368"/>
      <c r="CH293" s="368"/>
      <c r="CI293" s="42"/>
      <c r="CJ293" s="42"/>
      <c r="CK293" s="42"/>
      <c r="CL293" s="42"/>
    </row>
    <row r="294" spans="53:90">
      <c r="BA294" s="369"/>
      <c r="BB294" s="369"/>
      <c r="BC294" s="369"/>
      <c r="BD294" s="369"/>
      <c r="BE294" s="369"/>
      <c r="BF294" s="369"/>
      <c r="BG294" s="369"/>
      <c r="BH294" s="369"/>
      <c r="BI294" s="369"/>
      <c r="BJ294" s="369"/>
      <c r="BK294" s="369"/>
      <c r="BL294" s="369"/>
      <c r="BM294" s="369"/>
      <c r="BN294" s="369"/>
      <c r="BO294" s="369"/>
      <c r="BP294" s="369"/>
      <c r="BQ294" s="369"/>
      <c r="BR294" s="369"/>
      <c r="BS294" s="369"/>
      <c r="BT294" s="369"/>
      <c r="BU294" s="369"/>
      <c r="BY294" s="367"/>
      <c r="BZ294" s="368"/>
      <c r="CA294" s="368"/>
      <c r="CB294" s="368"/>
      <c r="CC294" s="368"/>
      <c r="CD294" s="368"/>
      <c r="CE294" s="368"/>
      <c r="CF294" s="368"/>
      <c r="CG294" s="368"/>
      <c r="CH294" s="368"/>
      <c r="CI294" s="42"/>
      <c r="CJ294" s="42"/>
      <c r="CK294" s="42"/>
      <c r="CL294" s="42"/>
    </row>
    <row r="295" spans="53:90">
      <c r="BA295" s="369"/>
      <c r="BB295" s="369"/>
      <c r="BC295" s="369"/>
      <c r="BD295" s="369"/>
      <c r="BE295" s="369"/>
      <c r="BF295" s="369"/>
      <c r="BG295" s="369"/>
      <c r="BH295" s="369"/>
      <c r="BI295" s="369"/>
      <c r="BJ295" s="369"/>
      <c r="BK295" s="369"/>
      <c r="BL295" s="369"/>
      <c r="BM295" s="369"/>
      <c r="BN295" s="369"/>
      <c r="BO295" s="369"/>
      <c r="BP295" s="369"/>
      <c r="BQ295" s="369"/>
      <c r="BR295" s="369"/>
      <c r="BS295" s="369"/>
      <c r="BT295" s="369"/>
      <c r="BU295" s="369"/>
      <c r="BY295" s="367"/>
      <c r="BZ295" s="368"/>
      <c r="CA295" s="368"/>
      <c r="CB295" s="368"/>
      <c r="CC295" s="368"/>
      <c r="CD295" s="368"/>
      <c r="CE295" s="368"/>
      <c r="CF295" s="368"/>
      <c r="CG295" s="368"/>
      <c r="CH295" s="368"/>
      <c r="CI295" s="42"/>
      <c r="CJ295" s="42"/>
      <c r="CK295" s="42"/>
      <c r="CL295" s="42"/>
    </row>
    <row r="296" spans="53:90">
      <c r="BA296" s="369"/>
      <c r="BB296" s="369"/>
      <c r="BC296" s="369"/>
      <c r="BD296" s="369"/>
      <c r="BE296" s="369"/>
      <c r="BF296" s="369"/>
      <c r="BG296" s="369"/>
      <c r="BH296" s="369"/>
      <c r="BI296" s="369"/>
      <c r="BJ296" s="369"/>
      <c r="BK296" s="369"/>
      <c r="BL296" s="369"/>
      <c r="BM296" s="369"/>
      <c r="BN296" s="369"/>
      <c r="BO296" s="369"/>
      <c r="BP296" s="369"/>
      <c r="BQ296" s="369"/>
      <c r="BR296" s="369"/>
      <c r="BS296" s="369"/>
      <c r="BT296" s="369"/>
      <c r="BU296" s="369"/>
      <c r="BY296" s="367"/>
      <c r="BZ296" s="368"/>
      <c r="CA296" s="368"/>
      <c r="CB296" s="368"/>
      <c r="CC296" s="368"/>
      <c r="CD296" s="368"/>
      <c r="CE296" s="368"/>
      <c r="CF296" s="368"/>
      <c r="CG296" s="368"/>
      <c r="CH296" s="368"/>
      <c r="CI296" s="42"/>
      <c r="CJ296" s="42"/>
      <c r="CK296" s="42"/>
      <c r="CL296" s="42"/>
    </row>
    <row r="297" spans="53:90">
      <c r="BA297" s="369"/>
      <c r="BB297" s="369"/>
      <c r="BC297" s="369"/>
      <c r="BD297" s="369"/>
      <c r="BE297" s="369"/>
      <c r="BF297" s="369"/>
      <c r="BG297" s="369"/>
      <c r="BH297" s="369"/>
      <c r="BI297" s="369"/>
      <c r="BJ297" s="369"/>
      <c r="BK297" s="369"/>
      <c r="BL297" s="369"/>
      <c r="BM297" s="369"/>
      <c r="BN297" s="369"/>
      <c r="BO297" s="369"/>
      <c r="BP297" s="369"/>
      <c r="BQ297" s="369"/>
      <c r="BR297" s="369"/>
      <c r="BS297" s="369"/>
      <c r="BT297" s="369"/>
      <c r="BU297" s="369"/>
      <c r="BY297" s="367"/>
      <c r="BZ297" s="368"/>
      <c r="CA297" s="368"/>
      <c r="CB297" s="368"/>
      <c r="CC297" s="368"/>
      <c r="CD297" s="368"/>
      <c r="CE297" s="368"/>
      <c r="CF297" s="368"/>
      <c r="CG297" s="368"/>
      <c r="CH297" s="368"/>
      <c r="CI297" s="42"/>
      <c r="CJ297" s="42"/>
      <c r="CK297" s="42"/>
      <c r="CL297" s="42"/>
    </row>
    <row r="298" spans="53:90">
      <c r="BA298" s="369"/>
      <c r="BB298" s="369"/>
      <c r="BC298" s="369"/>
      <c r="BD298" s="369"/>
      <c r="BE298" s="369"/>
      <c r="BF298" s="369"/>
      <c r="BG298" s="369"/>
      <c r="BH298" s="369"/>
      <c r="BI298" s="369"/>
      <c r="BJ298" s="369"/>
      <c r="BK298" s="369"/>
      <c r="BL298" s="369"/>
      <c r="BM298" s="369"/>
      <c r="BN298" s="369"/>
      <c r="BO298" s="369"/>
      <c r="BP298" s="369"/>
      <c r="BQ298" s="369"/>
      <c r="BR298" s="369"/>
      <c r="BS298" s="369"/>
      <c r="BT298" s="369"/>
      <c r="BU298" s="369"/>
      <c r="BY298" s="367"/>
      <c r="BZ298" s="368"/>
      <c r="CA298" s="368"/>
      <c r="CB298" s="368"/>
      <c r="CC298" s="368"/>
      <c r="CD298" s="368"/>
      <c r="CE298" s="368"/>
      <c r="CF298" s="368"/>
      <c r="CG298" s="368"/>
      <c r="CH298" s="368"/>
      <c r="CI298" s="42"/>
      <c r="CJ298" s="42"/>
      <c r="CK298" s="42"/>
      <c r="CL298" s="42"/>
    </row>
    <row r="299" spans="53:90">
      <c r="BA299" s="369"/>
      <c r="BB299" s="369"/>
      <c r="BC299" s="369"/>
      <c r="BD299" s="369"/>
      <c r="BE299" s="369"/>
      <c r="BF299" s="369"/>
      <c r="BG299" s="369"/>
      <c r="BH299" s="369"/>
      <c r="BI299" s="369"/>
      <c r="BJ299" s="369"/>
      <c r="BK299" s="369"/>
      <c r="BL299" s="369"/>
      <c r="BM299" s="369"/>
      <c r="BN299" s="369"/>
      <c r="BO299" s="369"/>
      <c r="BP299" s="369"/>
      <c r="BQ299" s="369"/>
      <c r="BR299" s="369"/>
      <c r="BS299" s="369"/>
      <c r="BT299" s="369"/>
      <c r="BU299" s="369"/>
      <c r="BY299" s="367"/>
      <c r="BZ299" s="368"/>
      <c r="CA299" s="368"/>
      <c r="CB299" s="368"/>
      <c r="CC299" s="368"/>
      <c r="CD299" s="368"/>
      <c r="CE299" s="368"/>
      <c r="CF299" s="368"/>
      <c r="CG299" s="368"/>
      <c r="CH299" s="368"/>
      <c r="CI299" s="42"/>
      <c r="CJ299" s="42"/>
      <c r="CK299" s="42"/>
      <c r="CL299" s="42"/>
    </row>
    <row r="300" spans="53:90">
      <c r="BA300" s="369"/>
      <c r="BB300" s="369"/>
      <c r="BC300" s="369"/>
      <c r="BD300" s="369"/>
      <c r="BE300" s="369"/>
      <c r="BF300" s="369"/>
      <c r="BG300" s="369"/>
      <c r="BH300" s="369"/>
      <c r="BI300" s="369"/>
      <c r="BJ300" s="369"/>
      <c r="BK300" s="369"/>
      <c r="BL300" s="369"/>
      <c r="BM300" s="369"/>
      <c r="BN300" s="369"/>
      <c r="BO300" s="369"/>
      <c r="BP300" s="369"/>
      <c r="BQ300" s="369"/>
      <c r="BR300" s="369"/>
      <c r="BS300" s="369"/>
      <c r="BT300" s="369"/>
      <c r="BU300" s="369"/>
      <c r="BY300" s="367"/>
      <c r="BZ300" s="368"/>
      <c r="CA300" s="368"/>
      <c r="CB300" s="368"/>
      <c r="CC300" s="368"/>
      <c r="CD300" s="368"/>
      <c r="CE300" s="368"/>
      <c r="CF300" s="368"/>
      <c r="CG300" s="368"/>
      <c r="CH300" s="368"/>
      <c r="CI300" s="42"/>
      <c r="CJ300" s="42"/>
      <c r="CK300" s="42"/>
      <c r="CL300" s="42"/>
    </row>
    <row r="301" spans="53:90">
      <c r="BA301" s="369"/>
      <c r="BB301" s="369"/>
      <c r="BC301" s="369"/>
      <c r="BD301" s="369"/>
      <c r="BE301" s="369"/>
      <c r="BF301" s="369"/>
      <c r="BG301" s="369"/>
      <c r="BH301" s="369"/>
      <c r="BI301" s="369"/>
      <c r="BJ301" s="369"/>
      <c r="BK301" s="369"/>
      <c r="BL301" s="369"/>
      <c r="BM301" s="369"/>
      <c r="BN301" s="369"/>
      <c r="BO301" s="369"/>
      <c r="BP301" s="369"/>
      <c r="BQ301" s="369"/>
      <c r="BR301" s="369"/>
      <c r="BS301" s="369"/>
      <c r="BT301" s="369"/>
      <c r="BU301" s="369"/>
      <c r="BY301" s="367"/>
      <c r="BZ301" s="368"/>
      <c r="CA301" s="368"/>
      <c r="CB301" s="368"/>
      <c r="CC301" s="368"/>
      <c r="CD301" s="368"/>
      <c r="CE301" s="368"/>
      <c r="CF301" s="368"/>
      <c r="CG301" s="368"/>
      <c r="CH301" s="368"/>
      <c r="CI301" s="42"/>
      <c r="CJ301" s="42"/>
      <c r="CK301" s="42"/>
      <c r="CL301" s="42"/>
    </row>
    <row r="302" spans="53:90">
      <c r="BA302" s="369"/>
      <c r="BB302" s="369"/>
      <c r="BC302" s="369"/>
      <c r="BD302" s="369"/>
      <c r="BE302" s="369"/>
      <c r="BF302" s="369"/>
      <c r="BG302" s="369"/>
      <c r="BH302" s="369"/>
      <c r="BI302" s="369"/>
      <c r="BJ302" s="369"/>
      <c r="BK302" s="369"/>
      <c r="BL302" s="369"/>
      <c r="BM302" s="369"/>
      <c r="BN302" s="369"/>
      <c r="BO302" s="369"/>
      <c r="BP302" s="369"/>
      <c r="BQ302" s="369"/>
      <c r="BR302" s="369"/>
      <c r="BS302" s="369"/>
      <c r="BT302" s="369"/>
      <c r="BU302" s="369"/>
      <c r="BY302" s="367"/>
      <c r="BZ302" s="368"/>
      <c r="CA302" s="368"/>
      <c r="CB302" s="368"/>
      <c r="CC302" s="368"/>
      <c r="CD302" s="368"/>
      <c r="CE302" s="368"/>
      <c r="CF302" s="368"/>
      <c r="CG302" s="368"/>
      <c r="CH302" s="368"/>
      <c r="CI302" s="42"/>
      <c r="CJ302" s="42"/>
      <c r="CK302" s="42"/>
      <c r="CL302" s="42"/>
    </row>
    <row r="303" spans="53:90">
      <c r="BA303" s="369"/>
      <c r="BB303" s="369"/>
      <c r="BC303" s="369"/>
      <c r="BD303" s="369"/>
      <c r="BE303" s="369"/>
      <c r="BF303" s="369"/>
      <c r="BG303" s="369"/>
      <c r="BH303" s="369"/>
      <c r="BI303" s="369"/>
      <c r="BJ303" s="369"/>
      <c r="BK303" s="369"/>
      <c r="BL303" s="369"/>
      <c r="BM303" s="369"/>
      <c r="BN303" s="369"/>
      <c r="BO303" s="369"/>
      <c r="BP303" s="369"/>
      <c r="BQ303" s="369"/>
      <c r="BR303" s="369"/>
      <c r="BS303" s="369"/>
      <c r="BT303" s="369"/>
      <c r="BU303" s="369"/>
      <c r="BY303" s="367"/>
      <c r="BZ303" s="368"/>
      <c r="CA303" s="368"/>
      <c r="CB303" s="368"/>
      <c r="CC303" s="368"/>
      <c r="CD303" s="368"/>
      <c r="CE303" s="368"/>
      <c r="CF303" s="368"/>
      <c r="CG303" s="368"/>
      <c r="CH303" s="368"/>
      <c r="CI303" s="42"/>
      <c r="CJ303" s="42"/>
      <c r="CK303" s="42"/>
      <c r="CL303" s="42"/>
    </row>
    <row r="304" spans="53:90">
      <c r="BA304" s="369"/>
      <c r="BB304" s="369"/>
      <c r="BC304" s="369"/>
      <c r="BD304" s="369"/>
      <c r="BE304" s="369"/>
      <c r="BF304" s="369"/>
      <c r="BG304" s="369"/>
      <c r="BH304" s="369"/>
      <c r="BI304" s="369"/>
      <c r="BJ304" s="369"/>
      <c r="BK304" s="369"/>
      <c r="BL304" s="369"/>
      <c r="BM304" s="369"/>
      <c r="BN304" s="369"/>
      <c r="BO304" s="369"/>
      <c r="BP304" s="369"/>
      <c r="BQ304" s="369"/>
      <c r="BR304" s="369"/>
      <c r="BS304" s="369"/>
      <c r="BT304" s="369"/>
      <c r="BU304" s="369"/>
      <c r="BY304" s="367"/>
      <c r="BZ304" s="368"/>
      <c r="CA304" s="368"/>
      <c r="CB304" s="368"/>
      <c r="CC304" s="368"/>
      <c r="CD304" s="368"/>
      <c r="CE304" s="368"/>
      <c r="CF304" s="368"/>
      <c r="CG304" s="368"/>
      <c r="CH304" s="368"/>
      <c r="CI304" s="42"/>
      <c r="CJ304" s="42"/>
      <c r="CK304" s="42"/>
      <c r="CL304" s="42"/>
    </row>
    <row r="305" spans="53:90">
      <c r="BA305" s="369"/>
      <c r="BB305" s="369"/>
      <c r="BC305" s="369"/>
      <c r="BD305" s="369"/>
      <c r="BE305" s="369"/>
      <c r="BF305" s="369"/>
      <c r="BG305" s="369"/>
      <c r="BH305" s="369"/>
      <c r="BI305" s="369"/>
      <c r="BJ305" s="369"/>
      <c r="BK305" s="369"/>
      <c r="BL305" s="369"/>
      <c r="BM305" s="369"/>
      <c r="BN305" s="369"/>
      <c r="BO305" s="369"/>
      <c r="BP305" s="369"/>
      <c r="BQ305" s="369"/>
      <c r="BR305" s="369"/>
      <c r="BS305" s="369"/>
      <c r="BT305" s="369"/>
      <c r="BU305" s="369"/>
      <c r="BY305" s="367"/>
      <c r="BZ305" s="368"/>
      <c r="CA305" s="368"/>
      <c r="CB305" s="368"/>
      <c r="CC305" s="368"/>
      <c r="CD305" s="368"/>
      <c r="CE305" s="368"/>
      <c r="CF305" s="368"/>
      <c r="CG305" s="368"/>
      <c r="CH305" s="368"/>
      <c r="CI305" s="42"/>
      <c r="CJ305" s="42"/>
      <c r="CK305" s="42"/>
      <c r="CL305" s="42"/>
    </row>
    <row r="306" spans="53:90">
      <c r="BA306" s="369"/>
      <c r="BB306" s="369"/>
      <c r="BC306" s="369"/>
      <c r="BD306" s="369"/>
      <c r="BE306" s="369"/>
      <c r="BF306" s="369"/>
      <c r="BG306" s="369"/>
      <c r="BH306" s="369"/>
      <c r="BI306" s="369"/>
      <c r="BJ306" s="369"/>
      <c r="BK306" s="369"/>
      <c r="BL306" s="369"/>
      <c r="BM306" s="369"/>
      <c r="BN306" s="369"/>
      <c r="BO306" s="369"/>
      <c r="BP306" s="369"/>
      <c r="BQ306" s="369"/>
      <c r="BR306" s="369"/>
      <c r="BS306" s="369"/>
      <c r="BT306" s="369"/>
      <c r="BU306" s="369"/>
      <c r="BY306" s="367"/>
      <c r="BZ306" s="368"/>
      <c r="CA306" s="368"/>
      <c r="CB306" s="368"/>
      <c r="CC306" s="368"/>
      <c r="CD306" s="368"/>
      <c r="CE306" s="368"/>
      <c r="CF306" s="368"/>
      <c r="CG306" s="368"/>
      <c r="CH306" s="368"/>
      <c r="CI306" s="42"/>
      <c r="CJ306" s="42"/>
      <c r="CK306" s="42"/>
      <c r="CL306" s="42"/>
    </row>
    <row r="307" spans="53:90">
      <c r="BA307" s="369"/>
      <c r="BB307" s="369"/>
      <c r="BC307" s="369"/>
      <c r="BD307" s="369"/>
      <c r="BE307" s="369"/>
      <c r="BF307" s="369"/>
      <c r="BG307" s="369"/>
      <c r="BH307" s="369"/>
      <c r="BI307" s="369"/>
      <c r="BJ307" s="369"/>
      <c r="BK307" s="369"/>
      <c r="BL307" s="369"/>
      <c r="BM307" s="369"/>
      <c r="BN307" s="369"/>
      <c r="BO307" s="369"/>
      <c r="BP307" s="369"/>
      <c r="BQ307" s="369"/>
      <c r="BR307" s="369"/>
      <c r="BS307" s="369"/>
      <c r="BT307" s="369"/>
      <c r="BU307" s="369"/>
      <c r="BY307" s="367"/>
      <c r="BZ307" s="368"/>
      <c r="CA307" s="368"/>
      <c r="CB307" s="368"/>
      <c r="CC307" s="368"/>
      <c r="CD307" s="368"/>
      <c r="CE307" s="368"/>
      <c r="CF307" s="368"/>
      <c r="CG307" s="368"/>
      <c r="CH307" s="368"/>
      <c r="CI307" s="42"/>
      <c r="CJ307" s="42"/>
      <c r="CK307" s="42"/>
      <c r="CL307" s="42"/>
    </row>
    <row r="308" spans="53:90">
      <c r="BA308" s="369"/>
      <c r="BB308" s="369"/>
      <c r="BC308" s="369"/>
      <c r="BD308" s="369"/>
      <c r="BE308" s="369"/>
      <c r="BF308" s="369"/>
      <c r="BG308" s="369"/>
      <c r="BH308" s="369"/>
      <c r="BI308" s="369"/>
      <c r="BJ308" s="369"/>
      <c r="BK308" s="369"/>
      <c r="BL308" s="369"/>
      <c r="BM308" s="369"/>
      <c r="BN308" s="369"/>
      <c r="BO308" s="369"/>
      <c r="BP308" s="369"/>
      <c r="BQ308" s="369"/>
      <c r="BR308" s="369"/>
      <c r="BS308" s="369"/>
      <c r="BT308" s="369"/>
      <c r="BU308" s="369"/>
      <c r="BY308" s="367"/>
      <c r="BZ308" s="368"/>
      <c r="CA308" s="368"/>
      <c r="CB308" s="368"/>
      <c r="CC308" s="368"/>
      <c r="CD308" s="368"/>
      <c r="CE308" s="368"/>
      <c r="CF308" s="368"/>
      <c r="CG308" s="368"/>
      <c r="CH308" s="368"/>
      <c r="CI308" s="42"/>
      <c r="CJ308" s="42"/>
      <c r="CK308" s="42"/>
      <c r="CL308" s="42"/>
    </row>
    <row r="309" spans="53:90">
      <c r="BA309" s="369"/>
      <c r="BB309" s="369"/>
      <c r="BC309" s="369"/>
      <c r="BD309" s="369"/>
      <c r="BE309" s="369"/>
      <c r="BF309" s="369"/>
      <c r="BG309" s="369"/>
      <c r="BH309" s="369"/>
      <c r="BI309" s="369"/>
      <c r="BJ309" s="369"/>
      <c r="BK309" s="369"/>
      <c r="BL309" s="369"/>
      <c r="BM309" s="369"/>
      <c r="BN309" s="369"/>
      <c r="BO309" s="369"/>
      <c r="BP309" s="369"/>
      <c r="BQ309" s="369"/>
      <c r="BR309" s="369"/>
      <c r="BS309" s="369"/>
      <c r="BT309" s="369"/>
      <c r="BU309" s="369"/>
      <c r="BY309" s="367"/>
      <c r="BZ309" s="368"/>
      <c r="CA309" s="368"/>
      <c r="CB309" s="368"/>
      <c r="CC309" s="368"/>
      <c r="CD309" s="368"/>
      <c r="CE309" s="368"/>
      <c r="CF309" s="368"/>
      <c r="CG309" s="368"/>
      <c r="CH309" s="368"/>
      <c r="CI309" s="42"/>
      <c r="CJ309" s="42"/>
      <c r="CK309" s="42"/>
      <c r="CL309" s="42"/>
    </row>
    <row r="310" spans="53:90">
      <c r="BA310" s="369"/>
      <c r="BB310" s="369"/>
      <c r="BC310" s="369"/>
      <c r="BD310" s="369"/>
      <c r="BE310" s="369"/>
      <c r="BF310" s="369"/>
      <c r="BG310" s="369"/>
      <c r="BH310" s="369"/>
      <c r="BI310" s="369"/>
      <c r="BJ310" s="369"/>
      <c r="BK310" s="369"/>
      <c r="BL310" s="369"/>
      <c r="BM310" s="369"/>
      <c r="BN310" s="369"/>
      <c r="BO310" s="369"/>
      <c r="BP310" s="369"/>
      <c r="BQ310" s="369"/>
      <c r="BR310" s="369"/>
      <c r="BS310" s="369"/>
      <c r="BT310" s="369"/>
      <c r="BU310" s="369"/>
      <c r="BY310" s="367"/>
      <c r="BZ310" s="368"/>
      <c r="CA310" s="368"/>
      <c r="CB310" s="368"/>
      <c r="CC310" s="368"/>
      <c r="CD310" s="368"/>
      <c r="CE310" s="368"/>
      <c r="CF310" s="368"/>
      <c r="CG310" s="368"/>
      <c r="CH310" s="368"/>
      <c r="CI310" s="42"/>
      <c r="CJ310" s="42"/>
      <c r="CK310" s="42"/>
      <c r="CL310" s="42"/>
    </row>
    <row r="311" spans="53:90">
      <c r="BA311" s="369"/>
      <c r="BB311" s="369"/>
      <c r="BC311" s="369"/>
      <c r="BD311" s="369"/>
      <c r="BE311" s="369"/>
      <c r="BF311" s="369"/>
      <c r="BG311" s="369"/>
      <c r="BH311" s="369"/>
      <c r="BI311" s="369"/>
      <c r="BJ311" s="369"/>
      <c r="BK311" s="369"/>
      <c r="BL311" s="369"/>
      <c r="BM311" s="369"/>
      <c r="BN311" s="369"/>
      <c r="BO311" s="369"/>
      <c r="BP311" s="369"/>
      <c r="BQ311" s="369"/>
      <c r="BR311" s="369"/>
      <c r="BS311" s="369"/>
      <c r="BT311" s="369"/>
      <c r="BU311" s="369"/>
      <c r="BY311" s="367"/>
      <c r="BZ311" s="368"/>
      <c r="CA311" s="368"/>
      <c r="CB311" s="368"/>
      <c r="CC311" s="368"/>
      <c r="CD311" s="368"/>
      <c r="CE311" s="368"/>
      <c r="CF311" s="368"/>
      <c r="CG311" s="368"/>
      <c r="CH311" s="368"/>
      <c r="CI311" s="42"/>
      <c r="CJ311" s="42"/>
      <c r="CK311" s="42"/>
      <c r="CL311" s="42"/>
    </row>
    <row r="312" spans="53:90">
      <c r="BA312" s="369"/>
      <c r="BB312" s="369"/>
      <c r="BC312" s="369"/>
      <c r="BD312" s="369"/>
      <c r="BE312" s="369"/>
      <c r="BF312" s="369"/>
      <c r="BG312" s="369"/>
      <c r="BH312" s="369"/>
      <c r="BI312" s="369"/>
      <c r="BJ312" s="369"/>
      <c r="BK312" s="369"/>
      <c r="BL312" s="369"/>
      <c r="BM312" s="369"/>
      <c r="BN312" s="369"/>
      <c r="BO312" s="369"/>
      <c r="BP312" s="369"/>
      <c r="BQ312" s="369"/>
      <c r="BR312" s="369"/>
      <c r="BS312" s="369"/>
      <c r="BT312" s="369"/>
      <c r="BU312" s="369"/>
      <c r="BY312" s="367"/>
      <c r="BZ312" s="368"/>
      <c r="CA312" s="368"/>
      <c r="CB312" s="368"/>
      <c r="CC312" s="368"/>
      <c r="CD312" s="368"/>
      <c r="CE312" s="368"/>
      <c r="CF312" s="368"/>
      <c r="CG312" s="368"/>
      <c r="CH312" s="368"/>
      <c r="CI312" s="42"/>
      <c r="CJ312" s="42"/>
      <c r="CK312" s="42"/>
      <c r="CL312" s="42"/>
    </row>
    <row r="313" spans="53:90">
      <c r="BA313" s="369"/>
      <c r="BB313" s="369"/>
      <c r="BC313" s="369"/>
      <c r="BD313" s="369"/>
      <c r="BE313" s="369"/>
      <c r="BF313" s="369"/>
      <c r="BG313" s="369"/>
      <c r="BH313" s="369"/>
      <c r="BI313" s="369"/>
      <c r="BJ313" s="369"/>
      <c r="BK313" s="369"/>
      <c r="BL313" s="369"/>
      <c r="BM313" s="369"/>
      <c r="BN313" s="369"/>
      <c r="BO313" s="369"/>
      <c r="BP313" s="369"/>
      <c r="BQ313" s="369"/>
      <c r="BR313" s="369"/>
      <c r="BS313" s="369"/>
      <c r="BT313" s="369"/>
      <c r="BU313" s="369"/>
      <c r="BY313" s="367"/>
      <c r="BZ313" s="368"/>
      <c r="CA313" s="368"/>
      <c r="CB313" s="368"/>
      <c r="CC313" s="368"/>
      <c r="CD313" s="368"/>
      <c r="CE313" s="368"/>
      <c r="CF313" s="368"/>
      <c r="CG313" s="368"/>
      <c r="CH313" s="368"/>
      <c r="CI313" s="42"/>
      <c r="CJ313" s="42"/>
      <c r="CK313" s="42"/>
      <c r="CL313" s="42"/>
    </row>
    <row r="314" spans="53:90">
      <c r="BA314" s="369"/>
      <c r="BB314" s="369"/>
      <c r="BC314" s="369"/>
      <c r="BD314" s="369"/>
      <c r="BE314" s="369"/>
      <c r="BF314" s="369"/>
      <c r="BG314" s="369"/>
      <c r="BH314" s="369"/>
      <c r="BI314" s="369"/>
      <c r="BJ314" s="369"/>
      <c r="BK314" s="369"/>
      <c r="BL314" s="369"/>
      <c r="BM314" s="369"/>
      <c r="BN314" s="369"/>
      <c r="BO314" s="369"/>
      <c r="BP314" s="369"/>
      <c r="BQ314" s="369"/>
      <c r="BR314" s="369"/>
      <c r="BS314" s="369"/>
      <c r="BT314" s="369"/>
      <c r="BU314" s="369"/>
      <c r="BY314" s="367"/>
      <c r="BZ314" s="368"/>
      <c r="CA314" s="368"/>
      <c r="CB314" s="368"/>
      <c r="CC314" s="368"/>
      <c r="CD314" s="368"/>
      <c r="CE314" s="368"/>
      <c r="CF314" s="368"/>
      <c r="CG314" s="368"/>
      <c r="CH314" s="368"/>
      <c r="CI314" s="42"/>
      <c r="CJ314" s="42"/>
      <c r="CK314" s="42"/>
      <c r="CL314" s="42"/>
    </row>
    <row r="315" spans="53:90">
      <c r="BA315" s="369"/>
      <c r="BB315" s="369"/>
      <c r="BC315" s="369"/>
      <c r="BD315" s="369"/>
      <c r="BE315" s="369"/>
      <c r="BF315" s="369"/>
      <c r="BG315" s="369"/>
      <c r="BH315" s="369"/>
      <c r="BI315" s="369"/>
      <c r="BJ315" s="369"/>
      <c r="BK315" s="369"/>
      <c r="BL315" s="369"/>
      <c r="BM315" s="369"/>
      <c r="BN315" s="369"/>
      <c r="BO315" s="369"/>
      <c r="BP315" s="369"/>
      <c r="BQ315" s="369"/>
      <c r="BR315" s="369"/>
      <c r="BS315" s="369"/>
      <c r="BT315" s="369"/>
      <c r="BU315" s="369"/>
      <c r="BY315" s="367"/>
      <c r="BZ315" s="368"/>
      <c r="CA315" s="368"/>
      <c r="CB315" s="368"/>
      <c r="CC315" s="368"/>
      <c r="CD315" s="368"/>
      <c r="CE315" s="368"/>
      <c r="CF315" s="368"/>
      <c r="CG315" s="368"/>
      <c r="CH315" s="368"/>
      <c r="CI315" s="42"/>
      <c r="CJ315" s="42"/>
      <c r="CK315" s="42"/>
      <c r="CL315" s="42"/>
    </row>
    <row r="316" spans="53:90">
      <c r="BA316" s="369"/>
      <c r="BB316" s="369"/>
      <c r="BC316" s="369"/>
      <c r="BD316" s="369"/>
      <c r="BE316" s="369"/>
      <c r="BF316" s="369"/>
      <c r="BG316" s="369"/>
      <c r="BH316" s="369"/>
      <c r="BI316" s="369"/>
      <c r="BJ316" s="369"/>
      <c r="BK316" s="369"/>
      <c r="BL316" s="369"/>
      <c r="BM316" s="369"/>
      <c r="BN316" s="369"/>
      <c r="BO316" s="369"/>
      <c r="BP316" s="369"/>
      <c r="BQ316" s="369"/>
      <c r="BR316" s="369"/>
      <c r="BS316" s="369"/>
      <c r="BT316" s="369"/>
      <c r="BU316" s="369"/>
      <c r="BY316" s="367"/>
      <c r="BZ316" s="368"/>
      <c r="CA316" s="368"/>
      <c r="CB316" s="368"/>
      <c r="CC316" s="368"/>
      <c r="CD316" s="368"/>
      <c r="CE316" s="368"/>
      <c r="CF316" s="368"/>
      <c r="CG316" s="368"/>
      <c r="CH316" s="368"/>
      <c r="CI316" s="42"/>
      <c r="CJ316" s="42"/>
      <c r="CK316" s="42"/>
      <c r="CL316" s="42"/>
    </row>
    <row r="317" spans="53:90">
      <c r="BA317" s="369"/>
      <c r="BB317" s="369"/>
      <c r="BC317" s="369"/>
      <c r="BD317" s="369"/>
      <c r="BE317" s="369"/>
      <c r="BF317" s="369"/>
      <c r="BG317" s="369"/>
      <c r="BH317" s="369"/>
      <c r="BI317" s="369"/>
      <c r="BJ317" s="369"/>
      <c r="BK317" s="369"/>
      <c r="BL317" s="369"/>
      <c r="BM317" s="369"/>
      <c r="BN317" s="369"/>
      <c r="BO317" s="369"/>
      <c r="BP317" s="369"/>
      <c r="BQ317" s="369"/>
      <c r="BR317" s="369"/>
      <c r="BS317" s="369"/>
      <c r="BT317" s="369"/>
      <c r="BU317" s="369"/>
      <c r="BY317" s="367"/>
      <c r="BZ317" s="368"/>
      <c r="CA317" s="368"/>
      <c r="CB317" s="368"/>
      <c r="CC317" s="368"/>
      <c r="CD317" s="368"/>
      <c r="CE317" s="368"/>
      <c r="CF317" s="368"/>
      <c r="CG317" s="368"/>
      <c r="CH317" s="368"/>
      <c r="CI317" s="42"/>
      <c r="CJ317" s="42"/>
      <c r="CK317" s="42"/>
      <c r="CL317" s="42"/>
    </row>
    <row r="318" spans="53:90">
      <c r="BA318" s="369"/>
      <c r="BB318" s="369"/>
      <c r="BC318" s="369"/>
      <c r="BD318" s="369"/>
      <c r="BE318" s="369"/>
      <c r="BF318" s="369"/>
      <c r="BG318" s="369"/>
      <c r="BH318" s="369"/>
      <c r="BI318" s="369"/>
      <c r="BJ318" s="369"/>
      <c r="BK318" s="369"/>
      <c r="BL318" s="369"/>
      <c r="BM318" s="369"/>
      <c r="BN318" s="369"/>
      <c r="BO318" s="369"/>
      <c r="BP318" s="369"/>
      <c r="BQ318" s="369"/>
      <c r="BR318" s="369"/>
      <c r="BS318" s="369"/>
      <c r="BT318" s="369"/>
      <c r="BU318" s="369"/>
      <c r="BY318" s="367"/>
      <c r="BZ318" s="368"/>
      <c r="CA318" s="368"/>
      <c r="CB318" s="368"/>
      <c r="CC318" s="368"/>
      <c r="CD318" s="368"/>
      <c r="CE318" s="368"/>
      <c r="CF318" s="368"/>
      <c r="CG318" s="368"/>
      <c r="CH318" s="368"/>
      <c r="CI318" s="42"/>
      <c r="CJ318" s="42"/>
      <c r="CK318" s="42"/>
      <c r="CL318" s="42"/>
    </row>
    <row r="319" spans="53:90">
      <c r="BA319" s="369"/>
      <c r="BB319" s="369"/>
      <c r="BC319" s="369"/>
      <c r="BD319" s="369"/>
      <c r="BE319" s="369"/>
      <c r="BF319" s="369"/>
      <c r="BG319" s="369"/>
      <c r="BH319" s="369"/>
      <c r="BI319" s="369"/>
      <c r="BJ319" s="369"/>
      <c r="BK319" s="369"/>
      <c r="BL319" s="369"/>
      <c r="BM319" s="369"/>
      <c r="BN319" s="369"/>
      <c r="BO319" s="369"/>
      <c r="BP319" s="369"/>
      <c r="BQ319" s="369"/>
      <c r="BR319" s="369"/>
      <c r="BS319" s="369"/>
      <c r="BT319" s="369"/>
      <c r="BU319" s="369"/>
      <c r="BY319" s="367"/>
      <c r="BZ319" s="368"/>
      <c r="CA319" s="368"/>
      <c r="CB319" s="368"/>
      <c r="CC319" s="368"/>
      <c r="CD319" s="368"/>
      <c r="CE319" s="368"/>
      <c r="CF319" s="368"/>
      <c r="CG319" s="368"/>
      <c r="CH319" s="368"/>
      <c r="CI319" s="42"/>
      <c r="CJ319" s="42"/>
      <c r="CK319" s="42"/>
      <c r="CL319" s="42"/>
    </row>
    <row r="320" spans="53:90">
      <c r="BA320" s="369"/>
      <c r="BB320" s="369"/>
      <c r="BC320" s="369"/>
      <c r="BD320" s="369"/>
      <c r="BE320" s="369"/>
      <c r="BF320" s="369"/>
      <c r="BG320" s="369"/>
      <c r="BH320" s="369"/>
      <c r="BI320" s="369"/>
      <c r="BJ320" s="369"/>
      <c r="BK320" s="369"/>
      <c r="BL320" s="369"/>
      <c r="BM320" s="369"/>
      <c r="BN320" s="369"/>
      <c r="BO320" s="369"/>
      <c r="BP320" s="369"/>
      <c r="BQ320" s="369"/>
      <c r="BR320" s="369"/>
      <c r="BS320" s="369"/>
      <c r="BT320" s="369"/>
      <c r="BU320" s="369"/>
      <c r="BY320" s="367"/>
      <c r="BZ320" s="368"/>
      <c r="CA320" s="368"/>
      <c r="CB320" s="368"/>
      <c r="CC320" s="368"/>
      <c r="CD320" s="368"/>
      <c r="CE320" s="368"/>
      <c r="CF320" s="368"/>
      <c r="CG320" s="368"/>
      <c r="CH320" s="368"/>
      <c r="CI320" s="42"/>
      <c r="CJ320" s="42"/>
      <c r="CK320" s="42"/>
      <c r="CL320" s="42"/>
    </row>
    <row r="321" spans="53:90">
      <c r="BA321" s="369"/>
      <c r="BB321" s="369"/>
      <c r="BC321" s="369"/>
      <c r="BD321" s="369"/>
      <c r="BE321" s="369"/>
      <c r="BF321" s="369"/>
      <c r="BG321" s="369"/>
      <c r="BH321" s="369"/>
      <c r="BI321" s="369"/>
      <c r="BJ321" s="369"/>
      <c r="BK321" s="369"/>
      <c r="BL321" s="369"/>
      <c r="BM321" s="369"/>
      <c r="BN321" s="369"/>
      <c r="BO321" s="369"/>
      <c r="BP321" s="369"/>
      <c r="BQ321" s="369"/>
      <c r="BR321" s="369"/>
      <c r="BS321" s="369"/>
      <c r="BT321" s="369"/>
      <c r="BU321" s="369"/>
      <c r="BY321" s="367"/>
      <c r="BZ321" s="368"/>
      <c r="CA321" s="368"/>
      <c r="CB321" s="368"/>
      <c r="CC321" s="368"/>
      <c r="CD321" s="368"/>
      <c r="CE321" s="368"/>
      <c r="CF321" s="368"/>
      <c r="CG321" s="368"/>
      <c r="CH321" s="368"/>
      <c r="CI321" s="42"/>
      <c r="CJ321" s="42"/>
      <c r="CK321" s="42"/>
      <c r="CL321" s="42"/>
    </row>
    <row r="322" spans="53:90">
      <c r="BA322" s="369"/>
      <c r="BB322" s="369"/>
      <c r="BC322" s="369"/>
      <c r="BD322" s="369"/>
      <c r="BE322" s="369"/>
      <c r="BF322" s="369"/>
      <c r="BG322" s="369"/>
      <c r="BH322" s="369"/>
      <c r="BI322" s="369"/>
      <c r="BJ322" s="369"/>
      <c r="BK322" s="369"/>
      <c r="BL322" s="369"/>
      <c r="BM322" s="369"/>
      <c r="BN322" s="369"/>
      <c r="BO322" s="369"/>
      <c r="BP322" s="369"/>
      <c r="BQ322" s="369"/>
      <c r="BR322" s="369"/>
      <c r="BS322" s="369"/>
      <c r="BT322" s="369"/>
      <c r="BU322" s="369"/>
      <c r="BY322" s="367"/>
      <c r="BZ322" s="368"/>
      <c r="CA322" s="368"/>
      <c r="CB322" s="368"/>
      <c r="CC322" s="368"/>
      <c r="CD322" s="368"/>
      <c r="CE322" s="368"/>
      <c r="CF322" s="368"/>
      <c r="CG322" s="368"/>
      <c r="CH322" s="368"/>
      <c r="CI322" s="42"/>
      <c r="CJ322" s="42"/>
      <c r="CK322" s="42"/>
      <c r="CL322" s="42"/>
    </row>
    <row r="323" spans="53:90">
      <c r="BA323" s="369"/>
      <c r="BB323" s="369"/>
      <c r="BC323" s="369"/>
      <c r="BD323" s="369"/>
      <c r="BE323" s="369"/>
      <c r="BF323" s="369"/>
      <c r="BG323" s="369"/>
      <c r="BH323" s="369"/>
      <c r="BI323" s="369"/>
      <c r="BJ323" s="369"/>
      <c r="BK323" s="369"/>
      <c r="BL323" s="369"/>
      <c r="BM323" s="369"/>
      <c r="BN323" s="369"/>
      <c r="BO323" s="369"/>
      <c r="BP323" s="369"/>
      <c r="BQ323" s="369"/>
      <c r="BR323" s="369"/>
      <c r="BS323" s="369"/>
      <c r="BT323" s="369"/>
      <c r="BU323" s="369"/>
      <c r="BY323" s="367"/>
      <c r="BZ323" s="368"/>
      <c r="CA323" s="368"/>
      <c r="CB323" s="368"/>
      <c r="CC323" s="368"/>
      <c r="CD323" s="368"/>
      <c r="CE323" s="368"/>
      <c r="CF323" s="368"/>
      <c r="CG323" s="368"/>
      <c r="CH323" s="368"/>
      <c r="CI323" s="42"/>
      <c r="CJ323" s="42"/>
      <c r="CK323" s="42"/>
      <c r="CL323" s="42"/>
    </row>
    <row r="324" spans="53:90">
      <c r="BA324" s="369"/>
      <c r="BB324" s="369"/>
      <c r="BC324" s="369"/>
      <c r="BD324" s="369"/>
      <c r="BE324" s="369"/>
      <c r="BF324" s="369"/>
      <c r="BG324" s="369"/>
      <c r="BH324" s="369"/>
      <c r="BI324" s="369"/>
      <c r="BJ324" s="369"/>
      <c r="BK324" s="369"/>
      <c r="BL324" s="369"/>
      <c r="BM324" s="369"/>
      <c r="BN324" s="369"/>
      <c r="BO324" s="369"/>
      <c r="BP324" s="369"/>
      <c r="BQ324" s="369"/>
      <c r="BR324" s="369"/>
      <c r="BS324" s="369"/>
      <c r="BT324" s="369"/>
      <c r="BU324" s="369"/>
      <c r="BY324" s="367"/>
      <c r="BZ324" s="368"/>
      <c r="CA324" s="368"/>
      <c r="CB324" s="368"/>
      <c r="CC324" s="368"/>
      <c r="CD324" s="368"/>
      <c r="CE324" s="368"/>
      <c r="CF324" s="368"/>
      <c r="CG324" s="368"/>
      <c r="CH324" s="368"/>
      <c r="CI324" s="42"/>
      <c r="CJ324" s="42"/>
      <c r="CK324" s="42"/>
      <c r="CL324" s="42"/>
    </row>
    <row r="325" spans="53:90">
      <c r="BA325" s="369"/>
      <c r="BB325" s="369"/>
      <c r="BC325" s="369"/>
      <c r="BD325" s="369"/>
      <c r="BE325" s="369"/>
      <c r="BF325" s="369"/>
      <c r="BG325" s="369"/>
      <c r="BH325" s="369"/>
      <c r="BI325" s="369"/>
      <c r="BJ325" s="369"/>
      <c r="BK325" s="369"/>
      <c r="BL325" s="369"/>
      <c r="BM325" s="369"/>
      <c r="BN325" s="369"/>
      <c r="BO325" s="369"/>
      <c r="BP325" s="369"/>
      <c r="BQ325" s="369"/>
      <c r="BR325" s="369"/>
      <c r="BS325" s="369"/>
      <c r="BT325" s="369"/>
      <c r="BU325" s="369"/>
      <c r="BY325" s="367"/>
      <c r="BZ325" s="368"/>
      <c r="CA325" s="368"/>
      <c r="CB325" s="368"/>
      <c r="CC325" s="368"/>
      <c r="CD325" s="368"/>
      <c r="CE325" s="368"/>
      <c r="CF325" s="368"/>
      <c r="CG325" s="368"/>
      <c r="CH325" s="368"/>
      <c r="CI325" s="42"/>
      <c r="CJ325" s="42"/>
      <c r="CK325" s="42"/>
      <c r="CL325" s="42"/>
    </row>
    <row r="326" spans="53:90">
      <c r="BA326" s="369"/>
      <c r="BB326" s="369"/>
      <c r="BC326" s="369"/>
      <c r="BD326" s="369"/>
      <c r="BE326" s="369"/>
      <c r="BF326" s="369"/>
      <c r="BG326" s="369"/>
      <c r="BH326" s="369"/>
      <c r="BI326" s="369"/>
      <c r="BJ326" s="369"/>
      <c r="BK326" s="369"/>
      <c r="BL326" s="369"/>
      <c r="BM326" s="369"/>
      <c r="BN326" s="369"/>
      <c r="BO326" s="369"/>
      <c r="BP326" s="369"/>
      <c r="BQ326" s="369"/>
      <c r="BR326" s="369"/>
      <c r="BS326" s="369"/>
      <c r="BT326" s="369"/>
      <c r="BU326" s="369"/>
      <c r="BY326" s="367"/>
      <c r="BZ326" s="368"/>
      <c r="CA326" s="368"/>
      <c r="CB326" s="368"/>
      <c r="CC326" s="368"/>
      <c r="CD326" s="368"/>
      <c r="CE326" s="368"/>
      <c r="CF326" s="368"/>
      <c r="CG326" s="368"/>
      <c r="CH326" s="368"/>
      <c r="CI326" s="42"/>
      <c r="CJ326" s="42"/>
      <c r="CK326" s="42"/>
      <c r="CL326" s="42"/>
    </row>
    <row r="327" spans="53:90">
      <c r="BA327" s="369"/>
      <c r="BB327" s="369"/>
      <c r="BC327" s="369"/>
      <c r="BD327" s="369"/>
      <c r="BE327" s="369"/>
      <c r="BF327" s="369"/>
      <c r="BG327" s="369"/>
      <c r="BH327" s="369"/>
      <c r="BI327" s="369"/>
      <c r="BJ327" s="369"/>
      <c r="BK327" s="369"/>
      <c r="BL327" s="369"/>
      <c r="BM327" s="369"/>
      <c r="BN327" s="369"/>
      <c r="BO327" s="369"/>
      <c r="BP327" s="369"/>
      <c r="BQ327" s="369"/>
      <c r="BR327" s="369"/>
      <c r="BS327" s="369"/>
      <c r="BT327" s="369"/>
      <c r="BU327" s="369"/>
      <c r="BY327" s="367"/>
      <c r="BZ327" s="368"/>
      <c r="CA327" s="368"/>
      <c r="CB327" s="368"/>
      <c r="CC327" s="368"/>
      <c r="CD327" s="368"/>
      <c r="CE327" s="368"/>
      <c r="CF327" s="368"/>
      <c r="CG327" s="368"/>
      <c r="CH327" s="368"/>
      <c r="CI327" s="42"/>
      <c r="CJ327" s="42"/>
      <c r="CK327" s="42"/>
      <c r="CL327" s="42"/>
    </row>
    <row r="328" spans="53:90">
      <c r="BA328" s="369"/>
      <c r="BB328" s="369"/>
      <c r="BC328" s="369"/>
      <c r="BD328" s="369"/>
      <c r="BE328" s="369"/>
      <c r="BF328" s="369"/>
      <c r="BG328" s="369"/>
      <c r="BH328" s="369"/>
      <c r="BI328" s="369"/>
      <c r="BJ328" s="369"/>
      <c r="BK328" s="369"/>
      <c r="BL328" s="369"/>
      <c r="BM328" s="369"/>
      <c r="BN328" s="369"/>
      <c r="BO328" s="369"/>
      <c r="BP328" s="369"/>
      <c r="BQ328" s="369"/>
      <c r="BR328" s="369"/>
      <c r="BS328" s="369"/>
      <c r="BT328" s="369"/>
      <c r="BU328" s="369"/>
      <c r="BY328" s="367"/>
      <c r="BZ328" s="368"/>
      <c r="CA328" s="368"/>
      <c r="CB328" s="368"/>
      <c r="CC328" s="368"/>
      <c r="CD328" s="368"/>
      <c r="CE328" s="368"/>
      <c r="CF328" s="368"/>
      <c r="CG328" s="368"/>
      <c r="CH328" s="368"/>
      <c r="CI328" s="42"/>
      <c r="CJ328" s="42"/>
      <c r="CK328" s="42"/>
      <c r="CL328" s="42"/>
    </row>
    <row r="329" spans="53:90">
      <c r="BA329" s="369"/>
      <c r="BB329" s="369"/>
      <c r="BC329" s="369"/>
      <c r="BD329" s="369"/>
      <c r="BE329" s="369"/>
      <c r="BF329" s="369"/>
      <c r="BG329" s="369"/>
      <c r="BH329" s="369"/>
      <c r="BI329" s="369"/>
      <c r="BJ329" s="369"/>
      <c r="BK329" s="369"/>
      <c r="BL329" s="369"/>
      <c r="BM329" s="369"/>
      <c r="BN329" s="369"/>
      <c r="BO329" s="369"/>
      <c r="BP329" s="369"/>
      <c r="BQ329" s="369"/>
      <c r="BR329" s="369"/>
      <c r="BS329" s="369"/>
      <c r="BT329" s="369"/>
      <c r="BU329" s="369"/>
      <c r="BY329" s="367"/>
      <c r="BZ329" s="368"/>
      <c r="CA329" s="368"/>
      <c r="CB329" s="368"/>
      <c r="CC329" s="368"/>
      <c r="CD329" s="368"/>
      <c r="CE329" s="368"/>
      <c r="CF329" s="368"/>
      <c r="CG329" s="368"/>
      <c r="CH329" s="368"/>
      <c r="CI329" s="42"/>
      <c r="CJ329" s="42"/>
      <c r="CK329" s="42"/>
      <c r="CL329" s="42"/>
    </row>
    <row r="330" spans="53:90">
      <c r="BA330" s="369"/>
      <c r="BB330" s="369"/>
      <c r="BC330" s="369"/>
      <c r="BD330" s="369"/>
      <c r="BE330" s="369"/>
      <c r="BF330" s="369"/>
      <c r="BG330" s="369"/>
      <c r="BH330" s="369"/>
      <c r="BI330" s="369"/>
      <c r="BJ330" s="369"/>
      <c r="BK330" s="369"/>
      <c r="BL330" s="369"/>
      <c r="BM330" s="369"/>
      <c r="BN330" s="369"/>
      <c r="BO330" s="369"/>
      <c r="BP330" s="369"/>
      <c r="BQ330" s="369"/>
      <c r="BR330" s="369"/>
      <c r="BS330" s="369"/>
      <c r="BT330" s="369"/>
      <c r="BU330" s="369"/>
      <c r="BY330" s="367"/>
      <c r="BZ330" s="368"/>
      <c r="CA330" s="368"/>
      <c r="CB330" s="368"/>
      <c r="CC330" s="368"/>
      <c r="CD330" s="368"/>
      <c r="CE330" s="368"/>
      <c r="CF330" s="368"/>
      <c r="CG330" s="368"/>
      <c r="CH330" s="368"/>
      <c r="CI330" s="42"/>
      <c r="CJ330" s="42"/>
      <c r="CK330" s="42"/>
      <c r="CL330" s="42"/>
    </row>
    <row r="331" spans="53:90">
      <c r="BA331" s="369"/>
      <c r="BB331" s="369"/>
      <c r="BC331" s="369"/>
      <c r="BD331" s="369"/>
      <c r="BE331" s="369"/>
      <c r="BF331" s="369"/>
      <c r="BG331" s="369"/>
      <c r="BH331" s="369"/>
      <c r="BI331" s="369"/>
      <c r="BJ331" s="369"/>
      <c r="BK331" s="369"/>
      <c r="BL331" s="369"/>
      <c r="BM331" s="369"/>
      <c r="BN331" s="369"/>
      <c r="BO331" s="369"/>
      <c r="BP331" s="369"/>
      <c r="BQ331" s="369"/>
      <c r="BR331" s="369"/>
      <c r="BS331" s="369"/>
      <c r="BT331" s="369"/>
      <c r="BU331" s="369"/>
      <c r="BY331" s="367"/>
      <c r="BZ331" s="368"/>
      <c r="CA331" s="368"/>
      <c r="CB331" s="368"/>
      <c r="CC331" s="368"/>
      <c r="CD331" s="368"/>
      <c r="CE331" s="368"/>
      <c r="CF331" s="368"/>
      <c r="CG331" s="368"/>
      <c r="CH331" s="368"/>
      <c r="CI331" s="42"/>
      <c r="CJ331" s="42"/>
      <c r="CK331" s="42"/>
      <c r="CL331" s="42"/>
    </row>
    <row r="332" spans="53:90">
      <c r="BA332" s="369"/>
      <c r="BB332" s="369"/>
      <c r="BC332" s="369"/>
      <c r="BD332" s="369"/>
      <c r="BE332" s="369"/>
      <c r="BF332" s="369"/>
      <c r="BG332" s="369"/>
      <c r="BH332" s="369"/>
      <c r="BI332" s="369"/>
      <c r="BJ332" s="369"/>
      <c r="BK332" s="369"/>
      <c r="BL332" s="369"/>
      <c r="BM332" s="369"/>
      <c r="BN332" s="369"/>
      <c r="BO332" s="369"/>
      <c r="BP332" s="369"/>
      <c r="BQ332" s="369"/>
      <c r="BR332" s="369"/>
      <c r="BS332" s="369"/>
      <c r="BT332" s="369"/>
      <c r="BU332" s="369"/>
      <c r="BY332" s="367"/>
      <c r="BZ332" s="368"/>
      <c r="CA332" s="368"/>
      <c r="CB332" s="368"/>
      <c r="CC332" s="368"/>
      <c r="CD332" s="368"/>
      <c r="CE332" s="368"/>
      <c r="CF332" s="368"/>
      <c r="CG332" s="368"/>
      <c r="CH332" s="368"/>
      <c r="CI332" s="42"/>
      <c r="CJ332" s="42"/>
      <c r="CK332" s="42"/>
      <c r="CL332" s="42"/>
    </row>
    <row r="333" spans="53:90">
      <c r="BA333" s="369"/>
      <c r="BB333" s="369"/>
      <c r="BC333" s="369"/>
      <c r="BD333" s="369"/>
      <c r="BE333" s="369"/>
      <c r="BF333" s="369"/>
      <c r="BG333" s="369"/>
      <c r="BH333" s="369"/>
      <c r="BI333" s="369"/>
      <c r="BJ333" s="369"/>
      <c r="BK333" s="369"/>
      <c r="BL333" s="369"/>
      <c r="BM333" s="369"/>
      <c r="BN333" s="369"/>
      <c r="BO333" s="369"/>
      <c r="BP333" s="369"/>
      <c r="BQ333" s="369"/>
      <c r="BR333" s="369"/>
      <c r="BS333" s="369"/>
      <c r="BT333" s="369"/>
      <c r="BU333" s="369"/>
      <c r="BY333" s="367"/>
      <c r="BZ333" s="368"/>
      <c r="CA333" s="368"/>
      <c r="CB333" s="368"/>
      <c r="CC333" s="368"/>
      <c r="CD333" s="368"/>
      <c r="CE333" s="368"/>
      <c r="CF333" s="368"/>
      <c r="CG333" s="368"/>
      <c r="CH333" s="368"/>
      <c r="CI333" s="42"/>
      <c r="CJ333" s="42"/>
      <c r="CK333" s="42"/>
      <c r="CL333" s="42"/>
    </row>
    <row r="334" spans="53:90">
      <c r="BA334" s="369"/>
      <c r="BB334" s="369"/>
      <c r="BC334" s="369"/>
      <c r="BD334" s="369"/>
      <c r="BE334" s="369"/>
      <c r="BF334" s="369"/>
      <c r="BG334" s="369"/>
      <c r="BH334" s="369"/>
      <c r="BI334" s="369"/>
      <c r="BJ334" s="369"/>
      <c r="BK334" s="369"/>
      <c r="BL334" s="369"/>
      <c r="BM334" s="369"/>
      <c r="BN334" s="369"/>
      <c r="BO334" s="369"/>
      <c r="BP334" s="369"/>
      <c r="BQ334" s="369"/>
      <c r="BR334" s="369"/>
      <c r="BS334" s="369"/>
      <c r="BT334" s="369"/>
      <c r="BU334" s="369"/>
      <c r="BY334" s="367"/>
      <c r="BZ334" s="368"/>
      <c r="CA334" s="368"/>
      <c r="CB334" s="368"/>
      <c r="CC334" s="368"/>
      <c r="CD334" s="368"/>
      <c r="CE334" s="368"/>
      <c r="CF334" s="368"/>
      <c r="CG334" s="368"/>
      <c r="CH334" s="368"/>
      <c r="CI334" s="42"/>
      <c r="CJ334" s="42"/>
      <c r="CK334" s="42"/>
      <c r="CL334" s="42"/>
    </row>
    <row r="335" spans="53:90">
      <c r="BY335" s="367"/>
      <c r="BZ335" s="368"/>
      <c r="CA335" s="368"/>
      <c r="CB335" s="368"/>
      <c r="CC335" s="368"/>
      <c r="CD335" s="368"/>
      <c r="CE335" s="368"/>
      <c r="CF335" s="368"/>
      <c r="CG335" s="368"/>
      <c r="CH335" s="368"/>
      <c r="CI335" s="42"/>
      <c r="CJ335" s="42"/>
      <c r="CK335" s="42"/>
      <c r="CL335" s="42"/>
    </row>
    <row r="336" spans="53:90">
      <c r="BY336" s="367"/>
      <c r="BZ336" s="368"/>
      <c r="CA336" s="368"/>
      <c r="CB336" s="368"/>
      <c r="CC336" s="368"/>
      <c r="CD336" s="368"/>
      <c r="CE336" s="368"/>
      <c r="CF336" s="368"/>
      <c r="CG336" s="368"/>
      <c r="CH336" s="368"/>
      <c r="CI336" s="42"/>
      <c r="CJ336" s="42"/>
      <c r="CK336" s="42"/>
      <c r="CL336" s="42"/>
    </row>
    <row r="337" spans="77:90">
      <c r="BY337" s="367"/>
      <c r="BZ337" s="368"/>
      <c r="CA337" s="368"/>
      <c r="CB337" s="368"/>
      <c r="CC337" s="368"/>
      <c r="CD337" s="368"/>
      <c r="CE337" s="368"/>
      <c r="CF337" s="368"/>
      <c r="CG337" s="368"/>
      <c r="CH337" s="368"/>
      <c r="CI337" s="42"/>
      <c r="CJ337" s="42"/>
      <c r="CK337" s="42"/>
      <c r="CL337" s="42"/>
    </row>
    <row r="338" spans="77:90">
      <c r="BY338" s="367"/>
      <c r="BZ338" s="368"/>
      <c r="CA338" s="368"/>
      <c r="CB338" s="368"/>
      <c r="CC338" s="368"/>
      <c r="CD338" s="368"/>
      <c r="CE338" s="368"/>
      <c r="CF338" s="368"/>
      <c r="CG338" s="368"/>
      <c r="CH338" s="368"/>
      <c r="CI338" s="42"/>
      <c r="CJ338" s="42"/>
      <c r="CK338" s="42"/>
      <c r="CL338" s="42"/>
    </row>
    <row r="339" spans="77:90">
      <c r="BY339" s="367"/>
    </row>
    <row r="340" spans="77:90">
      <c r="BY340" s="367"/>
    </row>
    <row r="341" spans="77:90">
      <c r="BY341" s="367"/>
    </row>
    <row r="342" spans="77:90">
      <c r="BY342" s="367"/>
    </row>
    <row r="343" spans="77:90">
      <c r="BY343" s="367"/>
    </row>
    <row r="344" spans="77:90">
      <c r="BY344" s="367"/>
    </row>
  </sheetData>
  <sheetProtection formatCells="0" formatColumns="0" formatRows="0" insertColumns="0" insertRows="0" deleteColumns="0" deleteRows="0"/>
  <autoFilter ref="A2:CL231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31">
    <cfRule type="expression" dxfId="27" priority="44">
      <formula>D3="A"</formula>
    </cfRule>
    <cfRule type="expression" dxfId="26" priority="43">
      <formula>D3="S"</formula>
    </cfRule>
    <cfRule type="expression" dxfId="25" priority="47">
      <formula>D3="D"</formula>
    </cfRule>
    <cfRule type="expression" dxfId="24" priority="46">
      <formula>D3="C"</formula>
    </cfRule>
    <cfRule type="expression" dxfId="23" priority="45">
      <formula>D3="B"</formula>
    </cfRule>
  </conditionalFormatting>
  <conditionalFormatting sqref="E3:E231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5 L56:N56 H57:N73 M74:N75 H76:N101 M102:N102 H103:N103 M104:N104 H105:N135 H136:J136 L136:N136 H137:N138 L139:N139 H140:N231">
    <cfRule type="expression" dxfId="18" priority="101">
      <formula>(LEN($E3)-LEN(SUBSTITUTE($E3,"★","")))=4</formula>
    </cfRule>
    <cfRule type="expression" dxfId="17" priority="102">
      <formula>(LEN($E3)-LEN(SUBSTITUTE($E3,"★","")))=3</formula>
    </cfRule>
    <cfRule type="expression" dxfId="16" priority="100">
      <formula>(LEN($E3)-LEN(SUBSTITUTE($E3,"★","")))&gt;4</formula>
    </cfRule>
  </conditionalFormatting>
  <conditionalFormatting sqref="P3:P23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3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3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3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3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31">
    <cfRule type="expression" dxfId="15" priority="42">
      <formula>(LEN(E3)-LEN(SUBSTITUTE(E3,"★","")))&lt;=4</formula>
    </cfRule>
    <cfRule type="expression" dxfId="14" priority="41">
      <formula>(LEN(E3)-LEN(SUBSTITUTE(E3,"★","")))&gt;4</formula>
    </cfRule>
  </conditionalFormatting>
  <conditionalFormatting sqref="Y3:Y231">
    <cfRule type="expression" dxfId="13" priority="40">
      <formula>(LEN(E3)-LEN(SUBSTITUTE(E3,"★","")))&lt;=3</formula>
    </cfRule>
    <cfRule type="expression" dxfId="12" priority="39">
      <formula>(LEN(E3)-LEN(SUBSTITUTE(E3,"★","")))&gt;3</formula>
    </cfRule>
  </conditionalFormatting>
  <conditionalFormatting sqref="AA3:AA231">
    <cfRule type="expression" dxfId="11" priority="38">
      <formula>(LEN(E3)-LEN(SUBSTITUTE(E3,"★","")))&lt;=4</formula>
    </cfRule>
    <cfRule type="expression" dxfId="10" priority="37">
      <formula>(LEN(E3)-LEN(SUBSTITUTE(E3,"★","")))&gt;4</formula>
    </cfRule>
  </conditionalFormatting>
  <conditionalFormatting sqref="AB3:AB231">
    <cfRule type="expression" dxfId="9" priority="36">
      <formula>(LEN(E3)-LEN(SUBSTITUTE(E3,"★","")))&lt;=3</formula>
    </cfRule>
    <cfRule type="expression" dxfId="8" priority="35">
      <formula>(LEN(E3)-LEN(SUBSTITUTE(E3,"★","")))&gt;3</formula>
    </cfRule>
  </conditionalFormatting>
  <conditionalFormatting sqref="AC3:AC231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31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31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31">
    <cfRule type="expression" dxfId="1" priority="28">
      <formula>(LEN(E3)-LEN(SUBSTITUTE(E3,"★","")))&gt;4</formula>
    </cfRule>
  </conditionalFormatting>
  <conditionalFormatting sqref="AG3:AG231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P3:P231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Q3:Q231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R3:R231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S3:S231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341">
        <f>全车数据表!P27</f>
        <v>285.3</v>
      </c>
      <c r="D15" s="341">
        <f>全车数据表!Q27</f>
        <v>82.09</v>
      </c>
      <c r="E15" s="341">
        <f>全车数据表!R27</f>
        <v>68.41</v>
      </c>
      <c r="F15" s="341">
        <f>全车数据表!S27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341">
        <f>全车数据表!P28</f>
        <v>279.2</v>
      </c>
      <c r="D16" s="341">
        <f>全车数据表!Q28</f>
        <v>83.74</v>
      </c>
      <c r="E16" s="341">
        <f>全车数据表!R28</f>
        <v>75.77</v>
      </c>
      <c r="F16" s="341">
        <f>全车数据表!S28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341">
        <f>全车数据表!P29</f>
        <v>338.7</v>
      </c>
      <c r="D17" s="341">
        <f>全车数据表!Q29</f>
        <v>69.28</v>
      </c>
      <c r="E17" s="341">
        <f>全车数据表!R29</f>
        <v>47.31</v>
      </c>
      <c r="F17" s="341">
        <f>全车数据表!S29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341">
        <f>全车数据表!P30</f>
        <v>300.8</v>
      </c>
      <c r="D18" s="341">
        <f>全车数据表!Q30</f>
        <v>74.739999999999995</v>
      </c>
      <c r="E18" s="341">
        <f>全车数据表!R30</f>
        <v>72.52</v>
      </c>
      <c r="F18" s="341">
        <f>全车数据表!S30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341">
        <f>全车数据表!P31</f>
        <v>305.5</v>
      </c>
      <c r="D19" s="341">
        <f>全车数据表!Q31</f>
        <v>80.95</v>
      </c>
      <c r="E19" s="341">
        <f>全车数据表!R31</f>
        <v>57.23</v>
      </c>
      <c r="F19" s="341">
        <f>全车数据表!S31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全车数据表!A32</f>
        <v>30</v>
      </c>
      <c r="B20" t="str">
        <f>全车数据表!B32</f>
        <v>Chevrolet Corvette C7.R🔑</v>
      </c>
      <c r="C20" s="341">
        <f>全车数据表!P32</f>
        <v>307.60000000000002</v>
      </c>
      <c r="D20" s="341">
        <f>全车数据表!Q32</f>
        <v>80.48</v>
      </c>
      <c r="E20" s="341">
        <f>全车数据表!R32</f>
        <v>47.08</v>
      </c>
      <c r="F20" s="341">
        <f>全车数据表!S32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全车数据表!A37</f>
        <v>35</v>
      </c>
      <c r="B21" t="str">
        <f>全车数据表!B37</f>
        <v>Dodge Challenger SRT8</v>
      </c>
      <c r="C21" s="341">
        <f>全车数据表!P37</f>
        <v>308.60000000000002</v>
      </c>
      <c r="D21" s="341">
        <f>全车数据表!Q37</f>
        <v>71.92</v>
      </c>
      <c r="E21" s="341">
        <f>全车数据表!R37</f>
        <v>39.840000000000003</v>
      </c>
      <c r="F21" s="341">
        <f>全车数据表!S37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全车数据表!A38</f>
        <v>36</v>
      </c>
      <c r="B22" t="str">
        <f>全车数据表!B38</f>
        <v>BMW 3.0 CSL hommage</v>
      </c>
      <c r="C22" s="341">
        <f>全车数据表!P38</f>
        <v>297.39999999999998</v>
      </c>
      <c r="D22" s="341">
        <f>全车数据表!Q38</f>
        <v>73.39</v>
      </c>
      <c r="E22" s="341">
        <f>全车数据表!R38</f>
        <v>50.08</v>
      </c>
      <c r="F22" s="341">
        <f>全车数据表!S38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全车数据表!A40</f>
        <v>38</v>
      </c>
      <c r="B23" t="str">
        <f>全车数据表!B40</f>
        <v>Chevrolet Camaro ZL1 50TH Edition</v>
      </c>
      <c r="C23" s="341">
        <f>全车数据表!P40</f>
        <v>271</v>
      </c>
      <c r="D23" s="341">
        <f>全车数据表!Q40</f>
        <v>78.14</v>
      </c>
      <c r="E23" s="341">
        <f>全车数据表!R40</f>
        <v>83.14</v>
      </c>
      <c r="F23" s="341">
        <f>全车数据表!S40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全车数据表!A41</f>
        <v>39</v>
      </c>
      <c r="B24" t="str">
        <f>全车数据表!B41</f>
        <v>Lotus Evora Sport 410</v>
      </c>
      <c r="C24" s="341">
        <f>全车数据表!P41</f>
        <v>317.7</v>
      </c>
      <c r="D24" s="341">
        <f>全车数据表!Q41</f>
        <v>71.7</v>
      </c>
      <c r="E24" s="341">
        <f>全车数据表!R41</f>
        <v>50.93</v>
      </c>
      <c r="F24" s="341">
        <f>全车数据表!S41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全车数据表!A42</f>
        <v>40</v>
      </c>
      <c r="B25" t="str">
        <f>全车数据表!B42</f>
        <v>Mercedes-Benz AMG GT S</v>
      </c>
      <c r="C25" s="341">
        <f>全车数据表!P42</f>
        <v>329.4</v>
      </c>
      <c r="D25" s="341">
        <f>全车数据表!Q42</f>
        <v>71.34</v>
      </c>
      <c r="E25" s="341">
        <f>全车数据表!R42</f>
        <v>42.69</v>
      </c>
      <c r="F25" s="341">
        <f>全车数据表!S42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全车数据表!A43</f>
        <v>41</v>
      </c>
      <c r="B26" t="str">
        <f>全车数据表!B43</f>
        <v>BMW M4 GTS</v>
      </c>
      <c r="C26" s="341">
        <f>全车数据表!P43</f>
        <v>326.5</v>
      </c>
      <c r="D26" s="341">
        <f>全车数据表!Q43</f>
        <v>73.72</v>
      </c>
      <c r="E26" s="341">
        <f>全车数据表!R43</f>
        <v>51.19</v>
      </c>
      <c r="F26" s="341">
        <f>全车数据表!S43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全车数据表!A44</f>
        <v>42</v>
      </c>
      <c r="B27" t="str">
        <f>全车数据表!B44</f>
        <v>Rezvani Beast X</v>
      </c>
      <c r="C27" s="341">
        <f>全车数据表!P44</f>
        <v>299.5</v>
      </c>
      <c r="D27" s="341">
        <f>全车数据表!Q44</f>
        <v>84.62</v>
      </c>
      <c r="E27" s="341">
        <f>全车数据表!R44</f>
        <v>69.2</v>
      </c>
      <c r="F27" s="341">
        <f>全车数据表!S44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全车数据表!A47</f>
        <v>45</v>
      </c>
      <c r="B28" t="str">
        <f>全车数据表!B47</f>
        <v>Dodge Viper ACR</v>
      </c>
      <c r="C28" s="341">
        <f>全车数据表!P47</f>
        <v>303.89999999999998</v>
      </c>
      <c r="D28" s="341">
        <f>全车数据表!Q47</f>
        <v>77.319999999999993</v>
      </c>
      <c r="E28" s="341">
        <f>全车数据表!R47</f>
        <v>86.2</v>
      </c>
      <c r="F28" s="341">
        <f>全车数据表!S47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全车数据表!A49</f>
        <v>47</v>
      </c>
      <c r="B29" t="str">
        <f>全车数据表!B49</f>
        <v>Ford Shelby GR-1</v>
      </c>
      <c r="C29" s="341">
        <f>全车数据表!P49</f>
        <v>321.7</v>
      </c>
      <c r="D29" s="341">
        <f>全车数据表!Q49</f>
        <v>75.319999999999993</v>
      </c>
      <c r="E29" s="341">
        <f>全车数据表!R49</f>
        <v>69.599999999999994</v>
      </c>
      <c r="F29" s="341">
        <f>全车数据表!S49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全车数据表!A50</f>
        <v>48</v>
      </c>
      <c r="B30" t="str">
        <f>全车数据表!B50</f>
        <v>Pininfarina H2 Speed</v>
      </c>
      <c r="C30" s="341">
        <f>全车数据表!P50</f>
        <v>317.89999999999998</v>
      </c>
      <c r="D30" s="341">
        <f>全车数据表!Q50</f>
        <v>78.22</v>
      </c>
      <c r="E30" s="341">
        <f>全车数据表!R50</f>
        <v>86.5</v>
      </c>
      <c r="F30" s="341">
        <f>全车数据表!S50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全车数据表!A51</f>
        <v>49</v>
      </c>
      <c r="B31" t="str">
        <f>全车数据表!B51</f>
        <v>Artega Scalo SuperErelletra</v>
      </c>
      <c r="C31" s="341">
        <f>全车数据表!P51</f>
        <v>316.3</v>
      </c>
      <c r="D31" s="341">
        <f>全车数据表!Q51</f>
        <v>85.72</v>
      </c>
      <c r="E31" s="341">
        <f>全车数据表!R51</f>
        <v>57.94</v>
      </c>
      <c r="F31" s="341">
        <f>全车数据表!S51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全车数据表!A53</f>
        <v>51</v>
      </c>
      <c r="B32" t="str">
        <f>全车数据表!B53</f>
        <v>Acura 2017 NSX</v>
      </c>
      <c r="C32" s="341">
        <f>全车数据表!P53</f>
        <v>323.5</v>
      </c>
      <c r="D32" s="341">
        <f>全车数据表!Q53</f>
        <v>84.32</v>
      </c>
      <c r="E32" s="341">
        <f>全车数据表!R53</f>
        <v>63.02</v>
      </c>
      <c r="F32" s="341">
        <f>全车数据表!S53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全车数据表!A54</f>
        <v>52</v>
      </c>
      <c r="B33" t="str">
        <f>全车数据表!B54</f>
        <v>Maserati Alfieri</v>
      </c>
      <c r="C33" s="341">
        <f>全车数据表!P54</f>
        <v>335.7</v>
      </c>
      <c r="D33" s="341">
        <f>全车数据表!Q54</f>
        <v>74.430000000000007</v>
      </c>
      <c r="E33" s="341">
        <f>全车数据表!R54</f>
        <v>41.38</v>
      </c>
      <c r="F33" s="341">
        <f>全车数据表!S54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全车数据表!A63</f>
        <v>61</v>
      </c>
      <c r="B34" t="str">
        <f>全车数据表!B63</f>
        <v>Vencer Sarthe</v>
      </c>
      <c r="C34" s="341">
        <f>全车数据表!P63</f>
        <v>350.5</v>
      </c>
      <c r="D34" s="341">
        <f>全车数据表!Q63</f>
        <v>74.12</v>
      </c>
      <c r="E34" s="341">
        <f>全车数据表!R63</f>
        <v>62.87</v>
      </c>
      <c r="F34" s="341">
        <f>全车数据表!S63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全车数据表!A59</f>
        <v>57</v>
      </c>
      <c r="B35" t="str">
        <f>全车数据表!B59</f>
        <v>Ferrari F40</v>
      </c>
      <c r="C35" s="341">
        <f>全车数据表!P59</f>
        <v>340.6</v>
      </c>
      <c r="D35" s="341">
        <f>全车数据表!Q59</f>
        <v>72.88</v>
      </c>
      <c r="E35" s="341">
        <f>全车数据表!R59</f>
        <v>69.319999999999993</v>
      </c>
      <c r="F35" s="341">
        <f>全车数据表!S59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全车数据表!A65</f>
        <v>63</v>
      </c>
      <c r="B36" t="str">
        <f>全车数据表!B65</f>
        <v>Bentley Mulliner Bacalar</v>
      </c>
      <c r="C36" s="341">
        <f>全车数据表!P65</f>
        <v>340.4</v>
      </c>
      <c r="D36" s="341">
        <f>全车数据表!Q65</f>
        <v>77.38</v>
      </c>
      <c r="E36" s="341">
        <f>全车数据表!R65</f>
        <v>67.260000000000005</v>
      </c>
      <c r="F36" s="341">
        <f>全车数据表!S65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全车数据表!A67</f>
        <v>65</v>
      </c>
      <c r="B37" t="str">
        <f>全车数据表!B67</f>
        <v>Porsche 718 Cayman GT4 ClubSport🔑</v>
      </c>
      <c r="C37" s="341">
        <f>全车数据表!P67</f>
        <v>323.60000000000002</v>
      </c>
      <c r="D37" s="341">
        <f>全车数据表!Q67</f>
        <v>73.44</v>
      </c>
      <c r="E37" s="341">
        <f>全车数据表!R67</f>
        <v>87.24</v>
      </c>
      <c r="F37" s="341">
        <f>全车数据表!S67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全车数据表!A68</f>
        <v>66</v>
      </c>
      <c r="B38" t="str">
        <f>全车数据表!B68</f>
        <v>Chevrolet Corvette Stingray</v>
      </c>
      <c r="C38" s="341">
        <f>全车数据表!P68</f>
        <v>327.7</v>
      </c>
      <c r="D38" s="341">
        <f>全车数据表!Q68</f>
        <v>81.56</v>
      </c>
      <c r="E38" s="341">
        <f>全车数据表!R68</f>
        <v>60.15</v>
      </c>
      <c r="F38" s="341">
        <f>全车数据表!S68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全车数据表!A70</f>
        <v>68</v>
      </c>
      <c r="B39" t="str">
        <f>全车数据表!B70</f>
        <v>Ferrari 599XX EVO🔑</v>
      </c>
      <c r="C39" s="341">
        <f>全车数据表!P70</f>
        <v>322</v>
      </c>
      <c r="D39" s="341">
        <f>全车数据表!Q70</f>
        <v>80.98</v>
      </c>
      <c r="E39" s="341">
        <f>全车数据表!R70</f>
        <v>83.65</v>
      </c>
      <c r="F39" s="341">
        <f>全车数据表!S70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全车数据表!A73</f>
        <v>71</v>
      </c>
      <c r="B40" t="str">
        <f>全车数据表!B73</f>
        <v>Arrinera Hussarya 33</v>
      </c>
      <c r="C40" s="341">
        <f>全车数据表!P73</f>
        <v>352.1</v>
      </c>
      <c r="D40" s="341">
        <f>全车数据表!Q73</f>
        <v>78.53</v>
      </c>
      <c r="E40" s="341">
        <f>全车数据表!R73</f>
        <v>59.47</v>
      </c>
      <c r="F40" s="341">
        <f>全车数据表!S73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全车数据表!A76</f>
        <v>74</v>
      </c>
      <c r="B41" t="str">
        <f>全车数据表!B76</f>
        <v>Lamborghini Gallardo LP 560-4</v>
      </c>
      <c r="C41" s="341">
        <f>全车数据表!P76</f>
        <v>340.7</v>
      </c>
      <c r="D41" s="341">
        <f>全车数据表!Q76</f>
        <v>76.56</v>
      </c>
      <c r="E41" s="341">
        <f>全车数据表!R76</f>
        <v>75.81</v>
      </c>
      <c r="F41" s="341">
        <f>全车数据表!S76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全车数据表!A79</f>
        <v>77</v>
      </c>
      <c r="B42" t="str">
        <f>全车数据表!B79</f>
        <v>Porsche 911 GTS Coupe</v>
      </c>
      <c r="C42" s="341">
        <f>全车数据表!P79</f>
        <v>328.8</v>
      </c>
      <c r="D42" s="341">
        <f>全车数据表!Q79</f>
        <v>71.209999999999994</v>
      </c>
      <c r="E42" s="341">
        <f>全车数据表!R79</f>
        <v>45.84</v>
      </c>
      <c r="F42" s="341">
        <f>全车数据表!S79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全车数据表!A80</f>
        <v>78</v>
      </c>
      <c r="B43" t="str">
        <f>全车数据表!B80</f>
        <v>Aston Martin DB11</v>
      </c>
      <c r="C43" s="341">
        <f>全车数据表!P80</f>
        <v>340.6</v>
      </c>
      <c r="D43" s="341">
        <f>全车数据表!Q80</f>
        <v>74.2</v>
      </c>
      <c r="E43" s="341">
        <f>全车数据表!R80</f>
        <v>43.21</v>
      </c>
      <c r="F43" s="341">
        <f>全车数据表!S80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全车数据表!A81</f>
        <v>79</v>
      </c>
      <c r="B44" t="str">
        <f>全车数据表!B81</f>
        <v>Jaguar F-type SVR</v>
      </c>
      <c r="C44" s="341">
        <f>全车数据表!P81</f>
        <v>341</v>
      </c>
      <c r="D44" s="341">
        <f>全车数据表!Q81</f>
        <v>75.55</v>
      </c>
      <c r="E44" s="341">
        <f>全车数据表!R81</f>
        <v>49.28</v>
      </c>
      <c r="F44" s="341">
        <f>全车数据表!S81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全车数据表!A83</f>
        <v>81</v>
      </c>
      <c r="B45" t="str">
        <f>全车数据表!B83</f>
        <v>Exotic Rides W70</v>
      </c>
      <c r="C45" s="341">
        <f>全车数据表!P83</f>
        <v>329.7</v>
      </c>
      <c r="D45" s="341">
        <f>全车数据表!Q83</f>
        <v>80.209999999999994</v>
      </c>
      <c r="E45" s="341">
        <f>全车数据表!R83</f>
        <v>45.2</v>
      </c>
      <c r="F45" s="341">
        <f>全车数据表!S83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全车数据表!A84</f>
        <v>82</v>
      </c>
      <c r="B46" t="str">
        <f>全车数据表!B84</f>
        <v>Porsche 911 GT1 Evolution</v>
      </c>
      <c r="C46" s="341">
        <f>全车数据表!P84</f>
        <v>329.8</v>
      </c>
      <c r="D46" s="341">
        <f>全车数据表!Q84</f>
        <v>75.150000000000006</v>
      </c>
      <c r="E46" s="341">
        <f>全车数据表!R84</f>
        <v>53.7</v>
      </c>
      <c r="F46" s="341">
        <f>全车数据表!S84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全车数据表!A85</f>
        <v>83</v>
      </c>
      <c r="B47" t="str">
        <f>全车数据表!B85</f>
        <v>Ford GT</v>
      </c>
      <c r="C47" s="341">
        <f>全车数据表!P85</f>
        <v>362.8</v>
      </c>
      <c r="D47" s="341">
        <f>全车数据表!Q85</f>
        <v>79.150000000000006</v>
      </c>
      <c r="E47" s="341">
        <f>全车数据表!R85</f>
        <v>34.36</v>
      </c>
      <c r="F47" s="341">
        <f>全车数据表!S85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全车数据表!A86</f>
        <v>84</v>
      </c>
      <c r="B48" t="str">
        <f>全车数据表!B86</f>
        <v>Lamborghini Asterion</v>
      </c>
      <c r="C48" s="341">
        <f>全车数据表!P86</f>
        <v>336.6</v>
      </c>
      <c r="D48" s="341">
        <f>全车数据表!Q86</f>
        <v>81.05</v>
      </c>
      <c r="E48" s="341">
        <f>全车数据表!R86</f>
        <v>45.56</v>
      </c>
      <c r="F48" s="341">
        <f>全车数据表!S86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全车数据表!A89</f>
        <v>87</v>
      </c>
      <c r="B49" t="str">
        <f>全车数据表!B89</f>
        <v>Cadillac Cien Concept</v>
      </c>
      <c r="C49" s="341">
        <f>全车数据表!P89</f>
        <v>368</v>
      </c>
      <c r="D49" s="341">
        <f>全车数据表!Q89</f>
        <v>76.55</v>
      </c>
      <c r="E49" s="341">
        <f>全车数据表!R89</f>
        <v>36.14</v>
      </c>
      <c r="F49" s="341">
        <f>全车数据表!S89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全车数据表!A91</f>
        <v>89</v>
      </c>
      <c r="B50" t="str">
        <f>全车数据表!B91</f>
        <v>Ford GT MKII🔑</v>
      </c>
      <c r="C50" s="341">
        <f>全车数据表!P91</f>
        <v>315.5</v>
      </c>
      <c r="D50" s="341">
        <f>全车数据表!Q91</f>
        <v>86.26</v>
      </c>
      <c r="E50" s="341">
        <f>全车数据表!R91</f>
        <v>79</v>
      </c>
      <c r="F50" s="341">
        <f>全车数据表!S91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全车数据表!A92</f>
        <v>90</v>
      </c>
      <c r="B51" t="str">
        <f>全车数据表!B92</f>
        <v>ItalDesign Zerouno</v>
      </c>
      <c r="C51" s="341">
        <f>全车数据表!P92</f>
        <v>341</v>
      </c>
      <c r="D51" s="341">
        <f>全车数据表!Q92</f>
        <v>79.25</v>
      </c>
      <c r="E51" s="341">
        <f>全车数据表!R92</f>
        <v>58.34</v>
      </c>
      <c r="F51" s="341">
        <f>全车数据表!S92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全车数据表!A95</f>
        <v>93</v>
      </c>
      <c r="B52" t="str">
        <f>全车数据表!B95</f>
        <v>Ferrari 488 GTB</v>
      </c>
      <c r="C52" s="341">
        <f>全车数据表!P95</f>
        <v>347.6</v>
      </c>
      <c r="D52" s="341">
        <f>全车数据表!Q95</f>
        <v>80.239999999999995</v>
      </c>
      <c r="E52" s="341">
        <f>全车数据表!R95</f>
        <v>48.38</v>
      </c>
      <c r="F52" s="341">
        <f>全车数据表!S95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全车数据表!A98</f>
        <v>96</v>
      </c>
      <c r="B53" t="str">
        <f>全车数据表!B98</f>
        <v>SCG 003S</v>
      </c>
      <c r="C53" s="341">
        <f>全车数据表!P98</f>
        <v>368.8</v>
      </c>
      <c r="D53" s="341">
        <f>全车数据表!Q98</f>
        <v>79.44</v>
      </c>
      <c r="E53" s="341">
        <f>全车数据表!R98</f>
        <v>38.58</v>
      </c>
      <c r="F53" s="341">
        <f>全车数据表!S98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全车数据表!A101</f>
        <v>99</v>
      </c>
      <c r="B54" t="str">
        <f>全车数据表!B101</f>
        <v>Ferrari F12tdf</v>
      </c>
      <c r="C54" s="341">
        <f>全车数据表!P101</f>
        <v>360.5</v>
      </c>
      <c r="D54" s="341">
        <f>全车数据表!Q101</f>
        <v>78.38</v>
      </c>
      <c r="E54" s="341">
        <f>全车数据表!R101</f>
        <v>40.130000000000003</v>
      </c>
      <c r="F54" s="341">
        <f>全车数据表!S101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全车数据表!A105</f>
        <v>103</v>
      </c>
      <c r="B55" t="str">
        <f>全车数据表!B105</f>
        <v>Chevrolet Corvette Grand Sport</v>
      </c>
      <c r="C55" s="341">
        <f>全车数据表!P105</f>
        <v>331.2</v>
      </c>
      <c r="D55" s="341">
        <f>全车数据表!Q105</f>
        <v>76.55</v>
      </c>
      <c r="E55" s="341">
        <f>全车数据表!R105</f>
        <v>92.99</v>
      </c>
      <c r="F55" s="341">
        <f>全车数据表!S105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全车数据表!A106</f>
        <v>104</v>
      </c>
      <c r="B56" t="str">
        <f>全车数据表!B106</f>
        <v>Apex AP-0</v>
      </c>
      <c r="C56" s="341">
        <f>全车数据表!P106</f>
        <v>335.1</v>
      </c>
      <c r="D56" s="341">
        <f>全车数据表!Q106</f>
        <v>80.959999999999994</v>
      </c>
      <c r="E56" s="341">
        <f>全车数据表!R106</f>
        <v>89.37</v>
      </c>
      <c r="F56" s="341">
        <f>全车数据表!S106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全车数据表!A107</f>
        <v>105</v>
      </c>
      <c r="B57" t="str">
        <f>全车数据表!B107</f>
        <v>Aston Martin Vantage GT12</v>
      </c>
      <c r="C57" s="341">
        <f>全车数据表!P107</f>
        <v>337.8</v>
      </c>
      <c r="D57" s="341">
        <f>全车数据表!Q107</f>
        <v>78.260000000000005</v>
      </c>
      <c r="E57" s="341">
        <f>全车数据表!R107</f>
        <v>86.85</v>
      </c>
      <c r="F57" s="341">
        <f>全车数据表!S107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全车数据表!A109</f>
        <v>107</v>
      </c>
      <c r="B58" t="str">
        <f>全车数据表!B109</f>
        <v>Sin R1 550</v>
      </c>
      <c r="C58" s="341">
        <f>全车数据表!P109</f>
        <v>370.6</v>
      </c>
      <c r="D58" s="341">
        <f>全车数据表!Q109</f>
        <v>77.040000000000006</v>
      </c>
      <c r="E58" s="341">
        <f>全车数据表!R109</f>
        <v>45.74</v>
      </c>
      <c r="F58" s="341">
        <f>全车数据表!S109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全车数据表!A111</f>
        <v>109</v>
      </c>
      <c r="B59" t="str">
        <f>全车数据表!B111</f>
        <v>Ferrari Enzo Ferrari</v>
      </c>
      <c r="C59" s="341">
        <f>全车数据表!P111</f>
        <v>364.8</v>
      </c>
      <c r="D59" s="341">
        <f>全车数据表!Q111</f>
        <v>75.290000000000006</v>
      </c>
      <c r="E59" s="341">
        <f>全车数据表!R111</f>
        <v>64.95</v>
      </c>
      <c r="F59" s="341">
        <f>全车数据表!S111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全车数据表!A113</f>
        <v>111</v>
      </c>
      <c r="B60" t="str">
        <f>全车数据表!B113</f>
        <v>Apollo N</v>
      </c>
      <c r="C60" s="341">
        <f>全车数据表!P113</f>
        <v>374.1</v>
      </c>
      <c r="D60" s="341">
        <f>全车数据表!Q113</f>
        <v>80.319999999999993</v>
      </c>
      <c r="E60" s="341">
        <f>全车数据表!R113</f>
        <v>58.13</v>
      </c>
      <c r="F60" s="341">
        <f>全车数据表!S113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全车数据表!A114</f>
        <v>112</v>
      </c>
      <c r="B61" t="str">
        <f>全车数据表!B114</f>
        <v>Mercedes-Benz SLR McLaren</v>
      </c>
      <c r="C61" s="341">
        <f>全车数据表!P114</f>
        <v>353.3</v>
      </c>
      <c r="D61" s="341">
        <f>全车数据表!Q114</f>
        <v>78.180000000000007</v>
      </c>
      <c r="E61" s="341">
        <f>全车数据表!R114</f>
        <v>66.599999999999994</v>
      </c>
      <c r="F61" s="341">
        <f>全车数据表!S114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全车数据表!A115</f>
        <v>113</v>
      </c>
      <c r="B62" t="str">
        <f>全车数据表!B115</f>
        <v>Aston Martin DBS SuperLeggera</v>
      </c>
      <c r="C62" s="341">
        <f>全车数据表!P115</f>
        <v>355.4</v>
      </c>
      <c r="D62" s="341">
        <f>全车数据表!Q115</f>
        <v>79.16</v>
      </c>
      <c r="E62" s="341">
        <f>全车数据表!R115</f>
        <v>70.739999999999995</v>
      </c>
      <c r="F62" s="341">
        <f>全车数据表!S115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全车数据表!A120</f>
        <v>118</v>
      </c>
      <c r="B63" t="str">
        <f>全车数据表!B120</f>
        <v>Lamborghini Huracan EVO Spyder</v>
      </c>
      <c r="C63" s="341">
        <f>全车数据表!P120</f>
        <v>344</v>
      </c>
      <c r="D63" s="341">
        <f>全车数据表!Q120</f>
        <v>84.31</v>
      </c>
      <c r="E63" s="341">
        <f>全车数据表!R120</f>
        <v>75.97</v>
      </c>
      <c r="F63" s="341">
        <f>全车数据表!S120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全车数据表!A121</f>
        <v>119</v>
      </c>
      <c r="B64" t="str">
        <f>全车数据表!B121</f>
        <v>Porsche Carrera GT</v>
      </c>
      <c r="C64" s="341">
        <f>全车数据表!P121</f>
        <v>347.8</v>
      </c>
      <c r="D64" s="341">
        <f>全车数据表!Q121</f>
        <v>78.67</v>
      </c>
      <c r="E64" s="341">
        <f>全车数据表!R121</f>
        <v>84.88</v>
      </c>
      <c r="F64" s="341">
        <f>全车数据表!S121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全车数据表!A125</f>
        <v>123</v>
      </c>
      <c r="B65" t="str">
        <f>全车数据表!B125</f>
        <v>Porsche 911 GT3 RS</v>
      </c>
      <c r="C65" s="341">
        <f>全车数据表!P125</f>
        <v>339.4</v>
      </c>
      <c r="D65" s="341">
        <f>全车数据表!Q125</f>
        <v>85.84</v>
      </c>
      <c r="E65" s="341">
        <f>全车数据表!R125</f>
        <v>92.97</v>
      </c>
      <c r="F65" s="341">
        <f>全车数据表!S125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全车数据表!A126</f>
        <v>124</v>
      </c>
      <c r="B66" t="str">
        <f>全车数据表!B126</f>
        <v>Ferrari 488 GTB Challenge EVO🔑</v>
      </c>
      <c r="C66" s="341">
        <f>全车数据表!P126</f>
        <v>351.2</v>
      </c>
      <c r="D66" s="341">
        <f>全车数据表!Q126</f>
        <v>82.76</v>
      </c>
      <c r="E66" s="341">
        <f>全车数据表!R126</f>
        <v>77.11</v>
      </c>
      <c r="F66" s="341">
        <f>全车数据表!S126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全车数据表!A128</f>
        <v>126</v>
      </c>
      <c r="B67" t="str">
        <f>全车数据表!B128</f>
        <v>Lotus Evija</v>
      </c>
      <c r="C67" s="341">
        <f>全车数据表!P128</f>
        <v>368.1</v>
      </c>
      <c r="D67" s="341">
        <f>全车数据表!Q128</f>
        <v>81.14</v>
      </c>
      <c r="E67" s="341">
        <f>全车数据表!R128</f>
        <v>65.02</v>
      </c>
      <c r="F67" s="341">
        <f>全车数据表!S128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全车数据表!A129</f>
        <v>127</v>
      </c>
      <c r="B68" t="str">
        <f>全车数据表!B129</f>
        <v>Mclaren F1 LM🔑</v>
      </c>
      <c r="C68" s="341">
        <f>全车数据表!P129</f>
        <v>377.6</v>
      </c>
      <c r="D68" s="341">
        <f>全车数据表!Q129</f>
        <v>74.66</v>
      </c>
      <c r="E68" s="341">
        <f>全车数据表!R129</f>
        <v>66.61</v>
      </c>
      <c r="F68" s="341">
        <f>全车数据表!S129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全车数据表!A134</f>
        <v>132</v>
      </c>
      <c r="B69" t="str">
        <f>全车数据表!B134</f>
        <v>Aston Martin Vulcan</v>
      </c>
      <c r="C69" s="341">
        <f>全车数据表!P134</f>
        <v>343.5</v>
      </c>
      <c r="D69" s="341">
        <f>全车数据表!Q134</f>
        <v>78.7</v>
      </c>
      <c r="E69" s="341">
        <f>全车数据表!R134</f>
        <v>47.8</v>
      </c>
      <c r="F69" s="341">
        <f>全车数据表!S134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全车数据表!A135</f>
        <v>133</v>
      </c>
      <c r="B70" t="str">
        <f>全车数据表!B135</f>
        <v>Nissan GT-R Nismo</v>
      </c>
      <c r="C70" s="341">
        <f>全车数据表!P135</f>
        <v>329.7</v>
      </c>
      <c r="D70" s="341">
        <f>全车数据表!Q135</f>
        <v>84.83</v>
      </c>
      <c r="E70" s="341">
        <f>全车数据表!R135</f>
        <v>60.69</v>
      </c>
      <c r="F70" s="341">
        <f>全车数据表!S135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全车数据表!A137</f>
        <v>135</v>
      </c>
      <c r="B71" t="str">
        <f>全车数据表!B137</f>
        <v>Ferrari J50</v>
      </c>
      <c r="C71" s="341">
        <f>全车数据表!P137</f>
        <v>350.6</v>
      </c>
      <c r="D71" s="341">
        <f>全车数据表!Q137</f>
        <v>80.41</v>
      </c>
      <c r="E71" s="341">
        <f>全车数据表!R137</f>
        <v>48.37</v>
      </c>
      <c r="F71" s="341">
        <f>全车数据表!S137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全车数据表!A138</f>
        <v>136</v>
      </c>
      <c r="B72" t="str">
        <f>全车数据表!B138</f>
        <v>Dodge Viper GTS</v>
      </c>
      <c r="C72" s="341">
        <f>全车数据表!P138</f>
        <v>353.5</v>
      </c>
      <c r="D72" s="341">
        <f>全车数据表!Q138</f>
        <v>80.33</v>
      </c>
      <c r="E72" s="341">
        <f>全车数据表!R138</f>
        <v>45.29</v>
      </c>
      <c r="F72" s="341">
        <f>全车数据表!S138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全车数据表!A140</f>
        <v>138</v>
      </c>
      <c r="B73" t="str">
        <f>全车数据表!B140</f>
        <v>Ferrari LaFerrari</v>
      </c>
      <c r="C73" s="341">
        <f>全车数据表!P140</f>
        <v>364.6</v>
      </c>
      <c r="D73" s="341">
        <f>全车数据表!Q140</f>
        <v>80.23</v>
      </c>
      <c r="E73" s="341">
        <f>全车数据表!R140</f>
        <v>43.06</v>
      </c>
      <c r="F73" s="341">
        <f>全车数据表!S140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全车数据表!A141</f>
        <v>139</v>
      </c>
      <c r="B74" t="str">
        <f>全车数据表!B141</f>
        <v>McLaren P1™</v>
      </c>
      <c r="C74" s="341">
        <f>全车数据表!P141</f>
        <v>364.6</v>
      </c>
      <c r="D74" s="341">
        <f>全车数据表!Q141</f>
        <v>83.64</v>
      </c>
      <c r="E74" s="341">
        <f>全车数据表!R141</f>
        <v>47.54</v>
      </c>
      <c r="F74" s="341">
        <f>全车数据表!S141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全车数据表!A143</f>
        <v>141</v>
      </c>
      <c r="B75" t="str">
        <f>全车数据表!B143</f>
        <v>Lamborghini Aventador SV Coupe</v>
      </c>
      <c r="C75" s="341">
        <f>全车数据表!P143</f>
        <v>367.9</v>
      </c>
      <c r="D75" s="341">
        <f>全车数据表!Q143</f>
        <v>80.83</v>
      </c>
      <c r="E75" s="341">
        <f>全车数据表!R143</f>
        <v>50.15</v>
      </c>
      <c r="F75" s="341">
        <f>全车数据表!S143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全车数据表!A144</f>
        <v>142</v>
      </c>
      <c r="B76" t="str">
        <f>全车数据表!B144</f>
        <v>Ferrari 812 SuperFast</v>
      </c>
      <c r="C76" s="341">
        <f>全车数据表!P144</f>
        <v>353.6</v>
      </c>
      <c r="D76" s="341">
        <f>全车数据表!Q144</f>
        <v>81.13</v>
      </c>
      <c r="E76" s="341">
        <f>全车数据表!R144</f>
        <v>63.17</v>
      </c>
      <c r="F76" s="341">
        <f>全车数据表!S144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全车数据表!A146</f>
        <v>144</v>
      </c>
      <c r="B77" t="str">
        <f>全车数据表!B146</f>
        <v>Chevrolet Corvette ZR1</v>
      </c>
      <c r="C77" s="341">
        <f>全车数据表!P146</f>
        <v>355.4</v>
      </c>
      <c r="D77" s="341">
        <f>全车数据表!Q146</f>
        <v>82.03</v>
      </c>
      <c r="E77" s="341">
        <f>全车数据表!R146</f>
        <v>60.09</v>
      </c>
      <c r="F77" s="341">
        <f>全车数据表!S146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全车数据表!A147</f>
        <v>145</v>
      </c>
      <c r="B78" t="str">
        <f>全车数据表!B147</f>
        <v>Jaguar C-X75</v>
      </c>
      <c r="C78" s="341">
        <f>全车数据表!P147</f>
        <v>369.2</v>
      </c>
      <c r="D78" s="341">
        <f>全车数据表!Q147</f>
        <v>75.540000000000006</v>
      </c>
      <c r="E78" s="341">
        <f>全车数据表!R147</f>
        <v>73.17</v>
      </c>
      <c r="F78" s="341">
        <f>全车数据表!S147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全车数据表!A148</f>
        <v>146</v>
      </c>
      <c r="B79" t="str">
        <f>全车数据表!B148</f>
        <v>VLF Force 1 V10</v>
      </c>
      <c r="C79" s="341">
        <f>全车数据表!P148</f>
        <v>368.8</v>
      </c>
      <c r="D79" s="341">
        <f>全车数据表!Q148</f>
        <v>80.33</v>
      </c>
      <c r="E79" s="341">
        <f>全车数据表!R148</f>
        <v>54.68</v>
      </c>
      <c r="F79" s="341">
        <f>全车数据表!S148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全车数据表!A151</f>
        <v>149</v>
      </c>
      <c r="B80" t="str">
        <f>全车数据表!B151</f>
        <v>Porsche 918 Spyder</v>
      </c>
      <c r="C80" s="341">
        <f>全车数据表!P151</f>
        <v>362.4</v>
      </c>
      <c r="D80" s="341">
        <f>全车数据表!Q151</f>
        <v>83.03</v>
      </c>
      <c r="E80" s="341">
        <f>全车数据表!R151</f>
        <v>51.8</v>
      </c>
      <c r="F80" s="341">
        <f>全车数据表!S151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全车数据表!A152</f>
        <v>150</v>
      </c>
      <c r="B81" t="str">
        <f>全车数据表!B152</f>
        <v>Vanda Electrics Dendrobium</v>
      </c>
      <c r="C81" s="341">
        <f>全车数据表!P152</f>
        <v>339.9</v>
      </c>
      <c r="D81" s="341">
        <f>全车数据表!Q152</f>
        <v>86.24</v>
      </c>
      <c r="E81" s="341">
        <f>全车数据表!R152</f>
        <v>95.92</v>
      </c>
      <c r="F81" s="341">
        <f>全车数据表!S152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全车数据表!A154</f>
        <v>152</v>
      </c>
      <c r="B82" t="str">
        <f>全车数据表!B154</f>
        <v>McLaren 570S Spider</v>
      </c>
      <c r="C82" s="341">
        <f>全车数据表!P154</f>
        <v>377.2</v>
      </c>
      <c r="D82" s="341">
        <f>全车数据表!Q154</f>
        <v>79.23</v>
      </c>
      <c r="E82" s="341">
        <f>全车数据表!R154</f>
        <v>66.06</v>
      </c>
      <c r="F82" s="341">
        <f>全车数据表!S154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全车数据表!A155</f>
        <v>153</v>
      </c>
      <c r="B83" t="str">
        <f>全车数据表!B155</f>
        <v>Lamborghini Aventador J</v>
      </c>
      <c r="C83" s="341">
        <f>全车数据表!P155</f>
        <v>363.8</v>
      </c>
      <c r="D83" s="341">
        <f>全车数据表!Q155</f>
        <v>79.83</v>
      </c>
      <c r="E83" s="341">
        <f>全车数据表!R155</f>
        <v>73.099999999999994</v>
      </c>
      <c r="F83" s="341">
        <f>全车数据表!S155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全车数据表!A162</f>
        <v>160</v>
      </c>
      <c r="B84" t="str">
        <f>全车数据表!B162</f>
        <v>Porsche 911 GT2 RS ClubSport🔑</v>
      </c>
      <c r="C84" s="341">
        <f>全车数据表!P162</f>
        <v>356.9</v>
      </c>
      <c r="D84" s="341">
        <f>全车数据表!Q162</f>
        <v>83.64</v>
      </c>
      <c r="E84" s="341">
        <f>全车数据表!R162</f>
        <v>85.42</v>
      </c>
      <c r="F84" s="341">
        <f>全车数据表!S162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全车数据表!A163</f>
        <v>161</v>
      </c>
      <c r="B85" t="str">
        <f>全车数据表!B163</f>
        <v>Pagani Huayra BC</v>
      </c>
      <c r="C85" s="341">
        <f>全车数据表!P163</f>
        <v>365.4</v>
      </c>
      <c r="D85" s="341">
        <f>全车数据表!Q163</f>
        <v>80.040000000000006</v>
      </c>
      <c r="E85" s="341">
        <f>全车数据表!R163</f>
        <v>63.11</v>
      </c>
      <c r="F85" s="341">
        <f>全车数据表!S163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全车数据表!A165</f>
        <v>163</v>
      </c>
      <c r="B86" t="str">
        <f>全车数据表!B165</f>
        <v>Lamborghini SC18🔑</v>
      </c>
      <c r="C86" s="341">
        <f>全车数据表!P165</f>
        <v>362.1</v>
      </c>
      <c r="D86" s="341">
        <f>全车数据表!Q165</f>
        <v>82.03</v>
      </c>
      <c r="E86" s="341">
        <f>全车数据表!R165</f>
        <v>64</v>
      </c>
      <c r="F86" s="341">
        <f>全车数据表!S165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全车数据表!A166</f>
        <v>164</v>
      </c>
      <c r="B87" t="str">
        <f>全车数据表!B166</f>
        <v>Ferrari LaFerrari Aperta</v>
      </c>
      <c r="C87" s="341">
        <f>全车数据表!P166</f>
        <v>366.2</v>
      </c>
      <c r="D87" s="341">
        <f>全车数据表!Q166</f>
        <v>81.03</v>
      </c>
      <c r="E87" s="341">
        <f>全车数据表!R166</f>
        <v>82.48</v>
      </c>
      <c r="F87" s="341">
        <f>全车数据表!S166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全车数据表!A167</f>
        <v>165</v>
      </c>
      <c r="B88" t="str">
        <f>全车数据表!B167</f>
        <v>Ferrari F8 Tributo</v>
      </c>
      <c r="C88" s="341">
        <f>全车数据表!P167</f>
        <v>360.2</v>
      </c>
      <c r="D88" s="341">
        <f>全车数据表!Q167</f>
        <v>83.14</v>
      </c>
      <c r="E88" s="341">
        <f>全车数据表!R167</f>
        <v>94.22</v>
      </c>
      <c r="F88" s="341">
        <f>全车数据表!S167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全车数据表!A169</f>
        <v>167</v>
      </c>
      <c r="B89" t="str">
        <f>全车数据表!B169</f>
        <v>Genty Akylone</v>
      </c>
      <c r="C89" s="341">
        <f>全车数据表!P169</f>
        <v>371.7</v>
      </c>
      <c r="D89" s="341">
        <f>全车数据表!Q169</f>
        <v>82.93</v>
      </c>
      <c r="E89" s="341">
        <f>全车数据表!R169</f>
        <v>67.81</v>
      </c>
      <c r="F89" s="341">
        <f>全车数据表!S169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全车数据表!A170</f>
        <v>168</v>
      </c>
      <c r="B90" t="str">
        <f>全车数据表!B170</f>
        <v>TechRules AT96 Track Version🔑</v>
      </c>
      <c r="C90" s="341">
        <f>全车数据表!P170</f>
        <v>364.6</v>
      </c>
      <c r="D90" s="341">
        <f>全车数据表!Q170</f>
        <v>85.53</v>
      </c>
      <c r="E90" s="341">
        <f>全车数据表!R170</f>
        <v>75.739999999999995</v>
      </c>
      <c r="F90" s="341">
        <f>全车数据表!S170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全车数据表!A173</f>
        <v>171</v>
      </c>
      <c r="B91" t="str">
        <f>全车数据表!B173</f>
        <v>Aston Martin Valhalla Concept Car</v>
      </c>
      <c r="C91" s="341">
        <f>全车数据表!P173</f>
        <v>377.4</v>
      </c>
      <c r="D91" s="341">
        <f>全车数据表!Q173</f>
        <v>82.23</v>
      </c>
      <c r="E91" s="341">
        <f>全车数据表!R173</f>
        <v>81.760000000000005</v>
      </c>
      <c r="F91" s="341">
        <f>全车数据表!S173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全车数据表!A178</f>
        <v>176</v>
      </c>
      <c r="B92" t="str">
        <f>全车数据表!B178</f>
        <v>Lamborghini Centenario</v>
      </c>
      <c r="C92" s="341">
        <f>全车数据表!P178</f>
        <v>363.9</v>
      </c>
      <c r="D92" s="341">
        <f>全车数据表!Q178</f>
        <v>80.48</v>
      </c>
      <c r="E92" s="341">
        <f>全车数据表!R178</f>
        <v>47.46</v>
      </c>
      <c r="F92" s="341">
        <f>全车数据表!S178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全车数据表!A179</f>
        <v>177</v>
      </c>
      <c r="B93" t="str">
        <f>全车数据表!B179</f>
        <v>Ferrari FXX K</v>
      </c>
      <c r="C93" s="341">
        <f>全车数据表!P179</f>
        <v>363.1</v>
      </c>
      <c r="D93" s="341">
        <f>全车数据表!Q179</f>
        <v>83.9</v>
      </c>
      <c r="E93" s="341">
        <f>全车数据表!R179</f>
        <v>43.75</v>
      </c>
      <c r="F93" s="341">
        <f>全车数据表!S179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全车数据表!A180</f>
        <v>178</v>
      </c>
      <c r="B94" t="str">
        <f>全车数据表!B180</f>
        <v>Icona Vulcano Titanium</v>
      </c>
      <c r="C94" s="341">
        <f>全车数据表!P180</f>
        <v>381.7</v>
      </c>
      <c r="D94" s="341">
        <f>全车数据表!Q180</f>
        <v>81.38</v>
      </c>
      <c r="E94" s="341">
        <f>全车数据表!R180</f>
        <v>43.38</v>
      </c>
      <c r="F94" s="341">
        <f>全车数据表!S180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全车数据表!A181</f>
        <v>179</v>
      </c>
      <c r="B95" t="str">
        <f>全车数据表!B181</f>
        <v>W Motors Lykan HyperSport</v>
      </c>
      <c r="C95" s="341">
        <f>全车数据表!P181</f>
        <v>407.5</v>
      </c>
      <c r="D95" s="341">
        <f>全车数据表!Q181</f>
        <v>80.48</v>
      </c>
      <c r="E95" s="341">
        <f>全车数据表!R181</f>
        <v>40.97</v>
      </c>
      <c r="F95" s="341">
        <f>全车数据表!S181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全车数据表!A183</f>
        <v>181</v>
      </c>
      <c r="B96" t="str">
        <f>全车数据表!B183</f>
        <v>Lamborghini Veneno</v>
      </c>
      <c r="C96" s="341">
        <f>全车数据表!P183</f>
        <v>370.2</v>
      </c>
      <c r="D96" s="341">
        <f>全车数据表!Q183</f>
        <v>81.2</v>
      </c>
      <c r="E96" s="341">
        <f>全车数据表!R183</f>
        <v>62.39</v>
      </c>
      <c r="F96" s="341">
        <f>全车数据表!S183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全车数据表!A185</f>
        <v>183</v>
      </c>
      <c r="B97" t="str">
        <f>全车数据表!B185</f>
        <v>Lamborghini Egoista</v>
      </c>
      <c r="C97" s="341">
        <f>全车数据表!P185</f>
        <v>366.4</v>
      </c>
      <c r="D97" s="341">
        <f>全车数据表!Q185</f>
        <v>84.48</v>
      </c>
      <c r="E97" s="341">
        <f>全车数据表!R185</f>
        <v>61.54</v>
      </c>
      <c r="F97" s="341">
        <f>全车数据表!S185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全车数据表!A187</f>
        <v>185</v>
      </c>
      <c r="B98" t="str">
        <f>全车数据表!B187</f>
        <v>Trion Nemesis</v>
      </c>
      <c r="C98" s="341">
        <f>全车数据表!P187</f>
        <v>450.7</v>
      </c>
      <c r="D98" s="341">
        <f>全车数据表!Q187</f>
        <v>79.98</v>
      </c>
      <c r="E98" s="341">
        <f>全车数据表!R187</f>
        <v>48.49</v>
      </c>
      <c r="F98" s="341">
        <f>全车数据表!S187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全车数据表!A189</f>
        <v>187</v>
      </c>
      <c r="B99" t="str">
        <f>全车数据表!B189</f>
        <v>Ferrari SF90 Stradale</v>
      </c>
      <c r="C99" s="341">
        <f>全车数据表!P189</f>
        <v>355.4</v>
      </c>
      <c r="D99" s="341">
        <f>全车数据表!Q189</f>
        <v>86.83</v>
      </c>
      <c r="E99" s="341">
        <f>全车数据表!R189</f>
        <v>93.51</v>
      </c>
      <c r="F99" s="341">
        <f>全车数据表!S189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全车数据表!A191</f>
        <v>189</v>
      </c>
      <c r="B100" t="str">
        <f>全车数据表!B191</f>
        <v>McLaren Senna</v>
      </c>
      <c r="C100" s="341">
        <f>全车数据表!P191</f>
        <v>358.7</v>
      </c>
      <c r="D100" s="341">
        <f>全车数据表!Q191</f>
        <v>82.91</v>
      </c>
      <c r="E100" s="341">
        <f>全车数据表!R191</f>
        <v>101.81</v>
      </c>
      <c r="F100" s="341">
        <f>全车数据表!S191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全车数据表!A193</f>
        <v>191</v>
      </c>
      <c r="B101" t="str">
        <f>全车数据表!B193</f>
        <v>Lamborghini Terzo Millennio</v>
      </c>
      <c r="C101" s="341">
        <f>全车数据表!P193</f>
        <v>394.3</v>
      </c>
      <c r="D101" s="341">
        <f>全车数据表!Q193</f>
        <v>82.77</v>
      </c>
      <c r="E101" s="341">
        <f>全车数据表!R193</f>
        <v>52.84</v>
      </c>
      <c r="F101" s="341">
        <f>全车数据表!S193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全车数据表!A195</f>
        <v>193</v>
      </c>
      <c r="B102" t="str">
        <f>全车数据表!B195</f>
        <v>W Motors Fenyr SuperSport</v>
      </c>
      <c r="C102" s="341">
        <f>全车数据表!P195</f>
        <v>416.9</v>
      </c>
      <c r="D102" s="341">
        <f>全车数据表!Q195</f>
        <v>82.19</v>
      </c>
      <c r="E102" s="341">
        <f>全车数据表!R195</f>
        <v>43.24</v>
      </c>
      <c r="F102" s="341">
        <f>全车数据表!S195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全车数据表!A197</f>
        <v>195</v>
      </c>
      <c r="B103" t="str">
        <f>全车数据表!B197</f>
        <v>Zenvo TS1 GT Anniversary</v>
      </c>
      <c r="C103" s="341">
        <f>全车数据表!P197</f>
        <v>418.2</v>
      </c>
      <c r="D103" s="341">
        <f>全车数据表!Q197</f>
        <v>81.290000000000006</v>
      </c>
      <c r="E103" s="341">
        <f>全车数据表!R197</f>
        <v>46.66</v>
      </c>
      <c r="F103" s="341">
        <f>全车数据表!S197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全车数据表!A199</f>
        <v>197</v>
      </c>
      <c r="B104" t="str">
        <f>全车数据表!B199</f>
        <v>Automobili Pininfarina Battista</v>
      </c>
      <c r="C104" s="341">
        <f>全车数据表!P199</f>
        <v>368.5</v>
      </c>
      <c r="D104" s="341">
        <f>全车数据表!Q199</f>
        <v>88.49</v>
      </c>
      <c r="E104" s="341">
        <f>全车数据表!R199</f>
        <v>80.45</v>
      </c>
      <c r="F104" s="341">
        <f>全车数据表!S199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全车数据表!A201</f>
        <v>199</v>
      </c>
      <c r="B105" t="str">
        <f>全车数据表!B201</f>
        <v>McLaren Speedtail</v>
      </c>
      <c r="C105" s="341">
        <f>全车数据表!P201</f>
        <v>416.7</v>
      </c>
      <c r="D105" s="341">
        <f>全车数据表!Q201</f>
        <v>81.11</v>
      </c>
      <c r="E105" s="341">
        <f>全车数据表!R201</f>
        <v>56.65</v>
      </c>
      <c r="F105" s="341">
        <f>全车数据表!S201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全车数据表!A203</f>
        <v>201</v>
      </c>
      <c r="B106" t="str">
        <f>全车数据表!B203</f>
        <v>Koenigsegg Regera</v>
      </c>
      <c r="C106" s="341">
        <f>全车数据表!P203</f>
        <v>457.1</v>
      </c>
      <c r="D106" s="341">
        <f>全车数据表!Q203</f>
        <v>80.88</v>
      </c>
      <c r="E106" s="341">
        <f>全车数据表!R203</f>
        <v>48.75</v>
      </c>
      <c r="F106" s="341">
        <f>全车数据表!S203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全车数据表!A206</f>
        <v>204</v>
      </c>
      <c r="B107" t="str">
        <f>全车数据表!B206</f>
        <v>Lamborghini Sian FKP 37</v>
      </c>
      <c r="C107" s="341">
        <f>全车数据表!P206</f>
        <v>368.1</v>
      </c>
      <c r="D107" s="341">
        <f>全车数据表!Q206</f>
        <v>82.1</v>
      </c>
      <c r="E107" s="341">
        <f>全车数据表!R206</f>
        <v>92.35</v>
      </c>
      <c r="F107" s="341">
        <f>全车数据表!S206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全车数据表!A210</f>
        <v>208</v>
      </c>
      <c r="B108" t="str">
        <f>全车数据表!B210</f>
        <v>Bugatti Chiron</v>
      </c>
      <c r="C108" s="341">
        <f>全车数据表!P210</f>
        <v>443.4</v>
      </c>
      <c r="D108" s="341">
        <f>全车数据表!Q210</f>
        <v>84.4</v>
      </c>
      <c r="E108" s="341">
        <f>全车数据表!R210</f>
        <v>45.62</v>
      </c>
      <c r="F108" s="341">
        <f>全车数据表!S210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全车数据表!A211</f>
        <v>209</v>
      </c>
      <c r="B109" t="str">
        <f>全车数据表!B211</f>
        <v>BXR Bailey Blade GT1</v>
      </c>
      <c r="C109" s="341">
        <f>全车数据表!P211</f>
        <v>449.5</v>
      </c>
      <c r="D109" s="341">
        <f>全车数据表!Q211</f>
        <v>80.48</v>
      </c>
      <c r="E109" s="341">
        <f>全车数据表!R211</f>
        <v>46.87</v>
      </c>
      <c r="F109" s="341">
        <f>全车数据表!S211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全车数据表!A217</f>
        <v>215</v>
      </c>
      <c r="B110" t="str">
        <f>全车数据表!B217</f>
        <v>Koenigsegg Jesko🔑</v>
      </c>
      <c r="C110" s="341">
        <f>全车数据表!P217</f>
        <v>496.6</v>
      </c>
      <c r="D110" s="341">
        <f>全车数据表!Q217</f>
        <v>80.069999999999993</v>
      </c>
      <c r="E110" s="341">
        <f>全车数据表!R217</f>
        <v>48.19</v>
      </c>
      <c r="F110" s="341">
        <f>全车数据表!S217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全车数据表!A220</f>
        <v>218</v>
      </c>
      <c r="B111" t="str">
        <f>全车数据表!B220</f>
        <v>Rimac Nevera🔑</v>
      </c>
      <c r="C111" s="341">
        <f>全车数据表!P220</f>
        <v>421.6</v>
      </c>
      <c r="D111" s="341">
        <f>全车数据表!Q220</f>
        <v>87.71</v>
      </c>
      <c r="E111" s="341">
        <f>全车数据表!R220</f>
        <v>51.33</v>
      </c>
      <c r="F111" s="341">
        <f>全车数据表!S220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全车数据表!A222</f>
        <v>220</v>
      </c>
      <c r="B112" t="str">
        <f>全车数据表!B222</f>
        <v>SSC Tuatara🔑</v>
      </c>
      <c r="C112" s="341">
        <f>全车数据表!P222</f>
        <v>490.6</v>
      </c>
      <c r="D112" s="341">
        <f>全车数据表!Q222</f>
        <v>82.51</v>
      </c>
      <c r="E112" s="341">
        <f>全车数据表!R222</f>
        <v>48.77</v>
      </c>
      <c r="F112" s="341">
        <f>全车数据表!S222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52" t="s">
        <v>356</v>
      </c>
      <c r="C2" s="453"/>
      <c r="D2" s="453"/>
      <c r="E2" s="454"/>
      <c r="F2" s="98"/>
      <c r="G2" s="467" t="s">
        <v>358</v>
      </c>
      <c r="H2" s="468"/>
      <c r="I2" s="468"/>
      <c r="J2" s="468"/>
      <c r="K2" s="469"/>
      <c r="L2" s="35"/>
    </row>
    <row r="3" spans="1:27" ht="25.2" customHeight="1" thickBot="1">
      <c r="A3" s="99"/>
      <c r="B3" s="458" t="s">
        <v>525</v>
      </c>
      <c r="C3" s="459"/>
      <c r="D3" s="459"/>
      <c r="E3" s="460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8"/>
      <c r="C4" s="459"/>
      <c r="D4" s="459"/>
      <c r="E4" s="460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8"/>
      <c r="C5" s="459"/>
      <c r="D5" s="459"/>
      <c r="E5" s="460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8"/>
      <c r="C6" s="459"/>
      <c r="D6" s="459"/>
      <c r="E6" s="460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8"/>
      <c r="C7" s="459"/>
      <c r="D7" s="459"/>
      <c r="E7" s="460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61"/>
      <c r="C8" s="462"/>
      <c r="D8" s="462"/>
      <c r="E8" s="463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67" t="s">
        <v>357</v>
      </c>
      <c r="C10" s="468"/>
      <c r="D10" s="468"/>
      <c r="E10" s="469"/>
      <c r="F10" s="98"/>
      <c r="G10" s="452" t="s">
        <v>359</v>
      </c>
      <c r="H10" s="453"/>
      <c r="I10" s="453"/>
      <c r="J10" s="453"/>
      <c r="K10" s="45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52" t="s">
        <v>375</v>
      </c>
      <c r="C17" s="453"/>
      <c r="D17" s="453"/>
      <c r="E17" s="453"/>
      <c r="F17" s="453"/>
      <c r="G17" s="453"/>
      <c r="H17" s="453"/>
      <c r="I17" s="453"/>
      <c r="J17" s="453"/>
      <c r="K17" s="45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49" t="s">
        <v>526</v>
      </c>
      <c r="C18" s="450"/>
      <c r="D18" s="450"/>
      <c r="E18" s="450"/>
      <c r="F18" s="450"/>
      <c r="G18" s="450"/>
      <c r="H18" s="450"/>
      <c r="I18" s="450"/>
      <c r="J18" s="450"/>
      <c r="K18" s="451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52" t="s">
        <v>361</v>
      </c>
      <c r="C20" s="453"/>
      <c r="D20" s="453"/>
      <c r="E20" s="454"/>
      <c r="F20" s="98"/>
      <c r="G20" s="455" t="s">
        <v>358</v>
      </c>
      <c r="H20" s="456"/>
      <c r="I20" s="456"/>
      <c r="J20" s="456"/>
      <c r="K20" s="45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8" t="s">
        <v>527</v>
      </c>
      <c r="C21" s="459"/>
      <c r="D21" s="459"/>
      <c r="E21" s="460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8"/>
      <c r="C22" s="459"/>
      <c r="D22" s="459"/>
      <c r="E22" s="460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8"/>
      <c r="C23" s="459"/>
      <c r="D23" s="459"/>
      <c r="E23" s="460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8"/>
      <c r="C24" s="459"/>
      <c r="D24" s="459"/>
      <c r="E24" s="460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8"/>
      <c r="C25" s="459"/>
      <c r="D25" s="459"/>
      <c r="E25" s="460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61"/>
      <c r="C26" s="462"/>
      <c r="D26" s="462"/>
      <c r="E26" s="463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55" t="s">
        <v>357</v>
      </c>
      <c r="C28" s="456"/>
      <c r="D28" s="456"/>
      <c r="E28" s="457"/>
      <c r="F28" s="98"/>
      <c r="G28" s="464" t="s">
        <v>359</v>
      </c>
      <c r="H28" s="465"/>
      <c r="I28" s="465"/>
      <c r="J28" s="465"/>
      <c r="K28" s="46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30"/>
  <sheetViews>
    <sheetView topLeftCell="A196" zoomScaleNormal="100" workbookViewId="0">
      <selection activeCell="Y218" sqref="Y218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Nissan 370Z Neon Edition</v>
      </c>
      <c r="C25" s="311" t="str">
        <f>IF(全车数据表!AQ26="","",全车数据表!AQ26)</f>
        <v>Nissan</v>
      </c>
      <c r="D25" s="313" t="str">
        <f>全车数据表!AT26</f>
        <v>370zneon</v>
      </c>
      <c r="E25" s="313" t="str">
        <f>全车数据表!AS26</f>
        <v>4.2</v>
      </c>
      <c r="F25" s="313" t="str">
        <f>全车数据表!C26</f>
        <v>370霓虹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2675</v>
      </c>
      <c r="P25" s="311">
        <f>全车数据表!P26</f>
        <v>271.10000000000002</v>
      </c>
      <c r="Q25" s="311">
        <f>全车数据表!Q26</f>
        <v>83.26</v>
      </c>
      <c r="R25" s="311">
        <f>全车数据表!R26</f>
        <v>82.91</v>
      </c>
      <c r="S25" s="311">
        <f>全车数据表!S26</f>
        <v>65.22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283</v>
      </c>
      <c r="AC25" s="311">
        <f>全车数据表!AX26</f>
        <v>295</v>
      </c>
      <c r="AD25" s="311">
        <f>全车数据表!AY26</f>
        <v>376</v>
      </c>
      <c r="AE25" s="311" t="str">
        <f>IF(全车数据表!AZ26="","",全车数据表!AZ26)</f>
        <v>联会赛事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日产 尼桑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Honda Civic Type-R</v>
      </c>
      <c r="C26" s="311" t="str">
        <f>IF(全车数据表!AQ27="","",全车数据表!AQ27)</f>
        <v>Honda</v>
      </c>
      <c r="D26" s="313" t="str">
        <f>全车数据表!AT27</f>
        <v>civic</v>
      </c>
      <c r="E26" s="313" t="str">
        <f>全车数据表!AS27</f>
        <v>2.0</v>
      </c>
      <c r="F26" s="313" t="str">
        <f>全车数据表!C27</f>
        <v>思域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2698</v>
      </c>
      <c r="P26" s="311">
        <f>全车数据表!P27</f>
        <v>285.3</v>
      </c>
      <c r="Q26" s="311">
        <f>全车数据表!Q27</f>
        <v>82.09</v>
      </c>
      <c r="R26" s="311">
        <f>全车数据表!R27</f>
        <v>68.41</v>
      </c>
      <c r="S26" s="311">
        <f>全车数据表!S27</f>
        <v>62.55</v>
      </c>
      <c r="T26" s="311">
        <f>全车数据表!T27</f>
        <v>7.98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297</v>
      </c>
      <c r="AC26" s="311">
        <f>全车数据表!AX27</f>
        <v>0</v>
      </c>
      <c r="AD26" s="311">
        <f>全车数据表!AY27</f>
        <v>381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思域 宏达 本田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Porsche Taycan Turbo S</v>
      </c>
      <c r="C27" s="311" t="str">
        <f>IF(全车数据表!AQ28="","",全车数据表!AQ28)</f>
        <v>Porsche</v>
      </c>
      <c r="D27" s="313" t="str">
        <f>全车数据表!AT28</f>
        <v>taycan</v>
      </c>
      <c r="E27" s="313" t="str">
        <f>全车数据表!AS28</f>
        <v>2.1</v>
      </c>
      <c r="F27" s="313" t="str">
        <f>全车数据表!C28</f>
        <v>电蛙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2724</v>
      </c>
      <c r="P27" s="311">
        <f>全车数据表!P28</f>
        <v>279.2</v>
      </c>
      <c r="Q27" s="311">
        <f>全车数据表!Q28</f>
        <v>83.74</v>
      </c>
      <c r="R27" s="311">
        <f>全车数据表!R28</f>
        <v>75.77</v>
      </c>
      <c r="S27" s="311">
        <f>全车数据表!S28</f>
        <v>57.18</v>
      </c>
      <c r="T27" s="311">
        <f>全车数据表!T28</f>
        <v>0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291</v>
      </c>
      <c r="AC27" s="311">
        <f>全车数据表!AX28</f>
        <v>304</v>
      </c>
      <c r="AD27" s="311">
        <f>全车数据表!AY28</f>
        <v>386</v>
      </c>
      <c r="AE27" s="311" t="str">
        <f>IF(全车数据表!AZ28="","",全车数据表!AZ28)</f>
        <v>通行证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>
        <f>IF(全车数据表!BG28="","",全车数据表!BG28)</f>
        <v>1</v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保时捷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TVR Griffith</v>
      </c>
      <c r="C28" s="311" t="str">
        <f>IF(全车数据表!AQ29="","",全车数据表!AQ29)</f>
        <v>TVR</v>
      </c>
      <c r="D28" s="313" t="str">
        <f>全车数据表!AT29</f>
        <v>griffith</v>
      </c>
      <c r="E28" s="313" t="str">
        <f>全车数据表!AS29</f>
        <v>1.7</v>
      </c>
      <c r="F28" s="313" t="str">
        <f>全车数据表!C29</f>
        <v>TVR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2751</v>
      </c>
      <c r="P28" s="311">
        <f>全车数据表!P29</f>
        <v>338.7</v>
      </c>
      <c r="Q28" s="311">
        <f>全车数据表!Q29</f>
        <v>69.28</v>
      </c>
      <c r="R28" s="311">
        <f>全车数据表!R29</f>
        <v>47.31</v>
      </c>
      <c r="S28" s="311">
        <f>全车数据表!S29</f>
        <v>37.49</v>
      </c>
      <c r="T28" s="311">
        <f>全车数据表!T29</f>
        <v>4.3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352</v>
      </c>
      <c r="AC28" s="311">
        <f>全车数据表!AX29</f>
        <v>0</v>
      </c>
      <c r="AD28" s="311">
        <f>全车数据表!AY29</f>
        <v>458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/>
      </c>
      <c r="BA28" s="311">
        <f>IF(全车数据表!AV29="","",全车数据表!AV29)</f>
        <v>5</v>
      </c>
    </row>
    <row r="29" spans="1:53">
      <c r="A29" s="311">
        <f>全车数据表!A30</f>
        <v>28</v>
      </c>
      <c r="B29" s="311" t="str">
        <f>全车数据表!B30</f>
        <v>Bentley Continental GT3🔑</v>
      </c>
      <c r="C29" s="311" t="str">
        <f>IF(全车数据表!AQ30="","",全车数据表!AQ30)</f>
        <v>Bentley</v>
      </c>
      <c r="D29" s="313" t="str">
        <f>全车数据表!AT30</f>
        <v>continental</v>
      </c>
      <c r="E29" s="313" t="str">
        <f>全车数据表!AS30</f>
        <v>2.4</v>
      </c>
      <c r="F29" s="313" t="str">
        <f>全车数据表!C30</f>
        <v>欧陆GT3</v>
      </c>
      <c r="G29" s="311" t="str">
        <f>全车数据表!D30</f>
        <v>D</v>
      </c>
      <c r="H29" s="311">
        <f>LEN(全车数据表!E30)</f>
        <v>4</v>
      </c>
      <c r="I29" s="311" t="str">
        <f>IF(全车数据表!H30="×",0,全车数据表!H30)</f>
        <v>🔑</v>
      </c>
      <c r="J29" s="311">
        <f>IF(全车数据表!I30="×",0,全车数据表!I30)</f>
        <v>26</v>
      </c>
      <c r="K29" s="311">
        <f>IF(全车数据表!J30="×",0,全车数据表!J30)</f>
        <v>38</v>
      </c>
      <c r="L29" s="311">
        <f>IF(全车数据表!K30="×",0,全车数据表!K30)</f>
        <v>64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2783</v>
      </c>
      <c r="P29" s="311">
        <f>全车数据表!P30</f>
        <v>300.8</v>
      </c>
      <c r="Q29" s="311">
        <f>全车数据表!Q30</f>
        <v>74.739999999999995</v>
      </c>
      <c r="R29" s="311">
        <f>全车数据表!R30</f>
        <v>72.52</v>
      </c>
      <c r="S29" s="311">
        <f>全车数据表!S30</f>
        <v>50.79</v>
      </c>
      <c r="T29" s="311">
        <f>全车数据表!T30</f>
        <v>4.9000000000000004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313</v>
      </c>
      <c r="AC29" s="311">
        <f>全车数据表!AX30</f>
        <v>0</v>
      </c>
      <c r="AD29" s="311">
        <f>全车数据表!AY30</f>
        <v>401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宾利 欧陆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Mazda Furai</v>
      </c>
      <c r="C30" s="311" t="str">
        <f>IF(全车数据表!AQ31="","",全车数据表!AQ31)</f>
        <v>Mazda</v>
      </c>
      <c r="D30" s="313" t="str">
        <f>全车数据表!AT31</f>
        <v>furai</v>
      </c>
      <c r="E30" s="313" t="str">
        <f>全车数据表!AS31</f>
        <v>1.9</v>
      </c>
      <c r="F30" s="313" t="str">
        <f>全车数据表!C31</f>
        <v>风籁</v>
      </c>
      <c r="G30" s="311" t="str">
        <f>全车数据表!D31</f>
        <v>D</v>
      </c>
      <c r="H30" s="311">
        <f>LEN(全车数据表!E31)</f>
        <v>4</v>
      </c>
      <c r="I30" s="311">
        <f>IF(全车数据表!H31="×",0,全车数据表!H31)</f>
        <v>30</v>
      </c>
      <c r="J30" s="311">
        <f>IF(全车数据表!I31="×",0,全车数据表!I31)</f>
        <v>23</v>
      </c>
      <c r="K30" s="311">
        <f>IF(全车数据表!J31="×",0,全车数据表!J31)</f>
        <v>33</v>
      </c>
      <c r="L30" s="311">
        <f>IF(全车数据表!K31="×",0,全车数据表!K31)</f>
        <v>42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2853</v>
      </c>
      <c r="P30" s="311">
        <f>全车数据表!P31</f>
        <v>305.5</v>
      </c>
      <c r="Q30" s="311">
        <f>全车数据表!Q31</f>
        <v>80.95</v>
      </c>
      <c r="R30" s="311">
        <f>全车数据表!R31</f>
        <v>57.23</v>
      </c>
      <c r="S30" s="311">
        <f>全车数据表!S31</f>
        <v>49.67</v>
      </c>
      <c r="T30" s="311">
        <f>全车数据表!T31</f>
        <v>5.5</v>
      </c>
      <c r="U30" s="311">
        <f>全车数据表!AH31</f>
        <v>2518680</v>
      </c>
      <c r="V30" s="311">
        <f>全车数据表!AO31</f>
        <v>1360000</v>
      </c>
      <c r="W30" s="311">
        <f>全车数据表!AP31</f>
        <v>3878680</v>
      </c>
      <c r="X30" s="311">
        <f>全车数据表!AJ31</f>
        <v>7</v>
      </c>
      <c r="Y30" s="311">
        <f>全车数据表!AL31</f>
        <v>2</v>
      </c>
      <c r="Z30" s="311">
        <f>IF(全车数据表!AN31="×",0,全车数据表!AN31)</f>
        <v>1</v>
      </c>
      <c r="AA30" s="313" t="str">
        <f>全车数据表!AU31</f>
        <v>rare</v>
      </c>
      <c r="AB30" s="311">
        <f>全车数据表!AW31</f>
        <v>318</v>
      </c>
      <c r="AC30" s="311">
        <f>全车数据表!AX31</f>
        <v>0</v>
      </c>
      <c r="AD30" s="311">
        <f>全车数据表!AY31</f>
        <v>406</v>
      </c>
      <c r="AE30" s="311" t="str">
        <f>IF(全车数据表!AZ31="","",全车数据表!AZ31)</f>
        <v>寻车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>
        <f>IF(全车数据表!BF31="","",全车数据表!BF31)</f>
        <v>1</v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马自达 风籁</v>
      </c>
      <c r="BA30" s="311">
        <f>IF(全车数据表!AV31="","",全车数据表!AV31)</f>
        <v>6</v>
      </c>
    </row>
    <row r="31" spans="1:53">
      <c r="A31" s="311">
        <f>全车数据表!A32</f>
        <v>30</v>
      </c>
      <c r="B31" s="311" t="str">
        <f>全车数据表!B32</f>
        <v>Chevrolet Corvette C7.R🔑</v>
      </c>
      <c r="C31" s="311" t="str">
        <f>IF(全车数据表!AQ32="","",全车数据表!AQ32)</f>
        <v>Chevrolet Corvette</v>
      </c>
      <c r="D31" s="313" t="str">
        <f>全车数据表!AT32</f>
        <v>c7r</v>
      </c>
      <c r="E31" s="313" t="str">
        <f>全车数据表!AS32</f>
        <v>2.3</v>
      </c>
      <c r="F31" s="313" t="str">
        <f>全车数据表!C32</f>
        <v>C7R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2948</v>
      </c>
      <c r="P31" s="311">
        <f>全车数据表!P32</f>
        <v>307.60000000000002</v>
      </c>
      <c r="Q31" s="311">
        <f>全车数据表!Q32</f>
        <v>80.48</v>
      </c>
      <c r="R31" s="311">
        <f>全车数据表!R32</f>
        <v>47.08</v>
      </c>
      <c r="S31" s="311">
        <f>全车数据表!S32</f>
        <v>57.03</v>
      </c>
      <c r="T31" s="311">
        <f>全车数据表!T32</f>
        <v>0</v>
      </c>
      <c r="U31" s="311">
        <f>全车数据表!AH32</f>
        <v>3711360</v>
      </c>
      <c r="V31" s="311">
        <f>全车数据表!AO32</f>
        <v>1740000</v>
      </c>
      <c r="W31" s="311">
        <f>全车数据表!AP32</f>
        <v>5451360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320</v>
      </c>
      <c r="AC31" s="311">
        <f>全车数据表!AX32</f>
        <v>0</v>
      </c>
      <c r="AD31" s="311">
        <f>全车数据表!AY32</f>
        <v>409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雪佛兰 克尔维特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Lamborghini Huracan Super Trofeo Evo🔑</v>
      </c>
      <c r="C32" s="311" t="str">
        <f>IF(全车数据表!AQ33="","",全车数据表!AQ33)</f>
        <v>Lamborghini</v>
      </c>
      <c r="D32" s="313" t="str">
        <f>全车数据表!AT33</f>
        <v>huracanste</v>
      </c>
      <c r="E32" s="313" t="str">
        <f>全车数据表!AS33</f>
        <v>2.6</v>
      </c>
      <c r="F32" s="313" t="str">
        <f>全车数据表!C33</f>
        <v>D飓风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3000</v>
      </c>
      <c r="P32" s="311">
        <f>全车数据表!P33</f>
        <v>303.7</v>
      </c>
      <c r="Q32" s="311">
        <f>全车数据表!Q33</f>
        <v>82.59</v>
      </c>
      <c r="R32" s="311">
        <f>全车数据表!R33</f>
        <v>63.48</v>
      </c>
      <c r="S32" s="311">
        <f>全车数据表!S33</f>
        <v>54.41</v>
      </c>
      <c r="T32" s="311">
        <f>全车数据表!T33</f>
        <v>6</v>
      </c>
      <c r="U32" s="311">
        <f>全车数据表!AH33</f>
        <v>3711360</v>
      </c>
      <c r="V32" s="311">
        <f>全车数据表!AO33</f>
        <v>3480000</v>
      </c>
      <c r="W32" s="311">
        <f>全车数据表!AP33</f>
        <v>7191360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316</v>
      </c>
      <c r="AC32" s="311">
        <f>全车数据表!AX33</f>
        <v>0</v>
      </c>
      <c r="AD32" s="311">
        <f>全车数据表!AY33</f>
        <v>404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兰博基尼 小小牛 飓风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Volkswagen Electric R🔑</v>
      </c>
      <c r="C33" s="311" t="str">
        <f>IF(全车数据表!AQ34="","",全车数据表!AQ34)</f>
        <v>Volkswagen</v>
      </c>
      <c r="D33" s="313" t="str">
        <f>全车数据表!AT34</f>
        <v>vwer</v>
      </c>
      <c r="E33" s="313" t="str">
        <f>全车数据表!AS34</f>
        <v>3.1</v>
      </c>
      <c r="F33" s="313" t="str">
        <f>全车数据表!C34</f>
        <v>IDR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3054</v>
      </c>
      <c r="P33" s="311">
        <f>全车数据表!P34</f>
        <v>290.5</v>
      </c>
      <c r="Q33" s="311">
        <f>全车数据表!Q34</f>
        <v>88.5</v>
      </c>
      <c r="R33" s="311">
        <f>全车数据表!R34</f>
        <v>57.91</v>
      </c>
      <c r="S33" s="311">
        <f>全车数据表!S34</f>
        <v>67.930000000000007</v>
      </c>
      <c r="T33" s="311">
        <f>全车数据表!T34</f>
        <v>0</v>
      </c>
      <c r="U33" s="311">
        <f>全车数据表!AH34</f>
        <v>3711360</v>
      </c>
      <c r="V33" s="311">
        <f>全车数据表!AO34</f>
        <v>3480000</v>
      </c>
      <c r="W33" s="311">
        <f>全车数据表!AP34</f>
        <v>7191360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301</v>
      </c>
      <c r="AC33" s="311">
        <f>全车数据表!AX34</f>
        <v>0</v>
      </c>
      <c r="AD33" s="311">
        <f>全车数据表!AY34</f>
        <v>386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>
        <f>IF(全车数据表!BL34="","",全车数据表!BL34)</f>
        <v>1</v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>
        <f>IF(全车数据表!BO34="","",全车数据表!BO34)</f>
        <v>1</v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大众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Glickenhaus 004C🔑</v>
      </c>
      <c r="C34" s="311" t="str">
        <f>IF(全车数据表!AQ35="","",全车数据表!AQ35)</f>
        <v>Glickenhaus</v>
      </c>
      <c r="D34" s="313" t="str">
        <f>全车数据表!AT35</f>
        <v>004c</v>
      </c>
      <c r="E34" s="313" t="str">
        <f>全车数据表!AS35</f>
        <v>3.7</v>
      </c>
      <c r="F34" s="313" t="str">
        <f>全车数据表!C35</f>
        <v>004C</v>
      </c>
      <c r="G34" s="311" t="str">
        <f>全车数据表!D35</f>
        <v>D</v>
      </c>
      <c r="H34" s="311">
        <f>LEN(全车数据表!E35)</f>
        <v>5</v>
      </c>
      <c r="I34" s="311" t="str">
        <f>IF(全车数据表!H35="×",0,全车数据表!H35)</f>
        <v>🔑</v>
      </c>
      <c r="J34" s="311">
        <f>IF(全车数据表!I35="×",0,全车数据表!I35)</f>
        <v>22</v>
      </c>
      <c r="K34" s="311">
        <f>IF(全车数据表!J35="×",0,全车数据表!J35)</f>
        <v>30</v>
      </c>
      <c r="L34" s="311">
        <f>IF(全车数据表!K35="×",0,全车数据表!K35)</f>
        <v>35</v>
      </c>
      <c r="M34" s="311">
        <f>IF(全车数据表!L35="×",0,全车数据表!L35)</f>
        <v>38</v>
      </c>
      <c r="N34" s="311">
        <f>IF(全车数据表!M35="×",0,全车数据表!M35)</f>
        <v>0</v>
      </c>
      <c r="O34" s="311">
        <f>全车数据表!O35</f>
        <v>3075</v>
      </c>
      <c r="P34" s="311">
        <f>全车数据表!P35</f>
        <v>311.2</v>
      </c>
      <c r="Q34" s="311">
        <f>全车数据表!Q35</f>
        <v>76.75</v>
      </c>
      <c r="R34" s="311">
        <f>全车数据表!R35</f>
        <v>56.89</v>
      </c>
      <c r="S34" s="311">
        <f>全车数据表!S35</f>
        <v>60.87</v>
      </c>
      <c r="T34" s="311">
        <f>全车数据表!T35</f>
        <v>0</v>
      </c>
      <c r="U34" s="311">
        <f>全车数据表!AH35</f>
        <v>3711360</v>
      </c>
      <c r="V34" s="311">
        <f>全车数据表!AO35</f>
        <v>3480000</v>
      </c>
      <c r="W34" s="311">
        <f>全车数据表!AP35</f>
        <v>7191360</v>
      </c>
      <c r="X34" s="311">
        <f>全车数据表!AJ35</f>
        <v>9</v>
      </c>
      <c r="Y34" s="311">
        <f>全车数据表!AL35</f>
        <v>4</v>
      </c>
      <c r="Z34" s="311">
        <f>IF(全车数据表!AN35="×",0,全车数据表!AN35)</f>
        <v>2</v>
      </c>
      <c r="AA34" s="313" t="str">
        <f>全车数据表!AU35</f>
        <v>epic</v>
      </c>
      <c r="AB34" s="311">
        <f>全车数据表!AW35</f>
        <v>324</v>
      </c>
      <c r="AC34" s="311">
        <f>全车数据表!AX35</f>
        <v>0</v>
      </c>
      <c r="AD34" s="311">
        <f>全车数据表!AY35</f>
        <v>413</v>
      </c>
      <c r="AE34" s="311" t="str">
        <f>IF(全车数据表!AZ35="","",全车数据表!AZ35)</f>
        <v>大奖赛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 t="str">
        <f>IF(全车数据表!BC35="","",全车数据表!BC35)</f>
        <v/>
      </c>
      <c r="AI34" s="311" t="str">
        <f>IF(全车数据表!BD35="","",全车数据表!BD35)</f>
        <v/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>
        <f>IF(全车数据表!BN35="","",全车数据表!BN35)</f>
        <v>1</v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 t="str">
        <f>IF(全车数据表!BT35="","",全车数据表!BT35)</f>
        <v/>
      </c>
      <c r="AZ34" s="311" t="str">
        <f>IF(全车数据表!BU35="","",全车数据表!BU35)</f>
        <v>scg</v>
      </c>
      <c r="BA34" s="311" t="str">
        <f>IF(全车数据表!AV35="","",全车数据表!AV35)</f>
        <v/>
      </c>
    </row>
    <row r="35" spans="1:53">
      <c r="A35" s="311">
        <f>全车数据表!A36</f>
        <v>34</v>
      </c>
      <c r="B35" s="311" t="str">
        <f>全车数据表!B36</f>
        <v>Ford Mustang Mach-E1400</v>
      </c>
      <c r="C35" s="311" t="str">
        <f>IF(全车数据表!AQ36="","",全车数据表!AQ36)</f>
        <v>Ford</v>
      </c>
      <c r="D35" s="313" t="str">
        <f>全车数据表!AT36</f>
        <v>e1400</v>
      </c>
      <c r="E35" s="313" t="str">
        <f>全车数据表!AS36</f>
        <v>4.3</v>
      </c>
      <c r="F35" s="313" t="str">
        <f>全车数据表!C36</f>
        <v>电马</v>
      </c>
      <c r="G35" s="311" t="str">
        <f>全车数据表!D36</f>
        <v>D</v>
      </c>
      <c r="H35" s="311">
        <f>LEN(全车数据表!E36)</f>
        <v>5</v>
      </c>
      <c r="I35" s="311" t="str">
        <f>IF(全车数据表!H36="×",0,全车数据表!H36)</f>
        <v>🔑</v>
      </c>
      <c r="J35" s="311">
        <f>IF(全车数据表!I36="×",0,全车数据表!I36)</f>
        <v>22</v>
      </c>
      <c r="K35" s="311">
        <f>IF(全车数据表!J36="×",0,全车数据表!J36)</f>
        <v>30</v>
      </c>
      <c r="L35" s="311">
        <f>IF(全车数据表!K36="×",0,全车数据表!K36)</f>
        <v>35</v>
      </c>
      <c r="M35" s="311">
        <f>IF(全车数据表!L36="×",0,全车数据表!L36)</f>
        <v>38</v>
      </c>
      <c r="N35" s="311">
        <f>IF(全车数据表!M36="×",0,全车数据表!M36)</f>
        <v>0</v>
      </c>
      <c r="O35" s="311">
        <f>全车数据表!O36</f>
        <v>3097</v>
      </c>
      <c r="P35" s="311">
        <f>全车数据表!P36</f>
        <v>301.2</v>
      </c>
      <c r="Q35" s="311">
        <f>全车数据表!Q36</f>
        <v>82.87</v>
      </c>
      <c r="R35" s="311">
        <f>全车数据表!R36</f>
        <v>51.83</v>
      </c>
      <c r="S35" s="311">
        <f>全车数据表!S36</f>
        <v>64.819999999999993</v>
      </c>
      <c r="T35" s="311">
        <f>全车数据表!T36</f>
        <v>0</v>
      </c>
      <c r="U35" s="311">
        <f>全车数据表!AH36</f>
        <v>3711360</v>
      </c>
      <c r="V35" s="311">
        <f>全车数据表!AO36</f>
        <v>3480000</v>
      </c>
      <c r="W35" s="311">
        <f>全车数据表!AP36</f>
        <v>7191360</v>
      </c>
      <c r="X35" s="311">
        <f>全车数据表!AJ36</f>
        <v>9</v>
      </c>
      <c r="Y35" s="311">
        <f>全车数据表!AL36</f>
        <v>4</v>
      </c>
      <c r="Z35" s="311">
        <f>IF(全车数据表!AN36="×",0,全车数据表!AN36)</f>
        <v>2</v>
      </c>
      <c r="AA35" s="313" t="str">
        <f>全车数据表!AU36</f>
        <v>epic</v>
      </c>
      <c r="AB35" s="311">
        <f>全车数据表!AW36</f>
        <v>0</v>
      </c>
      <c r="AC35" s="311">
        <f>全车数据表!AX36</f>
        <v>0</v>
      </c>
      <c r="AD35" s="311">
        <f>全车数据表!AY36</f>
        <v>0</v>
      </c>
      <c r="AE35" s="311" t="str">
        <f>IF(全车数据表!AZ36="","",全车数据表!AZ36)</f>
        <v>寻车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/>
      </c>
      <c r="BA35" s="311" t="str">
        <f>IF(全车数据表!AV36="","",全车数据表!AV36)</f>
        <v/>
      </c>
    </row>
    <row r="36" spans="1:53">
      <c r="A36" s="311">
        <f>全车数据表!A37</f>
        <v>35</v>
      </c>
      <c r="B36" s="311" t="str">
        <f>全车数据表!B37</f>
        <v>Dodge Challenger SRT8</v>
      </c>
      <c r="C36" s="311" t="str">
        <f>IF(全车数据表!AQ37="","",全车数据表!AQ37)</f>
        <v>Dodge</v>
      </c>
      <c r="D36" s="313" t="str">
        <f>全车数据表!AT37</f>
        <v>srt8</v>
      </c>
      <c r="E36" s="313" t="str">
        <f>全车数据表!AS37</f>
        <v>1.0</v>
      </c>
      <c r="F36" s="313" t="str">
        <f>全车数据表!C37</f>
        <v>srt8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15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1687</v>
      </c>
      <c r="P36" s="311">
        <f>全车数据表!P37</f>
        <v>308.60000000000002</v>
      </c>
      <c r="Q36" s="311">
        <f>全车数据表!Q37</f>
        <v>71.92</v>
      </c>
      <c r="R36" s="311">
        <f>全车数据表!R37</f>
        <v>39.840000000000003</v>
      </c>
      <c r="S36" s="311">
        <f>全车数据表!S37</f>
        <v>46.24</v>
      </c>
      <c r="T36" s="311">
        <f>全车数据表!T37</f>
        <v>5.05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321</v>
      </c>
      <c r="AC36" s="311">
        <f>全车数据表!AX37</f>
        <v>0</v>
      </c>
      <c r="AD36" s="311">
        <f>全车数据表!AY37</f>
        <v>410</v>
      </c>
      <c r="AE36" s="311" t="str">
        <f>IF(全车数据表!AZ37="","",全车数据表!AZ37)</f>
        <v>级别杯</v>
      </c>
      <c r="AF36" s="311">
        <f>IF(全车数据表!BA37="","",全车数据表!BA37)</f>
        <v>1</v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道奇 送人头 挑战者</v>
      </c>
      <c r="BA36" s="311">
        <f>IF(全车数据表!AV37="","",全车数据表!AV37)</f>
        <v>1</v>
      </c>
    </row>
    <row r="37" spans="1:53">
      <c r="A37" s="311">
        <f>全车数据表!A38</f>
        <v>36</v>
      </c>
      <c r="B37" s="311" t="str">
        <f>全车数据表!B38</f>
        <v>BMW 3.0 CSL hommage</v>
      </c>
      <c r="C37" s="311" t="str">
        <f>IF(全车数据表!AQ38="","",全车数据表!AQ38)</f>
        <v>BMW</v>
      </c>
      <c r="D37" s="313" t="str">
        <f>全车数据表!AT38</f>
        <v>3.0</v>
      </c>
      <c r="E37" s="313" t="str">
        <f>全车数据表!AS38</f>
        <v>1.0</v>
      </c>
      <c r="F37" s="313" t="str">
        <f>全车数据表!C38</f>
        <v>宝马3.0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1826</v>
      </c>
      <c r="P37" s="311">
        <f>全车数据表!P38</f>
        <v>297.39999999999998</v>
      </c>
      <c r="Q37" s="311">
        <f>全车数据表!Q38</f>
        <v>73.39</v>
      </c>
      <c r="R37" s="311">
        <f>全车数据表!R38</f>
        <v>50.08</v>
      </c>
      <c r="S37" s="311">
        <f>全车数据表!S38</f>
        <v>51.2</v>
      </c>
      <c r="T37" s="311">
        <f>全车数据表!T38</f>
        <v>5.782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310</v>
      </c>
      <c r="AC37" s="311">
        <f>全车数据表!AX38</f>
        <v>0</v>
      </c>
      <c r="AD37" s="311">
        <f>全车数据表!AY38</f>
        <v>396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宝马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Porsche Boxster 25th</v>
      </c>
      <c r="C38" s="311" t="str">
        <f>IF(全车数据表!AQ39="","",全车数据表!AQ39)</f>
        <v>Porsche</v>
      </c>
      <c r="D38" s="313" t="str">
        <f>全车数据表!AT39</f>
        <v>boxster</v>
      </c>
      <c r="E38" s="313" t="str">
        <f>全车数据表!AS39</f>
        <v>3.8</v>
      </c>
      <c r="F38" s="313" t="str">
        <f>全车数据表!C39</f>
        <v>Boxster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55</v>
      </c>
      <c r="J38" s="311">
        <f>IF(全车数据表!I39="×",0,全车数据表!I39)</f>
        <v>38</v>
      </c>
      <c r="K38" s="311">
        <f>IF(全车数据表!J39="×",0,全车数据表!J39)</f>
        <v>90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1844</v>
      </c>
      <c r="P38" s="311">
        <f>全车数据表!P39</f>
        <v>298.39999999999998</v>
      </c>
      <c r="Q38" s="311">
        <f>全车数据表!Q39</f>
        <v>71.92</v>
      </c>
      <c r="R38" s="311">
        <f>全车数据表!R39</f>
        <v>45.93</v>
      </c>
      <c r="S38" s="311">
        <f>全车数据表!S39</f>
        <v>53.86</v>
      </c>
      <c r="T38" s="311">
        <f>全车数据表!T39</f>
        <v>0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311</v>
      </c>
      <c r="AC38" s="311">
        <f>全车数据表!AX39</f>
        <v>0</v>
      </c>
      <c r="AD38" s="311">
        <f>全车数据表!AY39</f>
        <v>398</v>
      </c>
      <c r="AE38" s="311" t="str">
        <f>IF(全车数据表!AZ39="","",全车数据表!AZ39)</f>
        <v>通行证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 t="str">
        <f>IF(全车数据表!BC39="","",全车数据表!BC39)</f>
        <v/>
      </c>
      <c r="AI38" s="311" t="str">
        <f>IF(全车数据表!BD39="","",全车数据表!BD39)</f>
        <v/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 t="str">
        <f>IF(全车数据表!BT39="","",全车数据表!BT39)</f>
        <v/>
      </c>
      <c r="AZ38" s="311" t="str">
        <f>IF(全车数据表!BU39="","",全车数据表!BU39)</f>
        <v>保时捷</v>
      </c>
      <c r="BA38" s="311" t="str">
        <f>IF(全车数据表!AV39="","",全车数据表!AV39)</f>
        <v/>
      </c>
    </row>
    <row r="39" spans="1:53">
      <c r="A39" s="311">
        <f>全车数据表!A40</f>
        <v>38</v>
      </c>
      <c r="B39" s="311" t="str">
        <f>全车数据表!B40</f>
        <v>Chevrolet Camaro ZL1 50TH Edition</v>
      </c>
      <c r="C39" s="311" t="str">
        <f>IF(全车数据表!AQ40="","",全车数据表!AQ40)</f>
        <v>Chevrolet</v>
      </c>
      <c r="D39" s="313" t="str">
        <f>全车数据表!AT40</f>
        <v>50th</v>
      </c>
      <c r="E39" s="313" t="str">
        <f>全车数据表!AS40</f>
        <v>1.0</v>
      </c>
      <c r="F39" s="313" t="str">
        <f>全车数据表!C40</f>
        <v>50th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25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1971</v>
      </c>
      <c r="P39" s="311">
        <f>全车数据表!P40</f>
        <v>271</v>
      </c>
      <c r="Q39" s="311">
        <f>全车数据表!Q40</f>
        <v>78.14</v>
      </c>
      <c r="R39" s="311">
        <f>全车数据表!R40</f>
        <v>83.14</v>
      </c>
      <c r="S39" s="311">
        <f>全车数据表!S40</f>
        <v>72.33</v>
      </c>
      <c r="T39" s="311">
        <f>全车数据表!T40</f>
        <v>13.016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282</v>
      </c>
      <c r="AC39" s="311">
        <f>全车数据表!AX40</f>
        <v>0</v>
      </c>
      <c r="AD39" s="311">
        <f>全车数据表!AY40</f>
        <v>364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雪佛兰 科迈罗</v>
      </c>
      <c r="BA39" s="311">
        <f>IF(全车数据表!AV40="","",全车数据表!AV40)</f>
        <v>2</v>
      </c>
    </row>
    <row r="40" spans="1:53">
      <c r="A40" s="311">
        <f>全车数据表!A41</f>
        <v>39</v>
      </c>
      <c r="B40" s="311" t="str">
        <f>全车数据表!B41</f>
        <v>Lotus Evora Sport 410</v>
      </c>
      <c r="C40" s="311" t="str">
        <f>IF(全车数据表!AQ41="","",全车数据表!AQ41)</f>
        <v>Lotus</v>
      </c>
      <c r="D40" s="313" t="str">
        <f>全车数据表!AT41</f>
        <v>410</v>
      </c>
      <c r="E40" s="313" t="str">
        <f>全车数据表!AS41</f>
        <v>1.0</v>
      </c>
      <c r="F40" s="313" t="str">
        <f>全车数据表!C41</f>
        <v>莲花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20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2123</v>
      </c>
      <c r="P40" s="311">
        <f>全车数据表!P41</f>
        <v>317.7</v>
      </c>
      <c r="Q40" s="311">
        <f>全车数据表!Q41</f>
        <v>71.7</v>
      </c>
      <c r="R40" s="311">
        <f>全车数据表!R41</f>
        <v>50.93</v>
      </c>
      <c r="S40" s="311">
        <f>全车数据表!S41</f>
        <v>47.05</v>
      </c>
      <c r="T40" s="311">
        <f>全车数据表!T41</f>
        <v>5.133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331</v>
      </c>
      <c r="AC40" s="311">
        <f>全车数据表!AX41</f>
        <v>0</v>
      </c>
      <c r="AD40" s="311">
        <f>全车数据表!AY41</f>
        <v>422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路特斯 大莲花</v>
      </c>
      <c r="BA40" s="311">
        <f>IF(全车数据表!AV41="","",全车数据表!AV41)</f>
        <v>3</v>
      </c>
    </row>
    <row r="41" spans="1:53">
      <c r="A41" s="311">
        <f>全车数据表!A42</f>
        <v>40</v>
      </c>
      <c r="B41" s="311" t="str">
        <f>全车数据表!B42</f>
        <v>Mercedes-Benz AMG GT S</v>
      </c>
      <c r="C41" s="311" t="str">
        <f>IF(全车数据表!AQ42="","",全车数据表!AQ42)</f>
        <v>Mercedes-Benz</v>
      </c>
      <c r="D41" s="313" t="str">
        <f>全车数据表!AT42</f>
        <v>amg</v>
      </c>
      <c r="E41" s="313" t="str">
        <f>全车数据表!AS42</f>
        <v>1.0</v>
      </c>
      <c r="F41" s="313" t="str">
        <f>全车数据表!C42</f>
        <v>奔驰</v>
      </c>
      <c r="G41" s="311" t="str">
        <f>全车数据表!D42</f>
        <v>C</v>
      </c>
      <c r="H41" s="311">
        <f>LEN(全车数据表!E42)</f>
        <v>3</v>
      </c>
      <c r="I41" s="311">
        <f>IF(全车数据表!H42="×",0,全车数据表!H42)</f>
        <v>30</v>
      </c>
      <c r="J41" s="311">
        <f>IF(全车数据表!I42="×",0,全车数据表!I42)</f>
        <v>20</v>
      </c>
      <c r="K41" s="311">
        <f>IF(全车数据表!J42="×",0,全车数据表!J42)</f>
        <v>50</v>
      </c>
      <c r="L41" s="311">
        <f>IF(全车数据表!K42="×",0,全车数据表!K42)</f>
        <v>0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2281</v>
      </c>
      <c r="P41" s="311">
        <f>全车数据表!P42</f>
        <v>329.4</v>
      </c>
      <c r="Q41" s="311">
        <f>全车数据表!Q42</f>
        <v>71.34</v>
      </c>
      <c r="R41" s="311">
        <f>全车数据表!R42</f>
        <v>42.69</v>
      </c>
      <c r="S41" s="311">
        <f>全车数据表!S42</f>
        <v>54.66</v>
      </c>
      <c r="T41" s="311">
        <f>全车数据表!T42</f>
        <v>5.7489999999999988</v>
      </c>
      <c r="U41" s="311">
        <f>全车数据表!AH42</f>
        <v>606800</v>
      </c>
      <c r="V41" s="311">
        <f>全车数据表!AO42</f>
        <v>480000</v>
      </c>
      <c r="W41" s="311">
        <f>全车数据表!AP42</f>
        <v>1086800</v>
      </c>
      <c r="X41" s="311">
        <f>全车数据表!AJ42</f>
        <v>4</v>
      </c>
      <c r="Y41" s="311">
        <f>全车数据表!AL42</f>
        <v>1</v>
      </c>
      <c r="Z41" s="311">
        <f>IF(全车数据表!AN42="×",0,全车数据表!AN42)</f>
        <v>1</v>
      </c>
      <c r="AA41" s="313" t="str">
        <f>全车数据表!AU42</f>
        <v>uncm</v>
      </c>
      <c r="AB41" s="311">
        <f>全车数据表!AW42</f>
        <v>343</v>
      </c>
      <c r="AC41" s="311">
        <f>全车数据表!AX42</f>
        <v>0</v>
      </c>
      <c r="AD41" s="311">
        <f>全车数据表!AY42</f>
        <v>442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>
        <f>IF(全车数据表!BQ42="","",全车数据表!BQ42)</f>
        <v>1</v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奔驰</v>
      </c>
      <c r="BA41" s="311">
        <f>IF(全车数据表!AV42="","",全车数据表!AV42)</f>
        <v>4</v>
      </c>
    </row>
    <row r="42" spans="1:53">
      <c r="A42" s="311">
        <f>全车数据表!A43</f>
        <v>41</v>
      </c>
      <c r="B42" s="311" t="str">
        <f>全车数据表!B43</f>
        <v>BMW M4 GTS</v>
      </c>
      <c r="C42" s="311" t="str">
        <f>IF(全车数据表!AQ43="","",全车数据表!AQ43)</f>
        <v>BMW</v>
      </c>
      <c r="D42" s="313" t="str">
        <f>全车数据表!AT43</f>
        <v>m4</v>
      </c>
      <c r="E42" s="313" t="str">
        <f>全车数据表!AS43</f>
        <v>1.0</v>
      </c>
      <c r="F42" s="313" t="str">
        <f>全车数据表!C43</f>
        <v>m4</v>
      </c>
      <c r="G42" s="311" t="str">
        <f>全车数据表!D43</f>
        <v>C</v>
      </c>
      <c r="H42" s="311">
        <f>LEN(全车数据表!E43)</f>
        <v>3</v>
      </c>
      <c r="I42" s="311">
        <f>IF(全车数据表!H43="×",0,全车数据表!H43)</f>
        <v>40</v>
      </c>
      <c r="J42" s="311">
        <f>IF(全车数据表!I43="×",0,全车数据表!I43)</f>
        <v>20</v>
      </c>
      <c r="K42" s="311">
        <f>IF(全车数据表!J43="×",0,全车数据表!J43)</f>
        <v>50</v>
      </c>
      <c r="L42" s="311">
        <f>IF(全车数据表!K43="×",0,全车数据表!K43)</f>
        <v>0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2447</v>
      </c>
      <c r="P42" s="311">
        <f>全车数据表!P43</f>
        <v>326.5</v>
      </c>
      <c r="Q42" s="311">
        <f>全车数据表!Q43</f>
        <v>73.72</v>
      </c>
      <c r="R42" s="311">
        <f>全车数据表!R43</f>
        <v>51.19</v>
      </c>
      <c r="S42" s="311">
        <f>全车数据表!S43</f>
        <v>52.48</v>
      </c>
      <c r="T42" s="311">
        <f>全车数据表!T43</f>
        <v>5.5489999999999995</v>
      </c>
      <c r="U42" s="311">
        <f>全车数据表!AH43</f>
        <v>606800</v>
      </c>
      <c r="V42" s="311">
        <f>全车数据表!AO43</f>
        <v>480000</v>
      </c>
      <c r="W42" s="311">
        <f>全车数据表!AP43</f>
        <v>1086800</v>
      </c>
      <c r="X42" s="311">
        <f>全车数据表!AJ43</f>
        <v>4</v>
      </c>
      <c r="Y42" s="311">
        <f>全车数据表!AL43</f>
        <v>1</v>
      </c>
      <c r="Z42" s="311">
        <f>IF(全车数据表!AN43="×",0,全车数据表!AN43)</f>
        <v>1</v>
      </c>
      <c r="AA42" s="313" t="str">
        <f>全车数据表!AU43</f>
        <v>uncm</v>
      </c>
      <c r="AB42" s="311">
        <f>全车数据表!AW43</f>
        <v>340</v>
      </c>
      <c r="AC42" s="311">
        <f>全车数据表!AX43</f>
        <v>0</v>
      </c>
      <c r="AD42" s="311">
        <f>全车数据表!AY43</f>
        <v>437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>三星1款</v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宝马</v>
      </c>
      <c r="BA42" s="311">
        <f>IF(全车数据表!AV43="","",全车数据表!AV43)</f>
        <v>6</v>
      </c>
    </row>
    <row r="43" spans="1:53">
      <c r="A43" s="311">
        <f>全车数据表!A44</f>
        <v>42</v>
      </c>
      <c r="B43" s="311" t="str">
        <f>全车数据表!B44</f>
        <v>Rezvani Beast X</v>
      </c>
      <c r="C43" s="311" t="str">
        <f>IF(全车数据表!AQ44="","",全车数据表!AQ44)</f>
        <v>Rezvani</v>
      </c>
      <c r="D43" s="313" t="str">
        <f>全车数据表!AT44</f>
        <v>beast</v>
      </c>
      <c r="E43" s="313" t="str">
        <f>全车数据表!AS44</f>
        <v>1.0</v>
      </c>
      <c r="F43" s="313" t="str">
        <f>全车数据表!C44</f>
        <v>野兽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35</v>
      </c>
      <c r="J43" s="311">
        <f>IF(全车数据表!I44="×",0,全车数据表!I44)</f>
        <v>15</v>
      </c>
      <c r="K43" s="311">
        <f>IF(全车数据表!J44="×",0,全车数据表!J44)</f>
        <v>21</v>
      </c>
      <c r="L43" s="311">
        <f>IF(全车数据表!K44="×",0,全车数据表!K44)</f>
        <v>32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2635</v>
      </c>
      <c r="P43" s="311">
        <f>全车数据表!P44</f>
        <v>299.5</v>
      </c>
      <c r="Q43" s="311">
        <f>全车数据表!Q44</f>
        <v>84.62</v>
      </c>
      <c r="R43" s="311">
        <f>全车数据表!R44</f>
        <v>69.2</v>
      </c>
      <c r="S43" s="311">
        <f>全车数据表!S44</f>
        <v>63.68</v>
      </c>
      <c r="T43" s="311">
        <f>全车数据表!T44</f>
        <v>7.7829999999999995</v>
      </c>
      <c r="U43" s="311">
        <f>全车数据表!AH44</f>
        <v>1457720</v>
      </c>
      <c r="V43" s="311">
        <f>全车数据表!AO44</f>
        <v>1080000</v>
      </c>
      <c r="W43" s="311">
        <f>全车数据表!AP44</f>
        <v>2537720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312</v>
      </c>
      <c r="AC43" s="311">
        <f>全车数据表!AX44</f>
        <v>0</v>
      </c>
      <c r="AD43" s="311">
        <f>全车数据表!AY44</f>
        <v>399</v>
      </c>
      <c r="AE43" s="311" t="str">
        <f>IF(全车数据表!AZ44="","",全车数据表!AZ44)</f>
        <v>独家赛事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>
        <f>IF(全车数据表!BE44="","",全车数据表!BE44)</f>
        <v>1</v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野兽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Aston Martin V12 Speedster</v>
      </c>
      <c r="C44" s="311" t="str">
        <f>IF(全车数据表!AQ45="","",全车数据表!AQ45)</f>
        <v>Aston Martin</v>
      </c>
      <c r="D44" s="313" t="str">
        <f>全车数据表!AT45</f>
        <v>v12</v>
      </c>
      <c r="E44" s="313" t="str">
        <f>全车数据表!AS45</f>
        <v>3.0</v>
      </c>
      <c r="F44" s="313" t="str">
        <f>全车数据表!C45</f>
        <v>V12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2735</v>
      </c>
      <c r="P44" s="311">
        <f>全车数据表!P45</f>
        <v>313</v>
      </c>
      <c r="Q44" s="311">
        <f>全车数据表!Q45</f>
        <v>80.12</v>
      </c>
      <c r="R44" s="311">
        <f>全车数据表!R45</f>
        <v>57.28</v>
      </c>
      <c r="S44" s="311">
        <f>全车数据表!S45</f>
        <v>62.51</v>
      </c>
      <c r="T44" s="311">
        <f>全车数据表!T45</f>
        <v>0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326</v>
      </c>
      <c r="AC44" s="311">
        <f>全车数据表!AX45</f>
        <v>0</v>
      </c>
      <c r="AD44" s="311">
        <f>全车数据表!AY45</f>
        <v>415</v>
      </c>
      <c r="AE44" s="311" t="str">
        <f>IF(全车数据表!AZ45="","",全车数据表!AZ45)</f>
        <v>寻车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 t="str">
        <f>IF(全车数据表!BD45="","",全车数据表!BD45)</f>
        <v/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>无顶</v>
      </c>
      <c r="AX44" s="311" t="str">
        <f>IF(全车数据表!BS45="","",全车数据表!BS45)</f>
        <v/>
      </c>
      <c r="AY44" s="311" t="str">
        <f>IF(全车数据表!BT45="","",全车数据表!BT45)</f>
        <v/>
      </c>
      <c r="AZ44" s="311" t="str">
        <f>IF(全车数据表!BU45="","",全车数据表!BU45)</f>
        <v>阿斯顿马丁</v>
      </c>
      <c r="BA44" s="311" t="str">
        <f>IF(全车数据表!AV45="","",全车数据表!AV45)</f>
        <v/>
      </c>
    </row>
    <row r="45" spans="1:53">
      <c r="A45" s="311">
        <f>全车数据表!A46</f>
        <v>44</v>
      </c>
      <c r="B45" s="311" t="str">
        <f>全车数据表!B46</f>
        <v>Donkervoort D8 GTO Individual Series</v>
      </c>
      <c r="C45" s="311" t="str">
        <f>IF(全车数据表!AQ46="","",全车数据表!AQ46)</f>
        <v>Donkervoort</v>
      </c>
      <c r="D45" s="313" t="str">
        <f>全车数据表!AT46</f>
        <v>d8</v>
      </c>
      <c r="E45" s="313" t="str">
        <f>全车数据表!AS46</f>
        <v>3.9</v>
      </c>
      <c r="F45" s="313" t="str">
        <f>全车数据表!C46</f>
        <v>D8 GTO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2800</v>
      </c>
      <c r="P45" s="311">
        <f>全车数据表!P46</f>
        <v>300.3</v>
      </c>
      <c r="Q45" s="311">
        <f>全车数据表!Q46</f>
        <v>85.42</v>
      </c>
      <c r="R45" s="311">
        <f>全车数据表!R46</f>
        <v>85.09</v>
      </c>
      <c r="S45" s="311">
        <f>全车数据表!S46</f>
        <v>62.77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313</v>
      </c>
      <c r="AC45" s="311">
        <f>全车数据表!AX46</f>
        <v>0</v>
      </c>
      <c r="AD45" s="311">
        <f>全车数据表!AY46</f>
        <v>400</v>
      </c>
      <c r="AE45" s="311" t="str">
        <f>IF(全车数据表!AZ46="","",全车数据表!AZ46)</f>
        <v>通行证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 t="str">
        <f>IF(全车数据表!BF46="","",全车数据表!BF46)</f>
        <v/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>拖拉机</v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Dodge Viper ACR</v>
      </c>
      <c r="C46" s="311" t="str">
        <f>IF(全车数据表!AQ47="","",全车数据表!AQ47)</f>
        <v>Dodge</v>
      </c>
      <c r="D46" s="313" t="str">
        <f>全车数据表!AT47</f>
        <v>acr</v>
      </c>
      <c r="E46" s="313" t="str">
        <f>全车数据表!AS47</f>
        <v>1.0</v>
      </c>
      <c r="F46" s="313" t="str">
        <f>全车数据表!C47</f>
        <v>蝰蛇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35</v>
      </c>
      <c r="J46" s="311">
        <f>IF(全车数据表!I47="×",0,全车数据表!I47)</f>
        <v>15</v>
      </c>
      <c r="K46" s="311">
        <f>IF(全车数据表!J47="×",0,全车数据表!J47)</f>
        <v>21</v>
      </c>
      <c r="L46" s="311">
        <f>IF(全车数据表!K47="×",0,全车数据表!K47)</f>
        <v>32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2816</v>
      </c>
      <c r="P46" s="311">
        <f>全车数据表!P47</f>
        <v>303.89999999999998</v>
      </c>
      <c r="Q46" s="311">
        <f>全车数据表!Q47</f>
        <v>77.319999999999993</v>
      </c>
      <c r="R46" s="311">
        <f>全车数据表!R47</f>
        <v>86.2</v>
      </c>
      <c r="S46" s="311">
        <f>全车数据表!S47</f>
        <v>68.94</v>
      </c>
      <c r="T46" s="311">
        <f>全车数据表!T47</f>
        <v>8.9660000000000011</v>
      </c>
      <c r="U46" s="311">
        <f>全车数据表!AH47</f>
        <v>1457720</v>
      </c>
      <c r="V46" s="311">
        <f>全车数据表!AO47</f>
        <v>1080000</v>
      </c>
      <c r="W46" s="311">
        <f>全车数据表!AP47</f>
        <v>2537720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317</v>
      </c>
      <c r="AC46" s="311">
        <f>全车数据表!AX47</f>
        <v>0</v>
      </c>
      <c r="AD46" s="311">
        <f>全车数据表!AY47</f>
        <v>404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道奇 C蛇 蝰蛇</v>
      </c>
      <c r="BA46" s="311">
        <f>IF(全车数据表!AV47="","",全车数据表!AV47)</f>
        <v>7</v>
      </c>
    </row>
    <row r="47" spans="1:53">
      <c r="A47" s="311">
        <f>全车数据表!A48</f>
        <v>46</v>
      </c>
      <c r="B47" s="311" t="str">
        <f>全车数据表!B48</f>
        <v>Bolwell MK X Nagari 500</v>
      </c>
      <c r="C47" s="311" t="str">
        <f>IF(全车数据表!AQ48="","",全车数据表!AQ48)</f>
        <v>Bolwell</v>
      </c>
      <c r="D47" s="313" t="str">
        <f>全车数据表!AT48</f>
        <v>mk500</v>
      </c>
      <c r="E47" s="313" t="str">
        <f>全车数据表!AS48</f>
        <v>3.4</v>
      </c>
      <c r="F47" s="313" t="str">
        <f>全车数据表!C48</f>
        <v>MK500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2857</v>
      </c>
      <c r="P47" s="311">
        <f>全车数据表!P48</f>
        <v>314.60000000000002</v>
      </c>
      <c r="Q47" s="311">
        <f>全车数据表!Q48</f>
        <v>81.62</v>
      </c>
      <c r="R47" s="311">
        <f>全车数据表!R48</f>
        <v>65.849999999999994</v>
      </c>
      <c r="S47" s="311">
        <f>全车数据表!S48</f>
        <v>62.99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328</v>
      </c>
      <c r="AC47" s="311">
        <f>全车数据表!AX48</f>
        <v>0</v>
      </c>
      <c r="AD47" s="311">
        <f>全车数据表!AY48</f>
        <v>418</v>
      </c>
      <c r="AE47" s="311" t="str">
        <f>IF(全车数据表!AZ48="","",全车数据表!AZ48)</f>
        <v>寻车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/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Ford Shelby GR-1</v>
      </c>
      <c r="C48" s="311" t="str">
        <f>IF(全车数据表!AQ49="","",全车数据表!AQ49)</f>
        <v>Ford</v>
      </c>
      <c r="D48" s="313" t="str">
        <f>全车数据表!AT49</f>
        <v>gr-1</v>
      </c>
      <c r="E48" s="313" t="str">
        <f>全车数据表!AS49</f>
        <v>1.9</v>
      </c>
      <c r="F48" s="313" t="str">
        <f>全车数据表!C49</f>
        <v>大野马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2909</v>
      </c>
      <c r="P48" s="311">
        <f>全车数据表!P49</f>
        <v>321.7</v>
      </c>
      <c r="Q48" s="311">
        <f>全车数据表!Q49</f>
        <v>75.319999999999993</v>
      </c>
      <c r="R48" s="311">
        <f>全车数据表!R49</f>
        <v>69.599999999999994</v>
      </c>
      <c r="S48" s="311">
        <f>全车数据表!S49</f>
        <v>66.63</v>
      </c>
      <c r="T48" s="311">
        <f>全车数据表!T49</f>
        <v>7.7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335</v>
      </c>
      <c r="AC48" s="311">
        <f>全车数据表!AX49</f>
        <v>0</v>
      </c>
      <c r="AD48" s="311">
        <f>全车数据表!AY49</f>
        <v>429</v>
      </c>
      <c r="AE48" s="311" t="str">
        <f>IF(全车数据表!AZ49="","",全车数据表!AZ49)</f>
        <v>红币商店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 t="str">
        <f>IF(全车数据表!BF49="","",全车数据表!BF49)</f>
        <v/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福特 大野马 阿巴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Pininfarina H2 Speed</v>
      </c>
      <c r="C49" s="311" t="str">
        <f>IF(全车数据表!AQ50="","",全车数据表!AQ50)</f>
        <v>Pininfarina</v>
      </c>
      <c r="D49" s="313" t="str">
        <f>全车数据表!AT50</f>
        <v>h2</v>
      </c>
      <c r="E49" s="313" t="str">
        <f>全车数据表!AS50</f>
        <v>1.0</v>
      </c>
      <c r="F49" s="313" t="str">
        <f>全车数据表!C50</f>
        <v>h2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3003</v>
      </c>
      <c r="P49" s="311">
        <f>全车数据表!P50</f>
        <v>317.89999999999998</v>
      </c>
      <c r="Q49" s="311">
        <f>全车数据表!Q50</f>
        <v>78.22</v>
      </c>
      <c r="R49" s="311">
        <f>全车数据表!R50</f>
        <v>86.5</v>
      </c>
      <c r="S49" s="311">
        <f>全车数据表!S50</f>
        <v>60.57</v>
      </c>
      <c r="T49" s="311">
        <f>全车数据表!T50</f>
        <v>6.7160000000000002</v>
      </c>
      <c r="U49" s="311">
        <f>全车数据表!AH50</f>
        <v>1457720</v>
      </c>
      <c r="V49" s="311">
        <f>全车数据表!AO50</f>
        <v>1080000</v>
      </c>
      <c r="W49" s="311">
        <f>全车数据表!AP50</f>
        <v>2537720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331</v>
      </c>
      <c r="AC49" s="311">
        <f>全车数据表!AX50</f>
        <v>0</v>
      </c>
      <c r="AD49" s="311">
        <f>全车数据表!AY50</f>
        <v>422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氢</v>
      </c>
      <c r="BA49" s="311">
        <f>IF(全车数据表!AV50="","",全车数据表!AV50)</f>
        <v>8</v>
      </c>
    </row>
    <row r="50" spans="1:53">
      <c r="A50" s="311">
        <f>全车数据表!A51</f>
        <v>49</v>
      </c>
      <c r="B50" s="311" t="str">
        <f>全车数据表!B51</f>
        <v>Artega Scalo SuperErelletra</v>
      </c>
      <c r="C50" s="311" t="str">
        <f>IF(全车数据表!AQ51="","",全车数据表!AQ51)</f>
        <v>Artega</v>
      </c>
      <c r="D50" s="313" t="str">
        <f>全车数据表!AT51</f>
        <v>ass</v>
      </c>
      <c r="E50" s="313" t="str">
        <f>全车数据表!AS51</f>
        <v>1.7</v>
      </c>
      <c r="F50" s="313" t="str">
        <f>全车数据表!C51</f>
        <v>Artega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3088</v>
      </c>
      <c r="P50" s="311">
        <f>全车数据表!P51</f>
        <v>316.3</v>
      </c>
      <c r="Q50" s="311">
        <f>全车数据表!Q51</f>
        <v>85.72</v>
      </c>
      <c r="R50" s="311">
        <f>全车数据表!R51</f>
        <v>57.94</v>
      </c>
      <c r="S50" s="311">
        <f>全车数据表!S51</f>
        <v>71.91</v>
      </c>
      <c r="T50" s="311">
        <f>全车数据表!T51</f>
        <v>9.06</v>
      </c>
      <c r="U50" s="311">
        <f>全车数据表!AH51</f>
        <v>2913840</v>
      </c>
      <c r="V50" s="311">
        <f>全车数据表!AO51</f>
        <v>2160000</v>
      </c>
      <c r="W50" s="311">
        <f>全车数据表!AP51</f>
        <v>5073840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329</v>
      </c>
      <c r="AC50" s="311">
        <f>全车数据表!AX51</f>
        <v>0</v>
      </c>
      <c r="AD50" s="311">
        <f>全车数据表!AY51</f>
        <v>420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ass 斯卡洛</v>
      </c>
      <c r="BA50" s="311">
        <f>IF(全车数据表!AV51="","",全车数据表!AV51)</f>
        <v>7</v>
      </c>
    </row>
    <row r="51" spans="1:53">
      <c r="A51" s="311">
        <f>全车数据表!A52</f>
        <v>50</v>
      </c>
      <c r="B51" s="311" t="str">
        <f>全车数据表!B52</f>
        <v>Saleen S1</v>
      </c>
      <c r="C51" s="311" t="str">
        <f>IF(全车数据表!AQ52="","",全车数据表!AQ52)</f>
        <v>Saleen</v>
      </c>
      <c r="D51" s="313" t="str">
        <f>全车数据表!AT52</f>
        <v>saleens1</v>
      </c>
      <c r="E51" s="313" t="str">
        <f>全车数据表!AS52</f>
        <v>3.2</v>
      </c>
      <c r="F51" s="313" t="str">
        <f>全车数据表!C52</f>
        <v>萨林S1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50</v>
      </c>
      <c r="J51" s="311">
        <f>IF(全车数据表!I52="×",0,全车数据表!I52)</f>
        <v>29</v>
      </c>
      <c r="K51" s="311">
        <f>IF(全车数据表!J52="×",0,全车数据表!J52)</f>
        <v>38</v>
      </c>
      <c r="L51" s="311">
        <f>IF(全车数据表!K52="×",0,全车数据表!K52)</f>
        <v>48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3144</v>
      </c>
      <c r="P51" s="311">
        <f>全车数据表!P52</f>
        <v>305.3</v>
      </c>
      <c r="Q51" s="311">
        <f>全车数据表!Q52</f>
        <v>76.739999999999995</v>
      </c>
      <c r="R51" s="311">
        <f>全车数据表!R52</f>
        <v>82.8</v>
      </c>
      <c r="S51" s="311">
        <f>全车数据表!S52</f>
        <v>74.069999999999993</v>
      </c>
      <c r="T51" s="311">
        <f>全车数据表!T52</f>
        <v>0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318</v>
      </c>
      <c r="AC51" s="311">
        <f>全车数据表!AX52</f>
        <v>327</v>
      </c>
      <c r="AD51" s="311">
        <f>全车数据表!AY52</f>
        <v>415</v>
      </c>
      <c r="AE51" s="311" t="str">
        <f>IF(全车数据表!AZ52="","",全车数据表!AZ52)</f>
        <v>车手联会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>赛麟 萨林</v>
      </c>
      <c r="BA51" s="311" t="str">
        <f>IF(全车数据表!AV52="","",全车数据表!AV52)</f>
        <v/>
      </c>
    </row>
    <row r="52" spans="1:53">
      <c r="A52" s="311">
        <f>全车数据表!A53</f>
        <v>51</v>
      </c>
      <c r="B52" s="311" t="str">
        <f>全车数据表!B53</f>
        <v>Acura 2017 NSX</v>
      </c>
      <c r="C52" s="311" t="str">
        <f>IF(全车数据表!AQ53="","",全车数据表!AQ53)</f>
        <v>Acura</v>
      </c>
      <c r="D52" s="313" t="str">
        <f>全车数据表!AT53</f>
        <v>nsx</v>
      </c>
      <c r="E52" s="313" t="str">
        <f>全车数据表!AS53</f>
        <v>1.0</v>
      </c>
      <c r="F52" s="313" t="str">
        <f>全车数据表!C53</f>
        <v>nsx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32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3199</v>
      </c>
      <c r="P52" s="311">
        <f>全车数据表!P53</f>
        <v>323.5</v>
      </c>
      <c r="Q52" s="311">
        <f>全车数据表!Q53</f>
        <v>84.32</v>
      </c>
      <c r="R52" s="311">
        <f>全车数据表!R53</f>
        <v>63.02</v>
      </c>
      <c r="S52" s="311">
        <f>全车数据表!S53</f>
        <v>54.67</v>
      </c>
      <c r="T52" s="311">
        <f>全车数据表!T53</f>
        <v>5.8490000000000002</v>
      </c>
      <c r="U52" s="311">
        <f>全车数据表!AH53</f>
        <v>1457720</v>
      </c>
      <c r="V52" s="311">
        <f>全车数据表!AO53</f>
        <v>1080000</v>
      </c>
      <c r="W52" s="311">
        <f>全车数据表!AP53</f>
        <v>2537720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337</v>
      </c>
      <c r="AC52" s="311">
        <f>全车数据表!AX53</f>
        <v>0</v>
      </c>
      <c r="AD52" s="311">
        <f>全车数据表!AY53</f>
        <v>432</v>
      </c>
      <c r="AE52" s="311" t="str">
        <f>IF(全车数据表!AZ53="","",全车数据表!AZ53)</f>
        <v>级别杯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>
        <f>IF(全车数据表!BC53="","",全车数据表!BC53)</f>
        <v>1</v>
      </c>
      <c r="AI52" s="311">
        <f>IF(全车数据表!BD53="","",全车数据表!BD53)</f>
        <v>1</v>
      </c>
      <c r="AJ52" s="311" t="str">
        <f>IF(全车数据表!BE53="","",全车数据表!BE53)</f>
        <v/>
      </c>
      <c r="AK52" s="311">
        <f>IF(全车数据表!BF53="","",全车数据表!BF53)</f>
        <v>1</v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>
        <f>IF(全车数据表!BI53="","",全车数据表!BI53)</f>
        <v>1</v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>
        <f>IF(全车数据表!BT53="","",全车数据表!BT53)</f>
        <v>1</v>
      </c>
      <c r="AZ52" s="311" t="str">
        <f>IF(全车数据表!BU53="","",全车数据表!BU53)</f>
        <v>讴歌</v>
      </c>
      <c r="BA52" s="311">
        <f>IF(全车数据表!AV53="","",全车数据表!AV53)</f>
        <v>9</v>
      </c>
    </row>
    <row r="53" spans="1:53">
      <c r="A53" s="311">
        <f>全车数据表!A54</f>
        <v>52</v>
      </c>
      <c r="B53" s="311" t="str">
        <f>全车数据表!B54</f>
        <v>Maserati Alfieri</v>
      </c>
      <c r="C53" s="311" t="str">
        <f>IF(全车数据表!AQ54="","",全车数据表!AQ54)</f>
        <v>Maserati</v>
      </c>
      <c r="D53" s="313" t="str">
        <f>全车数据表!AT54</f>
        <v>alfieri</v>
      </c>
      <c r="E53" s="313" t="str">
        <f>全车数据表!AS54</f>
        <v>1.2</v>
      </c>
      <c r="F53" s="313" t="str">
        <f>全车数据表!C54</f>
        <v>玛莎</v>
      </c>
      <c r="G53" s="311" t="str">
        <f>全车数据表!D54</f>
        <v>C</v>
      </c>
      <c r="H53" s="311">
        <f>LEN(全车数据表!E54)</f>
        <v>4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32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3206</v>
      </c>
      <c r="P53" s="311">
        <f>全车数据表!P54</f>
        <v>335.7</v>
      </c>
      <c r="Q53" s="311">
        <f>全车数据表!Q54</f>
        <v>74.430000000000007</v>
      </c>
      <c r="R53" s="311">
        <f>全车数据表!R54</f>
        <v>41.38</v>
      </c>
      <c r="S53" s="311">
        <f>全车数据表!S54</f>
        <v>72.91</v>
      </c>
      <c r="T53" s="311">
        <f>全车数据表!T54</f>
        <v>8.6829999999999998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349</v>
      </c>
      <c r="AC53" s="311">
        <f>全车数据表!AX54</f>
        <v>0</v>
      </c>
      <c r="AD53" s="311">
        <f>全车数据表!AY54</f>
        <v>453</v>
      </c>
      <c r="AE53" s="311" t="str">
        <f>IF(全车数据表!AZ54="","",全车数据表!AZ54)</f>
        <v>级别杯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>
        <f>IF(全车数据表!BC54="","",全车数据表!BC54)</f>
        <v>1</v>
      </c>
      <c r="AI53" s="311">
        <f>IF(全车数据表!BD54="","",全车数据表!BD54)</f>
        <v>1</v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>
        <f>IF(全车数据表!BT54="","",全车数据表!BT54)</f>
        <v>1</v>
      </c>
      <c r="AZ53" s="311" t="str">
        <f>IF(全车数据表!BU54="","",全车数据表!BU54)</f>
        <v>玛莎拉蒂</v>
      </c>
      <c r="BA53" s="311">
        <f>IF(全车数据表!AV54="","",全车数据表!AV54)</f>
        <v>10</v>
      </c>
    </row>
    <row r="54" spans="1:53">
      <c r="A54" s="311">
        <f>全车数据表!A55</f>
        <v>53</v>
      </c>
      <c r="B54" s="311" t="str">
        <f>全车数据表!B55</f>
        <v>Jaguar XJR-15</v>
      </c>
      <c r="C54" s="311" t="str">
        <f>IF(全车数据表!AQ55="","",全车数据表!AQ55)</f>
        <v>Jaguar</v>
      </c>
      <c r="D54" s="313" t="str">
        <f>全车数据表!AT55</f>
        <v>xjr-15</v>
      </c>
      <c r="E54" s="313" t="str">
        <f>全车数据表!AS55</f>
        <v>4.2</v>
      </c>
      <c r="F54" s="313" t="str">
        <f>全车数据表!C55</f>
        <v>XJR15</v>
      </c>
      <c r="G54" s="311" t="str">
        <f>全车数据表!D55</f>
        <v>C</v>
      </c>
      <c r="H54" s="311">
        <f>LEN(全车数据表!E55)</f>
        <v>4</v>
      </c>
      <c r="I54" s="311">
        <f>IF(全车数据表!H55="×",0,全车数据表!H55)</f>
        <v>50</v>
      </c>
      <c r="J54" s="311">
        <f>IF(全车数据表!I55="×",0,全车数据表!I55)</f>
        <v>29</v>
      </c>
      <c r="K54" s="311">
        <f>IF(全车数据表!J55="×",0,全车数据表!J55)</f>
        <v>38</v>
      </c>
      <c r="L54" s="311">
        <f>IF(全车数据表!K55="×",0,全车数据表!K55)</f>
        <v>48</v>
      </c>
      <c r="M54" s="311">
        <f>IF(全车数据表!L55="×",0,全车数据表!L55)</f>
        <v>0</v>
      </c>
      <c r="N54" s="311">
        <f>IF(全车数据表!M55="×",0,全车数据表!M55)</f>
        <v>0</v>
      </c>
      <c r="O54" s="311">
        <f>全车数据表!O55</f>
        <v>3221</v>
      </c>
      <c r="P54" s="311">
        <f>全车数据表!P55</f>
        <v>320.39999999999998</v>
      </c>
      <c r="Q54" s="311">
        <f>全车数据表!Q55</f>
        <v>80.819999999999993</v>
      </c>
      <c r="R54" s="311">
        <f>全车数据表!R55</f>
        <v>70.91</v>
      </c>
      <c r="S54" s="311">
        <f>全车数据表!S55</f>
        <v>61.06</v>
      </c>
      <c r="T54" s="311">
        <f>全车数据表!T55</f>
        <v>6.6</v>
      </c>
      <c r="U54" s="311">
        <f>全车数据表!AH55</f>
        <v>2913840</v>
      </c>
      <c r="V54" s="311">
        <f>全车数据表!AO55</f>
        <v>2160000</v>
      </c>
      <c r="W54" s="311">
        <f>全车数据表!AP55</f>
        <v>5073840</v>
      </c>
      <c r="X54" s="311">
        <f>全车数据表!AJ55</f>
        <v>6</v>
      </c>
      <c r="Y54" s="311">
        <f>全车数据表!AL55</f>
        <v>3</v>
      </c>
      <c r="Z54" s="311">
        <f>IF(全车数据表!AN55="×",0,全车数据表!AN55)</f>
        <v>1</v>
      </c>
      <c r="AA54" s="313" t="str">
        <f>全车数据表!AU55</f>
        <v>rare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Monza SP1</v>
      </c>
      <c r="C55" s="311" t="str">
        <f>IF(全车数据表!AQ56="","",全车数据表!AQ56)</f>
        <v>Ferrari</v>
      </c>
      <c r="D55" s="313" t="str">
        <f>全车数据表!AT56</f>
        <v>monza</v>
      </c>
      <c r="E55" s="313" t="str">
        <f>全车数据表!AS56</f>
        <v>3.6</v>
      </c>
      <c r="F55" s="313" t="str">
        <f>全车数据表!C56</f>
        <v>Monza</v>
      </c>
      <c r="G55" s="311" t="str">
        <f>全车数据表!D56</f>
        <v>C</v>
      </c>
      <c r="H55" s="311">
        <f>LEN(全车数据表!E56)</f>
        <v>4</v>
      </c>
      <c r="I55" s="311">
        <f>IF(全车数据表!H56="×",0,全车数据表!H56)</f>
        <v>50</v>
      </c>
      <c r="J55" s="311">
        <f>IF(全车数据表!I56="×",0,全车数据表!I56)</f>
        <v>29</v>
      </c>
      <c r="K55" s="311">
        <f>IF(全车数据表!J56="×",0,全车数据表!J56)</f>
        <v>38</v>
      </c>
      <c r="L55" s="311">
        <f>IF(全车数据表!K56="×",0,全车数据表!K56)</f>
        <v>48</v>
      </c>
      <c r="M55" s="311">
        <f>IF(全车数据表!L56="×",0,全车数据表!L56)</f>
        <v>0</v>
      </c>
      <c r="N55" s="311">
        <f>IF(全车数据表!M56="×",0,全车数据表!M56)</f>
        <v>0</v>
      </c>
      <c r="O55" s="311">
        <f>全车数据表!O56</f>
        <v>3334</v>
      </c>
      <c r="P55" s="311">
        <f>全车数据表!P56</f>
        <v>319.60000000000002</v>
      </c>
      <c r="Q55" s="311">
        <f>全车数据表!Q56</f>
        <v>82.32</v>
      </c>
      <c r="R55" s="311">
        <f>全车数据表!R56</f>
        <v>62.53</v>
      </c>
      <c r="S55" s="311">
        <f>全车数据表!S56</f>
        <v>63.22</v>
      </c>
      <c r="T55" s="311">
        <f>全车数据表!T56</f>
        <v>0</v>
      </c>
      <c r="U55" s="311">
        <f>全车数据表!AH56</f>
        <v>2913840</v>
      </c>
      <c r="V55" s="311">
        <f>全车数据表!AO56</f>
        <v>2160000</v>
      </c>
      <c r="W55" s="311">
        <f>全车数据表!AP56</f>
        <v>5073840</v>
      </c>
      <c r="X55" s="311">
        <f>全车数据表!AJ56</f>
        <v>6</v>
      </c>
      <c r="Y55" s="311">
        <f>全车数据表!AL56</f>
        <v>3</v>
      </c>
      <c r="Z55" s="311">
        <f>IF(全车数据表!AN56="×",0,全车数据表!AN56)</f>
        <v>1</v>
      </c>
      <c r="AA55" s="313" t="str">
        <f>全车数据表!AU56</f>
        <v>rare</v>
      </c>
      <c r="AB55" s="311">
        <f>全车数据表!AW56</f>
        <v>332</v>
      </c>
      <c r="AC55" s="311">
        <f>全车数据表!AX56</f>
        <v>0</v>
      </c>
      <c r="AD55" s="311">
        <f>全车数据表!AY56</f>
        <v>424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ATS Automobili Corsa RRTurbo🔑</v>
      </c>
      <c r="C56" s="311" t="str">
        <f>IF(全车数据表!AQ57="","",全车数据表!AQ57)</f>
        <v>ATS Automobili</v>
      </c>
      <c r="D56" s="313" t="str">
        <f>全车数据表!AT57</f>
        <v>rrturbo</v>
      </c>
      <c r="E56" s="313" t="str">
        <f>全车数据表!AS57</f>
        <v>2.8</v>
      </c>
      <c r="F56" s="313" t="str">
        <f>全车数据表!C57</f>
        <v>RRTurbo</v>
      </c>
      <c r="G56" s="311" t="str">
        <f>全车数据表!D57</f>
        <v>C</v>
      </c>
      <c r="H56" s="311">
        <f>LEN(全车数据表!E57)</f>
        <v>4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38</v>
      </c>
      <c r="L56" s="311">
        <f>IF(全车数据表!K57="×",0,全车数据表!K57)</f>
        <v>52</v>
      </c>
      <c r="M56" s="311">
        <f>IF(全车数据表!L57="×",0,全车数据表!L57)</f>
        <v>0</v>
      </c>
      <c r="N56" s="311">
        <f>IF(全车数据表!M57="×",0,全车数据表!M57)</f>
        <v>0</v>
      </c>
      <c r="O56" s="311">
        <f>全车数据表!O57</f>
        <v>3392</v>
      </c>
      <c r="P56" s="311">
        <f>全车数据表!P57</f>
        <v>321.7</v>
      </c>
      <c r="Q56" s="311">
        <f>全车数据表!Q57</f>
        <v>87.51</v>
      </c>
      <c r="R56" s="311">
        <f>全车数据表!R57</f>
        <v>68.27</v>
      </c>
      <c r="S56" s="311">
        <f>全车数据表!S57</f>
        <v>45.8</v>
      </c>
      <c r="T56" s="311">
        <f>全车数据表!T57</f>
        <v>4.7300000000000004</v>
      </c>
      <c r="U56" s="311">
        <f>全车数据表!AH57</f>
        <v>2913840</v>
      </c>
      <c r="V56" s="311">
        <f>全车数据表!AO57</f>
        <v>2160000</v>
      </c>
      <c r="W56" s="311">
        <f>全车数据表!AP57</f>
        <v>5073840</v>
      </c>
      <c r="X56" s="311">
        <f>全车数据表!AJ57</f>
        <v>6</v>
      </c>
      <c r="Y56" s="311">
        <f>全车数据表!AL57</f>
        <v>3</v>
      </c>
      <c r="Z56" s="311">
        <f>IF(全车数据表!AN57="×",0,全车数据表!AN57)</f>
        <v>1</v>
      </c>
      <c r="AA56" s="313" t="str">
        <f>全车数据表!AU57</f>
        <v>rare</v>
      </c>
      <c r="AB56" s="311">
        <f>全车数据表!AW57</f>
        <v>335</v>
      </c>
      <c r="AC56" s="311">
        <f>全车数据表!AX57</f>
        <v>0</v>
      </c>
      <c r="AD56" s="311">
        <f>全车数据表!AY57</f>
        <v>429</v>
      </c>
      <c r="AE56" s="311" t="str">
        <f>IF(全车数据表!AZ57="","",全车数据表!AZ57)</f>
        <v>惊艳亮相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>
        <f>IF(全车数据表!BH57="","",全车数据表!BH57)</f>
        <v>1</v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/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Jaguar XV SE Project 8</v>
      </c>
      <c r="C57" s="311" t="str">
        <f>IF(全车数据表!AQ58="","",全车数据表!AQ58)</f>
        <v>Jaguar</v>
      </c>
      <c r="D57" s="313" t="str">
        <f>全车数据表!AT58</f>
        <v>project8</v>
      </c>
      <c r="E57" s="313" t="str">
        <f>全车数据表!AS58</f>
        <v>3.7</v>
      </c>
      <c r="F57" s="313" t="str">
        <f>全车数据表!C58</f>
        <v>Project8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3483</v>
      </c>
      <c r="P57" s="311">
        <f>全车数据表!P58</f>
        <v>338.7</v>
      </c>
      <c r="Q57" s="311">
        <f>全车数据表!Q58</f>
        <v>78.28</v>
      </c>
      <c r="R57" s="311">
        <f>全车数据表!R58</f>
        <v>48.14</v>
      </c>
      <c r="S57" s="311">
        <f>全车数据表!S58</f>
        <v>62.98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352</v>
      </c>
      <c r="AC57" s="311">
        <f>全车数据表!AX58</f>
        <v>0</v>
      </c>
      <c r="AD57" s="311">
        <f>全车数据表!AY58</f>
        <v>458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捷豹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Ferrari F40</v>
      </c>
      <c r="C58" s="311" t="str">
        <f>IF(全车数据表!AQ59="","",全车数据表!AQ59)</f>
        <v>Ferrari</v>
      </c>
      <c r="D58" s="313" t="str">
        <f>全车数据表!AT59</f>
        <v>f40</v>
      </c>
      <c r="E58" s="313" t="str">
        <f>全车数据表!AS59</f>
        <v>2.5</v>
      </c>
      <c r="F58" s="313" t="str">
        <f>全车数据表!C59</f>
        <v>F40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3531</v>
      </c>
      <c r="P58" s="311">
        <f>全车数据表!P59</f>
        <v>340.6</v>
      </c>
      <c r="Q58" s="311">
        <f>全车数据表!Q59</f>
        <v>72.88</v>
      </c>
      <c r="R58" s="311">
        <f>全车数据表!R59</f>
        <v>69.319999999999993</v>
      </c>
      <c r="S58" s="311">
        <f>全车数据表!S59</f>
        <v>63.5</v>
      </c>
      <c r="T58" s="311">
        <f>全车数据表!T59</f>
        <v>6.33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354</v>
      </c>
      <c r="AC58" s="311">
        <f>全车数据表!AX59</f>
        <v>0</v>
      </c>
      <c r="AD58" s="311">
        <f>全车数据表!AY59</f>
        <v>462</v>
      </c>
      <c r="AE58" s="311" t="str">
        <f>IF(全车数据表!AZ59="","",全车数据表!AZ59)</f>
        <v>寻车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>
        <f>IF(全车数据表!BF59="","",全车数据表!BF59)</f>
        <v>1</v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 t="str">
        <f>IF(全车数据表!BO59="","",全车数据表!BO59)</f>
        <v/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法拉利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Renault R.S. 01🔑</v>
      </c>
      <c r="C59" s="311" t="str">
        <f>IF(全车数据表!AQ60="","",全车数据表!AQ60)</f>
        <v>Renault</v>
      </c>
      <c r="D59" s="313" t="str">
        <f>全车数据表!AT60</f>
        <v>rs01</v>
      </c>
      <c r="E59" s="313" t="str">
        <f>全车数据表!AS60</f>
        <v>2.9</v>
      </c>
      <c r="F59" s="313" t="str">
        <f>全车数据表!C60</f>
        <v>雷诺RS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3565</v>
      </c>
      <c r="P59" s="311">
        <f>全车数据表!P60</f>
        <v>320.7</v>
      </c>
      <c r="Q59" s="311">
        <f>全车数据表!Q60</f>
        <v>83.68</v>
      </c>
      <c r="R59" s="311">
        <f>全车数据表!R60</f>
        <v>61.38</v>
      </c>
      <c r="S59" s="311">
        <f>全车数据表!S60</f>
        <v>72.010000000000005</v>
      </c>
      <c r="T59" s="311">
        <f>全车数据表!T60</f>
        <v>9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334</v>
      </c>
      <c r="AC59" s="311">
        <f>全车数据表!AX60</f>
        <v>0</v>
      </c>
      <c r="AD59" s="311">
        <f>全车数据表!AY60</f>
        <v>427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雷诺rs01</v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Mercedes-Benz CLK-GTR</v>
      </c>
      <c r="C60" s="311" t="str">
        <f>IF(全车数据表!AQ61="","",全车数据表!AQ61)</f>
        <v>Mercedes-Benz</v>
      </c>
      <c r="D60" s="313" t="str">
        <f>全车数据表!AT61</f>
        <v>clk</v>
      </c>
      <c r="E60" s="313" t="str">
        <f>全车数据表!AS61</f>
        <v>4.1</v>
      </c>
      <c r="F60" s="313" t="str">
        <f>全车数据表!C61</f>
        <v>CLK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3575</v>
      </c>
      <c r="P60" s="311">
        <f>全车数据表!P61</f>
        <v>332.7</v>
      </c>
      <c r="Q60" s="311">
        <f>全车数据表!Q61</f>
        <v>78.92</v>
      </c>
      <c r="R60" s="311">
        <f>全车数据表!R61</f>
        <v>70.489999999999995</v>
      </c>
      <c r="S60" s="311">
        <f>全车数据表!S61</f>
        <v>57.24</v>
      </c>
      <c r="T60" s="311">
        <f>全车数据表!T61</f>
        <v>5.83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346</v>
      </c>
      <c r="AC60" s="311">
        <f>全车数据表!AX61</f>
        <v>0</v>
      </c>
      <c r="AD60" s="311">
        <f>全车数据表!AY61</f>
        <v>448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 t="str">
        <f>IF(全车数据表!BO61="","",全车数据表!BO61)</f>
        <v/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梅赛德斯奔驰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Acura NSX GT3 EVO🔑</v>
      </c>
      <c r="C61" s="311" t="str">
        <f>IF(全车数据表!AQ62="","",全车数据表!AQ62)</f>
        <v>Acura</v>
      </c>
      <c r="D61" s="313" t="str">
        <f>全车数据表!AT62</f>
        <v>nsxgt3</v>
      </c>
      <c r="E61" s="313" t="str">
        <f>全车数据表!AS62</f>
        <v>2.7</v>
      </c>
      <c r="F61" s="313" t="str">
        <f>全车数据表!C62</f>
        <v>NSX GT3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41</v>
      </c>
      <c r="N61" s="311">
        <f>IF(全车数据表!M62="×",0,全车数据表!M62)</f>
        <v>0</v>
      </c>
      <c r="O61" s="311">
        <f>全车数据表!O62</f>
        <v>3585</v>
      </c>
      <c r="P61" s="311">
        <f>全车数据表!P62</f>
        <v>314.39999999999998</v>
      </c>
      <c r="Q61" s="311">
        <f>全车数据表!Q62</f>
        <v>74.290000000000006</v>
      </c>
      <c r="R61" s="311">
        <f>全车数据表!R62</f>
        <v>86.13</v>
      </c>
      <c r="S61" s="311">
        <f>全车数据表!S62</f>
        <v>73.760000000000005</v>
      </c>
      <c r="T61" s="311">
        <f>全车数据表!T62</f>
        <v>9.8000000000000007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327</v>
      </c>
      <c r="AC61" s="311">
        <f>全车数据表!AX62</f>
        <v>345</v>
      </c>
      <c r="AD61" s="311">
        <f>全车数据表!AY62</f>
        <v>442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>
        <f>IF(全车数据表!BL62="","",全车数据表!BL62)</f>
        <v>1</v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讴歌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Vencer Sarthe</v>
      </c>
      <c r="C62" s="311" t="str">
        <f>IF(全车数据表!AQ63="","",全车数据表!AQ63)</f>
        <v>Vencer</v>
      </c>
      <c r="D62" s="313" t="str">
        <f>全车数据表!AT63</f>
        <v>sarthe</v>
      </c>
      <c r="E62" s="313" t="str">
        <f>全车数据表!AS63</f>
        <v>1.3</v>
      </c>
      <c r="F62" s="313" t="str">
        <f>全车数据表!C63</f>
        <v>剃刀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3638</v>
      </c>
      <c r="P62" s="311">
        <f>全车数据表!P63</f>
        <v>350.5</v>
      </c>
      <c r="Q62" s="311">
        <f>全车数据表!Q63</f>
        <v>74.12</v>
      </c>
      <c r="R62" s="311">
        <f>全车数据表!R63</f>
        <v>62.87</v>
      </c>
      <c r="S62" s="311">
        <f>全车数据表!S63</f>
        <v>46.83</v>
      </c>
      <c r="T62" s="311">
        <f>全车数据表!T63</f>
        <v>5.0669999999999993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365</v>
      </c>
      <c r="AC62" s="311">
        <f>全车数据表!AX63</f>
        <v>0</v>
      </c>
      <c r="AD62" s="311">
        <f>全车数据表!AY63</f>
        <v>479</v>
      </c>
      <c r="AE62" s="311" t="str">
        <f>IF(全车数据表!AZ63="","",全车数据表!AZ63)</f>
        <v>级别杯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>
        <f>IF(全车数据表!BC63="","",全车数据表!BC63)</f>
        <v>1</v>
      </c>
      <c r="AI62" s="311">
        <f>IF(全车数据表!BD63="","",全车数据表!BD63)</f>
        <v>1</v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>
        <f>IF(全车数据表!BT63="","",全车数据表!BT63)</f>
        <v>1</v>
      </c>
      <c r="AZ62" s="311" t="str">
        <f>IF(全车数据表!BU63="","",全车数据表!BU63)</f>
        <v>C萎 剃刀</v>
      </c>
      <c r="BA62" s="311">
        <f>IF(全车数据表!AV63="","",全车数据表!AV63)</f>
        <v>11</v>
      </c>
    </row>
    <row r="63" spans="1:53">
      <c r="A63" s="311">
        <f>全车数据表!A64</f>
        <v>62</v>
      </c>
      <c r="B63" s="311" t="str">
        <f>全车数据表!B64</f>
        <v>Maserati MC12</v>
      </c>
      <c r="C63" s="311" t="str">
        <f>IF(全车数据表!AQ64="","",全车数据表!AQ64)</f>
        <v>Maserati</v>
      </c>
      <c r="D63" s="313" t="str">
        <f>全车数据表!AT64</f>
        <v>mc12</v>
      </c>
      <c r="E63" s="313" t="str">
        <f>全车数据表!AS64</f>
        <v>4.0</v>
      </c>
      <c r="F63" s="313" t="str">
        <f>全车数据表!C64</f>
        <v>MC12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3660</v>
      </c>
      <c r="P63" s="311">
        <f>全车数据表!P64</f>
        <v>342.9</v>
      </c>
      <c r="Q63" s="311">
        <f>全车数据表!Q64</f>
        <v>76.48</v>
      </c>
      <c r="R63" s="311">
        <f>全车数据表!R64</f>
        <v>72.36</v>
      </c>
      <c r="S63" s="311">
        <f>全车数据表!S64</f>
        <v>38.94</v>
      </c>
      <c r="T63" s="311">
        <f>全车数据表!T64</f>
        <v>4.3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357</v>
      </c>
      <c r="AC63" s="311">
        <f>全车数据表!AX64</f>
        <v>0</v>
      </c>
      <c r="AD63" s="311">
        <f>全车数据表!AY64</f>
        <v>466</v>
      </c>
      <c r="AE63" s="311" t="str">
        <f>IF(全车数据表!AZ64="","",全车数据表!AZ64)</f>
        <v>大奖赛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>
        <f>IF(全车数据表!BN64="","",全车数据表!BN64)</f>
        <v>1</v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Bentley Mulliner Bacalar</v>
      </c>
      <c r="C64" s="311" t="str">
        <f>IF(全车数据表!AQ65="","",全车数据表!AQ65)</f>
        <v>Bentley</v>
      </c>
      <c r="D64" s="313" t="str">
        <f>全车数据表!AT65</f>
        <v>bacalar</v>
      </c>
      <c r="E64" s="313" t="str">
        <f>全车数据表!AS65</f>
        <v>2.4</v>
      </c>
      <c r="F64" s="313" t="str">
        <f>全车数据表!C65</f>
        <v>Bacalar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3665</v>
      </c>
      <c r="P64" s="311">
        <f>全车数据表!P65</f>
        <v>340.4</v>
      </c>
      <c r="Q64" s="311">
        <f>全车数据表!Q65</f>
        <v>77.38</v>
      </c>
      <c r="R64" s="311">
        <f>全车数据表!R65</f>
        <v>67.260000000000005</v>
      </c>
      <c r="S64" s="311">
        <f>全车数据表!S65</f>
        <v>55.86</v>
      </c>
      <c r="T64" s="311">
        <f>全车数据表!T65</f>
        <v>5.73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354</v>
      </c>
      <c r="AC64" s="311">
        <f>全车数据表!AX65</f>
        <v>0</v>
      </c>
      <c r="AD64" s="311">
        <f>全车数据表!AY65</f>
        <v>461</v>
      </c>
      <c r="AE64" s="311" t="str">
        <f>IF(全车数据表!AZ65="","",全车数据表!AZ65)</f>
        <v>通行证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>
        <f>IF(全车数据表!BG65="","",全车数据表!BG65)</f>
        <v>1</v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>无顶</v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宾利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Lamborghini Miura Concept🔑</v>
      </c>
      <c r="C65" s="311" t="str">
        <f>IF(全车数据表!AQ66="","",全车数据表!AQ66)</f>
        <v>Lamborghini</v>
      </c>
      <c r="D65" s="313" t="str">
        <f>全车数据表!AT66</f>
        <v>miura</v>
      </c>
      <c r="E65" s="313" t="str">
        <f>全车数据表!AS66</f>
        <v>3.5</v>
      </c>
      <c r="F65" s="313" t="str">
        <f>全车数据表!C66</f>
        <v>Miura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3690</v>
      </c>
      <c r="P65" s="311">
        <f>全车数据表!P66</f>
        <v>346.2</v>
      </c>
      <c r="Q65" s="311">
        <f>全车数据表!Q66</f>
        <v>72.319999999999993</v>
      </c>
      <c r="R65" s="311">
        <f>全车数据表!R66</f>
        <v>54.97</v>
      </c>
      <c r="S65" s="311">
        <f>全车数据表!S66</f>
        <v>60.38</v>
      </c>
      <c r="T65" s="311">
        <f>全车数据表!T66</f>
        <v>6.07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361</v>
      </c>
      <c r="AC65" s="311">
        <f>全车数据表!AX66</f>
        <v>0</v>
      </c>
      <c r="AD65" s="311">
        <f>全车数据表!AY66</f>
        <v>473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兰博基尼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Porsche 718 Cayman GT4 ClubSport🔑</v>
      </c>
      <c r="C66" s="311" t="str">
        <f>IF(全车数据表!AQ67="","",全车数据表!AQ67)</f>
        <v>Porsche</v>
      </c>
      <c r="D66" s="313" t="str">
        <f>全车数据表!AT67</f>
        <v>718gt4</v>
      </c>
      <c r="E66" s="313" t="str">
        <f>全车数据表!AS67</f>
        <v>2.1</v>
      </c>
      <c r="F66" s="313" t="str">
        <f>全车数据表!C67</f>
        <v>718GT4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40</v>
      </c>
      <c r="N66" s="311">
        <f>IF(全车数据表!M67="×",0,全车数据表!M67)</f>
        <v>0</v>
      </c>
      <c r="O66" s="311">
        <f>全车数据表!O67</f>
        <v>3727</v>
      </c>
      <c r="P66" s="311">
        <f>全车数据表!P67</f>
        <v>323.60000000000002</v>
      </c>
      <c r="Q66" s="311">
        <f>全车数据表!Q67</f>
        <v>73.44</v>
      </c>
      <c r="R66" s="311">
        <f>全车数据表!R67</f>
        <v>87.24</v>
      </c>
      <c r="S66" s="311">
        <f>全车数据表!S67</f>
        <v>70.55</v>
      </c>
      <c r="T66" s="311">
        <f>全车数据表!T67</f>
        <v>8.5500000000000007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337</v>
      </c>
      <c r="AC66" s="311">
        <f>全车数据表!AX67</f>
        <v>0</v>
      </c>
      <c r="AD66" s="311">
        <f>全车数据表!AY67</f>
        <v>432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保时捷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Chevrolet Corvette Stingray</v>
      </c>
      <c r="C67" s="311" t="str">
        <f>IF(全车数据表!AQ68="","",全车数据表!AQ68)</f>
        <v>Chevrolet Corvette</v>
      </c>
      <c r="D67" s="313" t="str">
        <f>全车数据表!AT68</f>
        <v>stingray</v>
      </c>
      <c r="E67" s="313" t="str">
        <f>全车数据表!AS68</f>
        <v>2.3</v>
      </c>
      <c r="F67" s="313" t="str">
        <f>全车数据表!C68</f>
        <v>黄貂鱼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3787</v>
      </c>
      <c r="P67" s="311">
        <f>全车数据表!P68</f>
        <v>327.7</v>
      </c>
      <c r="Q67" s="311">
        <f>全车数据表!Q68</f>
        <v>81.56</v>
      </c>
      <c r="R67" s="311">
        <f>全车数据表!R68</f>
        <v>60.15</v>
      </c>
      <c r="S67" s="311">
        <f>全车数据表!S68</f>
        <v>64.44</v>
      </c>
      <c r="T67" s="311">
        <f>全车数据表!T68</f>
        <v>7.1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341</v>
      </c>
      <c r="AC67" s="311">
        <f>全车数据表!AX68</f>
        <v>0</v>
      </c>
      <c r="AD67" s="311">
        <f>全车数据表!AY68</f>
        <v>439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雪佛兰 克尔维特 黄貂鱼 C8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Brabham BT62🔑</v>
      </c>
      <c r="C68" s="311" t="str">
        <f>IF(全车数据表!AQ69="","",全车数据表!AQ69)</f>
        <v>Brabham</v>
      </c>
      <c r="D68" s="313" t="str">
        <f>全车数据表!AT69</f>
        <v>bt62</v>
      </c>
      <c r="E68" s="313" t="str">
        <f>全车数据表!AS69</f>
        <v>3.4</v>
      </c>
      <c r="F68" s="313" t="str">
        <f>全车数据表!C69</f>
        <v>BT62</v>
      </c>
      <c r="G68" s="311" t="str">
        <f>全车数据表!D69</f>
        <v>C</v>
      </c>
      <c r="H68" s="311">
        <f>LEN(全车数据表!E69)</f>
        <v>5</v>
      </c>
      <c r="I68" s="311" t="str">
        <f>IF(全车数据表!H69="×",0,全车数据表!H69)</f>
        <v>🔑</v>
      </c>
      <c r="J68" s="311">
        <f>IF(全车数据表!I69="×",0,全车数据表!I69)</f>
        <v>25</v>
      </c>
      <c r="K68" s="311">
        <f>IF(全车数据表!J69="×",0,全车数据表!J69)</f>
        <v>32</v>
      </c>
      <c r="L68" s="311">
        <f>IF(全车数据表!K69="×",0,全车数据表!K69)</f>
        <v>36</v>
      </c>
      <c r="M68" s="311">
        <f>IF(全车数据表!L69="×",0,全车数据表!L69)</f>
        <v>40</v>
      </c>
      <c r="N68" s="311">
        <f>IF(全车数据表!M69="×",0,全车数据表!M69)</f>
        <v>0</v>
      </c>
      <c r="O68" s="311">
        <f>全车数据表!O69</f>
        <v>3817</v>
      </c>
      <c r="P68" s="311">
        <f>全车数据表!P69</f>
        <v>322</v>
      </c>
      <c r="Q68" s="311">
        <f>全车数据表!Q69</f>
        <v>83.93</v>
      </c>
      <c r="R68" s="311">
        <f>全车数据表!R69</f>
        <v>76.11</v>
      </c>
      <c r="S68" s="311">
        <f>全车数据表!S69</f>
        <v>75.7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335</v>
      </c>
      <c r="AC68" s="311">
        <f>全车数据表!AX69</f>
        <v>0</v>
      </c>
      <c r="AD68" s="311">
        <f>全车数据表!AY69</f>
        <v>429</v>
      </c>
      <c r="AE68" s="311" t="str">
        <f>IF(全车数据表!AZ69="","",全车数据表!AZ69)</f>
        <v>大奖赛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>
        <f>IF(全车数据表!BN69="","",全车数据表!BN69)</f>
        <v>1</v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/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Ferrari 599XX EVO🔑</v>
      </c>
      <c r="C69" s="311" t="str">
        <f>IF(全车数据表!AQ70="","",全车数据表!AQ70)</f>
        <v>Ferrari</v>
      </c>
      <c r="D69" s="313" t="str">
        <f>全车数据表!AT70</f>
        <v>xxe</v>
      </c>
      <c r="E69" s="313" t="str">
        <f>全车数据表!AS70</f>
        <v>2.5</v>
      </c>
      <c r="F69" s="313" t="str">
        <f>全车数据表!C70</f>
        <v>XXE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3843</v>
      </c>
      <c r="P69" s="311">
        <f>全车数据表!P70</f>
        <v>322</v>
      </c>
      <c r="Q69" s="311">
        <f>全车数据表!Q70</f>
        <v>80.98</v>
      </c>
      <c r="R69" s="311">
        <f>全车数据表!R70</f>
        <v>83.65</v>
      </c>
      <c r="S69" s="311">
        <f>全车数据表!S70</f>
        <v>70.81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335</v>
      </c>
      <c r="AC69" s="311">
        <f>全车数据表!AX70</f>
        <v>0</v>
      </c>
      <c r="AD69" s="311">
        <f>全车数据表!AY70</f>
        <v>429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>
        <f>IF(全车数据表!BL70="","",全车数据表!BL70)</f>
        <v>1</v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>
        <f>IF(全车数据表!BO70="","",全车数据表!BO70)</f>
        <v>1</v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法拉利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Ares S1🔑</v>
      </c>
      <c r="C70" s="311" t="str">
        <f>IF(全车数据表!AQ71="","",全车数据表!AQ71)</f>
        <v>Ares</v>
      </c>
      <c r="D70" s="313" t="str">
        <f>全车数据表!AT71</f>
        <v>ares</v>
      </c>
      <c r="E70" s="313" t="str">
        <f>全车数据表!AS71</f>
        <v>3.8</v>
      </c>
      <c r="F70" s="313" t="str">
        <f>全车数据表!C71</f>
        <v>Ares</v>
      </c>
      <c r="G70" s="311" t="str">
        <f>全车数据表!D71</f>
        <v>C</v>
      </c>
      <c r="H70" s="311">
        <f>LEN(全车数据表!E71)</f>
        <v>5</v>
      </c>
      <c r="I70" s="311" t="str">
        <f>IF(全车数据表!H71="×",0,全车数据表!H71)</f>
        <v>🔑</v>
      </c>
      <c r="J70" s="311">
        <f>IF(全车数据表!I71="×",0,全车数据表!I71)</f>
        <v>25</v>
      </c>
      <c r="K70" s="311">
        <f>IF(全车数据表!J71="×",0,全车数据表!J71)</f>
        <v>32</v>
      </c>
      <c r="L70" s="311">
        <f>IF(全车数据表!K71="×",0,全车数据表!K71)</f>
        <v>36</v>
      </c>
      <c r="M70" s="311">
        <f>IF(全车数据表!L71="×",0,全车数据表!L71)</f>
        <v>41</v>
      </c>
      <c r="N70" s="311">
        <f>IF(全车数据表!M71="×",0,全车数据表!M71)</f>
        <v>0</v>
      </c>
      <c r="O70" s="311">
        <f>全车数据表!O71</f>
        <v>3859</v>
      </c>
      <c r="P70" s="311">
        <f>全车数据表!P71</f>
        <v>307.8</v>
      </c>
      <c r="Q70" s="311">
        <f>全车数据表!Q71</f>
        <v>89.55</v>
      </c>
      <c r="R70" s="311">
        <f>全车数据表!R71</f>
        <v>78.930000000000007</v>
      </c>
      <c r="S70" s="311">
        <f>全车数据表!S71</f>
        <v>68.930000000000007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333</v>
      </c>
      <c r="AC70" s="311">
        <f>全车数据表!AX71</f>
        <v>0</v>
      </c>
      <c r="AD70" s="311">
        <f>全车数据表!AY71</f>
        <v>422</v>
      </c>
      <c r="AE70" s="311" t="str">
        <f>IF(全车数据表!AZ71="","",全车数据表!AZ71)</f>
        <v>大奖赛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>
        <f>IF(全车数据表!BN71="","",全车数据表!BN71)</f>
        <v>1</v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战神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Lamborghini Diablo GT</v>
      </c>
      <c r="C71" s="311" t="str">
        <f>IF(全车数据表!AQ72="","",全车数据表!AQ72)</f>
        <v>Lamborghini</v>
      </c>
      <c r="D71" s="313" t="str">
        <f>全车数据表!AT72</f>
        <v>diablo</v>
      </c>
      <c r="E71" s="313" t="str">
        <f>全车数据表!AS72</f>
        <v>3.5</v>
      </c>
      <c r="F71" s="313" t="str">
        <f>全车数据表!C72</f>
        <v>Diablo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3871</v>
      </c>
      <c r="P71" s="311">
        <f>全车数据表!P72</f>
        <v>348.6</v>
      </c>
      <c r="Q71" s="311">
        <f>全车数据表!Q72</f>
        <v>74.03</v>
      </c>
      <c r="R71" s="311">
        <f>全车数据表!R72</f>
        <v>62.5</v>
      </c>
      <c r="S71" s="311">
        <f>全车数据表!S72</f>
        <v>58.63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363</v>
      </c>
      <c r="AC71" s="311">
        <f>全车数据表!AX72</f>
        <v>0</v>
      </c>
      <c r="AD71" s="311">
        <f>全车数据表!AY72</f>
        <v>475</v>
      </c>
      <c r="AE71" s="311" t="str">
        <f>IF(全车数据表!AZ72="","",全车数据表!AZ72)</f>
        <v>氪金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>
        <f>IF(全车数据表!BO72="","",全车数据表!BO72)</f>
        <v>1</v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兰博基尼 菠萝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Arrinera Hussarya 33</v>
      </c>
      <c r="C72" s="311" t="str">
        <f>IF(全车数据表!AQ73="","",全车数据表!AQ73)</f>
        <v>Arrinera</v>
      </c>
      <c r="D72" s="313" t="str">
        <f>全车数据表!AT73</f>
        <v>33</v>
      </c>
      <c r="E72" s="313" t="str">
        <f>全车数据表!AS73</f>
        <v>1.7</v>
      </c>
      <c r="F72" s="313">
        <f>全车数据表!C73</f>
        <v>33</v>
      </c>
      <c r="G72" s="311" t="str">
        <f>全车数据表!D73</f>
        <v>C</v>
      </c>
      <c r="H72" s="311">
        <f>LEN(全车数据表!E73)</f>
        <v>5</v>
      </c>
      <c r="I72" s="311">
        <f>IF(全车数据表!H73="×",0,全车数据表!H73)</f>
        <v>35</v>
      </c>
      <c r="J72" s="311">
        <f>IF(全车数据表!I73="×",0,全车数据表!I73)</f>
        <v>15</v>
      </c>
      <c r="K72" s="311">
        <f>IF(全车数据表!J73="×",0,全车数据表!J73)</f>
        <v>21</v>
      </c>
      <c r="L72" s="311">
        <f>IF(全车数据表!K73="×",0,全车数据表!K73)</f>
        <v>28</v>
      </c>
      <c r="M72" s="311">
        <f>IF(全车数据表!L73="×",0,全车数据表!L73)</f>
        <v>35</v>
      </c>
      <c r="N72" s="311">
        <f>IF(全车数据表!M73="×",0,全车数据表!M73)</f>
        <v>0</v>
      </c>
      <c r="O72" s="311">
        <f>全车数据表!O73</f>
        <v>3897</v>
      </c>
      <c r="P72" s="311">
        <f>全车数据表!P73</f>
        <v>352.1</v>
      </c>
      <c r="Q72" s="311">
        <f>全车数据表!Q73</f>
        <v>78.53</v>
      </c>
      <c r="R72" s="311">
        <f>全车数据表!R73</f>
        <v>59.47</v>
      </c>
      <c r="S72" s="311">
        <f>全车数据表!S73</f>
        <v>47.71</v>
      </c>
      <c r="T72" s="311">
        <f>全车数据表!T73</f>
        <v>4.9000000000000004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366</v>
      </c>
      <c r="AC72" s="311">
        <f>全车数据表!AX73</f>
        <v>0</v>
      </c>
      <c r="AD72" s="311">
        <f>全车数据表!AY73</f>
        <v>482</v>
      </c>
      <c r="AE72" s="311" t="str">
        <f>IF(全车数据表!AZ73="","",全车数据表!AZ73)</f>
        <v>寻车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>
        <f>IF(全车数据表!BF73="","",全车数据表!BF73)</f>
        <v>1</v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波兰车</v>
      </c>
      <c r="BA72" s="311">
        <f>IF(全车数据表!AV73="","",全车数据表!AV73)</f>
        <v>13</v>
      </c>
    </row>
    <row r="73" spans="1:53">
      <c r="A73" s="311">
        <f>全车数据表!A74</f>
        <v>72</v>
      </c>
      <c r="B73" s="311" t="str">
        <f>全车数据表!B74</f>
        <v>Bugatti EB110🔑</v>
      </c>
      <c r="C73" s="311" t="str">
        <f>IF(全车数据表!AQ74="","",全车数据表!AQ74)</f>
        <v>Bugatti</v>
      </c>
      <c r="D73" s="313" t="str">
        <f>全车数据表!AT74</f>
        <v>eb110</v>
      </c>
      <c r="E73" s="313" t="str">
        <f>全车数据表!AS74</f>
        <v>3.6</v>
      </c>
      <c r="F73" s="313" t="str">
        <f>全车数据表!C74</f>
        <v>EB110</v>
      </c>
      <c r="G73" s="311" t="str">
        <f>全车数据表!D74</f>
        <v>C</v>
      </c>
      <c r="H73" s="311">
        <f>LEN(全车数据表!E74)</f>
        <v>5</v>
      </c>
      <c r="I73" s="311" t="str">
        <f>IF(全车数据表!H74="×",0,全车数据表!H74)</f>
        <v>🔑</v>
      </c>
      <c r="J73" s="311">
        <f>IF(全车数据表!I74="×",0,全车数据表!I74)</f>
        <v>25</v>
      </c>
      <c r="K73" s="311">
        <f>IF(全车数据表!J74="×",0,全车数据表!J74)</f>
        <v>32</v>
      </c>
      <c r="L73" s="311">
        <f>IF(全车数据表!K74="×",0,全车数据表!K74)</f>
        <v>36</v>
      </c>
      <c r="M73" s="311">
        <f>IF(全车数据表!L74="×",0,全车数据表!L74)</f>
        <v>41</v>
      </c>
      <c r="N73" s="311">
        <f>IF(全车数据表!M74="×",0,全车数据表!M74)</f>
        <v>0</v>
      </c>
      <c r="O73" s="311">
        <f>全车数据表!O74</f>
        <v>3946</v>
      </c>
      <c r="P73" s="311">
        <f>全车数据表!P74</f>
        <v>348.4</v>
      </c>
      <c r="Q73" s="311">
        <f>全车数据表!Q74</f>
        <v>74.12</v>
      </c>
      <c r="R73" s="311">
        <f>全车数据表!R74</f>
        <v>66.08</v>
      </c>
      <c r="S73" s="311">
        <f>全车数据表!S74</f>
        <v>58.15</v>
      </c>
      <c r="T73" s="311">
        <f>全车数据表!T74</f>
        <v>0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362</v>
      </c>
      <c r="AC73" s="311">
        <f>全车数据表!AX74</f>
        <v>0</v>
      </c>
      <c r="AD73" s="311">
        <f>全车数据表!AY74</f>
        <v>475</v>
      </c>
      <c r="AE73" s="311" t="str">
        <f>IF(全车数据表!AZ74="","",全车数据表!AZ74)</f>
        <v>大奖赛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>
        <f>IF(全车数据表!BL74="","",全车数据表!BL74)</f>
        <v>1</v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>
        <f>IF(全车数据表!BO74="","",全车数据表!BO74)</f>
        <v>1</v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布加迪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Porsche Panamera Turbo S🔑</v>
      </c>
      <c r="C74" s="311" t="str">
        <f>IF(全车数据表!AQ75="","",全车数据表!AQ75)</f>
        <v>Porsche</v>
      </c>
      <c r="D74" s="313" t="str">
        <f>全车数据表!AT75</f>
        <v>panamera</v>
      </c>
      <c r="E74" s="313" t="str">
        <f>全车数据表!AS75</f>
        <v>4.1</v>
      </c>
      <c r="F74" s="313" t="str">
        <f>全车数据表!C75</f>
        <v>帕拉梅拉</v>
      </c>
      <c r="G74" s="311" t="str">
        <f>全车数据表!D75</f>
        <v>C</v>
      </c>
      <c r="H74" s="311">
        <f>LEN(全车数据表!E75)</f>
        <v>5</v>
      </c>
      <c r="I74" s="311" t="str">
        <f>IF(全车数据表!H75="×",0,全车数据表!H75)</f>
        <v>🔑</v>
      </c>
      <c r="J74" s="311">
        <f>IF(全车数据表!I75="×",0,全车数据表!I75)</f>
        <v>25</v>
      </c>
      <c r="K74" s="311">
        <f>IF(全车数据表!J75="×",0,全车数据表!J75)</f>
        <v>32</v>
      </c>
      <c r="L74" s="311">
        <f>IF(全车数据表!K75="×",0,全车数据表!K75)</f>
        <v>36</v>
      </c>
      <c r="M74" s="311">
        <f>IF(全车数据表!L75="×",0,全车数据表!L75)</f>
        <v>41</v>
      </c>
      <c r="N74" s="311">
        <f>IF(全车数据表!M75="×",0,全车数据表!M75)</f>
        <v>0</v>
      </c>
      <c r="O74" s="311">
        <f>全车数据表!O75</f>
        <v>3971</v>
      </c>
      <c r="P74" s="311">
        <f>全车数据表!P75</f>
        <v>326.3</v>
      </c>
      <c r="Q74" s="311">
        <f>全车数据表!Q75</f>
        <v>88.03</v>
      </c>
      <c r="R74" s="311">
        <f>全车数据表!R75</f>
        <v>72.48</v>
      </c>
      <c r="S74" s="311">
        <f>全车数据表!S75</f>
        <v>58.56</v>
      </c>
      <c r="T74" s="311">
        <f>全车数据表!T75</f>
        <v>6.1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340</v>
      </c>
      <c r="AC74" s="311">
        <f>全车数据表!AX75</f>
        <v>0</v>
      </c>
      <c r="AD74" s="311">
        <f>全车数据表!AY75</f>
        <v>437</v>
      </c>
      <c r="AE74" s="311" t="str">
        <f>IF(全车数据表!AZ75="","",全车数据表!AZ75)</f>
        <v>寻车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>
        <f>IF(全车数据表!BN75="","",全车数据表!BN75)</f>
        <v>1</v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保时捷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Lamborghini Gallardo LP 560-4</v>
      </c>
      <c r="C75" s="311" t="str">
        <f>IF(全车数据表!AQ76="","",全车数据表!AQ76)</f>
        <v>Lamborghini</v>
      </c>
      <c r="D75" s="313" t="str">
        <f>全车数据表!AT76</f>
        <v>gallardo</v>
      </c>
      <c r="E75" s="313" t="str">
        <f>全车数据表!AS76</f>
        <v>2.2</v>
      </c>
      <c r="F75" s="313" t="str">
        <f>全车数据表!C76</f>
        <v>盖拉多</v>
      </c>
      <c r="G75" s="311" t="str">
        <f>全车数据表!D76</f>
        <v>C</v>
      </c>
      <c r="H75" s="311">
        <f>LEN(全车数据表!E76)</f>
        <v>5</v>
      </c>
      <c r="I75" s="311">
        <f>IF(全车数据表!H76="×",0,全车数据表!H76)</f>
        <v>35</v>
      </c>
      <c r="J75" s="311">
        <f>IF(全车数据表!I76="×",0,全车数据表!I76)</f>
        <v>15</v>
      </c>
      <c r="K75" s="311">
        <f>IF(全车数据表!J76="×",0,全车数据表!J76)</f>
        <v>21</v>
      </c>
      <c r="L75" s="311">
        <f>IF(全车数据表!K76="×",0,全车数据表!K76)</f>
        <v>28</v>
      </c>
      <c r="M75" s="311">
        <f>IF(全车数据表!L76="×",0,全车数据表!L76)</f>
        <v>35</v>
      </c>
      <c r="N75" s="311">
        <f>IF(全车数据表!M76="×",0,全车数据表!M76)</f>
        <v>0</v>
      </c>
      <c r="O75" s="311">
        <f>全车数据表!O76</f>
        <v>3997</v>
      </c>
      <c r="P75" s="311">
        <f>全车数据表!P76</f>
        <v>340.7</v>
      </c>
      <c r="Q75" s="311">
        <f>全车数据表!Q76</f>
        <v>76.56</v>
      </c>
      <c r="R75" s="311">
        <f>全车数据表!R76</f>
        <v>75.81</v>
      </c>
      <c r="S75" s="311">
        <f>全车数据表!S76</f>
        <v>59.69</v>
      </c>
      <c r="T75" s="311">
        <f>全车数据表!T76</f>
        <v>0</v>
      </c>
      <c r="U75" s="311">
        <f>全车数据表!AH76</f>
        <v>5804120</v>
      </c>
      <c r="V75" s="311">
        <f>全车数据表!AO76</f>
        <v>4640000</v>
      </c>
      <c r="W75" s="311">
        <f>全车数据表!AP76</f>
        <v>10444120</v>
      </c>
      <c r="X75" s="311">
        <f>全车数据表!AJ76</f>
        <v>9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epic</v>
      </c>
      <c r="AB75" s="311">
        <f>全车数据表!AW76</f>
        <v>354</v>
      </c>
      <c r="AC75" s="311">
        <f>全车数据表!AX76</f>
        <v>0</v>
      </c>
      <c r="AD75" s="311">
        <f>全车数据表!AY76</f>
        <v>462</v>
      </c>
      <c r="AE75" s="311" t="str">
        <f>IF(全车数据表!AZ76="","",全车数据表!AZ76)</f>
        <v>通行证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>
        <f>IF(全车数据表!BG76="","",全车数据表!BG76)</f>
        <v>1</v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>
        <f>IF(全车数据表!BO76="","",全车数据表!BO76)</f>
        <v>1</v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兰博基尼 盖拉多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McLaren GT</v>
      </c>
      <c r="C76" s="311" t="str">
        <f>IF(全车数据表!AQ77="","",全车数据表!AQ77)</f>
        <v>McLaren</v>
      </c>
      <c r="D76" s="313" t="str">
        <f>全车数据表!AT77</f>
        <v>mclarengt</v>
      </c>
      <c r="E76" s="313" t="str">
        <f>全车数据表!AS77</f>
        <v>3.3</v>
      </c>
      <c r="F76" s="313" t="str">
        <f>全车数据表!C77</f>
        <v>迈凯伦GT</v>
      </c>
      <c r="G76" s="311" t="str">
        <f>全车数据表!D77</f>
        <v>C</v>
      </c>
      <c r="H76" s="311">
        <f>LEN(全车数据表!E77)</f>
        <v>5</v>
      </c>
      <c r="I76" s="311">
        <f>IF(全车数据表!H77="×",0,全车数据表!H77)</f>
        <v>35</v>
      </c>
      <c r="J76" s="311">
        <f>IF(全车数据表!I77="×",0,全车数据表!I77)</f>
        <v>15</v>
      </c>
      <c r="K76" s="311">
        <f>IF(全车数据表!J77="×",0,全车数据表!J77)</f>
        <v>21</v>
      </c>
      <c r="L76" s="311">
        <f>IF(全车数据表!K77="×",0,全车数据表!K77)</f>
        <v>28</v>
      </c>
      <c r="M76" s="311">
        <f>IF(全车数据表!L77="×",0,全车数据表!L77)</f>
        <v>35</v>
      </c>
      <c r="N76" s="311">
        <f>IF(全车数据表!M77="×",0,全车数据表!M77)</f>
        <v>0</v>
      </c>
      <c r="O76" s="311">
        <f>全车数据表!O77</f>
        <v>4022</v>
      </c>
      <c r="P76" s="311">
        <f>全车数据表!P77</f>
        <v>339.1</v>
      </c>
      <c r="Q76" s="311">
        <f>全车数据表!Q77</f>
        <v>80.98</v>
      </c>
      <c r="R76" s="311">
        <f>全车数据表!R77</f>
        <v>69.09</v>
      </c>
      <c r="S76" s="311">
        <f>全车数据表!S77</f>
        <v>57.31</v>
      </c>
      <c r="T76" s="311">
        <f>全车数据表!T77</f>
        <v>0</v>
      </c>
      <c r="U76" s="311">
        <f>全车数据表!AH77</f>
        <v>5804120</v>
      </c>
      <c r="V76" s="311">
        <f>全车数据表!AO77</f>
        <v>4640000</v>
      </c>
      <c r="W76" s="311">
        <f>全车数据表!AP77</f>
        <v>10444120</v>
      </c>
      <c r="X76" s="311">
        <f>全车数据表!AJ77</f>
        <v>9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epic</v>
      </c>
      <c r="AB76" s="311">
        <f>全车数据表!AW77</f>
        <v>353</v>
      </c>
      <c r="AC76" s="311">
        <f>全车数据表!AX77</f>
        <v>0</v>
      </c>
      <c r="AD76" s="311">
        <f>全车数据表!AY77</f>
        <v>459</v>
      </c>
      <c r="AE76" s="311" t="str">
        <f>IF(全车数据表!AZ77="","",全车数据表!AZ77)</f>
        <v>护照寻车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迈凯伦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Mercedes-Benz Mercedes-AMG GT Black Series🔑</v>
      </c>
      <c r="C77" s="311" t="str">
        <f>IF(全车数据表!AQ78="","",全车数据表!AQ78)</f>
        <v>Mercedes-Benz</v>
      </c>
      <c r="D77" s="313" t="str">
        <f>全车数据表!AT78</f>
        <v>mbbs</v>
      </c>
      <c r="E77" s="313" t="str">
        <f>全车数据表!AS78</f>
        <v>3.9</v>
      </c>
      <c r="F77" s="313" t="str">
        <f>全车数据表!C78</f>
        <v>梅奔BS</v>
      </c>
      <c r="G77" s="311" t="str">
        <f>全车数据表!D78</f>
        <v>C</v>
      </c>
      <c r="H77" s="311">
        <f>LEN(全车数据表!E78)</f>
        <v>5</v>
      </c>
      <c r="I77" s="311" t="str">
        <f>IF(全车数据表!H78="×",0,全车数据表!H78)</f>
        <v>🔑</v>
      </c>
      <c r="J77" s="311">
        <f>IF(全车数据表!I78="×",0,全车数据表!I78)</f>
        <v>25</v>
      </c>
      <c r="K77" s="311">
        <f>IF(全车数据表!J78="×",0,全车数据表!J78)</f>
        <v>32</v>
      </c>
      <c r="L77" s="311">
        <f>IF(全车数据表!K78="×",0,全车数据表!K78)</f>
        <v>36</v>
      </c>
      <c r="M77" s="311">
        <f>IF(全车数据表!L78="×",0,全车数据表!L78)</f>
        <v>41</v>
      </c>
      <c r="N77" s="311">
        <f>IF(全车数据表!M78="×",0,全车数据表!M78)</f>
        <v>0</v>
      </c>
      <c r="O77" s="311">
        <f>全车数据表!O78</f>
        <v>4048</v>
      </c>
      <c r="P77" s="311">
        <f>全车数据表!P78</f>
        <v>335.7</v>
      </c>
      <c r="Q77" s="311">
        <f>全车数据表!Q78</f>
        <v>81.790000000000006</v>
      </c>
      <c r="R77" s="311">
        <f>全车数据表!R78</f>
        <v>60.83</v>
      </c>
      <c r="S77" s="311">
        <f>全车数据表!S78</f>
        <v>65.62</v>
      </c>
      <c r="T77" s="311">
        <f>全车数据表!T78</f>
        <v>7.4</v>
      </c>
      <c r="U77" s="311">
        <f>全车数据表!AH78</f>
        <v>5804120</v>
      </c>
      <c r="V77" s="311">
        <f>全车数据表!AO78</f>
        <v>4640000</v>
      </c>
      <c r="W77" s="311">
        <f>全车数据表!AP78</f>
        <v>10444120</v>
      </c>
      <c r="X77" s="311">
        <f>全车数据表!AJ78</f>
        <v>9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epic</v>
      </c>
      <c r="AB77" s="311">
        <f>全车数据表!AW78</f>
        <v>349</v>
      </c>
      <c r="AC77" s="311">
        <f>全车数据表!AX78</f>
        <v>0</v>
      </c>
      <c r="AD77" s="311">
        <f>全车数据表!AY78</f>
        <v>453</v>
      </c>
      <c r="AE77" s="311" t="str">
        <f>IF(全车数据表!AZ78="","",全车数据表!AZ78)</f>
        <v>大奖赛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>
        <f>IF(全车数据表!BN78="","",全车数据表!BN78)</f>
        <v>1</v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梅赛德斯 奔驰</v>
      </c>
      <c r="BA77" s="311" t="str">
        <f>IF(全车数据表!AV78="","",全车数据表!AV78)</f>
        <v/>
      </c>
    </row>
    <row r="78" spans="1:53">
      <c r="A78" s="311">
        <f>全车数据表!A79</f>
        <v>77</v>
      </c>
      <c r="B78" s="311" t="str">
        <f>全车数据表!B79</f>
        <v>Porsche 911 GTS Coupe</v>
      </c>
      <c r="C78" s="311" t="str">
        <f>IF(全车数据表!AQ79="","",全车数据表!AQ79)</f>
        <v>Porsche</v>
      </c>
      <c r="D78" s="313" t="str">
        <f>全车数据表!AT79</f>
        <v>911</v>
      </c>
      <c r="E78" s="313" t="str">
        <f>全车数据表!AS79</f>
        <v>1.0</v>
      </c>
      <c r="F78" s="313">
        <f>全车数据表!C79</f>
        <v>911</v>
      </c>
      <c r="G78" s="311" t="str">
        <f>全车数据表!D79</f>
        <v>B</v>
      </c>
      <c r="H78" s="311">
        <f>LEN(全车数据表!E79)</f>
        <v>3</v>
      </c>
      <c r="I78" s="311">
        <f>IF(全车数据表!H79="×",0,全车数据表!H79)</f>
        <v>30</v>
      </c>
      <c r="J78" s="311">
        <f>IF(全车数据表!I79="×",0,全车数据表!I79)</f>
        <v>30</v>
      </c>
      <c r="K78" s="311">
        <f>IF(全车数据表!J79="×",0,全车数据表!J79)</f>
        <v>70</v>
      </c>
      <c r="L78" s="311">
        <f>IF(全车数据表!K79="×",0,全车数据表!K79)</f>
        <v>0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2186</v>
      </c>
      <c r="P78" s="311">
        <f>全车数据表!P79</f>
        <v>328.8</v>
      </c>
      <c r="Q78" s="311">
        <f>全车数据表!Q79</f>
        <v>71.209999999999994</v>
      </c>
      <c r="R78" s="311">
        <f>全车数据表!R79</f>
        <v>45.84</v>
      </c>
      <c r="S78" s="311">
        <f>全车数据表!S79</f>
        <v>56.6</v>
      </c>
      <c r="T78" s="311">
        <f>全车数据表!T79</f>
        <v>5.9829999999999988</v>
      </c>
      <c r="U78" s="311">
        <f>全车数据表!AH79</f>
        <v>746960</v>
      </c>
      <c r="V78" s="311">
        <f>全车数据表!AO79</f>
        <v>840000</v>
      </c>
      <c r="W78" s="311">
        <f>全车数据表!AP79</f>
        <v>1586960</v>
      </c>
      <c r="X78" s="311">
        <f>全车数据表!AJ79</f>
        <v>6</v>
      </c>
      <c r="Y78" s="311">
        <f>全车数据表!AL79</f>
        <v>1</v>
      </c>
      <c r="Z78" s="311">
        <f>IF(全车数据表!AN79="×",0,全车数据表!AN79)</f>
        <v>1</v>
      </c>
      <c r="AA78" s="313" t="str">
        <f>全车数据表!AU79</f>
        <v>uncm</v>
      </c>
      <c r="AB78" s="311">
        <f>全车数据表!AW79</f>
        <v>342</v>
      </c>
      <c r="AC78" s="311">
        <f>全车数据表!AX79</f>
        <v>0</v>
      </c>
      <c r="AD78" s="311">
        <f>全车数据表!AY79</f>
        <v>441</v>
      </c>
      <c r="AE78" s="311" t="str">
        <f>IF(全车数据表!AZ79="","",全车数据表!AZ79)</f>
        <v>级别杯</v>
      </c>
      <c r="AF78" s="311">
        <f>IF(全车数据表!BA79="","",全车数据表!BA79)</f>
        <v>1</v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>XBOX1款，ROG2款，抖音1款</v>
      </c>
      <c r="AV78" s="311">
        <f>IF(全车数据表!BQ79="","",全车数据表!BQ79)</f>
        <v>1</v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>保时捷</v>
      </c>
      <c r="BA78" s="311">
        <f>IF(全车数据表!AV79="","",全车数据表!AV79)</f>
        <v>4</v>
      </c>
    </row>
    <row r="79" spans="1:53">
      <c r="A79" s="311">
        <f>全车数据表!A80</f>
        <v>78</v>
      </c>
      <c r="B79" s="311" t="str">
        <f>全车数据表!B80</f>
        <v>Aston Martin DB11</v>
      </c>
      <c r="C79" s="311" t="str">
        <f>IF(全车数据表!AQ80="","",全车数据表!AQ80)</f>
        <v>Aston Martin</v>
      </c>
      <c r="D79" s="313" t="str">
        <f>全车数据表!AT80</f>
        <v>db11</v>
      </c>
      <c r="E79" s="313" t="str">
        <f>全车数据表!AS80</f>
        <v>1.0</v>
      </c>
      <c r="F79" s="313" t="str">
        <f>全车数据表!C80</f>
        <v>db11</v>
      </c>
      <c r="G79" s="311" t="str">
        <f>全车数据表!D80</f>
        <v>B</v>
      </c>
      <c r="H79" s="311">
        <f>LEN(全车数据表!E80)</f>
        <v>3</v>
      </c>
      <c r="I79" s="311">
        <f>IF(全车数据表!H80="×",0,全车数据表!H80)</f>
        <v>30</v>
      </c>
      <c r="J79" s="311">
        <f>IF(全车数据表!I80="×",0,全车数据表!I80)</f>
        <v>30</v>
      </c>
      <c r="K79" s="311">
        <f>IF(全车数据表!J80="×",0,全车数据表!J80)</f>
        <v>70</v>
      </c>
      <c r="L79" s="311">
        <f>IF(全车数据表!K80="×",0,全车数据表!K80)</f>
        <v>0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2330</v>
      </c>
      <c r="P79" s="311">
        <f>全车数据表!P80</f>
        <v>340.6</v>
      </c>
      <c r="Q79" s="311">
        <f>全车数据表!Q80</f>
        <v>74.2</v>
      </c>
      <c r="R79" s="311">
        <f>全车数据表!R80</f>
        <v>43.21</v>
      </c>
      <c r="S79" s="311">
        <f>全车数据表!S80</f>
        <v>55.4</v>
      </c>
      <c r="T79" s="311">
        <f>全车数据表!T80</f>
        <v>5.6660000000000004</v>
      </c>
      <c r="U79" s="311">
        <f>全车数据表!AH80</f>
        <v>746960</v>
      </c>
      <c r="V79" s="311">
        <f>全车数据表!AO80</f>
        <v>840000</v>
      </c>
      <c r="W79" s="311">
        <f>全车数据表!AP80</f>
        <v>1586960</v>
      </c>
      <c r="X79" s="311">
        <f>全车数据表!AJ80</f>
        <v>6</v>
      </c>
      <c r="Y79" s="311">
        <f>全车数据表!AL80</f>
        <v>1</v>
      </c>
      <c r="Z79" s="311">
        <f>IF(全车数据表!AN80="×",0,全车数据表!AN80)</f>
        <v>1</v>
      </c>
      <c r="AA79" s="313" t="str">
        <f>全车数据表!AU80</f>
        <v>uncm</v>
      </c>
      <c r="AB79" s="311">
        <f>全车数据表!AW80</f>
        <v>354</v>
      </c>
      <c r="AC79" s="311">
        <f>全车数据表!AX80</f>
        <v>0</v>
      </c>
      <c r="AD79" s="311">
        <f>全车数据表!AY80</f>
        <v>462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阿斯顿马丁</v>
      </c>
      <c r="BA79" s="311">
        <f>IF(全车数据表!AV80="","",全车数据表!AV80)</f>
        <v>5</v>
      </c>
    </row>
    <row r="80" spans="1:53">
      <c r="A80" s="311">
        <f>全车数据表!A81</f>
        <v>79</v>
      </c>
      <c r="B80" s="311" t="str">
        <f>全车数据表!B81</f>
        <v>Jaguar F-type SVR</v>
      </c>
      <c r="C80" s="311" t="str">
        <f>IF(全车数据表!AQ81="","",全车数据表!AQ81)</f>
        <v>Jaguar</v>
      </c>
      <c r="D80" s="313" t="str">
        <f>全车数据表!AT81</f>
        <v>svr</v>
      </c>
      <c r="E80" s="313" t="str">
        <f>全车数据表!AS81</f>
        <v>1.0</v>
      </c>
      <c r="F80" s="313" t="str">
        <f>全车数据表!C81</f>
        <v>捷豹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30</v>
      </c>
      <c r="J80" s="311">
        <f>IF(全车数据表!I81="×",0,全车数据表!I81)</f>
        <v>18</v>
      </c>
      <c r="K80" s="311">
        <f>IF(全车数据表!J81="×",0,全车数据表!J81)</f>
        <v>24</v>
      </c>
      <c r="L80" s="311">
        <f>IF(全车数据表!K81="×",0,全车数据表!K81)</f>
        <v>36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2500</v>
      </c>
      <c r="P80" s="311">
        <f>全车数据表!P81</f>
        <v>341</v>
      </c>
      <c r="Q80" s="311">
        <f>全车数据表!Q81</f>
        <v>75.55</v>
      </c>
      <c r="R80" s="311">
        <f>全车数据表!R81</f>
        <v>49.28</v>
      </c>
      <c r="S80" s="311">
        <f>全车数据表!S81</f>
        <v>50.12</v>
      </c>
      <c r="T80" s="311">
        <f>全车数据表!T81</f>
        <v>5.1660000000000004</v>
      </c>
      <c r="U80" s="311">
        <f>全车数据表!AH81</f>
        <v>1656720</v>
      </c>
      <c r="V80" s="311">
        <f>全车数据表!AO81</f>
        <v>2080000</v>
      </c>
      <c r="W80" s="311">
        <f>全车数据表!AP81</f>
        <v>3736720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捷豹</v>
      </c>
      <c r="BA80" s="311">
        <f>IF(全车数据表!AV81="","",全车数据表!AV81)</f>
        <v>5</v>
      </c>
    </row>
    <row r="81" spans="1:53">
      <c r="A81" s="311">
        <f>全车数据表!A82</f>
        <v>80</v>
      </c>
      <c r="B81" s="311" t="str">
        <f>全车数据表!B82</f>
        <v>Ferrari F50</v>
      </c>
      <c r="C81" s="311" t="str">
        <f>IF(全车数据表!AQ82="","",全车数据表!AQ82)</f>
        <v>Ferrari</v>
      </c>
      <c r="D81" s="313" t="str">
        <f>全车数据表!AT82</f>
        <v>f50</v>
      </c>
      <c r="E81" s="313" t="str">
        <f>全车数据表!AS82</f>
        <v>3.9</v>
      </c>
      <c r="F81" s="313" t="str">
        <f>全车数据表!C82</f>
        <v>F50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55</v>
      </c>
      <c r="J81" s="311">
        <f>IF(全车数据表!I82="×",0,全车数据表!I82)</f>
        <v>35</v>
      </c>
      <c r="K81" s="311">
        <f>IF(全车数据表!J82="×",0,全车数据表!J82)</f>
        <v>44</v>
      </c>
      <c r="L81" s="311">
        <f>IF(全车数据表!K82="×",0,全车数据表!K82)</f>
        <v>54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2576</v>
      </c>
      <c r="P81" s="311">
        <f>全车数据表!P82</f>
        <v>338.9</v>
      </c>
      <c r="Q81" s="311">
        <f>全车数据表!Q82</f>
        <v>73.849999999999994</v>
      </c>
      <c r="R81" s="311">
        <f>全车数据表!R82</f>
        <v>43.52</v>
      </c>
      <c r="S81" s="311">
        <f>全车数据表!S82</f>
        <v>61.42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353</v>
      </c>
      <c r="AC81" s="311">
        <f>全车数据表!AX82</f>
        <v>0</v>
      </c>
      <c r="AD81" s="311">
        <f>全车数据表!AY82</f>
        <v>459</v>
      </c>
      <c r="AE81" s="311" t="str">
        <f>IF(全车数据表!AZ82="","",全车数据表!AZ82)</f>
        <v>通行证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法拉利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Exotic Rides W70</v>
      </c>
      <c r="C82" s="311" t="str">
        <f>IF(全车数据表!AQ83="","",全车数据表!AQ83)</f>
        <v>Exotic Rides</v>
      </c>
      <c r="D82" s="313" t="str">
        <f>全车数据表!AT83</f>
        <v>w70</v>
      </c>
      <c r="E82" s="313" t="str">
        <f>全车数据表!AS83</f>
        <v>1.0</v>
      </c>
      <c r="F82" s="313" t="str">
        <f>全车数据表!C83</f>
        <v>w70</v>
      </c>
      <c r="G82" s="311" t="str">
        <f>全车数据表!D83</f>
        <v>B</v>
      </c>
      <c r="H82" s="311">
        <f>LEN(全车数据表!E83)</f>
        <v>3</v>
      </c>
      <c r="I82" s="311">
        <f>IF(全车数据表!H83="×",0,全车数据表!H83)</f>
        <v>40</v>
      </c>
      <c r="J82" s="311">
        <f>IF(全车数据表!I83="×",0,全车数据表!I83)</f>
        <v>30</v>
      </c>
      <c r="K82" s="311">
        <f>IF(全车数据表!J83="×",0,全车数据表!J83)</f>
        <v>70</v>
      </c>
      <c r="L82" s="311">
        <f>IF(全车数据表!K83="×",0,全车数据表!K83)</f>
        <v>0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2633</v>
      </c>
      <c r="P82" s="311">
        <f>全车数据表!P83</f>
        <v>329.7</v>
      </c>
      <c r="Q82" s="311">
        <f>全车数据表!Q83</f>
        <v>80.209999999999994</v>
      </c>
      <c r="R82" s="311">
        <f>全车数据表!R83</f>
        <v>45.2</v>
      </c>
      <c r="S82" s="311">
        <f>全车数据表!S83</f>
        <v>56.71</v>
      </c>
      <c r="T82" s="311">
        <f>全车数据表!T83</f>
        <v>5.9659999999999993</v>
      </c>
      <c r="U82" s="311">
        <f>全车数据表!AH83</f>
        <v>746960</v>
      </c>
      <c r="V82" s="311">
        <f>全车数据表!AO83</f>
        <v>840000</v>
      </c>
      <c r="W82" s="311">
        <f>全车数据表!AP83</f>
        <v>1586960</v>
      </c>
      <c r="X82" s="311">
        <f>全车数据表!AJ83</f>
        <v>6</v>
      </c>
      <c r="Y82" s="311">
        <f>全车数据表!AL83</f>
        <v>1</v>
      </c>
      <c r="Z82" s="311">
        <f>IF(全车数据表!AN83="×",0,全车数据表!AN83)</f>
        <v>1</v>
      </c>
      <c r="AA82" s="313" t="str">
        <f>全车数据表!AU83</f>
        <v>uncm</v>
      </c>
      <c r="AB82" s="311">
        <f>全车数据表!AW83</f>
        <v>342</v>
      </c>
      <c r="AC82" s="311">
        <f>全车数据表!AX83</f>
        <v>0</v>
      </c>
      <c r="AD82" s="311">
        <f>全车数据表!AY83</f>
        <v>441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er</v>
      </c>
      <c r="BA82" s="311">
        <f>IF(全车数据表!AV83="","",全车数据表!AV83)</f>
        <v>6</v>
      </c>
    </row>
    <row r="83" spans="1:53">
      <c r="A83" s="311">
        <f>全车数据表!A84</f>
        <v>82</v>
      </c>
      <c r="B83" s="311" t="str">
        <f>全车数据表!B84</f>
        <v>Porsche 911 GT1 Evolution</v>
      </c>
      <c r="C83" s="311" t="str">
        <f>IF(全车数据表!AQ84="","",全车数据表!AQ84)</f>
        <v>Porsche</v>
      </c>
      <c r="D83" s="313" t="str">
        <f>全车数据表!AT84</f>
        <v>911gt1</v>
      </c>
      <c r="E83" s="313" t="str">
        <f>全车数据表!AS84</f>
        <v>2.1</v>
      </c>
      <c r="F83" s="313" t="str">
        <f>全车数据表!C84</f>
        <v>911GT1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2735</v>
      </c>
      <c r="P83" s="311">
        <f>全车数据表!P84</f>
        <v>329.8</v>
      </c>
      <c r="Q83" s="311">
        <f>全车数据表!Q84</f>
        <v>75.150000000000006</v>
      </c>
      <c r="R83" s="311">
        <f>全车数据表!R84</f>
        <v>53.7</v>
      </c>
      <c r="S83" s="311">
        <f>全车数据表!S84</f>
        <v>68.88</v>
      </c>
      <c r="T83" s="311">
        <f>全车数据表!T84</f>
        <v>7.95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343</v>
      </c>
      <c r="AC83" s="311">
        <f>全车数据表!AX84</f>
        <v>0</v>
      </c>
      <c r="AD83" s="311">
        <f>全车数据表!AY84</f>
        <v>443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保时捷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Ford GT</v>
      </c>
      <c r="C84" s="311" t="str">
        <f>IF(全车数据表!AQ85="","",全车数据表!AQ85)</f>
        <v>Ford</v>
      </c>
      <c r="D84" s="313" t="str">
        <f>全车数据表!AT85</f>
        <v>fordgt</v>
      </c>
      <c r="E84" s="313" t="str">
        <f>全车数据表!AS85</f>
        <v>1.0</v>
      </c>
      <c r="F84" s="313" t="str">
        <f>全车数据表!C85</f>
        <v>福特gt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35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2816</v>
      </c>
      <c r="P84" s="311">
        <f>全车数据表!P85</f>
        <v>362.8</v>
      </c>
      <c r="Q84" s="311">
        <f>全车数据表!Q85</f>
        <v>79.150000000000006</v>
      </c>
      <c r="R84" s="311">
        <f>全车数据表!R85</f>
        <v>34.36</v>
      </c>
      <c r="S84" s="311">
        <f>全车数据表!S85</f>
        <v>54.49</v>
      </c>
      <c r="T84" s="311">
        <f>全车数据表!T85</f>
        <v>5.35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377</v>
      </c>
      <c r="AC84" s="311">
        <f>全车数据表!AX85</f>
        <v>0</v>
      </c>
      <c r="AD84" s="311">
        <f>全车数据表!AY85</f>
        <v>500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>福特 极速是爹</v>
      </c>
      <c r="BA84" s="311">
        <f>IF(全车数据表!AV85="","",全车数据表!AV85)</f>
        <v>7</v>
      </c>
    </row>
    <row r="85" spans="1:53">
      <c r="A85" s="311">
        <f>全车数据表!A86</f>
        <v>84</v>
      </c>
      <c r="B85" s="311" t="str">
        <f>全车数据表!B86</f>
        <v>Lamborghini Asterion</v>
      </c>
      <c r="C85" s="311" t="str">
        <f>IF(全车数据表!AQ86="","",全车数据表!AQ86)</f>
        <v>Lamborghini</v>
      </c>
      <c r="D85" s="313" t="str">
        <f>全车数据表!AT86</f>
        <v>asterion</v>
      </c>
      <c r="E85" s="313" t="str">
        <f>全车数据表!AS86</f>
        <v>1.0</v>
      </c>
      <c r="F85" s="313" t="str">
        <f>全车数据表!C86</f>
        <v>牛A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18</v>
      </c>
      <c r="K85" s="311">
        <f>IF(全车数据表!J86="×",0,全车数据表!J86)</f>
        <v>24</v>
      </c>
      <c r="L85" s="311">
        <f>IF(全车数据表!K86="×",0,全车数据表!K86)</f>
        <v>36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2983</v>
      </c>
      <c r="P85" s="311">
        <f>全车数据表!P86</f>
        <v>336.6</v>
      </c>
      <c r="Q85" s="311">
        <f>全车数据表!Q86</f>
        <v>81.05</v>
      </c>
      <c r="R85" s="311">
        <f>全车数据表!R86</f>
        <v>45.56</v>
      </c>
      <c r="S85" s="311">
        <f>全车数据表!S86</f>
        <v>68.209999999999994</v>
      </c>
      <c r="T85" s="311">
        <f>全车数据表!T86</f>
        <v>7.6159999999999997</v>
      </c>
      <c r="U85" s="311">
        <f>全车数据表!AH86</f>
        <v>1656720</v>
      </c>
      <c r="V85" s="311">
        <f>全车数据表!AO86</f>
        <v>2080000</v>
      </c>
      <c r="W85" s="311">
        <f>全车数据表!AP86</f>
        <v>3736720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350</v>
      </c>
      <c r="AC85" s="311">
        <f>全车数据表!AX86</f>
        <v>0</v>
      </c>
      <c r="AD85" s="311">
        <f>全车数据表!AY86</f>
        <v>455</v>
      </c>
      <c r="AE85" s="311" t="str">
        <f>IF(全车数据表!AZ86="","",全车数据表!AZ86)</f>
        <v>每日任务</v>
      </c>
      <c r="AF85" s="311" t="str">
        <f>IF(全车数据表!BA86="","",全车数据表!BA86)</f>
        <v/>
      </c>
      <c r="AG85" s="311">
        <f>IF(全车数据表!BB86="","",全车数据表!BB86)</f>
        <v>1</v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>
        <f>IF(全车数据表!BQ86="","",全车数据表!BQ86)</f>
        <v>1</v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蓝牛 牛A 兰博基尼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Ferrari Roma</v>
      </c>
      <c r="C86" s="311" t="str">
        <f>IF(全车数据表!AQ87="","",全车数据表!AQ87)</f>
        <v>Ferrari</v>
      </c>
      <c r="D86" s="313" t="str">
        <f>全车数据表!AT87</f>
        <v>roma</v>
      </c>
      <c r="E86" s="313" t="str">
        <f>全车数据表!AS87</f>
        <v>2.8</v>
      </c>
      <c r="F86" s="313" t="str">
        <f>全车数据表!C87</f>
        <v>罗马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3069</v>
      </c>
      <c r="P86" s="311">
        <f>全车数据表!P87</f>
        <v>331.7</v>
      </c>
      <c r="Q86" s="311">
        <f>全车数据表!Q87</f>
        <v>77.45</v>
      </c>
      <c r="R86" s="311">
        <f>全车数据表!R87</f>
        <v>60.49</v>
      </c>
      <c r="S86" s="311">
        <f>全车数据表!S87</f>
        <v>66.78</v>
      </c>
      <c r="T86" s="311">
        <f>全车数据表!T87</f>
        <v>7.33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345</v>
      </c>
      <c r="AC86" s="311">
        <f>全车数据表!AX87</f>
        <v>0</v>
      </c>
      <c r="AD86" s="311">
        <f>全车数据表!AY87</f>
        <v>446</v>
      </c>
      <c r="AE86" s="311" t="str">
        <f>IF(全车数据表!AZ87="","",全车数据表!AZ87)</f>
        <v>寻车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>
        <f>IF(全车数据表!BF87="","",全车数据表!BF87)</f>
        <v>1</v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法拉利 罗马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Arash AF10</v>
      </c>
      <c r="C87" s="311" t="str">
        <f>IF(全车数据表!AQ88="","",全车数据表!AQ88)</f>
        <v>Arash</v>
      </c>
      <c r="D87" s="313" t="str">
        <f>全车数据表!AT88</f>
        <v>arashaf10</v>
      </c>
      <c r="E87" s="313" t="str">
        <f>全车数据表!AS88</f>
        <v>3.2</v>
      </c>
      <c r="F87" s="313" t="str">
        <f>全车数据表!C88</f>
        <v>阿拉什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55</v>
      </c>
      <c r="J87" s="311">
        <f>IF(全车数据表!I88="×",0,全车数据表!I88)</f>
        <v>35</v>
      </c>
      <c r="K87" s="311">
        <f>IF(全车数据表!J88="×",0,全车数据表!J88)</f>
        <v>44</v>
      </c>
      <c r="L87" s="311">
        <f>IF(全车数据表!K88="×",0,全车数据表!K88)</f>
        <v>54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3112</v>
      </c>
      <c r="P87" s="311">
        <f>全车数据表!P88</f>
        <v>337</v>
      </c>
      <c r="Q87" s="311">
        <f>全车数据表!Q88</f>
        <v>78.73</v>
      </c>
      <c r="R87" s="311">
        <f>全车数据表!R88</f>
        <v>50.41</v>
      </c>
      <c r="S87" s="311">
        <f>全车数据表!S88</f>
        <v>59.6</v>
      </c>
      <c r="T87" s="311">
        <f>全车数据表!T88</f>
        <v>0</v>
      </c>
      <c r="U87" s="311">
        <f>全车数据表!AH88</f>
        <v>3312600</v>
      </c>
      <c r="V87" s="311">
        <f>全车数据表!AO88</f>
        <v>4160000</v>
      </c>
      <c r="W87" s="311">
        <f>全车数据表!AP88</f>
        <v>7472600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351</v>
      </c>
      <c r="AC87" s="311">
        <f>全车数据表!AX88</f>
        <v>0</v>
      </c>
      <c r="AD87" s="311">
        <f>全车数据表!AY88</f>
        <v>455</v>
      </c>
      <c r="AE87" s="311" t="str">
        <f>IF(全车数据表!AZ88="","",全车数据表!AZ88)</f>
        <v>通行证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阿拉什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Cadillac Cien Concept</v>
      </c>
      <c r="C88" s="311" t="str">
        <f>IF(全车数据表!AQ89="","",全车数据表!AQ89)</f>
        <v>Cadillac</v>
      </c>
      <c r="D88" s="313" t="str">
        <f>全车数据表!AT89</f>
        <v>cien</v>
      </c>
      <c r="E88" s="313" t="str">
        <f>全车数据表!AS89</f>
        <v>1.0</v>
      </c>
      <c r="F88" s="313" t="str">
        <f>全车数据表!C89</f>
        <v>塞恩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40</v>
      </c>
      <c r="J88" s="311">
        <f>IF(全车数据表!I89="×",0,全车数据表!I89)</f>
        <v>18</v>
      </c>
      <c r="K88" s="311">
        <f>IF(全车数据表!J89="×",0,全车数据表!J89)</f>
        <v>24</v>
      </c>
      <c r="L88" s="311">
        <f>IF(全车数据表!K89="×",0,全车数据表!K89)</f>
        <v>36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3115</v>
      </c>
      <c r="P88" s="311">
        <f>全车数据表!P89</f>
        <v>368</v>
      </c>
      <c r="Q88" s="311">
        <f>全车数据表!Q89</f>
        <v>76.55</v>
      </c>
      <c r="R88" s="311">
        <f>全车数据表!R89</f>
        <v>36.14</v>
      </c>
      <c r="S88" s="311">
        <f>全车数据表!S89</f>
        <v>61.1</v>
      </c>
      <c r="T88" s="311">
        <f>全车数据表!T89</f>
        <v>5.9329999999999998</v>
      </c>
      <c r="U88" s="311">
        <f>全车数据表!AH89</f>
        <v>1656720</v>
      </c>
      <c r="V88" s="311">
        <f>全车数据表!AO89</f>
        <v>2080000</v>
      </c>
      <c r="W88" s="311">
        <f>全车数据表!AP89</f>
        <v>3736720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383</v>
      </c>
      <c r="AC88" s="311">
        <f>全车数据表!AX89</f>
        <v>0</v>
      </c>
      <c r="AD88" s="311">
        <f>全车数据表!AY89</f>
        <v>509</v>
      </c>
      <c r="AE88" s="311" t="str">
        <f>IF(全车数据表!AZ89="","",全车数据表!AZ89)</f>
        <v>独家赛事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>
        <f>IF(全车数据表!BE89="","",全车数据表!BE89)</f>
        <v>1</v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凯迪拉克 塞恩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BMW M4 GT3</v>
      </c>
      <c r="C89" s="311" t="str">
        <f>IF(全车数据表!AQ90="","",全车数据表!AQ90)</f>
        <v>BMW</v>
      </c>
      <c r="D89" s="313" t="str">
        <f>全车数据表!AT90</f>
        <v>m4gt3</v>
      </c>
      <c r="E89" s="313" t="str">
        <f>全车数据表!AS90</f>
        <v>4.1</v>
      </c>
      <c r="F89" s="313" t="str">
        <f>全车数据表!C90</f>
        <v>M4 GT3</v>
      </c>
      <c r="G89" s="311" t="str">
        <f>全车数据表!D90</f>
        <v>B</v>
      </c>
      <c r="H89" s="311">
        <f>LEN(全车数据表!E90)</f>
        <v>4</v>
      </c>
      <c r="I89" s="311">
        <f>IF(全车数据表!H90="×",0,全车数据表!H90)</f>
        <v>55</v>
      </c>
      <c r="J89" s="311">
        <f>IF(全车数据表!I90="×",0,全车数据表!I90)</f>
        <v>35</v>
      </c>
      <c r="K89" s="311">
        <f>IF(全车数据表!J90="×",0,全车数据表!J90)</f>
        <v>44</v>
      </c>
      <c r="L89" s="311">
        <f>IF(全车数据表!K90="×",0,全车数据表!K90)</f>
        <v>54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3134</v>
      </c>
      <c r="P89" s="311">
        <f>全车数据表!P90</f>
        <v>333.3</v>
      </c>
      <c r="Q89" s="311">
        <f>全车数据表!Q90</f>
        <v>79.459999999999994</v>
      </c>
      <c r="R89" s="311">
        <f>全车数据表!R90</f>
        <v>53.36</v>
      </c>
      <c r="S89" s="311">
        <f>全车数据表!S90</f>
        <v>63.69</v>
      </c>
      <c r="T89" s="311">
        <f>全车数据表!T90</f>
        <v>6.6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347</v>
      </c>
      <c r="AC89" s="311">
        <f>全车数据表!AX90</f>
        <v>0</v>
      </c>
      <c r="AD89" s="311">
        <f>全车数据表!AY90</f>
        <v>449</v>
      </c>
      <c r="AE89" s="311" t="str">
        <f>IF(全车数据表!AZ90="","",全车数据表!AZ90)</f>
        <v>通行证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宝马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Ford GT MKII🔑</v>
      </c>
      <c r="C90" s="311" t="str">
        <f>IF(全车数据表!AQ91="","",全车数据表!AQ91)</f>
        <v>Ford</v>
      </c>
      <c r="D90" s="313" t="str">
        <f>全车数据表!AT91</f>
        <v>mk2</v>
      </c>
      <c r="E90" s="313" t="str">
        <f>全车数据表!AS91</f>
        <v>2.3</v>
      </c>
      <c r="F90" s="313" t="str">
        <f>全车数据表!C91</f>
        <v>MK2</v>
      </c>
      <c r="G90" s="311" t="str">
        <f>全车数据表!D91</f>
        <v>B</v>
      </c>
      <c r="H90" s="311">
        <f>LEN(全车数据表!E91)</f>
        <v>4</v>
      </c>
      <c r="I90" s="311" t="str">
        <f>IF(全车数据表!H91="×",0,全车数据表!H91)</f>
        <v>🔑</v>
      </c>
      <c r="J90" s="311">
        <f>IF(全车数据表!I91="×",0,全车数据表!I91)</f>
        <v>35</v>
      </c>
      <c r="K90" s="311">
        <f>IF(全车数据表!J91="×",0,全车数据表!J91)</f>
        <v>55</v>
      </c>
      <c r="L90" s="311">
        <f>IF(全车数据表!K91="×",0,全车数据表!K91)</f>
        <v>85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3200</v>
      </c>
      <c r="P90" s="311">
        <f>全车数据表!P91</f>
        <v>315.5</v>
      </c>
      <c r="Q90" s="311">
        <f>全车数据表!Q91</f>
        <v>86.26</v>
      </c>
      <c r="R90" s="311">
        <f>全车数据表!R91</f>
        <v>79</v>
      </c>
      <c r="S90" s="311">
        <f>全车数据表!S91</f>
        <v>67.88</v>
      </c>
      <c r="T90" s="311">
        <f>全车数据表!T91</f>
        <v>8</v>
      </c>
      <c r="U90" s="311">
        <f>全车数据表!AH91</f>
        <v>3312600</v>
      </c>
      <c r="V90" s="311">
        <f>全车数据表!AO91</f>
        <v>4160000</v>
      </c>
      <c r="W90" s="311">
        <f>全车数据表!AP91</f>
        <v>7472600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329</v>
      </c>
      <c r="AC90" s="311">
        <f>全车数据表!AX91</f>
        <v>0</v>
      </c>
      <c r="AD90" s="311">
        <f>全车数据表!AY91</f>
        <v>419</v>
      </c>
      <c r="AE90" s="311" t="str">
        <f>IF(全车数据表!AZ91="","",全车数据表!AZ91)</f>
        <v>大奖赛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>
        <f>IF(全车数据表!BL91="","",全车数据表!BL91)</f>
        <v>1</v>
      </c>
      <c r="AR90" s="311" t="str">
        <f>IF(全车数据表!BM91="","",全车数据表!BM91)</f>
        <v/>
      </c>
      <c r="AS90" s="311">
        <f>IF(全车数据表!BN91="","",全车数据表!BN91)</f>
        <v>1</v>
      </c>
      <c r="AT90" s="311">
        <f>IF(全车数据表!BO91="","",全车数据表!BO91)</f>
        <v>1</v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福特 mk2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ItalDesign Zerouno</v>
      </c>
      <c r="C91" s="311" t="str">
        <f>IF(全车数据表!AQ92="","",全车数据表!AQ92)</f>
        <v>Italdesign</v>
      </c>
      <c r="D91" s="313" t="str">
        <f>全车数据表!AT92</f>
        <v>zerouno</v>
      </c>
      <c r="E91" s="313" t="str">
        <f>全车数据表!AS92</f>
        <v>1.9</v>
      </c>
      <c r="F91" s="313" t="str">
        <f>全车数据表!C92</f>
        <v>假牛</v>
      </c>
      <c r="G91" s="311" t="str">
        <f>全车数据表!D92</f>
        <v>B</v>
      </c>
      <c r="H91" s="311">
        <f>LEN(全车数据表!E92)</f>
        <v>4</v>
      </c>
      <c r="I91" s="311">
        <f>IF(全车数据表!H92="×",0,全车数据表!H92)</f>
        <v>40</v>
      </c>
      <c r="J91" s="311">
        <f>IF(全车数据表!I92="×",0,全车数据表!I92)</f>
        <v>35</v>
      </c>
      <c r="K91" s="311">
        <f>IF(全车数据表!J92="×",0,全车数据表!J92)</f>
        <v>44</v>
      </c>
      <c r="L91" s="311">
        <f>IF(全车数据表!K92="×",0,全车数据表!K92)</f>
        <v>54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3245</v>
      </c>
      <c r="P91" s="311">
        <f>全车数据表!P92</f>
        <v>341</v>
      </c>
      <c r="Q91" s="311">
        <f>全车数据表!Q92</f>
        <v>79.25</v>
      </c>
      <c r="R91" s="311">
        <f>全车数据表!R92</f>
        <v>58.34</v>
      </c>
      <c r="S91" s="311">
        <f>全车数据表!S92</f>
        <v>54.1</v>
      </c>
      <c r="T91" s="311">
        <f>全车数据表!T92</f>
        <v>5.54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355</v>
      </c>
      <c r="AC91" s="311">
        <f>全车数据表!AX92</f>
        <v>0</v>
      </c>
      <c r="AD91" s="311">
        <f>全车数据表!AY92</f>
        <v>462</v>
      </c>
      <c r="AE91" s="311" t="str">
        <f>IF(全车数据表!AZ92="","",全车数据表!AZ92)</f>
        <v>级别杯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>
        <f>IF(全车数据表!BC92="","",全车数据表!BC92)</f>
        <v>1</v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>
        <f>IF(全车数据表!BF92="","",全车数据表!BF92)</f>
        <v>1</v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>id 假牛</v>
      </c>
      <c r="BA91" s="311">
        <f>IF(全车数据表!AV92="","",全车数据表!AV92)</f>
        <v>8</v>
      </c>
    </row>
    <row r="92" spans="1:53">
      <c r="A92" s="311">
        <f>全车数据表!A93</f>
        <v>91</v>
      </c>
      <c r="B92" s="311" t="str">
        <f>全车数据表!B93</f>
        <v>Mclaren Artura</v>
      </c>
      <c r="C92" s="311" t="str">
        <f>IF(全车数据表!AQ93="","",全车数据表!AQ93)</f>
        <v>McLaren</v>
      </c>
      <c r="D92" s="313" t="str">
        <f>全车数据表!AT93</f>
        <v>artura</v>
      </c>
      <c r="E92" s="313" t="str">
        <f>全车数据表!AS93</f>
        <v>4.3</v>
      </c>
      <c r="F92" s="313" t="str">
        <f>全车数据表!C93</f>
        <v>Artura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55</v>
      </c>
      <c r="J92" s="311">
        <f>IF(全车数据表!I93="×",0,全车数据表!I93)</f>
        <v>35</v>
      </c>
      <c r="K92" s="311">
        <f>IF(全车数据表!J93="×",0,全车数据表!J93)</f>
        <v>44</v>
      </c>
      <c r="L92" s="311">
        <f>IF(全车数据表!K93="×",0,全车数据表!K93)</f>
        <v>54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3267</v>
      </c>
      <c r="P92" s="311">
        <f>全车数据表!P93</f>
        <v>337.7</v>
      </c>
      <c r="Q92" s="311">
        <f>全车数据表!Q93</f>
        <v>81.05</v>
      </c>
      <c r="R92" s="311">
        <f>全车数据表!R93</f>
        <v>68.33</v>
      </c>
      <c r="S92" s="311">
        <f>全车数据表!S93</f>
        <v>47.34</v>
      </c>
      <c r="T92" s="311">
        <f>全车数据表!T93</f>
        <v>0</v>
      </c>
      <c r="U92" s="311">
        <f>全车数据表!AH93</f>
        <v>3312600</v>
      </c>
      <c r="V92" s="311">
        <f>全车数据表!AO93</f>
        <v>4160000</v>
      </c>
      <c r="W92" s="311">
        <f>全车数据表!AP93</f>
        <v>7472600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0</v>
      </c>
      <c r="AC92" s="311">
        <f>全车数据表!AX93</f>
        <v>0</v>
      </c>
      <c r="AD92" s="311">
        <f>全车数据表!AY93</f>
        <v>0</v>
      </c>
      <c r="AE92" s="311" t="str">
        <f>IF(全车数据表!AZ93="","",全车数据表!AZ93)</f>
        <v>通行证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/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Arash AF8 Falcon Edition🔑</v>
      </c>
      <c r="C93" s="311" t="str">
        <f>IF(全车数据表!AQ94="","",全车数据表!AQ94)</f>
        <v>Arash</v>
      </c>
      <c r="D93" s="313" t="str">
        <f>全车数据表!AT94</f>
        <v>af8</v>
      </c>
      <c r="E93" s="313" t="str">
        <f>全车数据表!AS94</f>
        <v>3.4</v>
      </c>
      <c r="F93" s="313" t="str">
        <f>全车数据表!C94</f>
        <v>AF8</v>
      </c>
      <c r="G93" s="311" t="str">
        <f>全车数据表!D94</f>
        <v>B</v>
      </c>
      <c r="H93" s="311">
        <f>LEN(全车数据表!E94)</f>
        <v>4</v>
      </c>
      <c r="I93" s="311" t="str">
        <f>IF(全车数据表!H94="×",0,全车数据表!H94)</f>
        <v>🔑</v>
      </c>
      <c r="J93" s="311">
        <f>IF(全车数据表!I94="×",0,全车数据表!I94)</f>
        <v>35</v>
      </c>
      <c r="K93" s="311">
        <f>IF(全车数据表!J94="×",0,全车数据表!J94)</f>
        <v>55</v>
      </c>
      <c r="L93" s="311">
        <f>IF(全车数据表!K94="×",0,全车数据表!K94)</f>
        <v>85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3289</v>
      </c>
      <c r="P93" s="311">
        <f>全车数据表!P94</f>
        <v>332.6</v>
      </c>
      <c r="Q93" s="311">
        <f>全车数据表!Q94</f>
        <v>76.739999999999995</v>
      </c>
      <c r="R93" s="311">
        <f>全车数据表!R94</f>
        <v>66.010000000000005</v>
      </c>
      <c r="S93" s="311">
        <f>全车数据表!S94</f>
        <v>76.94</v>
      </c>
      <c r="T93" s="311">
        <f>全车数据表!T94</f>
        <v>0</v>
      </c>
      <c r="U93" s="311">
        <f>全车数据表!AH94</f>
        <v>3312600</v>
      </c>
      <c r="V93" s="311">
        <f>全车数据表!AO94</f>
        <v>4160000</v>
      </c>
      <c r="W93" s="311">
        <f>全车数据表!AP94</f>
        <v>7472600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346</v>
      </c>
      <c r="AC93" s="311">
        <f>全车数据表!AX94</f>
        <v>0</v>
      </c>
      <c r="AD93" s="311">
        <f>全车数据表!AY94</f>
        <v>448</v>
      </c>
      <c r="AE93" s="311" t="str">
        <f>IF(全车数据表!AZ94="","",全车数据表!AZ94)</f>
        <v>大奖赛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>
        <f>IF(全车数据表!BN94="","",全车数据表!BN94)</f>
        <v>1</v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阿拉什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Ferrari 488 GTB</v>
      </c>
      <c r="C94" s="311" t="str">
        <f>IF(全车数据表!AQ95="","",全车数据表!AQ95)</f>
        <v>Ferrari</v>
      </c>
      <c r="D94" s="313" t="str">
        <f>全车数据表!AT95</f>
        <v>488</v>
      </c>
      <c r="E94" s="313" t="str">
        <f>全车数据表!AS95</f>
        <v>1.0</v>
      </c>
      <c r="F94" s="313">
        <f>全车数据表!C95</f>
        <v>488</v>
      </c>
      <c r="G94" s="311" t="str">
        <f>全车数据表!D95</f>
        <v>B</v>
      </c>
      <c r="H94" s="311">
        <f>LEN(全车数据表!E95)</f>
        <v>4</v>
      </c>
      <c r="I94" s="311">
        <f>IF(全车数据表!H95="×",0,全车数据表!H95)</f>
        <v>40</v>
      </c>
      <c r="J94" s="311">
        <f>IF(全车数据表!I95="×",0,全车数据表!I95)</f>
        <v>18</v>
      </c>
      <c r="K94" s="311">
        <f>IF(全车数据表!J95="×",0,全车数据表!J95)</f>
        <v>24</v>
      </c>
      <c r="L94" s="311">
        <f>IF(全车数据表!K95="×",0,全车数据表!K95)</f>
        <v>36</v>
      </c>
      <c r="M94" s="311">
        <f>IF(全车数据表!L95="×",0,全车数据表!L95)</f>
        <v>0</v>
      </c>
      <c r="N94" s="311">
        <f>IF(全车数据表!M95="×",0,全车数据表!M95)</f>
        <v>0</v>
      </c>
      <c r="O94" s="311">
        <f>全车数据表!O95</f>
        <v>3334</v>
      </c>
      <c r="P94" s="311">
        <f>全车数据表!P95</f>
        <v>347.6</v>
      </c>
      <c r="Q94" s="311">
        <f>全车数据表!Q95</f>
        <v>80.239999999999995</v>
      </c>
      <c r="R94" s="311">
        <f>全车数据表!R95</f>
        <v>48.38</v>
      </c>
      <c r="S94" s="311">
        <f>全车数据表!S95</f>
        <v>65.84</v>
      </c>
      <c r="T94" s="311">
        <f>全车数据表!T95</f>
        <v>6.5</v>
      </c>
      <c r="U94" s="311">
        <f>全车数据表!AH95</f>
        <v>1656720</v>
      </c>
      <c r="V94" s="311">
        <f>全车数据表!AO95</f>
        <v>2080000</v>
      </c>
      <c r="W94" s="311">
        <f>全车数据表!AP95</f>
        <v>3736720</v>
      </c>
      <c r="X94" s="311">
        <f>全车数据表!AJ95</f>
        <v>6</v>
      </c>
      <c r="Y94" s="311">
        <f>全车数据表!AL95</f>
        <v>4</v>
      </c>
      <c r="Z94" s="311">
        <f>IF(全车数据表!AN95="×",0,全车数据表!AN95)</f>
        <v>2</v>
      </c>
      <c r="AA94" s="313" t="str">
        <f>全车数据表!AU95</f>
        <v>rare</v>
      </c>
      <c r="AB94" s="311">
        <f>全车数据表!AW95</f>
        <v>362</v>
      </c>
      <c r="AC94" s="311">
        <f>全车数据表!AX95</f>
        <v>0</v>
      </c>
      <c r="AD94" s="311">
        <f>全车数据表!AY95</f>
        <v>474</v>
      </c>
      <c r="AE94" s="311" t="str">
        <f>IF(全车数据表!AZ95="","",全车数据表!AZ95)</f>
        <v>级别杯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>
        <f>IF(全车数据表!BC95="","",全车数据表!BC95)</f>
        <v>1</v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>
        <f>IF(全车数据表!BF95="","",全车数据表!BF95)</f>
        <v>1</v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>法拉利</v>
      </c>
      <c r="BA94" s="311">
        <f>IF(全车数据表!AV95="","",全车数据表!AV95)</f>
        <v>8</v>
      </c>
    </row>
    <row r="95" spans="1:53">
      <c r="A95" s="311">
        <f>全车数据表!A96</f>
        <v>94</v>
      </c>
      <c r="B95" s="311" t="str">
        <f>全车数据表!B96</f>
        <v>Kepler Motion</v>
      </c>
      <c r="C95" s="311" t="str">
        <f>IF(全车数据表!AQ96="","",全车数据表!AQ96)</f>
        <v>Kepler</v>
      </c>
      <c r="D95" s="313" t="str">
        <f>全车数据表!AT96</f>
        <v>motion</v>
      </c>
      <c r="E95" s="313" t="str">
        <f>全车数据表!AS96</f>
        <v>4.0</v>
      </c>
      <c r="F95" s="313" t="str">
        <f>全车数据表!C96</f>
        <v>开普勒</v>
      </c>
      <c r="G95" s="311" t="str">
        <f>全车数据表!D96</f>
        <v>B</v>
      </c>
      <c r="H95" s="311">
        <f>LEN(全车数据表!E96)</f>
        <v>4</v>
      </c>
      <c r="I95" s="311">
        <f>IF(全车数据表!H96="×",0,全车数据表!H96)</f>
        <v>55</v>
      </c>
      <c r="J95" s="311">
        <f>IF(全车数据表!I96="×",0,全车数据表!I96)</f>
        <v>35</v>
      </c>
      <c r="K95" s="311">
        <f>IF(全车数据表!J96="×",0,全车数据表!J96)</f>
        <v>44</v>
      </c>
      <c r="L95" s="311">
        <f>IF(全车数据表!K96="×",0,全车数据表!K96)</f>
        <v>54</v>
      </c>
      <c r="M95" s="311">
        <f>IF(全车数据表!L96="×",0,全车数据表!L96)</f>
        <v>0</v>
      </c>
      <c r="N95" s="311">
        <f>IF(全车数据表!M96="×",0,全车数据表!M96)</f>
        <v>0</v>
      </c>
      <c r="O95" s="311">
        <f>全车数据表!O96</f>
        <v>3380</v>
      </c>
      <c r="P95" s="311">
        <f>全车数据表!P96</f>
        <v>338.5</v>
      </c>
      <c r="Q95" s="311">
        <f>全车数据表!Q96</f>
        <v>86.45</v>
      </c>
      <c r="R95" s="311">
        <f>全车数据表!R96</f>
        <v>48.72</v>
      </c>
      <c r="S95" s="311">
        <f>全车数据表!S96</f>
        <v>61.18</v>
      </c>
      <c r="T95" s="311">
        <f>全车数据表!T96</f>
        <v>0</v>
      </c>
      <c r="U95" s="311">
        <f>全车数据表!AH96</f>
        <v>3312600</v>
      </c>
      <c r="V95" s="311">
        <f>全车数据表!AO96</f>
        <v>4160000</v>
      </c>
      <c r="W95" s="311">
        <f>全车数据表!AP96</f>
        <v>7472600</v>
      </c>
      <c r="X95" s="311">
        <f>全车数据表!AJ96</f>
        <v>6</v>
      </c>
      <c r="Y95" s="311">
        <f>全车数据表!AL96</f>
        <v>4</v>
      </c>
      <c r="Z95" s="311">
        <f>IF(全车数据表!AN96="×",0,全车数据表!AN96)</f>
        <v>2</v>
      </c>
      <c r="AA95" s="313" t="str">
        <f>全车数据表!AU96</f>
        <v>rare</v>
      </c>
      <c r="AB95" s="311">
        <f>全车数据表!AW96</f>
        <v>352</v>
      </c>
      <c r="AC95" s="311">
        <f>全车数据表!AX96</f>
        <v>0</v>
      </c>
      <c r="AD95" s="311">
        <f>全车数据表!AY96</f>
        <v>458</v>
      </c>
      <c r="AE95" s="311" t="str">
        <f>IF(全车数据表!AZ96="","",全车数据表!AZ96)</f>
        <v>通行证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开普勒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Drako GTE</v>
      </c>
      <c r="C96" s="311" t="str">
        <f>IF(全车数据表!AQ97="","",全车数据表!AQ97)</f>
        <v>Drako</v>
      </c>
      <c r="D96" s="313" t="str">
        <f>全车数据表!AT97</f>
        <v>drakogte</v>
      </c>
      <c r="E96" s="313" t="str">
        <f>全车数据表!AS97</f>
        <v>3.1</v>
      </c>
      <c r="F96" s="313" t="str">
        <f>全车数据表!C97</f>
        <v>德拉科GTE</v>
      </c>
      <c r="G96" s="311" t="str">
        <f>全车数据表!D97</f>
        <v>B</v>
      </c>
      <c r="H96" s="311">
        <f>LEN(全车数据表!E97)</f>
        <v>4</v>
      </c>
      <c r="I96" s="311">
        <f>IF(全车数据表!H97="×",0,全车数据表!H97)</f>
        <v>55</v>
      </c>
      <c r="J96" s="311">
        <f>IF(全车数据表!I97="×",0,全车数据表!I97)</f>
        <v>35</v>
      </c>
      <c r="K96" s="311">
        <f>IF(全车数据表!J97="×",0,全车数据表!J97)</f>
        <v>44</v>
      </c>
      <c r="L96" s="311">
        <f>IF(全车数据表!K97="×",0,全车数据表!K97)</f>
        <v>54</v>
      </c>
      <c r="M96" s="311">
        <f>IF(全车数据表!L97="×",0,全车数据表!L97)</f>
        <v>0</v>
      </c>
      <c r="N96" s="311">
        <f>IF(全车数据表!M97="×",0,全车数据表!M97)</f>
        <v>0</v>
      </c>
      <c r="O96" s="311">
        <f>全车数据表!O97</f>
        <v>3425</v>
      </c>
      <c r="P96" s="311">
        <f>全车数据表!P97</f>
        <v>346.2</v>
      </c>
      <c r="Q96" s="311">
        <f>全车数据表!Q97</f>
        <v>81.849999999999994</v>
      </c>
      <c r="R96" s="311">
        <f>全车数据表!R97</f>
        <v>47.31</v>
      </c>
      <c r="S96" s="311">
        <f>全车数据表!S97</f>
        <v>61.18</v>
      </c>
      <c r="T96" s="311">
        <f>全车数据表!T97</f>
        <v>0</v>
      </c>
      <c r="U96" s="311">
        <f>全车数据表!AH97</f>
        <v>3312600</v>
      </c>
      <c r="V96" s="311">
        <f>全车数据表!AO97</f>
        <v>4160000</v>
      </c>
      <c r="W96" s="311">
        <f>全车数据表!AP97</f>
        <v>7472600</v>
      </c>
      <c r="X96" s="311">
        <f>全车数据表!AJ97</f>
        <v>6</v>
      </c>
      <c r="Y96" s="311">
        <f>全车数据表!AL97</f>
        <v>4</v>
      </c>
      <c r="Z96" s="311">
        <f>IF(全车数据表!AN97="×",0,全车数据表!AN97)</f>
        <v>2</v>
      </c>
      <c r="AA96" s="313" t="str">
        <f>全车数据表!AU97</f>
        <v>rare</v>
      </c>
      <c r="AB96" s="311">
        <f>全车数据表!AW97</f>
        <v>360</v>
      </c>
      <c r="AC96" s="311">
        <f>全车数据表!AX97</f>
        <v>0</v>
      </c>
      <c r="AD96" s="311">
        <f>全车数据表!AY97</f>
        <v>471</v>
      </c>
      <c r="AE96" s="311" t="str">
        <f>IF(全车数据表!AZ97="","",全车数据表!AZ97)</f>
        <v>寻车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/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SCG 003S</v>
      </c>
      <c r="C97" s="311" t="str">
        <f>IF(全车数据表!AQ98="","",全车数据表!AQ98)</f>
        <v>SCG</v>
      </c>
      <c r="D97" s="313" t="str">
        <f>全车数据表!AT98</f>
        <v>003</v>
      </c>
      <c r="E97" s="313" t="str">
        <f>全车数据表!AS98</f>
        <v>1.0</v>
      </c>
      <c r="F97" s="313" t="str">
        <f>全车数据表!C98</f>
        <v>003</v>
      </c>
      <c r="G97" s="311" t="str">
        <f>全车数据表!D98</f>
        <v>B</v>
      </c>
      <c r="H97" s="311">
        <f>LEN(全车数据表!E98)</f>
        <v>4</v>
      </c>
      <c r="I97" s="311">
        <f>IF(全车数据表!H98="×",0,全车数据表!H98)</f>
        <v>40</v>
      </c>
      <c r="J97" s="311">
        <f>IF(全车数据表!I98="×",0,全车数据表!I98)</f>
        <v>18</v>
      </c>
      <c r="K97" s="311">
        <f>IF(全车数据表!J98="×",0,全车数据表!J98)</f>
        <v>24</v>
      </c>
      <c r="L97" s="311">
        <f>IF(全车数据表!K98="×",0,全车数据表!K98)</f>
        <v>36</v>
      </c>
      <c r="M97" s="311">
        <f>IF(全车数据表!L98="×",0,全车数据表!L98)</f>
        <v>0</v>
      </c>
      <c r="N97" s="311">
        <f>IF(全车数据表!M98="×",0,全车数据表!M98)</f>
        <v>0</v>
      </c>
      <c r="O97" s="311">
        <f>全车数据表!O98</f>
        <v>3519</v>
      </c>
      <c r="P97" s="311">
        <f>全车数据表!P98</f>
        <v>368.8</v>
      </c>
      <c r="Q97" s="311">
        <f>全车数据表!Q98</f>
        <v>79.44</v>
      </c>
      <c r="R97" s="311">
        <f>全车数据表!R98</f>
        <v>38.58</v>
      </c>
      <c r="S97" s="311">
        <f>全车数据表!S98</f>
        <v>63.11</v>
      </c>
      <c r="T97" s="311">
        <f>全车数据表!T98</f>
        <v>6.1659999999999995</v>
      </c>
      <c r="U97" s="311">
        <f>全车数据表!AH98</f>
        <v>1656720</v>
      </c>
      <c r="V97" s="311">
        <f>全车数据表!AO98</f>
        <v>2080000</v>
      </c>
      <c r="W97" s="311">
        <f>全车数据表!AP98</f>
        <v>3736720</v>
      </c>
      <c r="X97" s="311">
        <f>全车数据表!AJ98</f>
        <v>6</v>
      </c>
      <c r="Y97" s="311">
        <f>全车数据表!AL98</f>
        <v>4</v>
      </c>
      <c r="Z97" s="311">
        <f>IF(全车数据表!AN98="×",0,全车数据表!AN98)</f>
        <v>2</v>
      </c>
      <c r="AA97" s="313" t="str">
        <f>全车数据表!AU98</f>
        <v>rare</v>
      </c>
      <c r="AB97" s="311">
        <f>全车数据表!AW98</f>
        <v>383</v>
      </c>
      <c r="AC97" s="311">
        <f>全车数据表!AX98</f>
        <v>0</v>
      </c>
      <c r="AD97" s="311">
        <f>全车数据表!AY98</f>
        <v>510</v>
      </c>
      <c r="AE97" s="311" t="str">
        <f>IF(全车数据表!AZ98="","",全车数据表!AZ98)</f>
        <v>级别杯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>
        <f>IF(全车数据表!BC98="","",全车数据表!BC98)</f>
        <v>1</v>
      </c>
      <c r="AI97" s="311">
        <f>IF(全车数据表!BD98="","",全车数据表!BD98)</f>
        <v>1</v>
      </c>
      <c r="AJ97" s="311" t="str">
        <f>IF(全车数据表!BE98="","",全车数据表!BE98)</f>
        <v/>
      </c>
      <c r="AK97" s="311">
        <f>IF(全车数据表!BF98="","",全车数据表!BF98)</f>
        <v>1</v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>
        <f>IF(全车数据表!BT98="","",全车数据表!BT98)</f>
        <v>1</v>
      </c>
      <c r="AZ97" s="311" t="str">
        <f>IF(全车数据表!BU98="","",全车数据表!BU98)</f>
        <v/>
      </c>
      <c r="BA97" s="311">
        <f>IF(全车数据表!AV98="","",全车数据表!AV98)</f>
        <v>10</v>
      </c>
    </row>
    <row r="98" spans="1:53">
      <c r="A98" s="311">
        <f>全车数据表!A99</f>
        <v>97</v>
      </c>
      <c r="B98" s="311" t="str">
        <f>全车数据表!B99</f>
        <v>McLaren Elva</v>
      </c>
      <c r="C98" s="311" t="str">
        <f>IF(全车数据表!AQ99="","",全车数据表!AQ99)</f>
        <v>McLaren</v>
      </c>
      <c r="D98" s="313" t="str">
        <f>全车数据表!AT99</f>
        <v>elva</v>
      </c>
      <c r="E98" s="313" t="str">
        <f>全车数据表!AS99</f>
        <v>3.0</v>
      </c>
      <c r="F98" s="313" t="str">
        <f>全车数据表!C99</f>
        <v>Elva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3533</v>
      </c>
      <c r="P98" s="311">
        <f>全车数据表!P99</f>
        <v>339.1</v>
      </c>
      <c r="Q98" s="311">
        <f>全车数据表!Q99</f>
        <v>81.31</v>
      </c>
      <c r="R98" s="311">
        <f>全车数据表!R99</f>
        <v>75.510000000000005</v>
      </c>
      <c r="S98" s="311">
        <f>全车数据表!S99</f>
        <v>65.900000000000006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353</v>
      </c>
      <c r="AC98" s="311">
        <f>全车数据表!AX99</f>
        <v>0</v>
      </c>
      <c r="AD98" s="311">
        <f>全车数据表!AY99</f>
        <v>459</v>
      </c>
      <c r="AE98" s="311" t="str">
        <f>IF(全车数据表!AZ99="","",全车数据表!AZ99)</f>
        <v>通行证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>
        <f>IF(全车数据表!BG99="","",全车数据表!BG99)</f>
        <v>1</v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>
        <f>IF(全车数据表!BO99="","",全车数据表!BO99)</f>
        <v>1</v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>无顶</v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迈凯伦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Nissan R390 GT1🔑</v>
      </c>
      <c r="C99" s="311" t="str">
        <f>IF(全车数据表!AQ100="","",全车数据表!AQ100)</f>
        <v>Nissan</v>
      </c>
      <c r="D99" s="313" t="str">
        <f>全车数据表!AT100</f>
        <v>r390</v>
      </c>
      <c r="E99" s="313" t="str">
        <f>全车数据表!AS100</f>
        <v>3.7</v>
      </c>
      <c r="F99" s="313" t="str">
        <f>全车数据表!C100</f>
        <v>R390</v>
      </c>
      <c r="G99" s="311" t="str">
        <f>全车数据表!D100</f>
        <v>B</v>
      </c>
      <c r="H99" s="311">
        <f>LEN(全车数据表!E100)</f>
        <v>5</v>
      </c>
      <c r="I99" s="311" t="str">
        <f>IF(全车数据表!H100="×",0,全车数据表!H100)</f>
        <v>🔑</v>
      </c>
      <c r="J99" s="311">
        <f>IF(全车数据表!I100="×",0,全车数据表!I100)</f>
        <v>26</v>
      </c>
      <c r="K99" s="311">
        <f>IF(全车数据表!J100="×",0,全车数据表!J100)</f>
        <v>34</v>
      </c>
      <c r="L99" s="311">
        <f>IF(全车数据表!K100="×",0,全车数据表!K100)</f>
        <v>40</v>
      </c>
      <c r="M99" s="311">
        <f>IF(全车数据表!L100="×",0,全车数据表!L100)</f>
        <v>62</v>
      </c>
      <c r="N99" s="311">
        <f>IF(全车数据表!M100="×",0,全车数据表!M100)</f>
        <v>0</v>
      </c>
      <c r="O99" s="311">
        <f>全车数据表!O100</f>
        <v>3627</v>
      </c>
      <c r="P99" s="311">
        <f>全车数据表!P100</f>
        <v>373.5</v>
      </c>
      <c r="Q99" s="311">
        <f>全车数据表!Q100</f>
        <v>76.72</v>
      </c>
      <c r="R99" s="311">
        <f>全车数据表!R100</f>
        <v>52.63</v>
      </c>
      <c r="S99" s="311">
        <f>全车数据表!S100</f>
        <v>55.45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388</v>
      </c>
      <c r="AC99" s="311">
        <f>全车数据表!AX100</f>
        <v>0</v>
      </c>
      <c r="AD99" s="311">
        <f>全车数据表!AY100</f>
        <v>519</v>
      </c>
      <c r="AE99" s="311" t="str">
        <f>IF(全车数据表!AZ100="","",全车数据表!AZ100)</f>
        <v>大奖赛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>
        <f>IF(全车数据表!BN100="","",全车数据表!BN100)</f>
        <v>1</v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日产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Ferrari F12tdf</v>
      </c>
      <c r="C100" s="311" t="str">
        <f>IF(全车数据表!AQ101="","",全车数据表!AQ101)</f>
        <v>Ferrari</v>
      </c>
      <c r="D100" s="313" t="str">
        <f>全车数据表!AT101</f>
        <v>f12tdf</v>
      </c>
      <c r="E100" s="313" t="str">
        <f>全车数据表!AS101</f>
        <v>1.0</v>
      </c>
      <c r="F100" s="313" t="str">
        <f>全车数据表!C101</f>
        <v>f12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30</v>
      </c>
      <c r="J100" s="311">
        <f>IF(全车数据表!I101="×",0,全车数据表!I101)</f>
        <v>9</v>
      </c>
      <c r="K100" s="311">
        <f>IF(全车数据表!J101="×",0,全车数据表!J101)</f>
        <v>13</v>
      </c>
      <c r="L100" s="311">
        <f>IF(全车数据表!K101="×",0,全车数据表!K101)</f>
        <v>21</v>
      </c>
      <c r="M100" s="311">
        <f>IF(全车数据表!L101="×",0,全车数据表!L101)</f>
        <v>32</v>
      </c>
      <c r="N100" s="311">
        <f>IF(全车数据表!M101="×",0,全车数据表!M101)</f>
        <v>0</v>
      </c>
      <c r="O100" s="311">
        <f>全车数据表!O101</f>
        <v>3724</v>
      </c>
      <c r="P100" s="311">
        <f>全车数据表!P101</f>
        <v>360.5</v>
      </c>
      <c r="Q100" s="311">
        <f>全车数据表!Q101</f>
        <v>78.38</v>
      </c>
      <c r="R100" s="311">
        <f>全车数据表!R101</f>
        <v>40.130000000000003</v>
      </c>
      <c r="S100" s="311">
        <f>全车数据表!S101</f>
        <v>80.180000000000007</v>
      </c>
      <c r="T100" s="311">
        <f>全车数据表!T101</f>
        <v>9.6660000000000004</v>
      </c>
      <c r="U100" s="311">
        <f>全车数据表!AH101</f>
        <v>3183640</v>
      </c>
      <c r="V100" s="311">
        <f>全车数据表!AO101</f>
        <v>3000000</v>
      </c>
      <c r="W100" s="311">
        <f>全车数据表!AP101</f>
        <v>6183640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375</v>
      </c>
      <c r="AC100" s="311">
        <f>全车数据表!AX101</f>
        <v>0</v>
      </c>
      <c r="AD100" s="311">
        <f>全车数据表!AY101</f>
        <v>496</v>
      </c>
      <c r="AE100" s="311" t="str">
        <f>IF(全车数据表!AZ101="","",全车数据表!AZ101)</f>
        <v>级别杯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>
        <f>IF(全车数据表!BC101="","",全车数据表!BC101)</f>
        <v>1</v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>
        <f>IF(全车数据表!BF101="","",全车数据表!BF101)</f>
        <v>1</v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法拉利 土豆粉 掏大粪</v>
      </c>
      <c r="BA100" s="311">
        <f>IF(全车数据表!AV101="","",全车数据表!AV101)</f>
        <v>12</v>
      </c>
    </row>
    <row r="101" spans="1:53">
      <c r="A101" s="311">
        <f>全车数据表!A102</f>
        <v>100</v>
      </c>
      <c r="B101" s="311" t="str">
        <f>全车数据表!B102</f>
        <v>Maserati MC20</v>
      </c>
      <c r="C101" s="311" t="str">
        <f>IF(全车数据表!AQ102="","",全车数据表!AQ102)</f>
        <v>Maserati</v>
      </c>
      <c r="D101" s="313" t="str">
        <f>全车数据表!AT102</f>
        <v>mc20</v>
      </c>
      <c r="E101" s="313" t="str">
        <f>全车数据表!AS102</f>
        <v>4.3</v>
      </c>
      <c r="F101" s="313" t="str">
        <f>全车数据表!C102</f>
        <v>MC20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45</v>
      </c>
      <c r="J101" s="311">
        <f>IF(全车数据表!I102="×",0,全车数据表!I102)</f>
        <v>17</v>
      </c>
      <c r="K101" s="311">
        <f>IF(全车数据表!J102="×",0,全车数据表!J102)</f>
        <v>23</v>
      </c>
      <c r="L101" s="311">
        <f>IF(全车数据表!K102="×",0,全车数据表!K102)</f>
        <v>32</v>
      </c>
      <c r="M101" s="311">
        <f>IF(全车数据表!L102="×",0,全车数据表!L102)</f>
        <v>45</v>
      </c>
      <c r="N101" s="311">
        <f>IF(全车数据表!M102="×",0,全车数据表!M102)</f>
        <v>0</v>
      </c>
      <c r="O101" s="311">
        <f>全车数据表!O102</f>
        <v>3773</v>
      </c>
      <c r="P101" s="311">
        <f>全车数据表!P102</f>
        <v>335.7</v>
      </c>
      <c r="Q101" s="311">
        <f>全车数据表!Q102</f>
        <v>81.63</v>
      </c>
      <c r="R101" s="311">
        <f>全车数据表!R102</f>
        <v>80.790000000000006</v>
      </c>
      <c r="S101" s="311">
        <f>全车数据表!S102</f>
        <v>75.84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0</v>
      </c>
      <c r="AC101" s="311">
        <f>全车数据表!AX102</f>
        <v>0</v>
      </c>
      <c r="AD101" s="311">
        <f>全车数据表!AY102</f>
        <v>0</v>
      </c>
      <c r="AE101" s="311" t="str">
        <f>IF(全车数据表!AZ102="","",全车数据表!AZ102)</f>
        <v/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/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Lamborghini Murcielago LP 640 Roadster</v>
      </c>
      <c r="C102" s="311" t="str">
        <f>IF(全车数据表!AQ103="","",全车数据表!AQ103)</f>
        <v>Lamborghini</v>
      </c>
      <c r="D102" s="313" t="str">
        <f>全车数据表!AT103</f>
        <v>murcielago</v>
      </c>
      <c r="E102" s="313" t="str">
        <f>全车数据表!AS103</f>
        <v>2.8</v>
      </c>
      <c r="F102" s="313" t="str">
        <f>全车数据表!C103</f>
        <v>蝙蝠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3792</v>
      </c>
      <c r="P102" s="311">
        <f>全车数据表!P103</f>
        <v>354.1</v>
      </c>
      <c r="Q102" s="311">
        <f>全车数据表!Q103</f>
        <v>77.540000000000006</v>
      </c>
      <c r="R102" s="311">
        <f>全车数据表!R103</f>
        <v>67.180000000000007</v>
      </c>
      <c r="S102" s="311">
        <f>全车数据表!S103</f>
        <v>61.13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368</v>
      </c>
      <c r="AC102" s="311">
        <f>全车数据表!AX103</f>
        <v>0</v>
      </c>
      <c r="AD102" s="311">
        <f>全车数据表!AY103</f>
        <v>484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>无顶</v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兰博基尼 蝙蝠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McLaren 765LT</v>
      </c>
      <c r="C103" s="311" t="str">
        <f>IF(全车数据表!AQ104="","",全车数据表!AQ104)</f>
        <v>McLaren</v>
      </c>
      <c r="D103" s="313" t="str">
        <f>全车数据表!AT104</f>
        <v>765lt</v>
      </c>
      <c r="E103" s="313" t="str">
        <f>全车数据表!AS104</f>
        <v>3.6</v>
      </c>
      <c r="F103" s="313" t="str">
        <f>全车数据表!C104</f>
        <v>765LT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3821</v>
      </c>
      <c r="P103" s="311">
        <f>全车数据表!P104</f>
        <v>349.5</v>
      </c>
      <c r="Q103" s="311">
        <f>全车数据表!Q104</f>
        <v>80.5</v>
      </c>
      <c r="R103" s="311">
        <f>全车数据表!R104</f>
        <v>70.61</v>
      </c>
      <c r="S103" s="311">
        <f>全车数据表!S104</f>
        <v>62.26</v>
      </c>
      <c r="T103" s="311">
        <f>全车数据表!T104</f>
        <v>0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363</v>
      </c>
      <c r="AC103" s="311">
        <f>全车数据表!AX104</f>
        <v>0</v>
      </c>
      <c r="AD103" s="311">
        <f>全车数据表!AY104</f>
        <v>477</v>
      </c>
      <c r="AE103" s="311" t="str">
        <f>IF(全车数据表!AZ104="","",全车数据表!AZ104)</f>
        <v>联会赛事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>
        <f>IF(全车数据表!BM104="","",全车数据表!BM104)</f>
        <v>1</v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迈凯伦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Chevrolet Corvette Grand Sport</v>
      </c>
      <c r="C104" s="311" t="str">
        <f>IF(全车数据表!AQ105="","",全车数据表!AQ105)</f>
        <v>Chevrolet Corvette</v>
      </c>
      <c r="D104" s="313" t="str">
        <f>全车数据表!AT105</f>
        <v>cgs</v>
      </c>
      <c r="E104" s="313" t="str">
        <f>全车数据表!AS105</f>
        <v>1.0</v>
      </c>
      <c r="F104" s="313" t="str">
        <f>全车数据表!C105</f>
        <v>五菱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30</v>
      </c>
      <c r="J104" s="311">
        <f>IF(全车数据表!I105="×",0,全车数据表!I105)</f>
        <v>9</v>
      </c>
      <c r="K104" s="311">
        <f>IF(全车数据表!J105="×",0,全车数据表!J105)</f>
        <v>13</v>
      </c>
      <c r="L104" s="311">
        <f>IF(全车数据表!K105="×",0,全车数据表!K105)</f>
        <v>21</v>
      </c>
      <c r="M104" s="311">
        <f>IF(全车数据表!L105="×",0,全车数据表!L105)</f>
        <v>32</v>
      </c>
      <c r="N104" s="311">
        <f>IF(全车数据表!M105="×",0,全车数据表!M105)</f>
        <v>0</v>
      </c>
      <c r="O104" s="311">
        <f>全车数据表!O105</f>
        <v>3921</v>
      </c>
      <c r="P104" s="311">
        <f>全车数据表!P105</f>
        <v>331.2</v>
      </c>
      <c r="Q104" s="311">
        <f>全车数据表!Q105</f>
        <v>76.55</v>
      </c>
      <c r="R104" s="311">
        <f>全车数据表!R105</f>
        <v>92.99</v>
      </c>
      <c r="S104" s="311">
        <f>全车数据表!S105</f>
        <v>80.87</v>
      </c>
      <c r="T104" s="311">
        <f>全车数据表!T105</f>
        <v>11.63</v>
      </c>
      <c r="U104" s="311">
        <f>全车数据表!AH105</f>
        <v>3183640</v>
      </c>
      <c r="V104" s="311">
        <f>全车数据表!AO105</f>
        <v>3000000</v>
      </c>
      <c r="W104" s="311">
        <f>全车数据表!AP105</f>
        <v>6183640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345</v>
      </c>
      <c r="AC104" s="311">
        <f>全车数据表!AX105</f>
        <v>0</v>
      </c>
      <c r="AD104" s="311">
        <f>全车数据表!AY105</f>
        <v>445</v>
      </c>
      <c r="AE104" s="311" t="str">
        <f>IF(全车数据表!AZ105="","",全车数据表!AZ105)</f>
        <v>级别杯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>
        <f>IF(全车数据表!BC105="","",全车数据表!BC105)</f>
        <v>1</v>
      </c>
      <c r="AI104" s="311">
        <f>IF(全车数据表!BD105="","",全车数据表!BD105)</f>
        <v>1</v>
      </c>
      <c r="AJ104" s="311" t="str">
        <f>IF(全车数据表!BE105="","",全车数据表!BE105)</f>
        <v/>
      </c>
      <c r="AK104" s="311">
        <f>IF(全车数据表!BF105="","",全车数据表!BF105)</f>
        <v>1</v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>
        <f>IF(全车数据表!BQ105="","",全车数据表!BQ105)</f>
        <v>1</v>
      </c>
      <c r="AW104" s="311" t="str">
        <f>IF(全车数据表!BR105="","",全车数据表!BR105)</f>
        <v>可开合</v>
      </c>
      <c r="AX104" s="311" t="str">
        <f>IF(全车数据表!BS105="","",全车数据表!BS105)</f>
        <v/>
      </c>
      <c r="AY104" s="311">
        <f>IF(全车数据表!BT105="","",全车数据表!BT105)</f>
        <v>1</v>
      </c>
      <c r="AZ104" s="311" t="str">
        <f>IF(全车数据表!BU105="","",全车数据表!BU105)</f>
        <v>雪佛兰 克尔维特 cgs 五菱</v>
      </c>
      <c r="BA104" s="311">
        <f>IF(全车数据表!AV105="","",全车数据表!AV105)</f>
        <v>13</v>
      </c>
    </row>
    <row r="105" spans="1:53">
      <c r="A105" s="311">
        <f>全车数据表!A106</f>
        <v>104</v>
      </c>
      <c r="B105" s="311" t="str">
        <f>全车数据表!B106</f>
        <v>Apex AP-0</v>
      </c>
      <c r="C105" s="311" t="str">
        <f>IF(全车数据表!AQ106="","",全车数据表!AQ106)</f>
        <v>Apex</v>
      </c>
      <c r="D105" s="313" t="str">
        <f>全车数据表!AT106</f>
        <v>ap-0</v>
      </c>
      <c r="E105" s="313" t="str">
        <f>全车数据表!AS106</f>
        <v>2.4</v>
      </c>
      <c r="F105" s="313" t="str">
        <f>全车数据表!C106</f>
        <v>AP-0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3946</v>
      </c>
      <c r="P105" s="311">
        <f>全车数据表!P106</f>
        <v>335.1</v>
      </c>
      <c r="Q105" s="311">
        <f>全车数据表!Q106</f>
        <v>80.959999999999994</v>
      </c>
      <c r="R105" s="311">
        <f>全车数据表!R106</f>
        <v>89.37</v>
      </c>
      <c r="S105" s="311">
        <f>全车数据表!S106</f>
        <v>75.16</v>
      </c>
      <c r="T105" s="311">
        <f>全车数据表!T106</f>
        <v>9.33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349</v>
      </c>
      <c r="AC105" s="311">
        <f>全车数据表!AX106</f>
        <v>358</v>
      </c>
      <c r="AD105" s="311">
        <f>全车数据表!AY106</f>
        <v>465</v>
      </c>
      <c r="AE105" s="311" t="str">
        <f>IF(全车数据表!AZ106="","",全车数据表!AZ106)</f>
        <v>寻车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Vantage GT12</v>
      </c>
      <c r="C106" s="311" t="str">
        <f>IF(全车数据表!AQ107="","",全车数据表!AQ107)</f>
        <v>Aston Martin</v>
      </c>
      <c r="D106" s="313" t="str">
        <f>全车数据表!AT107</f>
        <v>gt12</v>
      </c>
      <c r="E106" s="313" t="str">
        <f>全车数据表!AS107</f>
        <v>1.7</v>
      </c>
      <c r="F106" s="313" t="str">
        <f>全车数据表!C107</f>
        <v>GT12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3946</v>
      </c>
      <c r="P106" s="311">
        <f>全车数据表!P107</f>
        <v>337.8</v>
      </c>
      <c r="Q106" s="311">
        <f>全车数据表!Q107</f>
        <v>78.260000000000005</v>
      </c>
      <c r="R106" s="311">
        <f>全车数据表!R107</f>
        <v>86.85</v>
      </c>
      <c r="S106" s="311">
        <f>全车数据表!S107</f>
        <v>80.459999999999994</v>
      </c>
      <c r="T106" s="311">
        <f>全车数据表!T107</f>
        <v>11.13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352</v>
      </c>
      <c r="AC106" s="311">
        <f>全车数据表!AX107</f>
        <v>0</v>
      </c>
      <c r="AD106" s="311">
        <f>全车数据表!AY107</f>
        <v>457</v>
      </c>
      <c r="AE106" s="311" t="str">
        <f>IF(全车数据表!AZ107="","",全车数据表!AZ107)</f>
        <v>传奇商店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>
        <f>IF(全车数据表!BD107="","",全车数据表!BD107)</f>
        <v>1</v>
      </c>
      <c r="AJ106" s="311" t="str">
        <f>IF(全车数据表!BE107="","",全车数据表!BE107)</f>
        <v/>
      </c>
      <c r="AK106" s="311">
        <f>IF(全车数据表!BF107="","",全车数据表!BF107)</f>
        <v>1</v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>
        <f>IF(全车数据表!BT107="","",全车数据表!BT107)</f>
        <v>1</v>
      </c>
      <c r="AZ106" s="311" t="str">
        <f>IF(全车数据表!BU107="","",全车数据表!BU107)</f>
        <v>阿斯顿马丁</v>
      </c>
      <c r="BA106" s="311">
        <f>IF(全车数据表!AV107="","",全车数据表!AV107)</f>
        <v>14</v>
      </c>
    </row>
    <row r="107" spans="1:53">
      <c r="A107" s="311">
        <f>全车数据表!A108</f>
        <v>106</v>
      </c>
      <c r="B107" s="311" t="str">
        <f>全车数据表!B108</f>
        <v>Apollo IE</v>
      </c>
      <c r="C107" s="311" t="str">
        <f>IF(全车数据表!AQ108="","",全车数据表!AQ108)</f>
        <v>Apollo</v>
      </c>
      <c r="D107" s="313" t="str">
        <f>全车数据表!AT108</f>
        <v>ie</v>
      </c>
      <c r="E107" s="313" t="str">
        <f>全车数据表!AS108</f>
        <v>2.6</v>
      </c>
      <c r="F107" s="313" t="str">
        <f>全车数据表!C108</f>
        <v>IE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45</v>
      </c>
      <c r="J107" s="311">
        <f>IF(全车数据表!I108="×",0,全车数据表!I108)</f>
        <v>17</v>
      </c>
      <c r="K107" s="311">
        <f>IF(全车数据表!J108="×",0,全车数据表!J108)</f>
        <v>23</v>
      </c>
      <c r="L107" s="311">
        <f>IF(全车数据表!K108="×",0,全车数据表!K108)</f>
        <v>32</v>
      </c>
      <c r="M107" s="311">
        <f>IF(全车数据表!L108="×",0,全车数据表!L108)</f>
        <v>45</v>
      </c>
      <c r="N107" s="311">
        <f>IF(全车数据表!M108="×",0,全车数据表!M108)</f>
        <v>0</v>
      </c>
      <c r="O107" s="311">
        <f>全车数据表!O108</f>
        <v>3953</v>
      </c>
      <c r="P107" s="311">
        <f>全车数据表!P108</f>
        <v>348.3</v>
      </c>
      <c r="Q107" s="311">
        <f>全车数据表!Q108</f>
        <v>84.65</v>
      </c>
      <c r="R107" s="311">
        <f>全车数据表!R108</f>
        <v>73.17</v>
      </c>
      <c r="S107" s="311">
        <f>全车数据表!S108</f>
        <v>69.12</v>
      </c>
      <c r="T107" s="311">
        <f>全车数据表!T108</f>
        <v>7.46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362</v>
      </c>
      <c r="AC107" s="311">
        <f>全车数据表!AX108</f>
        <v>0</v>
      </c>
      <c r="AD107" s="311">
        <f>全车数据表!AY108</f>
        <v>475</v>
      </c>
      <c r="AE107" s="311" t="str">
        <f>IF(全车数据表!AZ108="","",全车数据表!AZ108)</f>
        <v>通行证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>
        <f>IF(全车数据表!BG108="","",全车数据表!BG108)</f>
        <v>1</v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阿波罗 菠萝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Sin R1 550</v>
      </c>
      <c r="C108" s="311" t="str">
        <f>IF(全车数据表!AQ109="","",全车数据表!AQ109)</f>
        <v>Sin</v>
      </c>
      <c r="D108" s="313">
        <f>全车数据表!AT109</f>
        <v>550</v>
      </c>
      <c r="E108" s="313" t="str">
        <f>全车数据表!AS109</f>
        <v>1.2</v>
      </c>
      <c r="F108" s="313" t="str">
        <f>全车数据表!C109</f>
        <v>sin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30</v>
      </c>
      <c r="J108" s="311">
        <f>IF(全车数据表!I109="×",0,全车数据表!I109)</f>
        <v>9</v>
      </c>
      <c r="K108" s="311">
        <f>IF(全车数据表!J109="×",0,全车数据表!J109)</f>
        <v>13</v>
      </c>
      <c r="L108" s="311">
        <f>IF(全车数据表!K109="×",0,全车数据表!K109)</f>
        <v>21</v>
      </c>
      <c r="M108" s="311">
        <f>IF(全车数据表!L109="×",0,全车数据表!L109)</f>
        <v>32</v>
      </c>
      <c r="N108" s="311">
        <f>IF(全车数据表!M109="×",0,全车数据表!M109)</f>
        <v>0</v>
      </c>
      <c r="O108" s="311">
        <f>全车数据表!O109</f>
        <v>3971</v>
      </c>
      <c r="P108" s="311">
        <f>全车数据表!P109</f>
        <v>370.6</v>
      </c>
      <c r="Q108" s="311">
        <f>全车数据表!Q109</f>
        <v>77.040000000000006</v>
      </c>
      <c r="R108" s="311">
        <f>全车数据表!R109</f>
        <v>45.74</v>
      </c>
      <c r="S108" s="311">
        <f>全车数据表!S109</f>
        <v>85</v>
      </c>
      <c r="T108" s="311">
        <f>全车数据表!T109</f>
        <v>10.7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384</v>
      </c>
      <c r="AC108" s="311">
        <f>全车数据表!AX109</f>
        <v>0</v>
      </c>
      <c r="AD108" s="311">
        <f>全车数据表!AY109</f>
        <v>511</v>
      </c>
      <c r="AE108" s="311" t="str">
        <f>IF(全车数据表!AZ109="","",全车数据表!AZ109)</f>
        <v>红币商店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>
        <f>IF(全车数据表!BD109="","",全车数据表!BD109)</f>
        <v>1</v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>
        <f>IF(全车数据表!BT109="","",全车数据表!BT109)</f>
        <v>1</v>
      </c>
      <c r="AZ108" s="311" t="str">
        <f>IF(全车数据表!BU109="","",全车数据表!BU109)</f>
        <v/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Lamborghini Reventon Roadster🔑</v>
      </c>
      <c r="C109" s="311" t="str">
        <f>IF(全车数据表!AQ110="","",全车数据表!AQ110)</f>
        <v>Lamborghini</v>
      </c>
      <c r="D109" s="313" t="str">
        <f>全车数据表!AT110</f>
        <v>reventon</v>
      </c>
      <c r="E109" s="313" t="str">
        <f>全车数据表!AS110</f>
        <v>3.5</v>
      </c>
      <c r="F109" s="313" t="str">
        <f>全车数据表!C110</f>
        <v>雷文顿</v>
      </c>
      <c r="G109" s="311" t="str">
        <f>全车数据表!D110</f>
        <v>B</v>
      </c>
      <c r="H109" s="311">
        <f>LEN(全车数据表!E110)</f>
        <v>5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40</v>
      </c>
      <c r="M109" s="311">
        <f>IF(全车数据表!L110="×",0,全车数据表!L110)</f>
        <v>62</v>
      </c>
      <c r="N109" s="311">
        <f>IF(全车数据表!M110="×",0,全车数据表!M110)</f>
        <v>0</v>
      </c>
      <c r="O109" s="311">
        <f>全车数据表!O110</f>
        <v>3984</v>
      </c>
      <c r="P109" s="311">
        <f>全车数据表!P110</f>
        <v>356.3</v>
      </c>
      <c r="Q109" s="311">
        <f>全车数据表!Q110</f>
        <v>78.349999999999994</v>
      </c>
      <c r="R109" s="311">
        <f>全车数据表!R110</f>
        <v>67.650000000000006</v>
      </c>
      <c r="S109" s="311">
        <f>全车数据表!S110</f>
        <v>74.41</v>
      </c>
      <c r="T109" s="311">
        <f>全车数据表!T110</f>
        <v>0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371</v>
      </c>
      <c r="AC109" s="311">
        <f>全车数据表!AX110</f>
        <v>0</v>
      </c>
      <c r="AD109" s="311">
        <f>全车数据表!AY110</f>
        <v>489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>无顶</v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兰博基尼</v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Ferrari Enzo Ferrari</v>
      </c>
      <c r="C110" s="311" t="str">
        <f>IF(全车数据表!AQ111="","",全车数据表!AQ111)</f>
        <v>Ferrari</v>
      </c>
      <c r="D110" s="313" t="str">
        <f>全车数据表!AT111</f>
        <v>enzo</v>
      </c>
      <c r="E110" s="313" t="str">
        <f>全车数据表!AS111</f>
        <v>2.5</v>
      </c>
      <c r="F110" s="313" t="str">
        <f>全车数据表!C111</f>
        <v>Enzo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4009</v>
      </c>
      <c r="P110" s="311">
        <f>全车数据表!P111</f>
        <v>364.8</v>
      </c>
      <c r="Q110" s="311">
        <f>全车数据表!Q111</f>
        <v>75.290000000000006</v>
      </c>
      <c r="R110" s="311">
        <f>全车数据表!R111</f>
        <v>64.95</v>
      </c>
      <c r="S110" s="311">
        <f>全车数据表!S111</f>
        <v>72.260000000000005</v>
      </c>
      <c r="T110" s="311">
        <f>全车数据表!T111</f>
        <v>7.37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379</v>
      </c>
      <c r="AC110" s="311">
        <f>全车数据表!AX111</f>
        <v>0</v>
      </c>
      <c r="AD110" s="311">
        <f>全车数据表!AY111</f>
        <v>503</v>
      </c>
      <c r="AE110" s="311" t="str">
        <f>IF(全车数据表!AZ111="","",全车数据表!AZ111)</f>
        <v>通行证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>
        <f>IF(全车数据表!BG111="","",全车数据表!BG111)</f>
        <v>1</v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法拉利 恩佐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Aston Martin One77</v>
      </c>
      <c r="C111" s="311" t="str">
        <f>IF(全车数据表!AQ112="","",全车数据表!AQ112)</f>
        <v>Aston Martin</v>
      </c>
      <c r="D111" s="313" t="str">
        <f>全车数据表!AT112</f>
        <v>one77</v>
      </c>
      <c r="E111" s="313" t="str">
        <f>全车数据表!AS112</f>
        <v>3.3</v>
      </c>
      <c r="F111" s="313" t="str">
        <f>全车数据表!C112</f>
        <v>One77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4022</v>
      </c>
      <c r="P111" s="311">
        <f>全车数据表!P112</f>
        <v>363.5</v>
      </c>
      <c r="Q111" s="311">
        <f>全车数据表!Q112</f>
        <v>79.34</v>
      </c>
      <c r="R111" s="311">
        <f>全车数据表!R112</f>
        <v>68.7</v>
      </c>
      <c r="S111" s="311">
        <f>全车数据表!S112</f>
        <v>56.61</v>
      </c>
      <c r="T111" s="311">
        <f>全车数据表!T112</f>
        <v>0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378</v>
      </c>
      <c r="AC111" s="311">
        <f>全车数据表!AX112</f>
        <v>0</v>
      </c>
      <c r="AD111" s="311">
        <f>全车数据表!AY112</f>
        <v>501</v>
      </c>
      <c r="AE111" s="311" t="str">
        <f>IF(全车数据表!AZ112="","",全车数据表!AZ112)</f>
        <v>通行证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>
        <f>IF(全车数据表!BG112="","",全车数据表!BG112)</f>
        <v>1</v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阿斯顿马丁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Apollo N</v>
      </c>
      <c r="C112" s="311" t="str">
        <f>IF(全车数据表!AQ113="","",全车数据表!AQ113)</f>
        <v>Apollo</v>
      </c>
      <c r="D112" s="313" t="str">
        <f>全车数据表!AT113</f>
        <v>n</v>
      </c>
      <c r="E112" s="313" t="str">
        <f>全车数据表!AS113</f>
        <v>1.3</v>
      </c>
      <c r="F112" s="313" t="str">
        <f>全车数据表!C113</f>
        <v>菠萝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30</v>
      </c>
      <c r="J112" s="311">
        <f>IF(全车数据表!I113="×",0,全车数据表!I113)</f>
        <v>9</v>
      </c>
      <c r="K112" s="311">
        <f>IF(全车数据表!J113="×",0,全车数据表!J113)</f>
        <v>13</v>
      </c>
      <c r="L112" s="311">
        <f>IF(全车数据表!K113="×",0,全车数据表!K113)</f>
        <v>21</v>
      </c>
      <c r="M112" s="311">
        <f>IF(全车数据表!L113="×",0,全车数据表!L113)</f>
        <v>32</v>
      </c>
      <c r="N112" s="311">
        <f>IF(全车数据表!M113="×",0,全车数据表!M113)</f>
        <v>0</v>
      </c>
      <c r="O112" s="311">
        <f>全车数据表!O113</f>
        <v>4047</v>
      </c>
      <c r="P112" s="311">
        <f>全车数据表!P113</f>
        <v>374.1</v>
      </c>
      <c r="Q112" s="311">
        <f>全车数据表!Q113</f>
        <v>80.319999999999993</v>
      </c>
      <c r="R112" s="311">
        <f>全车数据表!R113</f>
        <v>58.13</v>
      </c>
      <c r="S112" s="311">
        <f>全车数据表!S113</f>
        <v>60.57</v>
      </c>
      <c r="T112" s="311">
        <f>全车数据表!T113</f>
        <v>5.8160000000000007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389</v>
      </c>
      <c r="AC112" s="311">
        <f>全车数据表!AX113</f>
        <v>0</v>
      </c>
      <c r="AD112" s="311">
        <f>全车数据表!AY113</f>
        <v>520</v>
      </c>
      <c r="AE112" s="311" t="str">
        <f>IF(全车数据表!AZ113="","",全车数据表!AZ113)</f>
        <v>传奇商店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阿波罗 菠萝</v>
      </c>
      <c r="BA112" s="311">
        <f>IF(全车数据表!AV113="","",全车数据表!AV113)</f>
        <v>14</v>
      </c>
    </row>
    <row r="113" spans="1:53">
      <c r="A113" s="311">
        <f>全车数据表!A114</f>
        <v>112</v>
      </c>
      <c r="B113" s="311" t="str">
        <f>全车数据表!B114</f>
        <v>Mercedes-Benz SLR McLaren</v>
      </c>
      <c r="C113" s="311" t="str">
        <f>IF(全车数据表!AQ114="","",全车数据表!AQ114)</f>
        <v>Mercedes-Benz</v>
      </c>
      <c r="D113" s="313" t="str">
        <f>全车数据表!AT114</f>
        <v>slr</v>
      </c>
      <c r="E113" s="313" t="str">
        <f>全车数据表!AS114</f>
        <v>1.5</v>
      </c>
      <c r="F113" s="313" t="str">
        <f>全车数据表!C114</f>
        <v>SLR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4058</v>
      </c>
      <c r="P113" s="311">
        <f>全车数据表!P114</f>
        <v>353.3</v>
      </c>
      <c r="Q113" s="311">
        <f>全车数据表!Q114</f>
        <v>78.180000000000007</v>
      </c>
      <c r="R113" s="311">
        <f>全车数据表!R114</f>
        <v>66.599999999999994</v>
      </c>
      <c r="S113" s="311">
        <f>全车数据表!S114</f>
        <v>79.540000000000006</v>
      </c>
      <c r="T113" s="311">
        <f>全车数据表!T114</f>
        <v>9.8169999999999984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367</v>
      </c>
      <c r="AC113" s="311">
        <f>全车数据表!AX114</f>
        <v>0</v>
      </c>
      <c r="AD113" s="311">
        <f>全车数据表!AY114</f>
        <v>484</v>
      </c>
      <c r="AE113" s="311" t="str">
        <f>IF(全车数据表!AZ114="","",全车数据表!AZ114)</f>
        <v>多人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>
        <f>IF(全车数据表!BI114="","",全车数据表!BI114)</f>
        <v>1</v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>可开合</v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奔驰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Aston Martin DBS SuperLeggera</v>
      </c>
      <c r="C114" s="311" t="str">
        <f>IF(全车数据表!AQ115="","",全车数据表!AQ115)</f>
        <v>Aston Martin</v>
      </c>
      <c r="D114" s="313" t="str">
        <f>全车数据表!AT115</f>
        <v>dbs</v>
      </c>
      <c r="E114" s="313" t="str">
        <f>全车数据表!AS115</f>
        <v>1.8</v>
      </c>
      <c r="F114" s="313" t="str">
        <f>全车数据表!C115</f>
        <v>DBS</v>
      </c>
      <c r="G114" s="311" t="str">
        <f>全车数据表!D115</f>
        <v>B</v>
      </c>
      <c r="H114" s="311">
        <f>LEN(全车数据表!E115)</f>
        <v>5</v>
      </c>
      <c r="I114" s="311">
        <f>IF(全车数据表!H115="×",0,全车数据表!H115)</f>
        <v>45</v>
      </c>
      <c r="J114" s="311">
        <f>IF(全车数据表!I115="×",0,全车数据表!I115)</f>
        <v>17</v>
      </c>
      <c r="K114" s="311">
        <f>IF(全车数据表!J115="×",0,全车数据表!J115)</f>
        <v>23</v>
      </c>
      <c r="L114" s="311">
        <f>IF(全车数据表!K115="×",0,全车数据表!K115)</f>
        <v>32</v>
      </c>
      <c r="M114" s="311">
        <f>IF(全车数据表!L115="×",0,全车数据表!L115)</f>
        <v>45</v>
      </c>
      <c r="N114" s="311">
        <f>IF(全车数据表!M115="×",0,全车数据表!M115)</f>
        <v>0</v>
      </c>
      <c r="O114" s="311">
        <f>全车数据表!O115</f>
        <v>4059</v>
      </c>
      <c r="P114" s="311">
        <f>全车数据表!P115</f>
        <v>355.4</v>
      </c>
      <c r="Q114" s="311">
        <f>全车数据表!Q115</f>
        <v>79.16</v>
      </c>
      <c r="R114" s="311">
        <f>全车数据表!R115</f>
        <v>70.739999999999995</v>
      </c>
      <c r="S114" s="311">
        <f>全车数据表!S115</f>
        <v>73.88</v>
      </c>
      <c r="T114" s="311">
        <f>全车数据表!T115</f>
        <v>8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epic</v>
      </c>
      <c r="AB114" s="311">
        <f>全车数据表!AW115</f>
        <v>370</v>
      </c>
      <c r="AC114" s="311">
        <f>全车数据表!AX115</f>
        <v>0</v>
      </c>
      <c r="AD114" s="311">
        <f>全车数据表!AY115</f>
        <v>487</v>
      </c>
      <c r="AE114" s="311" t="str">
        <f>IF(全车数据表!AZ115="","",全车数据表!AZ115)</f>
        <v>传奇商店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>
        <f>IF(全车数据表!BD115="","",全车数据表!BD115)</f>
        <v>1</v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>
        <f>IF(全车数据表!BT115="","",全车数据表!BT115)</f>
        <v>1</v>
      </c>
      <c r="AZ114" s="311" t="str">
        <f>IF(全车数据表!BU115="","",全车数据表!BU115)</f>
        <v>阿斯顿马丁 大鼻屎</v>
      </c>
      <c r="BA114" s="311">
        <f>IF(全车数据表!AV115="","",全车数据表!AV115)</f>
        <v>15</v>
      </c>
    </row>
    <row r="115" spans="1:53">
      <c r="A115" s="311">
        <f>全车数据表!A116</f>
        <v>114</v>
      </c>
      <c r="B115" s="311" t="str">
        <f>全车数据表!B116</f>
        <v>Lamborghini Essenza SCV12🔑</v>
      </c>
      <c r="C115" s="311" t="str">
        <f>IF(全车数据表!AQ116="","",全车数据表!AQ116)</f>
        <v>Lamborghini</v>
      </c>
      <c r="D115" s="313" t="str">
        <f>全车数据表!AT116</f>
        <v>scv12</v>
      </c>
      <c r="E115" s="313" t="str">
        <f>全车数据表!AS116</f>
        <v>2.8</v>
      </c>
      <c r="F115" s="313" t="str">
        <f>全车数据表!C116</f>
        <v>SCV12</v>
      </c>
      <c r="G115" s="311" t="str">
        <f>全车数据表!D116</f>
        <v>B</v>
      </c>
      <c r="H115" s="311">
        <f>LEN(全车数据表!E116)</f>
        <v>5</v>
      </c>
      <c r="I115" s="311" t="str">
        <f>IF(全车数据表!H116="×",0,全车数据表!H116)</f>
        <v>🔑</v>
      </c>
      <c r="J115" s="311">
        <f>IF(全车数据表!I116="×",0,全车数据表!I116)</f>
        <v>26</v>
      </c>
      <c r="K115" s="311">
        <f>IF(全车数据表!J116="×",0,全车数据表!J116)</f>
        <v>35</v>
      </c>
      <c r="L115" s="311">
        <f>IF(全车数据表!K116="×",0,全车数据表!K116)</f>
        <v>40</v>
      </c>
      <c r="M115" s="311">
        <f>IF(全车数据表!L116="×",0,全车数据表!L116)</f>
        <v>62</v>
      </c>
      <c r="N115" s="311">
        <f>IF(全车数据表!M116="×",0,全车数据表!M116)</f>
        <v>0</v>
      </c>
      <c r="O115" s="311">
        <f>全车数据表!O116</f>
        <v>4061</v>
      </c>
      <c r="P115" s="311">
        <f>全车数据表!P116</f>
        <v>340.5</v>
      </c>
      <c r="Q115" s="311">
        <f>全车数据表!Q116</f>
        <v>85.1</v>
      </c>
      <c r="R115" s="311">
        <f>全车数据表!R116</f>
        <v>75.81</v>
      </c>
      <c r="S115" s="311">
        <f>全车数据表!S116</f>
        <v>74.78</v>
      </c>
      <c r="T115" s="311">
        <f>全车数据表!T116</f>
        <v>0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355</v>
      </c>
      <c r="AC115" s="311">
        <f>全车数据表!AX116</f>
        <v>0</v>
      </c>
      <c r="AD115" s="311">
        <f>全车数据表!AY116</f>
        <v>462</v>
      </c>
      <c r="AE115" s="311" t="str">
        <f>IF(全车数据表!AZ116="","",全车数据表!AZ116)</f>
        <v>大奖赛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>
        <f>IF(全车数据表!BL116="","",全车数据表!BL116)</f>
        <v>1</v>
      </c>
      <c r="AR115" s="311" t="str">
        <f>IF(全车数据表!BM116="","",全车数据表!BM116)</f>
        <v/>
      </c>
      <c r="AS115" s="311">
        <f>IF(全车数据表!BN116="","",全车数据表!BN116)</f>
        <v>1</v>
      </c>
      <c r="AT115" s="311">
        <f>IF(全车数据表!BO116="","",全车数据表!BO116)</f>
        <v>1</v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兰博基尼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McLaren 600LT Spider</v>
      </c>
      <c r="C116" s="311" t="str">
        <f>IF(全车数据表!AQ117="","",全车数据表!AQ117)</f>
        <v>McLaren</v>
      </c>
      <c r="D116" s="313" t="str">
        <f>全车数据表!AT117</f>
        <v>600lt</v>
      </c>
      <c r="E116" s="313" t="str">
        <f>全车数据表!AS117</f>
        <v>3.9</v>
      </c>
      <c r="F116" s="313" t="str">
        <f>全车数据表!C117</f>
        <v>600lt</v>
      </c>
      <c r="G116" s="311" t="str">
        <f>全车数据表!D117</f>
        <v>B</v>
      </c>
      <c r="H116" s="311">
        <f>LEN(全车数据表!E117)</f>
        <v>5</v>
      </c>
      <c r="I116" s="311">
        <f>IF(全车数据表!H117="×",0,全车数据表!H117)</f>
        <v>45</v>
      </c>
      <c r="J116" s="311">
        <f>IF(全车数据表!I117="×",0,全车数据表!I117)</f>
        <v>17</v>
      </c>
      <c r="K116" s="311">
        <f>IF(全车数据表!J117="×",0,全车数据表!J117)</f>
        <v>23</v>
      </c>
      <c r="L116" s="311">
        <f>IF(全车数据表!K117="×",0,全车数据表!K117)</f>
        <v>32</v>
      </c>
      <c r="M116" s="311">
        <f>IF(全车数据表!L117="×",0,全车数据表!L117)</f>
        <v>45</v>
      </c>
      <c r="N116" s="311">
        <f>IF(全车数据表!M117="×",0,全车数据表!M117)</f>
        <v>0</v>
      </c>
      <c r="O116" s="311">
        <f>全车数据表!O117</f>
        <v>4075</v>
      </c>
      <c r="P116" s="311">
        <f>全车数据表!P117</f>
        <v>340.5</v>
      </c>
      <c r="Q116" s="311">
        <f>全车数据表!Q117</f>
        <v>86.11</v>
      </c>
      <c r="R116" s="311">
        <f>全车数据表!R117</f>
        <v>83.17</v>
      </c>
      <c r="S116" s="311">
        <f>全车数据表!S117</f>
        <v>74.540000000000006</v>
      </c>
      <c r="T116" s="311">
        <f>全车数据表!T117</f>
        <v>0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354</v>
      </c>
      <c r="AC116" s="311">
        <f>全车数据表!AX117</f>
        <v>0</v>
      </c>
      <c r="AD116" s="311">
        <f>全车数据表!AY117</f>
        <v>461</v>
      </c>
      <c r="AE116" s="311" t="str">
        <f>IF(全车数据表!AZ117="","",全车数据表!AZ117)</f>
        <v>惊艳亮相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迈凯伦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McLaren Solus GT🔑</v>
      </c>
      <c r="C117" s="311" t="str">
        <f>IF(全车数据表!AQ118="","",全车数据表!AQ118)</f>
        <v>McLaren</v>
      </c>
      <c r="D117" s="313" t="str">
        <f>全车数据表!AT118</f>
        <v>solus</v>
      </c>
      <c r="E117" s="313" t="str">
        <f>全车数据表!AS118</f>
        <v>4.2</v>
      </c>
      <c r="F117" s="313" t="str">
        <f>全车数据表!C118</f>
        <v>Solus</v>
      </c>
      <c r="G117" s="311" t="str">
        <f>全车数据表!D118</f>
        <v>B</v>
      </c>
      <c r="H117" s="311">
        <f>LEN(全车数据表!E118)</f>
        <v>5</v>
      </c>
      <c r="I117" s="311" t="str">
        <f>IF(全车数据表!H118="×",0,全车数据表!H118)</f>
        <v>🔑</v>
      </c>
      <c r="J117" s="311">
        <f>IF(全车数据表!I118="×",0,全车数据表!I118)</f>
        <v>26</v>
      </c>
      <c r="K117" s="311">
        <f>IF(全车数据表!J118="×",0,全车数据表!J118)</f>
        <v>35</v>
      </c>
      <c r="L117" s="311">
        <f>IF(全车数据表!K118="×",0,全车数据表!K118)</f>
        <v>40</v>
      </c>
      <c r="M117" s="311">
        <f>IF(全车数据表!L118="×",0,全车数据表!L118)</f>
        <v>62</v>
      </c>
      <c r="N117" s="311">
        <f>IF(全车数据表!M118="×",0,全车数据表!M118)</f>
        <v>0</v>
      </c>
      <c r="O117" s="311">
        <f>全车数据表!O118</f>
        <v>4076</v>
      </c>
      <c r="P117" s="311">
        <f>全车数据表!P118</f>
        <v>335.4</v>
      </c>
      <c r="Q117" s="311">
        <f>全车数据表!Q118</f>
        <v>89.3</v>
      </c>
      <c r="R117" s="311">
        <f>全车数据表!R118</f>
        <v>83.12</v>
      </c>
      <c r="S117" s="311">
        <f>全车数据表!S118</f>
        <v>76.83</v>
      </c>
      <c r="T117" s="311">
        <f>全车数据表!T118</f>
        <v>0</v>
      </c>
      <c r="U117" s="311">
        <f>全车数据表!AH118</f>
        <v>6369280</v>
      </c>
      <c r="V117" s="311">
        <f>全车数据表!AO118</f>
        <v>6000000</v>
      </c>
      <c r="W117" s="311">
        <f>全车数据表!AP118</f>
        <v>12369280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349</v>
      </c>
      <c r="AC117" s="311">
        <f>全车数据表!AX118</f>
        <v>0</v>
      </c>
      <c r="AD117" s="311">
        <f>全车数据表!AY118</f>
        <v>453</v>
      </c>
      <c r="AE117" s="311" t="str">
        <f>IF(全车数据表!AZ118="","",全车数据表!AZ118)</f>
        <v>大奖赛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>
        <f>IF(全车数据表!BN118="","",全车数据表!BN118)</f>
        <v>1</v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迈凯伦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Puritalia Berlinetta</v>
      </c>
      <c r="C118" s="311" t="str">
        <f>IF(全车数据表!AQ119="","",全车数据表!AQ119)</f>
        <v>Puritalia</v>
      </c>
      <c r="D118" s="313" t="str">
        <f>全车数据表!AT119</f>
        <v>berlinetta</v>
      </c>
      <c r="E118" s="313" t="str">
        <f>全车数据表!AS119</f>
        <v>3.4</v>
      </c>
      <c r="F118" s="313" t="str">
        <f>全车数据表!C119</f>
        <v>Berlinetta</v>
      </c>
      <c r="G118" s="311" t="str">
        <f>全车数据表!D119</f>
        <v>B</v>
      </c>
      <c r="H118" s="311">
        <f>LEN(全车数据表!E119)</f>
        <v>5</v>
      </c>
      <c r="I118" s="311">
        <f>IF(全车数据表!H119="×",0,全车数据表!H119)</f>
        <v>45</v>
      </c>
      <c r="J118" s="311">
        <f>IF(全车数据表!I119="×",0,全车数据表!I119)</f>
        <v>17</v>
      </c>
      <c r="K118" s="311">
        <f>IF(全车数据表!J119="×",0,全车数据表!J119)</f>
        <v>23</v>
      </c>
      <c r="L118" s="311">
        <f>IF(全车数据表!K119="×",0,全车数据表!K119)</f>
        <v>32</v>
      </c>
      <c r="M118" s="311">
        <f>IF(全车数据表!L119="×",0,全车数据表!L119)</f>
        <v>45</v>
      </c>
      <c r="N118" s="311">
        <f>IF(全车数据表!M119="×",0,全车数据表!M119)</f>
        <v>0</v>
      </c>
      <c r="O118" s="311">
        <f>全车数据表!O119</f>
        <v>4076</v>
      </c>
      <c r="P118" s="311">
        <f>全车数据表!P119</f>
        <v>349.5</v>
      </c>
      <c r="Q118" s="311">
        <f>全车数据表!Q119</f>
        <v>83.43</v>
      </c>
      <c r="R118" s="311">
        <f>全车数据表!R119</f>
        <v>82.74</v>
      </c>
      <c r="S118" s="311">
        <f>全车数据表!S119</f>
        <v>69.66</v>
      </c>
      <c r="T118" s="311">
        <f>全车数据表!T119</f>
        <v>0</v>
      </c>
      <c r="U118" s="311">
        <f>全车数据表!AH119</f>
        <v>6369280</v>
      </c>
      <c r="V118" s="311">
        <f>全车数据表!AO119</f>
        <v>6000000</v>
      </c>
      <c r="W118" s="311">
        <f>全车数据表!AP119</f>
        <v>12369280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epic</v>
      </c>
      <c r="AB118" s="311">
        <f>全车数据表!AW119</f>
        <v>362</v>
      </c>
      <c r="AC118" s="311">
        <f>全车数据表!AX119</f>
        <v>0</v>
      </c>
      <c r="AD118" s="311">
        <f>全车数据表!AY119</f>
        <v>474</v>
      </c>
      <c r="AE118" s="311" t="str">
        <f>IF(全车数据表!AZ119="","",全车数据表!AZ119)</f>
        <v>通行证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/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Lamborghini Huracan EVO Spyder</v>
      </c>
      <c r="C119" s="311" t="str">
        <f>IF(全车数据表!AQ120="","",全车数据表!AQ120)</f>
        <v>Lamborghini</v>
      </c>
      <c r="D119" s="313" t="str">
        <f>全车数据表!AT120</f>
        <v>evo</v>
      </c>
      <c r="E119" s="313" t="str">
        <f>全车数据表!AS120</f>
        <v>1.4</v>
      </c>
      <c r="F119" s="313" t="str">
        <f>全车数据表!C120</f>
        <v>EVO</v>
      </c>
      <c r="G119" s="311" t="str">
        <f>全车数据表!D120</f>
        <v>B</v>
      </c>
      <c r="H119" s="311">
        <f>LEN(全车数据表!E120)</f>
        <v>5</v>
      </c>
      <c r="I119" s="311">
        <f>IF(全车数据表!H120="×",0,全车数据表!H120)</f>
        <v>45</v>
      </c>
      <c r="J119" s="311">
        <f>IF(全车数据表!I120="×",0,全车数据表!I120)</f>
        <v>17</v>
      </c>
      <c r="K119" s="311">
        <f>IF(全车数据表!J120="×",0,全车数据表!J120)</f>
        <v>23</v>
      </c>
      <c r="L119" s="311">
        <f>IF(全车数据表!K120="×",0,全车数据表!K120)</f>
        <v>32</v>
      </c>
      <c r="M119" s="311">
        <f>IF(全车数据表!L120="×",0,全车数据表!L120)</f>
        <v>45</v>
      </c>
      <c r="N119" s="311">
        <f>IF(全车数据表!M120="×",0,全车数据表!M120)</f>
        <v>0</v>
      </c>
      <c r="O119" s="311">
        <f>全车数据表!O120</f>
        <v>4109</v>
      </c>
      <c r="P119" s="311">
        <f>全车数据表!P120</f>
        <v>344</v>
      </c>
      <c r="Q119" s="311">
        <f>全车数据表!Q120</f>
        <v>84.31</v>
      </c>
      <c r="R119" s="311">
        <f>全车数据表!R120</f>
        <v>75.97</v>
      </c>
      <c r="S119" s="311">
        <f>全车数据表!S120</f>
        <v>82.43</v>
      </c>
      <c r="T119" s="311">
        <f>全车数据表!T120</f>
        <v>11.517000000000001</v>
      </c>
      <c r="U119" s="311">
        <f>全车数据表!AH120</f>
        <v>6369280</v>
      </c>
      <c r="V119" s="311">
        <f>全车数据表!AO120</f>
        <v>6000000</v>
      </c>
      <c r="W119" s="311">
        <f>全车数据表!AP120</f>
        <v>12369280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epic</v>
      </c>
      <c r="AB119" s="311">
        <f>全车数据表!AW120</f>
        <v>358</v>
      </c>
      <c r="AC119" s="311">
        <f>全车数据表!AX120</f>
        <v>0</v>
      </c>
      <c r="AD119" s="311">
        <f>全车数据表!AY120</f>
        <v>468</v>
      </c>
      <c r="AE119" s="311" t="str">
        <f>IF(全车数据表!AZ120="","",全车数据表!AZ120)</f>
        <v>传奇商店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>
        <f>IF(全车数据表!BQ120="","",全车数据表!BQ120)</f>
        <v>1</v>
      </c>
      <c r="AW119" s="311" t="str">
        <f>IF(全车数据表!BR120="","",全车数据表!BR120)</f>
        <v>可开合</v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是人都有 4109 飓风 小牛 兰博基尼</v>
      </c>
      <c r="BA119" s="311">
        <f>IF(全车数据表!AV120="","",全车数据表!AV120)</f>
        <v>16</v>
      </c>
    </row>
    <row r="120" spans="1:53">
      <c r="A120" s="311">
        <f>全车数据表!A121</f>
        <v>119</v>
      </c>
      <c r="B120" s="311" t="str">
        <f>全车数据表!B121</f>
        <v>Porsche Carrera GT</v>
      </c>
      <c r="C120" s="311" t="str">
        <f>IF(全车数据表!AQ121="","",全车数据表!AQ121)</f>
        <v>Porsche</v>
      </c>
      <c r="D120" s="313" t="str">
        <f>全车数据表!AT121</f>
        <v>carrera</v>
      </c>
      <c r="E120" s="313" t="str">
        <f>全车数据表!AS121</f>
        <v>2.1</v>
      </c>
      <c r="F120" s="313" t="str">
        <f>全车数据表!C121</f>
        <v>卡雷拉</v>
      </c>
      <c r="G120" s="311" t="str">
        <f>全车数据表!D121</f>
        <v>B</v>
      </c>
      <c r="H120" s="311">
        <f>LEN(全车数据表!E121)</f>
        <v>5</v>
      </c>
      <c r="I120" s="311">
        <f>IF(全车数据表!H121="×",0,全车数据表!H121)</f>
        <v>45</v>
      </c>
      <c r="J120" s="311">
        <f>IF(全车数据表!I121="×",0,全车数据表!I121)</f>
        <v>17</v>
      </c>
      <c r="K120" s="311">
        <f>IF(全车数据表!J121="×",0,全车数据表!J121)</f>
        <v>23</v>
      </c>
      <c r="L120" s="311">
        <f>IF(全车数据表!K121="×",0,全车数据表!K121)</f>
        <v>32</v>
      </c>
      <c r="M120" s="311">
        <f>IF(全车数据表!L121="×",0,全车数据表!L121)</f>
        <v>45</v>
      </c>
      <c r="N120" s="311">
        <f>IF(全车数据表!M121="×",0,全车数据表!M121)</f>
        <v>0</v>
      </c>
      <c r="O120" s="311">
        <f>全车数据表!O121</f>
        <v>4126</v>
      </c>
      <c r="P120" s="311">
        <f>全车数据表!P121</f>
        <v>347.8</v>
      </c>
      <c r="Q120" s="311">
        <f>全车数据表!Q121</f>
        <v>78.67</v>
      </c>
      <c r="R120" s="311">
        <f>全车数据表!R121</f>
        <v>84.88</v>
      </c>
      <c r="S120" s="311">
        <f>全车数据表!S121</f>
        <v>82.91</v>
      </c>
      <c r="T120" s="311">
        <f>全车数据表!T121</f>
        <v>11.45</v>
      </c>
      <c r="U120" s="311">
        <f>全车数据表!AH121</f>
        <v>6369280</v>
      </c>
      <c r="V120" s="311">
        <f>全车数据表!AO121</f>
        <v>6000000</v>
      </c>
      <c r="W120" s="311">
        <f>全车数据表!AP121</f>
        <v>12369280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epic</v>
      </c>
      <c r="AB120" s="311">
        <f>全车数据表!AW121</f>
        <v>362</v>
      </c>
      <c r="AC120" s="311">
        <f>全车数据表!AX121</f>
        <v>0</v>
      </c>
      <c r="AD120" s="311">
        <f>全车数据表!AY121</f>
        <v>474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>
        <f>IF(全车数据表!BK121="","",全车数据表!BK121)</f>
        <v>1</v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保时捷 卡雷拉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Nissan GTR-50 Italdesign</v>
      </c>
      <c r="C121" s="311" t="str">
        <f>IF(全车数据表!AQ122="","",全车数据表!AQ122)</f>
        <v>Nissan</v>
      </c>
      <c r="D121" s="313" t="str">
        <f>全车数据表!AT122</f>
        <v>gtr-50</v>
      </c>
      <c r="E121" s="313" t="str">
        <f>全车数据表!AS122</f>
        <v>3.2</v>
      </c>
      <c r="F121" s="313" t="str">
        <f>全车数据表!C122</f>
        <v>GTR-50</v>
      </c>
      <c r="G121" s="311" t="str">
        <f>全车数据表!D122</f>
        <v>B</v>
      </c>
      <c r="H121" s="311">
        <f>LEN(全车数据表!E122)</f>
        <v>5</v>
      </c>
      <c r="I121" s="311">
        <f>IF(全车数据表!H122="×",0,全车数据表!H122)</f>
        <v>45</v>
      </c>
      <c r="J121" s="311">
        <f>IF(全车数据表!I122="×",0,全车数据表!I122)</f>
        <v>17</v>
      </c>
      <c r="K121" s="311">
        <f>IF(全车数据表!J122="×",0,全车数据表!J122)</f>
        <v>23</v>
      </c>
      <c r="L121" s="311">
        <f>IF(全车数据表!K122="×",0,全车数据表!K122)</f>
        <v>32</v>
      </c>
      <c r="M121" s="311">
        <f>IF(全车数据表!L122="×",0,全车数据表!L122)</f>
        <v>45</v>
      </c>
      <c r="N121" s="311">
        <f>IF(全车数据表!M122="×",0,全车数据表!M122)</f>
        <v>0</v>
      </c>
      <c r="O121" s="311">
        <f>全车数据表!O122</f>
        <v>4153</v>
      </c>
      <c r="P121" s="311">
        <f>全车数据表!P122</f>
        <v>349.5</v>
      </c>
      <c r="Q121" s="311">
        <f>全车数据表!Q122</f>
        <v>86.36</v>
      </c>
      <c r="R121" s="311">
        <f>全车数据表!R122</f>
        <v>73.86</v>
      </c>
      <c r="S121" s="311">
        <f>全车数据表!S122</f>
        <v>64.59</v>
      </c>
      <c r="T121" s="311">
        <f>全车数据表!T122</f>
        <v>6.6</v>
      </c>
      <c r="U121" s="311">
        <f>全车数据表!AH122</f>
        <v>6369280</v>
      </c>
      <c r="V121" s="311">
        <f>全车数据表!AO122</f>
        <v>6000000</v>
      </c>
      <c r="W121" s="311">
        <f>全车数据表!AP122</f>
        <v>12369280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2</v>
      </c>
      <c r="AA121" s="313" t="str">
        <f>全车数据表!AU122</f>
        <v>epic</v>
      </c>
      <c r="AB121" s="311">
        <f>全车数据表!AW122</f>
        <v>363</v>
      </c>
      <c r="AC121" s="311">
        <f>全车数据表!AX122</f>
        <v>0</v>
      </c>
      <c r="AD121" s="311">
        <f>全车数据表!AY122</f>
        <v>477</v>
      </c>
      <c r="AE121" s="311" t="str">
        <f>IF(全车数据表!AZ122="","",全车数据表!AZ122)</f>
        <v>车手联会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日产 尼桑 id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Zenvo TSR-S🔑</v>
      </c>
      <c r="C122" s="311" t="str">
        <f>IF(全车数据表!AQ123="","",全车数据表!AQ123)</f>
        <v>Zenvo</v>
      </c>
      <c r="D122" s="313" t="str">
        <f>全车数据表!AT123</f>
        <v>tsr-s</v>
      </c>
      <c r="E122" s="313" t="str">
        <f>全车数据表!AS123</f>
        <v>2.9</v>
      </c>
      <c r="F122" s="313" t="str">
        <f>全车数据表!C123</f>
        <v>TSR-S</v>
      </c>
      <c r="G122" s="311" t="str">
        <f>全车数据表!D123</f>
        <v>B</v>
      </c>
      <c r="H122" s="311">
        <f>LEN(全车数据表!E123)</f>
        <v>5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35</v>
      </c>
      <c r="L122" s="311">
        <f>IF(全车数据表!K123="×",0,全车数据表!K123)</f>
        <v>40</v>
      </c>
      <c r="M122" s="311">
        <f>IF(全车数据表!L123="×",0,全车数据表!L123)</f>
        <v>62</v>
      </c>
      <c r="N122" s="311">
        <f>IF(全车数据表!M123="×",0,全车数据表!M123)</f>
        <v>0</v>
      </c>
      <c r="O122" s="311">
        <f>全车数据表!O123</f>
        <v>4171</v>
      </c>
      <c r="P122" s="311">
        <f>全车数据表!P123</f>
        <v>342.4</v>
      </c>
      <c r="Q122" s="311">
        <f>全车数据表!Q123</f>
        <v>85.38</v>
      </c>
      <c r="R122" s="311">
        <f>全车数据表!R123</f>
        <v>82.88</v>
      </c>
      <c r="S122" s="311">
        <f>全车数据表!S123</f>
        <v>67.36</v>
      </c>
      <c r="T122" s="311">
        <f>全车数据表!T123</f>
        <v>7.16</v>
      </c>
      <c r="U122" s="311">
        <f>全车数据表!AH123</f>
        <v>6369280</v>
      </c>
      <c r="V122" s="311">
        <f>全车数据表!AO123</f>
        <v>6000000</v>
      </c>
      <c r="W122" s="311">
        <f>全车数据表!AP123</f>
        <v>12369280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2</v>
      </c>
      <c r="AA122" s="313" t="str">
        <f>全车数据表!AU123</f>
        <v>epic</v>
      </c>
      <c r="AB122" s="311">
        <f>全车数据表!AW123</f>
        <v>359</v>
      </c>
      <c r="AC122" s="311">
        <f>全车数据表!AX123</f>
        <v>366</v>
      </c>
      <c r="AD122" s="311">
        <f>全车数据表!AY123</f>
        <v>478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小自燃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Lamborghini Sesto Elemento</v>
      </c>
      <c r="C123" s="311" t="str">
        <f>IF(全车数据表!AQ124="","",全车数据表!AQ124)</f>
        <v>Lamborghini</v>
      </c>
      <c r="D123" s="313" t="str">
        <f>全车数据表!AT124</f>
        <v>sesto</v>
      </c>
      <c r="E123" s="313" t="str">
        <f>全车数据表!AS124</f>
        <v>3.5</v>
      </c>
      <c r="F123" s="313" t="str">
        <f>全车数据表!C124</f>
        <v>第六元素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47</v>
      </c>
      <c r="N123" s="311">
        <f>IF(全车数据表!M124="×",0,全车数据表!M124)</f>
        <v>50</v>
      </c>
      <c r="O123" s="311">
        <f>全车数据表!O124</f>
        <v>4183</v>
      </c>
      <c r="P123" s="311">
        <f>全车数据表!P124</f>
        <v>346.5</v>
      </c>
      <c r="Q123" s="311">
        <f>全车数据表!Q124</f>
        <v>87.26</v>
      </c>
      <c r="R123" s="311">
        <f>全车数据表!R124</f>
        <v>70.27</v>
      </c>
      <c r="S123" s="311">
        <f>全车数据表!S124</f>
        <v>74.760000000000005</v>
      </c>
      <c r="T123" s="311">
        <f>全车数据表!T124</f>
        <v>0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360</v>
      </c>
      <c r="AC123" s="311">
        <f>全车数据表!AX124</f>
        <v>0</v>
      </c>
      <c r="AD123" s="311">
        <f>全车数据表!AY124</f>
        <v>472</v>
      </c>
      <c r="AE123" s="311" t="str">
        <f>IF(全车数据表!AZ124="","",全车数据表!AZ124)</f>
        <v>特殊赛事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兰博基尼 小六子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Porsche 911 GT3 RS</v>
      </c>
      <c r="C124" s="311" t="str">
        <f>IF(全车数据表!AQ125="","",全车数据表!AQ125)</f>
        <v>Porsche</v>
      </c>
      <c r="D124" s="313" t="str">
        <f>全车数据表!AT125</f>
        <v>911gt3</v>
      </c>
      <c r="E124" s="313" t="str">
        <f>全车数据表!AS125</f>
        <v>1.7</v>
      </c>
      <c r="F124" s="313" t="str">
        <f>全车数据表!C125</f>
        <v>911GT3</v>
      </c>
      <c r="G124" s="311" t="str">
        <f>全车数据表!D125</f>
        <v>B</v>
      </c>
      <c r="H124" s="311">
        <f>LEN(全车数据表!E125)</f>
        <v>6</v>
      </c>
      <c r="I124" s="311">
        <f>IF(全车数据表!H125="×",0,全车数据表!H125)</f>
        <v>55</v>
      </c>
      <c r="J124" s="311">
        <f>IF(全车数据表!I125="×",0,全车数据表!I125)</f>
        <v>18</v>
      </c>
      <c r="K124" s="311">
        <f>IF(全车数据表!J125="×",0,全车数据表!J125)</f>
        <v>24</v>
      </c>
      <c r="L124" s="311">
        <f>IF(全车数据表!K125="×",0,全车数据表!K125)</f>
        <v>32</v>
      </c>
      <c r="M124" s="311">
        <f>IF(全车数据表!L125="×",0,全车数据表!L125)</f>
        <v>47</v>
      </c>
      <c r="N124" s="311">
        <f>IF(全车数据表!M125="×",0,全车数据表!M125)</f>
        <v>50</v>
      </c>
      <c r="O124" s="311">
        <f>全车数据表!O125</f>
        <v>4211</v>
      </c>
      <c r="P124" s="311">
        <f>全车数据表!P125</f>
        <v>339.4</v>
      </c>
      <c r="Q124" s="311">
        <f>全车数据表!Q125</f>
        <v>85.84</v>
      </c>
      <c r="R124" s="311">
        <f>全车数据表!R125</f>
        <v>92.97</v>
      </c>
      <c r="S124" s="311">
        <f>全车数据表!S125</f>
        <v>86.39</v>
      </c>
      <c r="T124" s="311">
        <f>全车数据表!T125</f>
        <v>14.23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353</v>
      </c>
      <c r="AC124" s="311">
        <f>全车数据表!AX125</f>
        <v>0</v>
      </c>
      <c r="AD124" s="311">
        <f>全车数据表!AY125</f>
        <v>460</v>
      </c>
      <c r="AE124" s="311" t="str">
        <f>IF(全车数据表!AZ125="","",全车数据表!AZ125)</f>
        <v>商店礼包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保时捷 绿蛙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Ferrari 488 GTB Challenge EVO🔑</v>
      </c>
      <c r="C125" s="311" t="str">
        <f>IF(全车数据表!AQ126="","",全车数据表!AQ126)</f>
        <v>Ferrari</v>
      </c>
      <c r="D125" s="313" t="str">
        <f>全车数据表!AT126</f>
        <v>488gtbevo</v>
      </c>
      <c r="E125" s="313" t="str">
        <f>全车数据表!AS126</f>
        <v>2.5</v>
      </c>
      <c r="F125" s="313" t="str">
        <f>全车数据表!C126</f>
        <v>488 EVO</v>
      </c>
      <c r="G125" s="311" t="str">
        <f>全车数据表!D126</f>
        <v>B</v>
      </c>
      <c r="H125" s="311">
        <f>LEN(全车数据表!E126)</f>
        <v>6</v>
      </c>
      <c r="I125" s="311" t="str">
        <f>IF(全车数据表!H126="×",0,全车数据表!H126)</f>
        <v>🔑</v>
      </c>
      <c r="J125" s="311">
        <f>IF(全车数据表!I126="×",0,全车数据表!I126)</f>
        <v>26</v>
      </c>
      <c r="K125" s="311">
        <f>IF(全车数据表!J126="×",0,全车数据表!J126)</f>
        <v>34</v>
      </c>
      <c r="L125" s="311">
        <f>IF(全车数据表!K126="×",0,全车数据表!K126)</f>
        <v>46</v>
      </c>
      <c r="M125" s="311">
        <f>IF(全车数据表!L126="×",0,全车数据表!L126)</f>
        <v>61</v>
      </c>
      <c r="N125" s="311">
        <f>IF(全车数据表!M126="×",0,全车数据表!M126)</f>
        <v>78</v>
      </c>
      <c r="O125" s="311">
        <f>全车数据表!O126</f>
        <v>4255</v>
      </c>
      <c r="P125" s="311">
        <f>全车数据表!P126</f>
        <v>351.2</v>
      </c>
      <c r="Q125" s="311">
        <f>全车数据表!Q126</f>
        <v>82.76</v>
      </c>
      <c r="R125" s="311">
        <f>全车数据表!R126</f>
        <v>77.11</v>
      </c>
      <c r="S125" s="311">
        <f>全车数据表!S126</f>
        <v>76.98</v>
      </c>
      <c r="T125" s="311">
        <f>全车数据表!T126</f>
        <v>8.9499999999999993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365</v>
      </c>
      <c r="AC125" s="311">
        <f>全车数据表!AX126</f>
        <v>0</v>
      </c>
      <c r="AD125" s="311">
        <f>全车数据表!AY126</f>
        <v>480</v>
      </c>
      <c r="AE125" s="311" t="str">
        <f>IF(全车数据表!AZ126="","",全车数据表!AZ126)</f>
        <v>大奖赛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>
        <f>IF(全车数据表!BL126="","",全车数据表!BL126)</f>
        <v>1</v>
      </c>
      <c r="AR125" s="311" t="str">
        <f>IF(全车数据表!BM126="","",全车数据表!BM126)</f>
        <v/>
      </c>
      <c r="AS125" s="311">
        <f>IF(全车数据表!BN126="","",全车数据表!BN126)</f>
        <v>1</v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法拉利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Apollo EVO</v>
      </c>
      <c r="C126" s="311" t="str">
        <f>IF(全车数据表!AQ127="","",全车数据表!AQ127)</f>
        <v>Apollo</v>
      </c>
      <c r="D126" s="313" t="str">
        <f>全车数据表!AT127</f>
        <v>apolloevo</v>
      </c>
      <c r="E126" s="313" t="str">
        <f>全车数据表!AS127</f>
        <v>4.1</v>
      </c>
      <c r="F126" s="313" t="str">
        <f>全车数据表!C127</f>
        <v>菠萝EVO</v>
      </c>
      <c r="G126" s="311" t="str">
        <f>全车数据表!D127</f>
        <v>B</v>
      </c>
      <c r="H126" s="311">
        <f>LEN(全车数据表!E127)</f>
        <v>6</v>
      </c>
      <c r="I126" s="311">
        <f>IF(全车数据表!H127="×",0,全车数据表!H127)</f>
        <v>55</v>
      </c>
      <c r="J126" s="311">
        <f>IF(全车数据表!I127="×",0,全车数据表!I127)</f>
        <v>18</v>
      </c>
      <c r="K126" s="311">
        <f>IF(全车数据表!J127="×",0,全车数据表!J127)</f>
        <v>24</v>
      </c>
      <c r="L126" s="311">
        <f>IF(全车数据表!K127="×",0,全车数据表!K127)</f>
        <v>32</v>
      </c>
      <c r="M126" s="311">
        <f>IF(全车数据表!L127="×",0,全车数据表!L127)</f>
        <v>50</v>
      </c>
      <c r="N126" s="311">
        <f>IF(全车数据表!M127="×",0,全车数据表!M127)</f>
        <v>61</v>
      </c>
      <c r="O126" s="311">
        <f>全车数据表!O127</f>
        <v>4265</v>
      </c>
      <c r="P126" s="311">
        <f>全车数据表!P127</f>
        <v>355</v>
      </c>
      <c r="Q126" s="311">
        <f>全车数据表!Q127</f>
        <v>85.46</v>
      </c>
      <c r="R126" s="311">
        <f>全车数据表!R127</f>
        <v>70.34</v>
      </c>
      <c r="S126" s="311">
        <f>全车数据表!S127</f>
        <v>65.790000000000006</v>
      </c>
      <c r="T126" s="311">
        <f>全车数据表!T127</f>
        <v>6.6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369</v>
      </c>
      <c r="AC126" s="311">
        <f>全车数据表!AX127</f>
        <v>0</v>
      </c>
      <c r="AD126" s="311">
        <f>全车数据表!AY127</f>
        <v>487</v>
      </c>
      <c r="AE126" s="311" t="str">
        <f>IF(全车数据表!AZ127="","",全车数据表!AZ127)</f>
        <v>特殊赛事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阿波罗</v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Lotus Evija</v>
      </c>
      <c r="C127" s="311" t="str">
        <f>IF(全车数据表!AQ128="","",全车数据表!AQ128)</f>
        <v>Lotus</v>
      </c>
      <c r="D127" s="313" t="str">
        <f>全车数据表!AT128</f>
        <v>evija</v>
      </c>
      <c r="E127" s="313" t="str">
        <f>全车数据表!AS128</f>
        <v>2.0</v>
      </c>
      <c r="F127" s="313" t="str">
        <f>全车数据表!C128</f>
        <v>Evija</v>
      </c>
      <c r="G127" s="311" t="str">
        <f>全车数据表!D128</f>
        <v>B</v>
      </c>
      <c r="H127" s="311">
        <f>LEN(全车数据表!E128)</f>
        <v>6</v>
      </c>
      <c r="I127" s="311">
        <f>IF(全车数据表!H128="×",0,全车数据表!H128)</f>
        <v>55</v>
      </c>
      <c r="J127" s="311">
        <f>IF(全车数据表!I128="×",0,全车数据表!I128)</f>
        <v>18</v>
      </c>
      <c r="K127" s="311">
        <f>IF(全车数据表!J128="×",0,全车数据表!J128)</f>
        <v>24</v>
      </c>
      <c r="L127" s="311">
        <f>IF(全车数据表!K128="×",0,全车数据表!K128)</f>
        <v>32</v>
      </c>
      <c r="M127" s="311">
        <f>IF(全车数据表!L128="×",0,全车数据表!L128)</f>
        <v>50</v>
      </c>
      <c r="N127" s="311">
        <f>IF(全车数据表!M128="×",0,全车数据表!M128)</f>
        <v>61</v>
      </c>
      <c r="O127" s="311">
        <f>全车数据表!O128</f>
        <v>4276</v>
      </c>
      <c r="P127" s="311">
        <f>全车数据表!P128</f>
        <v>368.1</v>
      </c>
      <c r="Q127" s="311">
        <f>全车数据表!Q128</f>
        <v>81.14</v>
      </c>
      <c r="R127" s="311">
        <f>全车数据表!R128</f>
        <v>65.02</v>
      </c>
      <c r="S127" s="311">
        <f>全车数据表!S128</f>
        <v>63.31</v>
      </c>
      <c r="T127" s="311">
        <f>全车数据表!T128</f>
        <v>6.22</v>
      </c>
      <c r="U127" s="311">
        <f>全车数据表!AH128</f>
        <v>11923560</v>
      </c>
      <c r="V127" s="311">
        <f>全车数据表!AO128</f>
        <v>10080000</v>
      </c>
      <c r="W127" s="311">
        <f>全车数据表!AP128</f>
        <v>22003560</v>
      </c>
      <c r="X127" s="311">
        <f>全车数据表!AJ128</f>
        <v>8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383</v>
      </c>
      <c r="AC127" s="311">
        <f>全车数据表!AX128</f>
        <v>0</v>
      </c>
      <c r="AD127" s="311">
        <f>全车数据表!AY128</f>
        <v>509</v>
      </c>
      <c r="AE127" s="311" t="str">
        <f>IF(全车数据表!AZ128="","",全车数据表!AZ128)</f>
        <v>特殊赛事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>
        <f>IF(全车数据表!BK128="","",全车数据表!BK128)</f>
        <v>1</v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路特斯 电莲花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Mclaren F1 LM🔑</v>
      </c>
      <c r="C128" s="311" t="str">
        <f>IF(全车数据表!AQ129="","",全车数据表!AQ129)</f>
        <v>McLaren</v>
      </c>
      <c r="D128" s="313" t="str">
        <f>全车数据表!AT129</f>
        <v>f1</v>
      </c>
      <c r="E128" s="313" t="str">
        <f>全车数据表!AS129</f>
        <v>2.4</v>
      </c>
      <c r="F128" s="313" t="str">
        <f>全车数据表!C129</f>
        <v>F1</v>
      </c>
      <c r="G128" s="311" t="str">
        <f>全车数据表!D129</f>
        <v>B</v>
      </c>
      <c r="H128" s="311">
        <f>LEN(全车数据表!E129)</f>
        <v>6</v>
      </c>
      <c r="I128" s="311" t="str">
        <f>IF(全车数据表!H129="×",0,全车数据表!H129)</f>
        <v>🔑</v>
      </c>
      <c r="J128" s="311">
        <f>IF(全车数据表!I129="×",0,全车数据表!I129)</f>
        <v>26</v>
      </c>
      <c r="K128" s="311">
        <f>IF(全车数据表!J129="×",0,全车数据表!J129)</f>
        <v>34</v>
      </c>
      <c r="L128" s="311">
        <f>IF(全车数据表!K129="×",0,全车数据表!K129)</f>
        <v>46</v>
      </c>
      <c r="M128" s="311">
        <f>IF(全车数据表!L129="×",0,全车数据表!L129)</f>
        <v>61</v>
      </c>
      <c r="N128" s="311">
        <f>IF(全车数据表!M129="×",0,全车数据表!M129)</f>
        <v>78</v>
      </c>
      <c r="O128" s="311">
        <f>全车数据表!O129</f>
        <v>4309</v>
      </c>
      <c r="P128" s="311">
        <f>全车数据表!P129</f>
        <v>377.6</v>
      </c>
      <c r="Q128" s="311">
        <f>全车数据表!Q129</f>
        <v>74.66</v>
      </c>
      <c r="R128" s="311">
        <f>全车数据表!R129</f>
        <v>66.61</v>
      </c>
      <c r="S128" s="311">
        <f>全车数据表!S129</f>
        <v>73.12</v>
      </c>
      <c r="T128" s="311">
        <f>全车数据表!T129</f>
        <v>7.4</v>
      </c>
      <c r="U128" s="311">
        <f>全车数据表!AH129</f>
        <v>11923560</v>
      </c>
      <c r="V128" s="311">
        <f>全车数据表!AO129</f>
        <v>10080000</v>
      </c>
      <c r="W128" s="311">
        <f>全车数据表!AP129</f>
        <v>22003560</v>
      </c>
      <c r="X128" s="311">
        <f>全车数据表!AJ129</f>
        <v>8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392</v>
      </c>
      <c r="AC128" s="311">
        <f>全车数据表!AX129</f>
        <v>0</v>
      </c>
      <c r="AD128" s="311">
        <f>全车数据表!AY129</f>
        <v>526</v>
      </c>
      <c r="AE128" s="311" t="str">
        <f>IF(全车数据表!AZ129="","",全车数据表!AZ129)</f>
        <v>大奖赛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>
        <f>IF(全车数据表!BL129="","",全车数据表!BL129)</f>
        <v>1</v>
      </c>
      <c r="AR128" s="311" t="str">
        <f>IF(全车数据表!BM129="","",全车数据表!BM129)</f>
        <v/>
      </c>
      <c r="AS128" s="311">
        <f>IF(全车数据表!BN129="","",全车数据表!BN129)</f>
        <v>1</v>
      </c>
      <c r="AT128" s="311">
        <f>IF(全车数据表!BO129="","",全车数据表!BO129)</f>
        <v>1</v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迈凯伦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Security Interceptor</v>
      </c>
      <c r="C129" s="311" t="str">
        <f>IF(全车数据表!AQ130="","",全车数据表!AQ130)</f>
        <v>Security</v>
      </c>
      <c r="D129" s="313" t="str">
        <f>全车数据表!AT130</f>
        <v>interceptor</v>
      </c>
      <c r="E129" s="313" t="str">
        <f>全车数据表!AS130</f>
        <v>3.6</v>
      </c>
      <c r="F129" s="313" t="str">
        <f>全车数据表!C130</f>
        <v>安保车</v>
      </c>
      <c r="G129" s="311" t="str">
        <f>全车数据表!D130</f>
        <v>B</v>
      </c>
      <c r="H129" s="311">
        <f>LEN(全车数据表!E130)</f>
        <v>6</v>
      </c>
      <c r="I129" s="311">
        <f>IF(全车数据表!H130="×",0,全车数据表!H130)</f>
        <v>55</v>
      </c>
      <c r="J129" s="311">
        <f>IF(全车数据表!I130="×",0,全车数据表!I130)</f>
        <v>18</v>
      </c>
      <c r="K129" s="311">
        <f>IF(全车数据表!J130="×",0,全车数据表!J130)</f>
        <v>24</v>
      </c>
      <c r="L129" s="311">
        <f>IF(全车数据表!K130="×",0,全车数据表!K130)</f>
        <v>32</v>
      </c>
      <c r="M129" s="311">
        <f>IF(全车数据表!L130="×",0,全车数据表!L130)</f>
        <v>50</v>
      </c>
      <c r="N129" s="311">
        <f>IF(全车数据表!M130="×",0,全车数据表!M130)</f>
        <v>61</v>
      </c>
      <c r="O129" s="311">
        <f>全车数据表!O130</f>
        <v>4327</v>
      </c>
      <c r="P129" s="311">
        <f>全车数据表!P130</f>
        <v>361.5</v>
      </c>
      <c r="Q129" s="311">
        <f>全车数据表!Q130</f>
        <v>83.36</v>
      </c>
      <c r="R129" s="311">
        <f>全车数据表!R130</f>
        <v>79.150000000000006</v>
      </c>
      <c r="S129" s="311">
        <f>全车数据表!S130</f>
        <v>45.82</v>
      </c>
      <c r="T129" s="311">
        <f>全车数据表!T130</f>
        <v>0</v>
      </c>
      <c r="U129" s="311">
        <f>全车数据表!AH130</f>
        <v>11923560</v>
      </c>
      <c r="V129" s="311">
        <f>全车数据表!AO130</f>
        <v>10080000</v>
      </c>
      <c r="W129" s="311">
        <f>全车数据表!AP130</f>
        <v>22003560</v>
      </c>
      <c r="X129" s="311">
        <f>全车数据表!AJ130</f>
        <v>8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0</v>
      </c>
      <c r="AC129" s="311">
        <f>全车数据表!AX130</f>
        <v>0</v>
      </c>
      <c r="AD129" s="311">
        <f>全车数据表!AY130</f>
        <v>0</v>
      </c>
      <c r="AE129" s="311" t="str">
        <f>IF(全车数据表!AZ130="","",全车数据表!AZ130)</f>
        <v>联会赛事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/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Volkswagen W12 Coupe🔑</v>
      </c>
      <c r="C130" s="311" t="str">
        <f>IF(全车数据表!AQ131="","",全车数据表!AQ131)</f>
        <v>Volkswagen</v>
      </c>
      <c r="D130" s="313" t="str">
        <f>全车数据表!AT131</f>
        <v>w12</v>
      </c>
      <c r="E130" s="313" t="str">
        <f>全车数据表!AS131</f>
        <v>2.9</v>
      </c>
      <c r="F130" s="313" t="str">
        <f>全车数据表!C131</f>
        <v>W12</v>
      </c>
      <c r="G130" s="311" t="str">
        <f>全车数据表!D131</f>
        <v>B</v>
      </c>
      <c r="H130" s="311">
        <f>LEN(全车数据表!E131)</f>
        <v>6</v>
      </c>
      <c r="I130" s="311" t="str">
        <f>IF(全车数据表!H131="×",0,全车数据表!H131)</f>
        <v>🔑</v>
      </c>
      <c r="J130" s="311">
        <f>IF(全车数据表!I131="×",0,全车数据表!I131)</f>
        <v>26</v>
      </c>
      <c r="K130" s="311">
        <f>IF(全车数据表!J131="×",0,全车数据表!J131)</f>
        <v>34</v>
      </c>
      <c r="L130" s="311">
        <f>IF(全车数据表!K131="×",0,全车数据表!K131)</f>
        <v>46</v>
      </c>
      <c r="M130" s="311">
        <f>IF(全车数据表!L131="×",0,全车数据表!L131)</f>
        <v>61</v>
      </c>
      <c r="N130" s="311">
        <f>IF(全车数据表!M131="×",0,全车数据表!M131)</f>
        <v>78</v>
      </c>
      <c r="O130" s="311">
        <f>全车数据表!O131</f>
        <v>4348</v>
      </c>
      <c r="P130" s="311">
        <f>全车数据表!P131</f>
        <v>370.5</v>
      </c>
      <c r="Q130" s="311">
        <f>全车数据表!Q131</f>
        <v>79.08</v>
      </c>
      <c r="R130" s="311">
        <f>全车数据表!R131</f>
        <v>84.44</v>
      </c>
      <c r="S130" s="311">
        <f>全车数据表!S131</f>
        <v>54.64</v>
      </c>
      <c r="T130" s="311">
        <f>全车数据表!T131</f>
        <v>5.0999999999999996</v>
      </c>
      <c r="U130" s="311">
        <f>全车数据表!AH131</f>
        <v>11923560</v>
      </c>
      <c r="V130" s="311">
        <f>全车数据表!AO131</f>
        <v>10080000</v>
      </c>
      <c r="W130" s="311">
        <f>全车数据表!AP131</f>
        <v>22003560</v>
      </c>
      <c r="X130" s="311">
        <f>全车数据表!AJ131</f>
        <v>8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385</v>
      </c>
      <c r="AC130" s="311">
        <f>全车数据表!AX131</f>
        <v>0</v>
      </c>
      <c r="AD130" s="311">
        <f>全车数据表!AY131</f>
        <v>513</v>
      </c>
      <c r="AE130" s="311" t="str">
        <f>IF(全车数据表!AZ131="","",全车数据表!AZ131)</f>
        <v>特殊赛事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>
        <f>IF(全车数据表!BK131="","",全车数据表!BK131)</f>
        <v>1</v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>
        <f>IF(全车数据表!BN131="","",全车数据表!BN131)</f>
        <v>1</v>
      </c>
      <c r="AT130" s="311">
        <f>IF(全车数据表!BO131="","",全车数据表!BO131)</f>
        <v>1</v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大众</v>
      </c>
      <c r="BA130" s="311" t="str">
        <f>IF(全车数据表!AV131="","",全车数据表!AV131)</f>
        <v/>
      </c>
    </row>
    <row r="131" spans="1:53">
      <c r="A131" s="311">
        <f>全车数据表!A132</f>
        <v>130</v>
      </c>
      <c r="B131" s="311" t="str">
        <f>全车数据表!B132</f>
        <v>Pagani Huayra R</v>
      </c>
      <c r="C131" s="311" t="str">
        <f>IF(全车数据表!AQ132="","",全车数据表!AQ132)</f>
        <v>Pagani</v>
      </c>
      <c r="D131" s="313" t="str">
        <f>全车数据表!AT132</f>
        <v>huayrar</v>
      </c>
      <c r="E131" s="313" t="str">
        <f>全车数据表!AS132</f>
        <v>3.6</v>
      </c>
      <c r="F131" s="313" t="str">
        <f>全车数据表!C132</f>
        <v>Huayra R</v>
      </c>
      <c r="G131" s="311" t="str">
        <f>全车数据表!D132</f>
        <v>B</v>
      </c>
      <c r="H131" s="311">
        <f>LEN(全车数据表!E132)</f>
        <v>6</v>
      </c>
      <c r="I131" s="311">
        <f>IF(全车数据表!H132="×",0,全车数据表!H132)</f>
        <v>55</v>
      </c>
      <c r="J131" s="311">
        <f>IF(全车数据表!I132="×",0,全车数据表!I132)</f>
        <v>18</v>
      </c>
      <c r="K131" s="311">
        <f>IF(全车数据表!J132="×",0,全车数据表!J132)</f>
        <v>24</v>
      </c>
      <c r="L131" s="311">
        <f>IF(全车数据表!K132="×",0,全车数据表!K132)</f>
        <v>32</v>
      </c>
      <c r="M131" s="311">
        <f>IF(全车数据表!L132="×",0,全车数据表!L132)</f>
        <v>47</v>
      </c>
      <c r="N131" s="311">
        <f>IF(全车数据表!M132="×",0,全车数据表!M132)</f>
        <v>50</v>
      </c>
      <c r="O131" s="311">
        <f>全车数据表!O132</f>
        <v>4363</v>
      </c>
      <c r="P131" s="311">
        <f>全车数据表!P132</f>
        <v>376.6</v>
      </c>
      <c r="Q131" s="311">
        <f>全车数据表!Q132</f>
        <v>83.17</v>
      </c>
      <c r="R131" s="311">
        <f>全车数据表!R132</f>
        <v>58.41</v>
      </c>
      <c r="S131" s="311">
        <f>全车数据表!S132</f>
        <v>64.38</v>
      </c>
      <c r="T131" s="311">
        <f>全车数据表!T132</f>
        <v>6.1</v>
      </c>
      <c r="U131" s="311">
        <f>全车数据表!AH132</f>
        <v>11923560</v>
      </c>
      <c r="V131" s="311">
        <f>全车数据表!AO132</f>
        <v>10080000</v>
      </c>
      <c r="W131" s="311">
        <f>全车数据表!AP132</f>
        <v>22003560</v>
      </c>
      <c r="X131" s="311">
        <f>全车数据表!AJ132</f>
        <v>8</v>
      </c>
      <c r="Y131" s="311">
        <f>全车数据表!AL132</f>
        <v>5</v>
      </c>
      <c r="Z131" s="311">
        <f>IF(全车数据表!AN132="×",0,全车数据表!AN132)</f>
        <v>3</v>
      </c>
      <c r="AA131" s="313" t="str">
        <f>全车数据表!AU132</f>
        <v>epic</v>
      </c>
      <c r="AB131" s="311">
        <f>全车数据表!AW132</f>
        <v>391</v>
      </c>
      <c r="AC131" s="311">
        <f>全车数据表!AX132</f>
        <v>0</v>
      </c>
      <c r="AD131" s="311">
        <f>全车数据表!AY132</f>
        <v>524</v>
      </c>
      <c r="AE131" s="311" t="str">
        <f>IF(全车数据表!AZ132="","",全车数据表!AZ132)</f>
        <v>特殊赛事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帕加尼 风神</v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Lamborghini Revuelto🔑</v>
      </c>
      <c r="C132" s="311" t="str">
        <f>IF(全车数据表!AQ133="","",全车数据表!AQ133)</f>
        <v>Lamborghini</v>
      </c>
      <c r="D132" s="313" t="str">
        <f>全车数据表!AT133</f>
        <v>revuelto</v>
      </c>
      <c r="E132" s="313" t="str">
        <f>全车数据表!AS133</f>
        <v>4.0</v>
      </c>
      <c r="F132" s="313" t="str">
        <f>全车数据表!C133</f>
        <v>Revuelto</v>
      </c>
      <c r="G132" s="311" t="str">
        <f>全车数据表!D133</f>
        <v>B</v>
      </c>
      <c r="H132" s="311">
        <f>LEN(全车数据表!E133)</f>
        <v>6</v>
      </c>
      <c r="I132" s="311" t="str">
        <f>IF(全车数据表!H133="×",0,全车数据表!H133)</f>
        <v>🔑</v>
      </c>
      <c r="J132" s="311">
        <f>IF(全车数据表!I133="×",0,全车数据表!I133)</f>
        <v>26</v>
      </c>
      <c r="K132" s="311">
        <f>IF(全车数据表!J133="×",0,全车数据表!J133)</f>
        <v>34</v>
      </c>
      <c r="L132" s="311">
        <f>IF(全车数据表!K133="×",0,全车数据表!K133)</f>
        <v>46</v>
      </c>
      <c r="M132" s="311">
        <f>IF(全车数据表!L133="×",0,全车数据表!L133)</f>
        <v>61</v>
      </c>
      <c r="N132" s="311">
        <f>IF(全车数据表!M133="×",0,全车数据表!M133)</f>
        <v>78</v>
      </c>
      <c r="O132" s="311">
        <f>全车数据表!O133</f>
        <v>4375</v>
      </c>
      <c r="P132" s="311">
        <f>全车数据表!P133</f>
        <v>361.5</v>
      </c>
      <c r="Q132" s="311">
        <f>全车数据表!Q133</f>
        <v>86.36</v>
      </c>
      <c r="R132" s="311">
        <f>全车数据表!R133</f>
        <v>76.33</v>
      </c>
      <c r="S132" s="311">
        <f>全车数据表!S133</f>
        <v>54.22</v>
      </c>
      <c r="T132" s="311">
        <f>全车数据表!T133</f>
        <v>5.2</v>
      </c>
      <c r="U132" s="311">
        <f>全车数据表!AH133</f>
        <v>11923560</v>
      </c>
      <c r="V132" s="311">
        <f>全车数据表!AO133</f>
        <v>10080000</v>
      </c>
      <c r="W132" s="311">
        <f>全车数据表!AP133</f>
        <v>22003560</v>
      </c>
      <c r="X132" s="311">
        <f>全车数据表!AJ133</f>
        <v>8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376</v>
      </c>
      <c r="AC132" s="311">
        <f>全车数据表!AX133</f>
        <v>0</v>
      </c>
      <c r="AD132" s="311">
        <f>全车数据表!AY133</f>
        <v>498</v>
      </c>
      <c r="AE132" s="311" t="str">
        <f>IF(全车数据表!AZ133="","",全车数据表!AZ133)</f>
        <v>特殊赛事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>
        <f>IF(全车数据表!BN133="","",全车数据表!BN133)</f>
        <v>1</v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兰博基尼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Aston Martin Vulcan</v>
      </c>
      <c r="C133" s="311" t="str">
        <f>IF(全车数据表!AQ134="","",全车数据表!AQ134)</f>
        <v>Aston Martin</v>
      </c>
      <c r="D133" s="313" t="str">
        <f>全车数据表!AT134</f>
        <v>vulcan</v>
      </c>
      <c r="E133" s="313" t="str">
        <f>全车数据表!AS134</f>
        <v>1.0</v>
      </c>
      <c r="F133" s="313" t="str">
        <f>全车数据表!C134</f>
        <v>火神</v>
      </c>
      <c r="G133" s="311" t="str">
        <f>全车数据表!D134</f>
        <v>A</v>
      </c>
      <c r="H133" s="311">
        <f>LEN(全车数据表!E134)</f>
        <v>4</v>
      </c>
      <c r="I133" s="311">
        <f>IF(全车数据表!H134="×",0,全车数据表!H134)</f>
        <v>45</v>
      </c>
      <c r="J133" s="311">
        <f>IF(全车数据表!I134="×",0,全车数据表!I134)</f>
        <v>21</v>
      </c>
      <c r="K133" s="311">
        <f>IF(全车数据表!J134="×",0,全车数据表!J134)</f>
        <v>28</v>
      </c>
      <c r="L133" s="311">
        <f>IF(全车数据表!K134="×",0,全车数据表!K134)</f>
        <v>42</v>
      </c>
      <c r="M133" s="311">
        <f>IF(全车数据表!L134="×",0,全车数据表!L134)</f>
        <v>0</v>
      </c>
      <c r="N133" s="311">
        <f>IF(全车数据表!M134="×",0,全车数据表!M134)</f>
        <v>0</v>
      </c>
      <c r="O133" s="311">
        <f>全车数据表!O134</f>
        <v>3012</v>
      </c>
      <c r="P133" s="311">
        <f>全车数据表!P134</f>
        <v>343.5</v>
      </c>
      <c r="Q133" s="311">
        <f>全车数据表!Q134</f>
        <v>78.7</v>
      </c>
      <c r="R133" s="311">
        <f>全车数据表!R134</f>
        <v>47.8</v>
      </c>
      <c r="S133" s="311">
        <f>全车数据表!S134</f>
        <v>64.790000000000006</v>
      </c>
      <c r="T133" s="311">
        <f>全车数据表!T134</f>
        <v>6.8659999999999997</v>
      </c>
      <c r="U133" s="311">
        <f>全车数据表!AH134</f>
        <v>1854880</v>
      </c>
      <c r="V133" s="311">
        <f>全车数据表!AO134</f>
        <v>2700000</v>
      </c>
      <c r="W133" s="311">
        <f>全车数据表!AP134</f>
        <v>4554880</v>
      </c>
      <c r="X133" s="311">
        <f>全车数据表!AJ134</f>
        <v>5</v>
      </c>
      <c r="Y133" s="311">
        <f>全车数据表!AL134</f>
        <v>5</v>
      </c>
      <c r="Z133" s="311">
        <f>IF(全车数据表!AN134="×",0,全车数据表!AN134)</f>
        <v>2</v>
      </c>
      <c r="AA133" s="313" t="str">
        <f>全车数据表!AU134</f>
        <v>rare</v>
      </c>
      <c r="AB133" s="311">
        <f>全车数据表!AW134</f>
        <v>357</v>
      </c>
      <c r="AC133" s="311">
        <f>全车数据表!AX134</f>
        <v>0</v>
      </c>
      <c r="AD133" s="311">
        <f>全车数据表!AY134</f>
        <v>467</v>
      </c>
      <c r="AE133" s="311" t="str">
        <f>IF(全车数据表!AZ134="","",全车数据表!AZ134)</f>
        <v>级别杯</v>
      </c>
      <c r="AF133" s="311">
        <f>IF(全车数据表!BA134="","",全车数据表!BA134)</f>
        <v>1</v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>
        <f>IF(全车数据表!BF134="","",全车数据表!BF134)</f>
        <v>1</v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阿斯顿马丁 火神</v>
      </c>
      <c r="BA133" s="311">
        <f>IF(全车数据表!AV134="","",全车数据表!AV134)</f>
        <v>7</v>
      </c>
    </row>
    <row r="134" spans="1:53">
      <c r="A134" s="311">
        <f>全车数据表!A135</f>
        <v>133</v>
      </c>
      <c r="B134" s="311" t="str">
        <f>全车数据表!B135</f>
        <v>Nissan GT-R Nismo</v>
      </c>
      <c r="C134" s="311" t="str">
        <f>IF(全车数据表!AQ135="","",全车数据表!AQ135)</f>
        <v>Nissan</v>
      </c>
      <c r="D134" s="313" t="str">
        <f>全车数据表!AT135</f>
        <v>gtr</v>
      </c>
      <c r="E134" s="313" t="str">
        <f>全车数据表!AS135</f>
        <v>1.0</v>
      </c>
      <c r="F134" s="313" t="str">
        <f>全车数据表!C135</f>
        <v>GTR</v>
      </c>
      <c r="G134" s="311" t="str">
        <f>全车数据表!D135</f>
        <v>A</v>
      </c>
      <c r="H134" s="311">
        <f>LEN(全车数据表!E135)</f>
        <v>4</v>
      </c>
      <c r="I134" s="311">
        <f>IF(全车数据表!H135="×",0,全车数据表!H135)</f>
        <v>45</v>
      </c>
      <c r="J134" s="311">
        <f>IF(全车数据表!I135="×",0,全车数据表!I135)</f>
        <v>21</v>
      </c>
      <c r="K134" s="311">
        <f>IF(全车数据表!J135="×",0,全车数据表!J135)</f>
        <v>28</v>
      </c>
      <c r="L134" s="311">
        <f>IF(全车数据表!K135="×",0,全车数据表!K135)</f>
        <v>42</v>
      </c>
      <c r="M134" s="311">
        <f>IF(全车数据表!L135="×",0,全车数据表!L135)</f>
        <v>0</v>
      </c>
      <c r="N134" s="311">
        <f>IF(全车数据表!M135="×",0,全车数据表!M135)</f>
        <v>0</v>
      </c>
      <c r="O134" s="311">
        <f>全车数据表!O135</f>
        <v>3157</v>
      </c>
      <c r="P134" s="311">
        <f>全车数据表!P135</f>
        <v>329.7</v>
      </c>
      <c r="Q134" s="311">
        <f>全车数据表!Q135</f>
        <v>84.83</v>
      </c>
      <c r="R134" s="311">
        <f>全车数据表!R135</f>
        <v>60.69</v>
      </c>
      <c r="S134" s="311">
        <f>全车数据表!S135</f>
        <v>60.6</v>
      </c>
      <c r="T134" s="311">
        <f>全车数据表!T135</f>
        <v>6.4829999999999997</v>
      </c>
      <c r="U134" s="311">
        <f>全车数据表!AH135</f>
        <v>1854880</v>
      </c>
      <c r="V134" s="311">
        <f>全车数据表!AO135</f>
        <v>2700000</v>
      </c>
      <c r="W134" s="311">
        <f>全车数据表!AP135</f>
        <v>4554880</v>
      </c>
      <c r="X134" s="311">
        <f>全车数据表!AJ135</f>
        <v>5</v>
      </c>
      <c r="Y134" s="311">
        <f>全车数据表!AL135</f>
        <v>5</v>
      </c>
      <c r="Z134" s="311">
        <f>IF(全车数据表!AN135="×",0,全车数据表!AN135)</f>
        <v>2</v>
      </c>
      <c r="AA134" s="313" t="str">
        <f>全车数据表!AU135</f>
        <v>rare</v>
      </c>
      <c r="AB134" s="311">
        <f>全车数据表!AW135</f>
        <v>344</v>
      </c>
      <c r="AC134" s="311">
        <f>全车数据表!AX135</f>
        <v>0</v>
      </c>
      <c r="AD134" s="311">
        <f>全车数据表!AY135</f>
        <v>444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>
        <f>IF(全车数据表!BF135="","",全车数据表!BF135)</f>
        <v>1</v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日产 尼桑 GTR</v>
      </c>
      <c r="BA134" s="311">
        <f>IF(全车数据表!AV135="","",全车数据表!AV135)</f>
        <v>8</v>
      </c>
    </row>
    <row r="135" spans="1:53">
      <c r="A135" s="311">
        <f>全车数据表!A136</f>
        <v>134</v>
      </c>
      <c r="B135" s="311" t="str">
        <f>全车数据表!B136</f>
        <v>Nio EP9</v>
      </c>
      <c r="C135" s="311" t="str">
        <f>IF(全车数据表!AQ136="","",全车数据表!AQ136)</f>
        <v>Nio</v>
      </c>
      <c r="D135" s="313" t="str">
        <f>全车数据表!AT136</f>
        <v>ep9</v>
      </c>
      <c r="E135" s="313" t="str">
        <f>全车数据表!AS136</f>
        <v>2.7</v>
      </c>
      <c r="F135" s="313" t="str">
        <f>全车数据表!C136</f>
        <v>EP9</v>
      </c>
      <c r="G135" s="311" t="str">
        <f>全车数据表!D136</f>
        <v>A</v>
      </c>
      <c r="H135" s="311">
        <f>LEN(全车数据表!E136)</f>
        <v>4</v>
      </c>
      <c r="I135" s="311">
        <f>IF(全车数据表!H136="×",0,全车数据表!H136)</f>
        <v>60</v>
      </c>
      <c r="J135" s="311">
        <f>IF(全车数据表!I136="×",0,全车数据表!I136)</f>
        <v>40</v>
      </c>
      <c r="K135" s="311">
        <f>IF(全车数据表!J136="×",0,全车数据表!J136)</f>
        <v>51</v>
      </c>
      <c r="L135" s="311">
        <f>IF(全车数据表!K136="×",0,全车数据表!K136)</f>
        <v>63</v>
      </c>
      <c r="M135" s="311">
        <f>IF(全车数据表!L136="×",0,全车数据表!L136)</f>
        <v>0</v>
      </c>
      <c r="N135" s="311">
        <f>IF(全车数据表!M136="×",0,全车数据表!M136)</f>
        <v>0</v>
      </c>
      <c r="O135" s="311">
        <f>全车数据表!O136</f>
        <v>3194</v>
      </c>
      <c r="P135" s="311">
        <f>全车数据表!P136</f>
        <v>326.10000000000002</v>
      </c>
      <c r="Q135" s="311">
        <f>全车数据表!Q136</f>
        <v>83.03</v>
      </c>
      <c r="R135" s="311">
        <f>全车数据表!R136</f>
        <v>70.489999999999995</v>
      </c>
      <c r="S135" s="311">
        <f>全车数据表!S136</f>
        <v>68.680000000000007</v>
      </c>
      <c r="T135" s="311">
        <f>全车数据表!T136</f>
        <v>0</v>
      </c>
      <c r="U135" s="311">
        <f>全车数据表!AH136</f>
        <v>3711360</v>
      </c>
      <c r="V135" s="311">
        <f>全车数据表!AO136</f>
        <v>5400000</v>
      </c>
      <c r="W135" s="311">
        <f>全车数据表!AP136</f>
        <v>9111360</v>
      </c>
      <c r="X135" s="311">
        <f>全车数据表!AJ136</f>
        <v>5</v>
      </c>
      <c r="Y135" s="311">
        <f>全车数据表!AL136</f>
        <v>5</v>
      </c>
      <c r="Z135" s="311">
        <f>IF(全车数据表!AN136="×",0,全车数据表!AN136)</f>
        <v>2</v>
      </c>
      <c r="AA135" s="313" t="str">
        <f>全车数据表!AU136</f>
        <v>rare</v>
      </c>
      <c r="AB135" s="311">
        <f>全车数据表!AW136</f>
        <v>339</v>
      </c>
      <c r="AC135" s="311">
        <f>全车数据表!AX136</f>
        <v>0</v>
      </c>
      <c r="AD135" s="311">
        <f>全车数据表!AY136</f>
        <v>437</v>
      </c>
      <c r="AE135" s="311" t="str">
        <f>IF(全车数据表!AZ136="","",全车数据表!AZ136)</f>
        <v>通行证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>
        <f>IF(全车数据表!BG136="","",全车数据表!BG136)</f>
        <v>1</v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蔚来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Ferrari J50</v>
      </c>
      <c r="C136" s="311" t="str">
        <f>IF(全车数据表!AQ137="","",全车数据表!AQ137)</f>
        <v>Ferrari</v>
      </c>
      <c r="D136" s="313" t="str">
        <f>全车数据表!AT137</f>
        <v>j50</v>
      </c>
      <c r="E136" s="313" t="str">
        <f>全车数据表!AS137</f>
        <v>1.1</v>
      </c>
      <c r="F136" s="313" t="str">
        <f>全车数据表!C137</f>
        <v>J50</v>
      </c>
      <c r="G136" s="311" t="str">
        <f>全车数据表!D137</f>
        <v>A</v>
      </c>
      <c r="H136" s="311">
        <f>LEN(全车数据表!E137)</f>
        <v>4</v>
      </c>
      <c r="I136" s="311">
        <f>IF(全车数据表!H137="×",0,全车数据表!H137)</f>
        <v>45</v>
      </c>
      <c r="J136" s="311">
        <f>IF(全车数据表!I137="×",0,全车数据表!I137)</f>
        <v>21</v>
      </c>
      <c r="K136" s="311">
        <f>IF(全车数据表!J137="×",0,全车数据表!J137)</f>
        <v>28</v>
      </c>
      <c r="L136" s="311">
        <f>IF(全车数据表!K137="×",0,全车数据表!K137)</f>
        <v>42</v>
      </c>
      <c r="M136" s="311">
        <f>IF(全车数据表!L137="×",0,全车数据表!L137)</f>
        <v>0</v>
      </c>
      <c r="N136" s="311">
        <f>IF(全车数据表!M137="×",0,全车数据表!M137)</f>
        <v>0</v>
      </c>
      <c r="O136" s="311">
        <f>全车数据表!O137</f>
        <v>3230</v>
      </c>
      <c r="P136" s="311">
        <f>全车数据表!P137</f>
        <v>350.6</v>
      </c>
      <c r="Q136" s="311">
        <f>全车数据表!Q137</f>
        <v>80.41</v>
      </c>
      <c r="R136" s="311">
        <f>全车数据表!R137</f>
        <v>48.37</v>
      </c>
      <c r="S136" s="311">
        <f>全车数据表!S137</f>
        <v>64.650000000000006</v>
      </c>
      <c r="T136" s="311">
        <f>全车数据表!T137</f>
        <v>6.6820000000000004</v>
      </c>
      <c r="U136" s="311">
        <f>全车数据表!AH137</f>
        <v>1854880</v>
      </c>
      <c r="V136" s="311">
        <f>全车数据表!AO137</f>
        <v>2700000</v>
      </c>
      <c r="W136" s="311">
        <f>全车数据表!AP137</f>
        <v>4554880</v>
      </c>
      <c r="X136" s="311">
        <f>全车数据表!AJ137</f>
        <v>5</v>
      </c>
      <c r="Y136" s="311">
        <f>全车数据表!AL137</f>
        <v>5</v>
      </c>
      <c r="Z136" s="311">
        <f>IF(全车数据表!AN137="×",0,全车数据表!AN137)</f>
        <v>2</v>
      </c>
      <c r="AA136" s="313" t="str">
        <f>全车数据表!AU137</f>
        <v>rare</v>
      </c>
      <c r="AB136" s="311">
        <f>全车数据表!AW137</f>
        <v>365</v>
      </c>
      <c r="AC136" s="311">
        <f>全车数据表!AX137</f>
        <v>0</v>
      </c>
      <c r="AD136" s="311">
        <f>全车数据表!AY137</f>
        <v>479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>
        <f>IF(全车数据表!BF137="","",全车数据表!BF137)</f>
        <v>1</v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法拉利 勾</v>
      </c>
      <c r="BA136" s="311">
        <f>IF(全车数据表!AV137="","",全车数据表!AV137)</f>
        <v>9</v>
      </c>
    </row>
    <row r="137" spans="1:53">
      <c r="A137" s="311">
        <f>全车数据表!A138</f>
        <v>136</v>
      </c>
      <c r="B137" s="311" t="str">
        <f>全车数据表!B138</f>
        <v>Dodge Viper GTS</v>
      </c>
      <c r="C137" s="311" t="str">
        <f>IF(全车数据表!AQ138="","",全车数据表!AQ138)</f>
        <v>Dodge</v>
      </c>
      <c r="D137" s="313" t="str">
        <f>全车数据表!AT138</f>
        <v>vipergts</v>
      </c>
      <c r="E137" s="313" t="str">
        <f>全车数据表!AS138</f>
        <v>1.0</v>
      </c>
      <c r="F137" s="313" t="str">
        <f>全车数据表!C138</f>
        <v>A蛇</v>
      </c>
      <c r="G137" s="311" t="str">
        <f>全车数据表!D138</f>
        <v>A</v>
      </c>
      <c r="H137" s="311">
        <f>LEN(全车数据表!E138)</f>
        <v>4</v>
      </c>
      <c r="I137" s="311">
        <f>IF(全车数据表!H138="×",0,全车数据表!H138)</f>
        <v>45</v>
      </c>
      <c r="J137" s="311">
        <f>IF(全车数据表!I138="×",0,全车数据表!I138)</f>
        <v>21</v>
      </c>
      <c r="K137" s="311">
        <f>IF(全车数据表!J138="×",0,全车数据表!J138)</f>
        <v>28</v>
      </c>
      <c r="L137" s="311">
        <f>IF(全车数据表!K138="×",0,全车数据表!K138)</f>
        <v>42</v>
      </c>
      <c r="M137" s="311">
        <f>IF(全车数据表!L138="×",0,全车数据表!L138)</f>
        <v>0</v>
      </c>
      <c r="N137" s="311">
        <f>IF(全车数据表!M138="×",0,全车数据表!M138)</f>
        <v>0</v>
      </c>
      <c r="O137" s="311">
        <f>全车数据表!O138</f>
        <v>3306</v>
      </c>
      <c r="P137" s="311">
        <f>全车数据表!P138</f>
        <v>353.5</v>
      </c>
      <c r="Q137" s="311">
        <f>全车数据表!Q138</f>
        <v>80.33</v>
      </c>
      <c r="R137" s="311">
        <f>全车数据表!R138</f>
        <v>45.29</v>
      </c>
      <c r="S137" s="311">
        <f>全车数据表!S138</f>
        <v>67.55</v>
      </c>
      <c r="T137" s="311">
        <f>全车数据表!T138</f>
        <v>7.0659999999999998</v>
      </c>
      <c r="U137" s="311">
        <f>全车数据表!AH138</f>
        <v>1854880</v>
      </c>
      <c r="V137" s="311">
        <f>全车数据表!AO138</f>
        <v>2700000</v>
      </c>
      <c r="W137" s="311">
        <f>全车数据表!AP138</f>
        <v>4554880</v>
      </c>
      <c r="X137" s="311">
        <f>全车数据表!AJ138</f>
        <v>5</v>
      </c>
      <c r="Y137" s="311">
        <f>全车数据表!AL138</f>
        <v>5</v>
      </c>
      <c r="Z137" s="311">
        <f>IF(全车数据表!AN138="×",0,全车数据表!AN138)</f>
        <v>2</v>
      </c>
      <c r="AA137" s="313" t="str">
        <f>全车数据表!AU138</f>
        <v>rare</v>
      </c>
      <c r="AB137" s="311">
        <f>全车数据表!AW138</f>
        <v>368</v>
      </c>
      <c r="AC137" s="311">
        <f>全车数据表!AX138</f>
        <v>0</v>
      </c>
      <c r="AD137" s="311">
        <f>全车数据表!AY138</f>
        <v>484</v>
      </c>
      <c r="AE137" s="311" t="str">
        <f>IF(全车数据表!AZ138="","",全车数据表!AZ138)</f>
        <v>级别杯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>
        <f>IF(全车数据表!BC138="","",全车数据表!BC138)</f>
        <v>1</v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>
        <f>IF(全车数据表!BF138="","",全车数据表!BF138)</f>
        <v>1</v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道奇 蝰蛇 紫蛇 A蛇</v>
      </c>
      <c r="BA137" s="311">
        <f>IF(全车数据表!AV138="","",全车数据表!AV138)</f>
        <v>9</v>
      </c>
    </row>
    <row r="138" spans="1:53">
      <c r="A138" s="311">
        <f>全车数据表!A139</f>
        <v>137</v>
      </c>
      <c r="B138" s="311" t="str">
        <f>全车数据表!B139</f>
        <v>Bentley Continental GT Speed</v>
      </c>
      <c r="C138" s="311" t="str">
        <f>IF(全车数据表!AQ139="","",全车数据表!AQ139)</f>
        <v>Bentley</v>
      </c>
      <c r="D138" s="313" t="str">
        <f>全车数据表!AT139</f>
        <v>continentalgt</v>
      </c>
      <c r="E138" s="313" t="str">
        <f>全车数据表!AS139</f>
        <v>3.6</v>
      </c>
      <c r="F138" s="313" t="str">
        <f>全车数据表!C139</f>
        <v>欧陆</v>
      </c>
      <c r="G138" s="311" t="str">
        <f>全车数据表!D139</f>
        <v>A</v>
      </c>
      <c r="H138" s="311">
        <f>LEN(全车数据表!E139)</f>
        <v>4</v>
      </c>
      <c r="I138" s="311">
        <f>IF(全车数据表!H139="×",0,全车数据表!H139)</f>
        <v>60</v>
      </c>
      <c r="J138" s="311">
        <f>IF(全车数据表!I139="×",0,全车数据表!I139)</f>
        <v>40</v>
      </c>
      <c r="K138" s="311">
        <f>IF(全车数据表!J139="×",0,全车数据表!J139)</f>
        <v>51</v>
      </c>
      <c r="L138" s="311">
        <f>IF(全车数据表!K139="×",0,全车数据表!K139)</f>
        <v>63</v>
      </c>
      <c r="M138" s="311">
        <f>IF(全车数据表!L139="×",0,全车数据表!L139)</f>
        <v>0</v>
      </c>
      <c r="N138" s="311">
        <f>IF(全车数据表!M139="×",0,全车数据表!M139)</f>
        <v>0</v>
      </c>
      <c r="O138" s="311">
        <f>全车数据表!O139</f>
        <v>3342</v>
      </c>
      <c r="P138" s="311">
        <f>全车数据表!P139</f>
        <v>348.3</v>
      </c>
      <c r="Q138" s="311">
        <f>全车数据表!Q139</f>
        <v>76.55</v>
      </c>
      <c r="R138" s="311">
        <f>全车数据表!R139</f>
        <v>74.23</v>
      </c>
      <c r="S138" s="311">
        <f>全车数据表!S139</f>
        <v>59.35</v>
      </c>
      <c r="T138" s="311">
        <f>全车数据表!T139</f>
        <v>0</v>
      </c>
      <c r="U138" s="311">
        <f>全车数据表!AH139</f>
        <v>3711360</v>
      </c>
      <c r="V138" s="311">
        <f>全车数据表!AO139</f>
        <v>5400000</v>
      </c>
      <c r="W138" s="311">
        <f>全车数据表!AP139</f>
        <v>9111360</v>
      </c>
      <c r="X138" s="311">
        <f>全车数据表!AJ139</f>
        <v>5</v>
      </c>
      <c r="Y138" s="311">
        <f>全车数据表!AL139</f>
        <v>5</v>
      </c>
      <c r="Z138" s="311">
        <f>IF(全车数据表!AN139="×",0,全车数据表!AN139)</f>
        <v>2</v>
      </c>
      <c r="AA138" s="313" t="str">
        <f>全车数据表!AU139</f>
        <v>rare</v>
      </c>
      <c r="AB138" s="311">
        <f>全车数据表!AW139</f>
        <v>362</v>
      </c>
      <c r="AC138" s="311">
        <f>全车数据表!AX139</f>
        <v>0</v>
      </c>
      <c r="AD138" s="311">
        <f>全车数据表!AY139</f>
        <v>475</v>
      </c>
      <c r="AE138" s="311" t="str">
        <f>IF(全车数据表!AZ139="","",全车数据表!AZ139)</f>
        <v>通行证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>
        <f>IF(全车数据表!BG139="","",全车数据表!BG139)</f>
        <v>1</v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宾利 欧陆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Ferrari LaFerrari</v>
      </c>
      <c r="C139" s="311" t="str">
        <f>IF(全车数据表!AQ140="","",全车数据表!AQ140)</f>
        <v>Ferrari</v>
      </c>
      <c r="D139" s="313" t="str">
        <f>全车数据表!AT140</f>
        <v>laferrari</v>
      </c>
      <c r="E139" s="313" t="str">
        <f>全车数据表!AS140</f>
        <v>1.0</v>
      </c>
      <c r="F139" s="313" t="str">
        <f>全车数据表!C140</f>
        <v>拉法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35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36</v>
      </c>
      <c r="N139" s="311">
        <f>IF(全车数据表!M140="×",0,全车数据表!M140)</f>
        <v>0</v>
      </c>
      <c r="O139" s="311">
        <f>全车数据表!O140</f>
        <v>3445</v>
      </c>
      <c r="P139" s="311">
        <f>全车数据表!P140</f>
        <v>364.6</v>
      </c>
      <c r="Q139" s="311">
        <f>全车数据表!Q140</f>
        <v>80.23</v>
      </c>
      <c r="R139" s="311">
        <f>全车数据表!R140</f>
        <v>43.06</v>
      </c>
      <c r="S139" s="311">
        <f>全车数据表!S140</f>
        <v>71.400000000000006</v>
      </c>
      <c r="T139" s="311">
        <f>全车数据表!T140</f>
        <v>7.45</v>
      </c>
      <c r="U139" s="311">
        <f>全车数据表!AH140</f>
        <v>3466240</v>
      </c>
      <c r="V139" s="311">
        <f>全车数据表!AO140</f>
        <v>4080000</v>
      </c>
      <c r="W139" s="311">
        <f>全车数据表!AP140</f>
        <v>7546240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379</v>
      </c>
      <c r="AC139" s="311">
        <f>全车数据表!AX140</f>
        <v>0</v>
      </c>
      <c r="AD139" s="311">
        <f>全车数据表!AY140</f>
        <v>503</v>
      </c>
      <c r="AE139" s="311" t="str">
        <f>IF(全车数据表!AZ140="","",全车数据表!AZ140)</f>
        <v>级别杯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>
        <f>IF(全车数据表!BC140="","",全车数据表!BC140)</f>
        <v>1</v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法拉利 拉法</v>
      </c>
      <c r="BA139" s="311">
        <f>IF(全车数据表!AV140="","",全车数据表!AV140)</f>
        <v>10</v>
      </c>
    </row>
    <row r="140" spans="1:53">
      <c r="A140" s="311">
        <f>全车数据表!A141</f>
        <v>139</v>
      </c>
      <c r="B140" s="311" t="str">
        <f>全车数据表!B141</f>
        <v>McLaren P1™</v>
      </c>
      <c r="C140" s="311" t="str">
        <f>IF(全车数据表!AQ141="","",全车数据表!AQ141)</f>
        <v>McLaren</v>
      </c>
      <c r="D140" s="313" t="str">
        <f>全车数据表!AT141</f>
        <v>p1</v>
      </c>
      <c r="E140" s="313" t="str">
        <f>全车数据表!AS141</f>
        <v>1.0</v>
      </c>
      <c r="F140" s="313" t="str">
        <f>全车数据表!C141</f>
        <v>P1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35</v>
      </c>
      <c r="J140" s="311">
        <f>IF(全车数据表!I141="×",0,全车数据表!I141)</f>
        <v>12</v>
      </c>
      <c r="K140" s="311">
        <f>IF(全车数据表!J141="×",0,全车数据表!J141)</f>
        <v>15</v>
      </c>
      <c r="L140" s="311">
        <f>IF(全车数据表!K141="×",0,全车数据表!K141)</f>
        <v>24</v>
      </c>
      <c r="M140" s="311">
        <f>IF(全车数据表!L141="×",0,全车数据表!L141)</f>
        <v>36</v>
      </c>
      <c r="N140" s="311">
        <f>IF(全车数据表!M141="×",0,全车数据表!M141)</f>
        <v>0</v>
      </c>
      <c r="O140" s="311">
        <f>全车数据表!O141</f>
        <v>3602</v>
      </c>
      <c r="P140" s="311">
        <f>全车数据表!P141</f>
        <v>364.6</v>
      </c>
      <c r="Q140" s="311">
        <f>全车数据表!Q141</f>
        <v>83.64</v>
      </c>
      <c r="R140" s="311">
        <f>全车数据表!R141</f>
        <v>47.54</v>
      </c>
      <c r="S140" s="311">
        <f>全车数据表!S141</f>
        <v>62.89</v>
      </c>
      <c r="T140" s="311">
        <f>全车数据表!T141</f>
        <v>6.02</v>
      </c>
      <c r="U140" s="311">
        <f>全车数据表!AH141</f>
        <v>3466240</v>
      </c>
      <c r="V140" s="311">
        <f>全车数据表!AO141</f>
        <v>4080000</v>
      </c>
      <c r="W140" s="311">
        <f>全车数据表!AP141</f>
        <v>7546240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379</v>
      </c>
      <c r="AC140" s="311">
        <f>全车数据表!AX141</f>
        <v>0</v>
      </c>
      <c r="AD140" s="311">
        <f>全车数据表!AY141</f>
        <v>503</v>
      </c>
      <c r="AE140" s="311" t="str">
        <f>IF(全车数据表!AZ141="","",全车数据表!AZ141)</f>
        <v>级别杯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>
        <f>IF(全车数据表!BC141="","",全车数据表!BC141)</f>
        <v>1</v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>
        <f>IF(全车数据表!BQ141="","",全车数据表!BQ141)</f>
        <v>1</v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迈凯伦</v>
      </c>
      <c r="BA140" s="311">
        <f>IF(全车数据表!AV141="","",全车数据表!AV141)</f>
        <v>11</v>
      </c>
    </row>
    <row r="141" spans="1:53">
      <c r="A141" s="311">
        <f>全车数据表!A142</f>
        <v>140</v>
      </c>
      <c r="B141" s="311" t="str">
        <f>全车数据表!B142</f>
        <v>Pagani Zonda HP Barchetta🔑</v>
      </c>
      <c r="C141" s="311" t="str">
        <f>IF(全车数据表!AQ142="","",全车数据表!AQ142)</f>
        <v>Pagani</v>
      </c>
      <c r="D141" s="313" t="str">
        <f>全车数据表!AT142</f>
        <v>barchetta</v>
      </c>
      <c r="E141" s="313" t="str">
        <f>全车数据表!AS142</f>
        <v>3.0</v>
      </c>
      <c r="F141" s="313" t="str">
        <f>全车数据表!C142</f>
        <v>Barchetta</v>
      </c>
      <c r="G141" s="311" t="str">
        <f>全车数据表!D142</f>
        <v>A</v>
      </c>
      <c r="H141" s="311">
        <f>LEN(全车数据表!E142)</f>
        <v>5</v>
      </c>
      <c r="I141" s="311" t="str">
        <f>IF(全车数据表!H142="×",0,全车数据表!H142)</f>
        <v>🔑</v>
      </c>
      <c r="J141" s="311">
        <f>IF(全车数据表!I142="×",0,全车数据表!I142)</f>
        <v>28</v>
      </c>
      <c r="K141" s="311">
        <f>IF(全车数据表!J142="×",0,全车数据表!J142)</f>
        <v>32</v>
      </c>
      <c r="L141" s="311">
        <f>IF(全车数据表!K142="×",0,全车数据表!K142)</f>
        <v>44</v>
      </c>
      <c r="M141" s="311">
        <f>IF(全车数据表!L142="×",0,全车数据表!L142)</f>
        <v>83</v>
      </c>
      <c r="N141" s="311">
        <f>IF(全车数据表!M142="×",0,全车数据表!M142)</f>
        <v>0</v>
      </c>
      <c r="O141" s="311">
        <f>全车数据表!O142</f>
        <v>3678</v>
      </c>
      <c r="P141" s="311">
        <f>全车数据表!P142</f>
        <v>350.1</v>
      </c>
      <c r="Q141" s="311">
        <f>全车数据表!Q142</f>
        <v>79.430000000000007</v>
      </c>
      <c r="R141" s="311">
        <f>全车数据表!R142</f>
        <v>73.540000000000006</v>
      </c>
      <c r="S141" s="311">
        <f>全车数据表!S142</f>
        <v>73.67</v>
      </c>
      <c r="T141" s="311">
        <f>全车数据表!T142</f>
        <v>0</v>
      </c>
      <c r="U141" s="311">
        <f>全车数据表!AH142</f>
        <v>7771800</v>
      </c>
      <c r="V141" s="311">
        <f>全车数据表!AO142</f>
        <v>8160000</v>
      </c>
      <c r="W141" s="311">
        <f>全车数据表!AP142</f>
        <v>15931800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364</v>
      </c>
      <c r="AC141" s="311">
        <f>全车数据表!AX142</f>
        <v>0</v>
      </c>
      <c r="AD141" s="311">
        <f>全车数据表!AY142</f>
        <v>478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>
        <f>IF(全车数据表!BL142="","",全车数据表!BL142)</f>
        <v>1</v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>无顶</v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帕加尼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Lamborghini Aventador SV Coupe</v>
      </c>
      <c r="C142" s="311" t="str">
        <f>IF(全车数据表!AQ143="","",全车数据表!AQ143)</f>
        <v>Lamborghini</v>
      </c>
      <c r="D142" s="313" t="str">
        <f>全车数据表!AT143</f>
        <v>sv</v>
      </c>
      <c r="E142" s="313" t="str">
        <f>全车数据表!AS143</f>
        <v>1.0</v>
      </c>
      <c r="F142" s="313" t="str">
        <f>全车数据表!C143</f>
        <v>SV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35</v>
      </c>
      <c r="J142" s="311">
        <f>IF(全车数据表!I143="×",0,全车数据表!I143)</f>
        <v>12</v>
      </c>
      <c r="K142" s="311">
        <f>IF(全车数据表!J143="×",0,全车数据表!J143)</f>
        <v>15</v>
      </c>
      <c r="L142" s="311">
        <f>IF(全车数据表!K143="×",0,全车数据表!K143)</f>
        <v>24</v>
      </c>
      <c r="M142" s="311">
        <f>IF(全车数据表!L143="×",0,全车数据表!L143)</f>
        <v>36</v>
      </c>
      <c r="N142" s="311">
        <f>IF(全车数据表!M143="×",0,全车数据表!M143)</f>
        <v>0</v>
      </c>
      <c r="O142" s="311">
        <f>全车数据表!O143</f>
        <v>3763</v>
      </c>
      <c r="P142" s="311">
        <f>全车数据表!P143</f>
        <v>367.9</v>
      </c>
      <c r="Q142" s="311">
        <f>全车数据表!Q143</f>
        <v>80.83</v>
      </c>
      <c r="R142" s="311">
        <f>全车数据表!R143</f>
        <v>50.15</v>
      </c>
      <c r="S142" s="311">
        <f>全车数据表!S143</f>
        <v>70.599999999999994</v>
      </c>
      <c r="T142" s="311">
        <f>全车数据表!T143</f>
        <v>7.2329999999999997</v>
      </c>
      <c r="U142" s="311">
        <f>全车数据表!AH143</f>
        <v>3466240</v>
      </c>
      <c r="V142" s="311">
        <f>全车数据表!AO143</f>
        <v>4080000</v>
      </c>
      <c r="W142" s="311">
        <f>全车数据表!AP143</f>
        <v>7546240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382</v>
      </c>
      <c r="AC142" s="311">
        <f>全车数据表!AX143</f>
        <v>0</v>
      </c>
      <c r="AD142" s="311">
        <f>全车数据表!AY143</f>
        <v>509</v>
      </c>
      <c r="AE142" s="311" t="str">
        <f>IF(全车数据表!AZ143="","",全车数据表!AZ143)</f>
        <v>级别杯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>
        <f>IF(全车数据表!BC143="","",全车数据表!BC143)</f>
        <v>1</v>
      </c>
      <c r="AI142" s="311">
        <f>IF(全车数据表!BD143="","",全车数据表!BD143)</f>
        <v>1</v>
      </c>
      <c r="AJ142" s="311" t="str">
        <f>IF(全车数据表!BE143="","",全车数据表!BE143)</f>
        <v/>
      </c>
      <c r="AK142" s="311">
        <f>IF(全车数据表!BF143="","",全车数据表!BF143)</f>
        <v>1</v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>
        <f>IF(全车数据表!BQ143="","",全车数据表!BQ143)</f>
        <v>1</v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>
        <f>IF(全车数据表!BT143="","",全车数据表!BT143)</f>
        <v>1</v>
      </c>
      <c r="AZ142" s="311" t="str">
        <f>IF(全车数据表!BU143="","",全车数据表!BU143)</f>
        <v>兰博基尼 大牛 埃文塔多</v>
      </c>
      <c r="BA142" s="311">
        <f>IF(全车数据表!AV143="","",全车数据表!AV143)</f>
        <v>12</v>
      </c>
    </row>
    <row r="143" spans="1:53">
      <c r="A143" s="311">
        <f>全车数据表!A144</f>
        <v>142</v>
      </c>
      <c r="B143" s="311" t="str">
        <f>全车数据表!B144</f>
        <v>Ferrari 812 SuperFast</v>
      </c>
      <c r="C143" s="311" t="str">
        <f>IF(全车数据表!AQ144="","",全车数据表!AQ144)</f>
        <v>Ferrari</v>
      </c>
      <c r="D143" s="313" t="str">
        <f>全车数据表!AT144</f>
        <v>812</v>
      </c>
      <c r="E143" s="313" t="str">
        <f>全车数据表!AS144</f>
        <v>1.6</v>
      </c>
      <c r="F143" s="313">
        <f>全车数据表!C144</f>
        <v>812</v>
      </c>
      <c r="G143" s="311" t="str">
        <f>全车数据表!D144</f>
        <v>A</v>
      </c>
      <c r="H143" s="311">
        <f>LEN(全车数据表!E144)</f>
        <v>5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51</v>
      </c>
      <c r="N143" s="311">
        <f>IF(全车数据表!M144="×",0,全车数据表!M144)</f>
        <v>0</v>
      </c>
      <c r="O143" s="311">
        <f>全车数据表!O144</f>
        <v>3827</v>
      </c>
      <c r="P143" s="311">
        <f>全车数据表!P144</f>
        <v>353.6</v>
      </c>
      <c r="Q143" s="311">
        <f>全车数据表!Q144</f>
        <v>81.13</v>
      </c>
      <c r="R143" s="311">
        <f>全车数据表!R144</f>
        <v>63.17</v>
      </c>
      <c r="S143" s="311">
        <f>全车数据表!S144</f>
        <v>74.33</v>
      </c>
      <c r="T143" s="311">
        <f>全车数据表!T144</f>
        <v>8.1999999999999993</v>
      </c>
      <c r="U143" s="311">
        <f>全车数据表!AH144</f>
        <v>7771800</v>
      </c>
      <c r="V143" s="311">
        <f>全车数据表!AO144</f>
        <v>8160000</v>
      </c>
      <c r="W143" s="311">
        <f>全车数据表!AP144</f>
        <v>15931800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3</v>
      </c>
      <c r="AA143" s="313" t="str">
        <f>全车数据表!AU144</f>
        <v>epic</v>
      </c>
      <c r="AB143" s="311">
        <f>全车数据表!AW144</f>
        <v>368</v>
      </c>
      <c r="AC143" s="311">
        <f>全车数据表!AX144</f>
        <v>0</v>
      </c>
      <c r="AD143" s="311">
        <f>全车数据表!AY144</f>
        <v>484</v>
      </c>
      <c r="AE143" s="311" t="str">
        <f>IF(全车数据表!AZ144="","",全车数据表!AZ144)</f>
        <v>红币商店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法拉利 超快 超级快 超速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LEGO Technic Mclaren Senna GTR™🔑</v>
      </c>
      <c r="C144" s="311" t="str">
        <f>IF(全车数据表!AQ145="","",全车数据表!AQ145)</f>
        <v>LEGO Technic</v>
      </c>
      <c r="D144" s="313" t="str">
        <f>全车数据表!AT145</f>
        <v>legosennagtr</v>
      </c>
      <c r="E144" s="313" t="str">
        <f>全车数据表!AS145</f>
        <v>3.1</v>
      </c>
      <c r="F144" s="313" t="str">
        <f>全车数据表!C145</f>
        <v>乐高塞纳GTR</v>
      </c>
      <c r="G144" s="311" t="str">
        <f>全车数据表!D145</f>
        <v>A</v>
      </c>
      <c r="H144" s="311">
        <f>LEN(全车数据表!E145)</f>
        <v>5</v>
      </c>
      <c r="I144" s="311" t="str">
        <f>IF(全车数据表!H145="×",0,全车数据表!H145)</f>
        <v>🔑</v>
      </c>
      <c r="J144" s="311">
        <f>IF(全车数据表!I145="×",0,全车数据表!I145)</f>
        <v>28</v>
      </c>
      <c r="K144" s="311">
        <f>IF(全车数据表!J145="×",0,全车数据表!J145)</f>
        <v>32</v>
      </c>
      <c r="L144" s="311">
        <f>IF(全车数据表!K145="×",0,全车数据表!K145)</f>
        <v>44</v>
      </c>
      <c r="M144" s="311">
        <f>IF(全车数据表!L145="×",0,全车数据表!L145)</f>
        <v>83</v>
      </c>
      <c r="N144" s="311">
        <f>IF(全车数据表!M145="×",0,全车数据表!M145)</f>
        <v>0</v>
      </c>
      <c r="O144" s="311">
        <f>全车数据表!O145</f>
        <v>3846</v>
      </c>
      <c r="P144" s="311">
        <f>全车数据表!P145</f>
        <v>349.8</v>
      </c>
      <c r="Q144" s="311">
        <f>全车数据表!Q145</f>
        <v>82.43</v>
      </c>
      <c r="R144" s="311">
        <f>全车数据表!R145</f>
        <v>79.319999999999993</v>
      </c>
      <c r="S144" s="311">
        <f>全车数据表!S145</f>
        <v>65.28</v>
      </c>
      <c r="T144" s="311">
        <f>全车数据表!T145</f>
        <v>0</v>
      </c>
      <c r="U144" s="311">
        <f>全车数据表!AH145</f>
        <v>0</v>
      </c>
      <c r="V144" s="311">
        <f>全车数据表!AO145</f>
        <v>0</v>
      </c>
      <c r="W144" s="311">
        <f>全车数据表!AP145</f>
        <v>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364</v>
      </c>
      <c r="AC144" s="311">
        <f>全车数据表!AX145</f>
        <v>0</v>
      </c>
      <c r="AD144" s="311">
        <f>全车数据表!AY145</f>
        <v>477</v>
      </c>
      <c r="AE144" s="311" t="str">
        <f>IF(全车数据表!AZ145="","",全车数据表!AZ145)</f>
        <v>大奖赛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>
        <f>IF(全车数据表!BN145="","",全车数据表!BN145)</f>
        <v>1</v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乐高塞纳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Chevrolet Corvette ZR1</v>
      </c>
      <c r="C145" s="311" t="str">
        <f>IF(全车数据表!AQ146="","",全车数据表!AQ146)</f>
        <v>Chevrolet Corvette</v>
      </c>
      <c r="D145" s="313" t="str">
        <f>全车数据表!AT146</f>
        <v>zr1</v>
      </c>
      <c r="E145" s="313" t="str">
        <f>全车数据表!AS146</f>
        <v>1.9</v>
      </c>
      <c r="F145" s="313" t="str">
        <f>全车数据表!C146</f>
        <v>大五菱</v>
      </c>
      <c r="G145" s="311" t="str">
        <f>全车数据表!D146</f>
        <v>A</v>
      </c>
      <c r="H145" s="311">
        <f>LEN(全车数据表!E146)</f>
        <v>5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51</v>
      </c>
      <c r="N145" s="311">
        <f>IF(全车数据表!M146="×",0,全车数据表!M146)</f>
        <v>0</v>
      </c>
      <c r="O145" s="311">
        <f>全车数据表!O146</f>
        <v>3876</v>
      </c>
      <c r="P145" s="311">
        <f>全车数据表!P146</f>
        <v>355.4</v>
      </c>
      <c r="Q145" s="311">
        <f>全车数据表!Q146</f>
        <v>82.03</v>
      </c>
      <c r="R145" s="311">
        <f>全车数据表!R146</f>
        <v>60.09</v>
      </c>
      <c r="S145" s="311">
        <f>全车数据表!S146</f>
        <v>76.33</v>
      </c>
      <c r="T145" s="311">
        <f>全车数据表!T146</f>
        <v>8.8000000000000007</v>
      </c>
      <c r="U145" s="311">
        <f>全车数据表!AH146</f>
        <v>7771800</v>
      </c>
      <c r="V145" s="311">
        <f>全车数据表!AO146</f>
        <v>8160000</v>
      </c>
      <c r="W145" s="311">
        <f>全车数据表!AP146</f>
        <v>15931800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3</v>
      </c>
      <c r="AA145" s="313" t="str">
        <f>全车数据表!AU146</f>
        <v>epic</v>
      </c>
      <c r="AB145" s="311">
        <f>全车数据表!AW146</f>
        <v>370</v>
      </c>
      <c r="AC145" s="311">
        <f>全车数据表!AX146</f>
        <v>0</v>
      </c>
      <c r="AD145" s="311">
        <f>全车数据表!AY146</f>
        <v>487</v>
      </c>
      <c r="AE145" s="311" t="str">
        <f>IF(全车数据表!AZ146="","",全车数据表!AZ146)</f>
        <v>多人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>
        <f>IF(全车数据表!BI146="","",全车数据表!BI146)</f>
        <v>1</v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雪佛兰 克尔维特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Jaguar C-X75</v>
      </c>
      <c r="C146" s="311" t="str">
        <f>IF(全车数据表!AQ147="","",全车数据表!AQ147)</f>
        <v>Jaguar</v>
      </c>
      <c r="D146" s="313" t="str">
        <f>全车数据表!AT147</f>
        <v>c-x75</v>
      </c>
      <c r="E146" s="313" t="str">
        <f>全车数据表!AS147</f>
        <v>2.4</v>
      </c>
      <c r="F146" s="313" t="str">
        <f>全车数据表!C147</f>
        <v>大捷豹</v>
      </c>
      <c r="G146" s="311" t="str">
        <f>全车数据表!D147</f>
        <v>A</v>
      </c>
      <c r="H146" s="311">
        <f>LEN(全车数据表!E147)</f>
        <v>5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51</v>
      </c>
      <c r="N146" s="311">
        <f>IF(全车数据表!M147="×",0,全车数据表!M147)</f>
        <v>0</v>
      </c>
      <c r="O146" s="311">
        <f>全车数据表!O147</f>
        <v>3898</v>
      </c>
      <c r="P146" s="311">
        <f>全车数据表!P147</f>
        <v>369.2</v>
      </c>
      <c r="Q146" s="311">
        <f>全车数据表!Q147</f>
        <v>75.540000000000006</v>
      </c>
      <c r="R146" s="311">
        <f>全车数据表!R147</f>
        <v>73.17</v>
      </c>
      <c r="S146" s="311">
        <f>全车数据表!S147</f>
        <v>74.12</v>
      </c>
      <c r="T146" s="311">
        <f>全车数据表!T147</f>
        <v>7.87</v>
      </c>
      <c r="U146" s="311">
        <f>全车数据表!AH147</f>
        <v>7771800</v>
      </c>
      <c r="V146" s="311">
        <f>全车数据表!AO147</f>
        <v>8160000</v>
      </c>
      <c r="W146" s="311">
        <f>全车数据表!AP147</f>
        <v>15931800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3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510</v>
      </c>
      <c r="AE146" s="311" t="str">
        <f>IF(全车数据表!AZ147="","",全车数据表!AZ147)</f>
        <v>惊艳亮相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>
        <f>IF(全车数据表!BH147="","",全车数据表!BH147)</f>
        <v>1</v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大捷豹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VLF Force 1 V10</v>
      </c>
      <c r="C147" s="311" t="str">
        <f>IF(全车数据表!AQ148="","",全车数据表!AQ148)</f>
        <v>VLF</v>
      </c>
      <c r="D147" s="313" t="str">
        <f>全车数据表!AT148</f>
        <v>1v10</v>
      </c>
      <c r="E147" s="313" t="str">
        <f>全车数据表!AS148</f>
        <v>1.0</v>
      </c>
      <c r="F147" s="313" t="str">
        <f>全车数据表!C148</f>
        <v>VLF</v>
      </c>
      <c r="G147" s="311" t="str">
        <f>全车数据表!D148</f>
        <v>A</v>
      </c>
      <c r="H147" s="311">
        <f>LEN(全车数据表!E148)</f>
        <v>5</v>
      </c>
      <c r="I147" s="311">
        <f>IF(全车数据表!H148="×",0,全车数据表!H148)</f>
        <v>45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36</v>
      </c>
      <c r="N147" s="311">
        <f>IF(全车数据表!M148="×",0,全车数据表!M148)</f>
        <v>0</v>
      </c>
      <c r="O147" s="311">
        <f>全车数据表!O148</f>
        <v>3929</v>
      </c>
      <c r="P147" s="311">
        <f>全车数据表!P148</f>
        <v>368.8</v>
      </c>
      <c r="Q147" s="311">
        <f>全车数据表!Q148</f>
        <v>80.33</v>
      </c>
      <c r="R147" s="311">
        <f>全车数据表!R148</f>
        <v>54.68</v>
      </c>
      <c r="S147" s="311">
        <f>全车数据表!S148</f>
        <v>74.63</v>
      </c>
      <c r="T147" s="311">
        <f>全车数据表!T148</f>
        <v>7.9500000000000011</v>
      </c>
      <c r="U147" s="311">
        <f>全车数据表!AH148</f>
        <v>3466240</v>
      </c>
      <c r="V147" s="311">
        <f>全车数据表!AO148</f>
        <v>4080000</v>
      </c>
      <c r="W147" s="311">
        <f>全车数据表!AP148</f>
        <v>7546240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384</v>
      </c>
      <c r="AC147" s="311">
        <f>全车数据表!AX148</f>
        <v>0</v>
      </c>
      <c r="AD147" s="311">
        <f>全车数据表!AY148</f>
        <v>512</v>
      </c>
      <c r="AE147" s="311" t="str">
        <f>IF(全车数据表!AZ148="","",全车数据表!AZ148)</f>
        <v>独家赛事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>
        <f>IF(全车数据表!BE148="","",全车数据表!BE148)</f>
        <v>1</v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叶问 甄子丹 1v10</v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McLaren Senna GTR</v>
      </c>
      <c r="C148" s="311" t="str">
        <f>IF(全车数据表!AQ149="","",全车数据表!AQ149)</f>
        <v>McLaren</v>
      </c>
      <c r="D148" s="313" t="str">
        <f>全车数据表!AT149</f>
        <v>sennagtr</v>
      </c>
      <c r="E148" s="313" t="str">
        <f>全车数据表!AS149</f>
        <v>3.3</v>
      </c>
      <c r="F148" s="313" t="str">
        <f>全车数据表!C149</f>
        <v>Senna GTR</v>
      </c>
      <c r="G148" s="311" t="str">
        <f>全车数据表!D149</f>
        <v>A</v>
      </c>
      <c r="H148" s="311">
        <f>LEN(全车数据表!E149)</f>
        <v>5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51</v>
      </c>
      <c r="N148" s="311">
        <f>IF(全车数据表!M149="×",0,全车数据表!M149)</f>
        <v>0</v>
      </c>
      <c r="O148" s="311">
        <f>全车数据表!O149</f>
        <v>4025</v>
      </c>
      <c r="P148" s="311">
        <f>全车数据表!P149</f>
        <v>358</v>
      </c>
      <c r="Q148" s="311">
        <f>全车数据表!Q149</f>
        <v>82.03</v>
      </c>
      <c r="R148" s="311">
        <f>全车数据表!R149</f>
        <v>60.84</v>
      </c>
      <c r="S148" s="311">
        <f>全车数据表!S149</f>
        <v>77.62</v>
      </c>
      <c r="T148" s="311">
        <f>全车数据表!T149</f>
        <v>0</v>
      </c>
      <c r="U148" s="311">
        <f>全车数据表!AH149</f>
        <v>7771800</v>
      </c>
      <c r="V148" s="311">
        <f>全车数据表!AO149</f>
        <v>8160000</v>
      </c>
      <c r="W148" s="311">
        <f>全车数据表!AP149</f>
        <v>15931800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372</v>
      </c>
      <c r="AC148" s="311">
        <f>全车数据表!AX149</f>
        <v>0</v>
      </c>
      <c r="AD148" s="311">
        <f>全车数据表!AY149</f>
        <v>492</v>
      </c>
      <c r="AE148" s="311" t="str">
        <f>IF(全车数据表!AZ149="","",全车数据表!AZ149)</f>
        <v>护照寻车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>
        <f>IF(全车数据表!BF149="","",全车数据表!BF149)</f>
        <v>1</v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迈凯伦塞纳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Lamborghini Aventador SVJ Roadster</v>
      </c>
      <c r="C149" s="311" t="str">
        <f>IF(全车数据表!AQ150="","",全车数据表!AQ150)</f>
        <v>Lamborghini</v>
      </c>
      <c r="D149" s="313" t="str">
        <f>全车数据表!AT150</f>
        <v>svj</v>
      </c>
      <c r="E149" s="313" t="str">
        <f>全车数据表!AS150</f>
        <v>3.0</v>
      </c>
      <c r="F149" s="313" t="str">
        <f>全车数据表!C150</f>
        <v>SVJ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4081</v>
      </c>
      <c r="P149" s="311">
        <f>全车数据表!P150</f>
        <v>364.7</v>
      </c>
      <c r="Q149" s="311">
        <f>全车数据表!Q150</f>
        <v>81.13</v>
      </c>
      <c r="R149" s="311">
        <f>全车数据表!R150</f>
        <v>73.73</v>
      </c>
      <c r="S149" s="311">
        <f>全车数据表!S150</f>
        <v>73.930000000000007</v>
      </c>
      <c r="T149" s="311">
        <f>全车数据表!T150</f>
        <v>7.8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379</v>
      </c>
      <c r="AC149" s="311">
        <f>全车数据表!AX150</f>
        <v>0</v>
      </c>
      <c r="AD149" s="311">
        <f>全车数据表!AY150</f>
        <v>503</v>
      </c>
      <c r="AE149" s="311" t="str">
        <f>IF(全车数据表!AZ150="","",全车数据表!AZ150)</f>
        <v>惊艳亮相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>
        <f>IF(全车数据表!BH150="","",全车数据表!BH150)</f>
        <v>1</v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>无顶</v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兰博基尼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Porsche 918 Spyder</v>
      </c>
      <c r="C150" s="311" t="str">
        <f>IF(全车数据表!AQ151="","",全车数据表!AQ151)</f>
        <v>Porsche</v>
      </c>
      <c r="D150" s="313" t="str">
        <f>全车数据表!AT151</f>
        <v>918</v>
      </c>
      <c r="E150" s="313" t="str">
        <f>全车数据表!AS151</f>
        <v>1.0</v>
      </c>
      <c r="F150" s="313">
        <f>全车数据表!C151</f>
        <v>918</v>
      </c>
      <c r="G150" s="311" t="str">
        <f>全车数据表!D151</f>
        <v>A</v>
      </c>
      <c r="H150" s="311">
        <f>LEN(全车数据表!E151)</f>
        <v>5</v>
      </c>
      <c r="I150" s="311">
        <f>IF(全车数据表!H151="×",0,全车数据表!H151)</f>
        <v>35</v>
      </c>
      <c r="J150" s="311">
        <f>IF(全车数据表!I151="×",0,全车数据表!I151)</f>
        <v>12</v>
      </c>
      <c r="K150" s="311">
        <f>IF(全车数据表!J151="×",0,全车数据表!J151)</f>
        <v>15</v>
      </c>
      <c r="L150" s="311">
        <f>IF(全车数据表!K151="×",0,全车数据表!K151)</f>
        <v>24</v>
      </c>
      <c r="M150" s="311">
        <f>IF(全车数据表!L151="×",0,全车数据表!L151)</f>
        <v>36</v>
      </c>
      <c r="N150" s="311">
        <f>IF(全车数据表!M151="×",0,全车数据表!M151)</f>
        <v>0</v>
      </c>
      <c r="O150" s="311">
        <f>全车数据表!O151</f>
        <v>4099</v>
      </c>
      <c r="P150" s="311">
        <f>全车数据表!P151</f>
        <v>362.4</v>
      </c>
      <c r="Q150" s="311">
        <f>全车数据表!Q151</f>
        <v>83.03</v>
      </c>
      <c r="R150" s="311">
        <f>全车数据表!R151</f>
        <v>51.8</v>
      </c>
      <c r="S150" s="311">
        <f>全车数据表!S151</f>
        <v>79.97</v>
      </c>
      <c r="T150" s="311">
        <f>全车数据表!T151</f>
        <v>9.4830000000000005</v>
      </c>
      <c r="U150" s="311">
        <f>全车数据表!AH151</f>
        <v>3466240</v>
      </c>
      <c r="V150" s="311">
        <f>全车数据表!AO151</f>
        <v>4080000</v>
      </c>
      <c r="W150" s="311">
        <f>全车数据表!AP151</f>
        <v>7546240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3</v>
      </c>
      <c r="AA150" s="313" t="str">
        <f>全车数据表!AU151</f>
        <v>epic</v>
      </c>
      <c r="AB150" s="311">
        <f>全车数据表!AW151</f>
        <v>377</v>
      </c>
      <c r="AC150" s="311">
        <f>全车数据表!AX151</f>
        <v>0</v>
      </c>
      <c r="AD150" s="311">
        <f>全车数据表!AY151</f>
        <v>499</v>
      </c>
      <c r="AE150" s="311" t="str">
        <f>IF(全车数据表!AZ151="","",全车数据表!AZ151)</f>
        <v>传奇商店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 t="str">
        <f>IF(全车数据表!BO151="","",全车数据表!BO151)</f>
        <v/>
      </c>
      <c r="AU150" s="311" t="str">
        <f>IF(全车数据表!BP151="","",全车数据表!BP151)</f>
        <v/>
      </c>
      <c r="AV150" s="311">
        <f>IF(全车数据表!BQ151="","",全车数据表!BQ151)</f>
        <v>1</v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保时捷</v>
      </c>
      <c r="BA150" s="311">
        <f>IF(全车数据表!AV151="","",全车数据表!AV151)</f>
        <v>14</v>
      </c>
    </row>
    <row r="151" spans="1:53">
      <c r="A151" s="311">
        <f>全车数据表!A152</f>
        <v>150</v>
      </c>
      <c r="B151" s="311" t="str">
        <f>全车数据表!B152</f>
        <v>Vanda Electrics Dendrobium</v>
      </c>
      <c r="C151" s="311" t="str">
        <f>IF(全车数据表!AQ152="","",全车数据表!AQ152)</f>
        <v>Vanda Electrics</v>
      </c>
      <c r="D151" s="313" t="str">
        <f>全车数据表!AT152</f>
        <v>vanda</v>
      </c>
      <c r="E151" s="313" t="str">
        <f>全车数据表!AS152</f>
        <v>1.8</v>
      </c>
      <c r="F151" s="313" t="str">
        <f>全车数据表!C152</f>
        <v>Vanda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50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62</v>
      </c>
      <c r="O151" s="311">
        <f>全车数据表!O152</f>
        <v>4099</v>
      </c>
      <c r="P151" s="311">
        <f>全车数据表!P152</f>
        <v>339.9</v>
      </c>
      <c r="Q151" s="311">
        <f>全车数据表!Q152</f>
        <v>86.24</v>
      </c>
      <c r="R151" s="311">
        <f>全车数据表!R152</f>
        <v>95.92</v>
      </c>
      <c r="S151" s="311">
        <f>全车数据表!S152</f>
        <v>84.9</v>
      </c>
      <c r="T151" s="311">
        <f>全车数据表!T152</f>
        <v>13.23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354</v>
      </c>
      <c r="AC151" s="311">
        <f>全车数据表!AX152</f>
        <v>363</v>
      </c>
      <c r="AD151" s="311">
        <f>全车数据表!AY152</f>
        <v>474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万达</v>
      </c>
      <c r="BA151" s="311">
        <f>IF(全车数据表!AV152="","",全车数据表!AV152)</f>
        <v>16</v>
      </c>
    </row>
    <row r="152" spans="1:53">
      <c r="A152" s="311">
        <f>全车数据表!A153</f>
        <v>151</v>
      </c>
      <c r="B152" s="311" t="str">
        <f>全车数据表!B153</f>
        <v>Peugeot 9x8</v>
      </c>
      <c r="C152" s="311" t="str">
        <f>IF(全车数据表!AQ153="","",全车数据表!AQ153)</f>
        <v>Peugeot</v>
      </c>
      <c r="D152" s="313" t="str">
        <f>全车数据表!AT153</f>
        <v>9x8</v>
      </c>
      <c r="E152" s="313" t="str">
        <f>全车数据表!AS153</f>
        <v>3.8</v>
      </c>
      <c r="F152" s="313" t="str">
        <f>全车数据表!C153</f>
        <v>9x8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70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59</v>
      </c>
      <c r="O152" s="311">
        <f>全车数据表!O153</f>
        <v>4108</v>
      </c>
      <c r="P152" s="311">
        <f>全车数据表!P153</f>
        <v>344.3</v>
      </c>
      <c r="Q152" s="311">
        <f>全车数据表!Q153</f>
        <v>90.03</v>
      </c>
      <c r="R152" s="311">
        <f>全车数据表!R153</f>
        <v>94.15</v>
      </c>
      <c r="S152" s="311">
        <f>全车数据表!S153</f>
        <v>69.94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358</v>
      </c>
      <c r="AC152" s="311">
        <f>全车数据表!AX153</f>
        <v>0</v>
      </c>
      <c r="AD152" s="311">
        <f>全车数据表!AY153</f>
        <v>468</v>
      </c>
      <c r="AE152" s="311" t="str">
        <f>IF(全车数据表!AZ153="","",全车数据表!AZ153)</f>
        <v>联会赛事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标致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McLaren 570S Spider</v>
      </c>
      <c r="C153" s="311" t="str">
        <f>IF(全车数据表!AQ154="","",全车数据表!AQ154)</f>
        <v>McLaren</v>
      </c>
      <c r="D153" s="313" t="str">
        <f>全车数据表!AT154</f>
        <v>570</v>
      </c>
      <c r="E153" s="313" t="str">
        <f>全车数据表!AS154</f>
        <v>1.2</v>
      </c>
      <c r="F153" s="313">
        <f>全车数据表!C154</f>
        <v>570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50</v>
      </c>
      <c r="J153" s="311">
        <f>IF(全车数据表!I154="×",0,全车数据表!I154)</f>
        <v>12</v>
      </c>
      <c r="K153" s="311">
        <f>IF(全车数据表!J154="×",0,全车数据表!J154)</f>
        <v>15</v>
      </c>
      <c r="L153" s="311">
        <f>IF(全车数据表!K154="×",0,全车数据表!K154)</f>
        <v>24</v>
      </c>
      <c r="M153" s="311">
        <f>IF(全车数据表!L154="×",0,全车数据表!L154)</f>
        <v>37</v>
      </c>
      <c r="N153" s="311">
        <f>IF(全车数据表!M154="×",0,全车数据表!M154)</f>
        <v>45</v>
      </c>
      <c r="O153" s="311">
        <f>全车数据表!O154</f>
        <v>4116</v>
      </c>
      <c r="P153" s="311">
        <f>全车数据表!P154</f>
        <v>377.2</v>
      </c>
      <c r="Q153" s="311">
        <f>全车数据表!Q154</f>
        <v>79.23</v>
      </c>
      <c r="R153" s="311">
        <f>全车数据表!R154</f>
        <v>66.06</v>
      </c>
      <c r="S153" s="311">
        <f>全车数据表!S154</f>
        <v>64.75</v>
      </c>
      <c r="T153" s="311">
        <f>全车数据表!T154</f>
        <v>6.2000000000000011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393</v>
      </c>
      <c r="AC153" s="311">
        <f>全车数据表!AX154</f>
        <v>0</v>
      </c>
      <c r="AD153" s="311">
        <f>全车数据表!AY154</f>
        <v>526</v>
      </c>
      <c r="AE153" s="311" t="str">
        <f>IF(全车数据表!AZ154="","",全车数据表!AZ154)</f>
        <v>传奇商店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>
        <f>IF(全车数据表!BD154="","",全车数据表!BD154)</f>
        <v>1</v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>可开合</v>
      </c>
      <c r="AX153" s="311" t="str">
        <f>IF(全车数据表!BS154="","",全车数据表!BS154)</f>
        <v/>
      </c>
      <c r="AY153" s="311">
        <f>IF(全车数据表!BT154="","",全车数据表!BT154)</f>
        <v>1</v>
      </c>
      <c r="AZ153" s="311" t="str">
        <f>IF(全车数据表!BU154="","",全车数据表!BU154)</f>
        <v>迈凯伦</v>
      </c>
      <c r="BA153" s="311">
        <f>IF(全车数据表!AV154="","",全车数据表!AV154)</f>
        <v>16</v>
      </c>
    </row>
    <row r="154" spans="1:53">
      <c r="A154" s="311">
        <f>全车数据表!A155</f>
        <v>153</v>
      </c>
      <c r="B154" s="311" t="str">
        <f>全车数据表!B155</f>
        <v>Lamborghini Aventador J</v>
      </c>
      <c r="C154" s="311" t="str">
        <f>IF(全车数据表!AQ155="","",全车数据表!AQ155)</f>
        <v>Lamborghini</v>
      </c>
      <c r="D154" s="313" t="str">
        <f>全车数据表!AT155</f>
        <v>avj</v>
      </c>
      <c r="E154" s="313" t="str">
        <f>全车数据表!AS155</f>
        <v>1.5</v>
      </c>
      <c r="F154" s="313" t="str">
        <f>全车数据表!C155</f>
        <v>AVJ</v>
      </c>
      <c r="G154" s="311" t="str">
        <f>全车数据表!D155</f>
        <v>A</v>
      </c>
      <c r="H154" s="311">
        <f>LEN(全车数据表!E155)</f>
        <v>5</v>
      </c>
      <c r="I154" s="311">
        <f>IF(全车数据表!H155="×",0,全车数据表!H155)</f>
        <v>50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51</v>
      </c>
      <c r="N154" s="311">
        <f>IF(全车数据表!M155="×",0,全车数据表!M155)</f>
        <v>0</v>
      </c>
      <c r="O154" s="311">
        <f>全车数据表!O155</f>
        <v>4133</v>
      </c>
      <c r="P154" s="311">
        <f>全车数据表!P155</f>
        <v>363.8</v>
      </c>
      <c r="Q154" s="311">
        <f>全车数据表!Q155</f>
        <v>79.83</v>
      </c>
      <c r="R154" s="311">
        <f>全车数据表!R155</f>
        <v>73.099999999999994</v>
      </c>
      <c r="S154" s="311">
        <f>全车数据表!S155</f>
        <v>77.86</v>
      </c>
      <c r="T154" s="311">
        <f>全车数据表!T155</f>
        <v>8.8320000000000007</v>
      </c>
      <c r="U154" s="311">
        <f>全车数据表!AH155</f>
        <v>7771800</v>
      </c>
      <c r="V154" s="311">
        <f>全车数据表!AO155</f>
        <v>8160000</v>
      </c>
      <c r="W154" s="311">
        <f>全车数据表!AP155</f>
        <v>15931800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3</v>
      </c>
      <c r="AA154" s="313" t="str">
        <f>全车数据表!AU155</f>
        <v>epic</v>
      </c>
      <c r="AB154" s="311">
        <f>全车数据表!AW155</f>
        <v>378</v>
      </c>
      <c r="AC154" s="311">
        <f>全车数据表!AX155</f>
        <v>0</v>
      </c>
      <c r="AD154" s="311">
        <f>全车数据表!AY155</f>
        <v>502</v>
      </c>
      <c r="AE154" s="311" t="str">
        <f>IF(全车数据表!AZ155="","",全车数据表!AZ155)</f>
        <v>传奇商店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>
        <f>IF(全车数据表!BD155="","",全车数据表!BD155)</f>
        <v>1</v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 t="str">
        <f>IF(全车数据表!BO155="","",全车数据表!BO155)</f>
        <v/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>无顶</v>
      </c>
      <c r="AX154" s="311" t="str">
        <f>IF(全车数据表!BS155="","",全车数据表!BS155)</f>
        <v/>
      </c>
      <c r="AY154" s="311">
        <f>IF(全车数据表!BT155="","",全车数据表!BT155)</f>
        <v>1</v>
      </c>
      <c r="AZ154" s="311" t="str">
        <f>IF(全车数据表!BU155="","",全车数据表!BU155)</f>
        <v>兰博基尼 埃文塔多 avj</v>
      </c>
      <c r="BA154" s="311">
        <f>IF(全车数据表!AV155="","",全车数据表!AV155)</f>
        <v>15</v>
      </c>
    </row>
    <row r="155" spans="1:53">
      <c r="A155" s="311">
        <f>全车数据表!A156</f>
        <v>154</v>
      </c>
      <c r="B155" s="311" t="str">
        <f>全车数据表!B156</f>
        <v>Peugeot Onyx</v>
      </c>
      <c r="C155" s="311" t="str">
        <f>IF(全车数据表!AQ156="","",全车数据表!AQ156)</f>
        <v>Peugeot</v>
      </c>
      <c r="D155" s="313" t="str">
        <f>全车数据表!AT156</f>
        <v>onyx</v>
      </c>
      <c r="E155" s="313" t="str">
        <f>全车数据表!AS156</f>
        <v>2.6</v>
      </c>
      <c r="F155" s="313" t="str">
        <f>全车数据表!C156</f>
        <v>标致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4145</v>
      </c>
      <c r="P155" s="311">
        <f>全车数据表!P156</f>
        <v>370.6</v>
      </c>
      <c r="Q155" s="311">
        <f>全车数据表!Q156</f>
        <v>81.93</v>
      </c>
      <c r="R155" s="311">
        <f>全车数据表!R156</f>
        <v>84.82</v>
      </c>
      <c r="S155" s="311">
        <f>全车数据表!S156</f>
        <v>59.61</v>
      </c>
      <c r="T155" s="311">
        <f>全车数据表!T156</f>
        <v>0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385</v>
      </c>
      <c r="AC155" s="311">
        <f>全车数据表!AX156</f>
        <v>0</v>
      </c>
      <c r="AD155" s="311">
        <f>全车数据表!AY156</f>
        <v>514</v>
      </c>
      <c r="AE155" s="311" t="str">
        <f>IF(全车数据表!AZ156="","",全车数据表!AZ156)</f>
        <v>惊艳亮相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>
        <f>IF(全车数据表!BH156="","",全车数据表!BH156)</f>
        <v>1</v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大狮子 标致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Pagani Zonda R🔑</v>
      </c>
      <c r="C156" s="311" t="str">
        <f>IF(全车数据表!AQ157="","",全车数据表!AQ157)</f>
        <v>Pagani</v>
      </c>
      <c r="D156" s="313" t="str">
        <f>全车数据表!AT157</f>
        <v>zondar</v>
      </c>
      <c r="E156" s="313" t="str">
        <f>全车数据表!AS157</f>
        <v>3.2</v>
      </c>
      <c r="F156" s="313" t="str">
        <f>全车数据表!C157</f>
        <v>风之子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4158</v>
      </c>
      <c r="P156" s="311">
        <f>全车数据表!P157</f>
        <v>368.3</v>
      </c>
      <c r="Q156" s="311">
        <f>全车数据表!Q157</f>
        <v>84.54</v>
      </c>
      <c r="R156" s="311">
        <f>全车数据表!R157</f>
        <v>57.29</v>
      </c>
      <c r="S156" s="311">
        <f>全车数据表!S157</f>
        <v>67.540000000000006</v>
      </c>
      <c r="T156" s="311">
        <f>全车数据表!T157</f>
        <v>6.8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383</v>
      </c>
      <c r="AC156" s="311">
        <f>全车数据表!AX157</f>
        <v>0</v>
      </c>
      <c r="AD156" s="311">
        <f>全车数据表!AY157</f>
        <v>509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帕加尼 风之子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SCG 007S🔑</v>
      </c>
      <c r="C157" s="311" t="str">
        <f>IF(全车数据表!AQ158="","",全车数据表!AQ158)</f>
        <v>SCG</v>
      </c>
      <c r="D157" s="313" t="str">
        <f>全车数据表!AT158</f>
        <v>007s</v>
      </c>
      <c r="E157" s="313" t="str">
        <f>全车数据表!AS158</f>
        <v>3.2</v>
      </c>
      <c r="F157" s="313" t="str">
        <f>全车数据表!C158</f>
        <v>007S</v>
      </c>
      <c r="G157" s="311" t="str">
        <f>全车数据表!D158</f>
        <v>A</v>
      </c>
      <c r="H157" s="311">
        <f>LEN(全车数据表!E158)</f>
        <v>6</v>
      </c>
      <c r="I157" s="311" t="str">
        <f>IF(全车数据表!H158="×",0,全车数据表!H158)</f>
        <v>🔑</v>
      </c>
      <c r="J157" s="311">
        <f>IF(全车数据表!I158="×",0,全车数据表!I158)</f>
        <v>28</v>
      </c>
      <c r="K157" s="311">
        <f>IF(全车数据表!J158="×",0,全车数据表!J158)</f>
        <v>32</v>
      </c>
      <c r="L157" s="311">
        <f>IF(全车数据表!K158="×",0,全车数据表!K158)</f>
        <v>44</v>
      </c>
      <c r="M157" s="311">
        <f>IF(全车数据表!L158="×",0,全车数据表!L158)</f>
        <v>59</v>
      </c>
      <c r="N157" s="311">
        <f>IF(全车数据表!M158="×",0,全车数据表!M158)</f>
        <v>86</v>
      </c>
      <c r="O157" s="311">
        <f>全车数据表!O158</f>
        <v>4187</v>
      </c>
      <c r="P157" s="311">
        <f>全车数据表!P158</f>
        <v>358.6</v>
      </c>
      <c r="Q157" s="311">
        <f>全车数据表!Q158</f>
        <v>89.33</v>
      </c>
      <c r="R157" s="311">
        <f>全车数据表!R158</f>
        <v>82.63</v>
      </c>
      <c r="S157" s="311">
        <f>全车数据表!S158</f>
        <v>55.24</v>
      </c>
      <c r="T157" s="311">
        <f>全车数据表!T158</f>
        <v>0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373</v>
      </c>
      <c r="AC157" s="311">
        <f>全车数据表!AX158</f>
        <v>0</v>
      </c>
      <c r="AD157" s="311">
        <f>全车数据表!AY158</f>
        <v>493</v>
      </c>
      <c r="AE157" s="311" t="str">
        <f>IF(全车数据表!AZ158="","",全车数据表!AZ158)</f>
        <v>大奖赛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>
        <f>IF(全车数据表!BN158="","",全车数据表!BN158)</f>
        <v>1</v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/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Citroen GT by Citroen</v>
      </c>
      <c r="C158" s="311" t="str">
        <f>IF(全车数据表!AQ159="","",全车数据表!AQ159)</f>
        <v>Citroen</v>
      </c>
      <c r="D158" s="313" t="str">
        <f>全车数据表!AT159</f>
        <v>citroengt</v>
      </c>
      <c r="E158" s="313" t="str">
        <f>全车数据表!AS159</f>
        <v>2.6</v>
      </c>
      <c r="F158" s="313" t="str">
        <f>全车数据表!C159</f>
        <v>雪铁龙GT</v>
      </c>
      <c r="G158" s="311" t="str">
        <f>全车数据表!D159</f>
        <v>A</v>
      </c>
      <c r="H158" s="311">
        <f>LEN(全车数据表!E159)</f>
        <v>6</v>
      </c>
      <c r="I158" s="311">
        <f>IF(全车数据表!H159="×",0,全车数据表!H159)</f>
        <v>50</v>
      </c>
      <c r="J158" s="311">
        <f>IF(全车数据表!I159="×",0,全车数据表!I159)</f>
        <v>23</v>
      </c>
      <c r="K158" s="311">
        <f>IF(全车数据表!J159="×",0,全车数据表!J159)</f>
        <v>27</v>
      </c>
      <c r="L158" s="311">
        <f>IF(全车数据表!K159="×",0,全车数据表!K159)</f>
        <v>36</v>
      </c>
      <c r="M158" s="311">
        <f>IF(全车数据表!L159="×",0,全车数据表!L159)</f>
        <v>52</v>
      </c>
      <c r="N158" s="311">
        <f>IF(全车数据表!M159="×",0,全车数据表!M159)</f>
        <v>62</v>
      </c>
      <c r="O158" s="311">
        <f>全车数据表!O159</f>
        <v>4222</v>
      </c>
      <c r="P158" s="311">
        <f>全车数据表!P159</f>
        <v>388.7</v>
      </c>
      <c r="Q158" s="311">
        <f>全车数据表!Q159</f>
        <v>76.53</v>
      </c>
      <c r="R158" s="311">
        <f>全车数据表!R159</f>
        <v>64.61</v>
      </c>
      <c r="S158" s="311">
        <f>全车数据表!S159</f>
        <v>67.2</v>
      </c>
      <c r="T158" s="311">
        <f>全车数据表!T159</f>
        <v>6.3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404</v>
      </c>
      <c r="AC158" s="311">
        <f>全车数据表!AX159</f>
        <v>0</v>
      </c>
      <c r="AD158" s="311">
        <f>全车数据表!AY159</f>
        <v>545</v>
      </c>
      <c r="AE158" s="311" t="str">
        <f>IF(全车数据表!AZ159="","",全车数据表!AZ159)</f>
        <v>联会赛事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雪铁龙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Porsche 935 (2019)🔑</v>
      </c>
      <c r="C159" s="311" t="str">
        <f>IF(全车数据表!AQ160="","",全车数据表!AQ160)</f>
        <v>Porsche</v>
      </c>
      <c r="D159" s="313" t="str">
        <f>全车数据表!AT160</f>
        <v>935</v>
      </c>
      <c r="E159" s="313" t="str">
        <f>全车数据表!AS160</f>
        <v>4.1</v>
      </c>
      <c r="F159" s="313" t="str">
        <f>全车数据表!C160</f>
        <v>935</v>
      </c>
      <c r="G159" s="311" t="str">
        <f>全车数据表!D160</f>
        <v>A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28</v>
      </c>
      <c r="K159" s="311">
        <f>IF(全车数据表!J160="×",0,全车数据表!J160)</f>
        <v>32</v>
      </c>
      <c r="L159" s="311">
        <f>IF(全车数据表!K160="×",0,全车数据表!K160)</f>
        <v>44</v>
      </c>
      <c r="M159" s="311">
        <f>IF(全车数据表!L160="×",0,全车数据表!L160)</f>
        <v>59</v>
      </c>
      <c r="N159" s="311">
        <f>IF(全车数据表!M160="×",0,全车数据表!M160)</f>
        <v>86</v>
      </c>
      <c r="O159" s="311">
        <f>全车数据表!O160</f>
        <v>4229</v>
      </c>
      <c r="P159" s="311">
        <f>全车数据表!P160</f>
        <v>352</v>
      </c>
      <c r="Q159" s="311">
        <f>全车数据表!Q160</f>
        <v>84.94</v>
      </c>
      <c r="R159" s="311">
        <f>全车数据表!R160</f>
        <v>87.96</v>
      </c>
      <c r="S159" s="311">
        <f>全车数据表!S160</f>
        <v>72.61</v>
      </c>
      <c r="T159" s="311">
        <f>全车数据表!T160</f>
        <v>7.9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366</v>
      </c>
      <c r="AC159" s="311">
        <f>全车数据表!AX160</f>
        <v>0</v>
      </c>
      <c r="AD159" s="311">
        <f>全车数据表!AY160</f>
        <v>481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保时捷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Aston Martin Victor</v>
      </c>
      <c r="C160" s="311" t="str">
        <f>IF(全车数据表!AQ161="","",全车数据表!AQ161)</f>
        <v>Aston Martin</v>
      </c>
      <c r="D160" s="313" t="str">
        <f>全车数据表!AT161</f>
        <v>victor</v>
      </c>
      <c r="E160" s="313" t="str">
        <f>全车数据表!AS161</f>
        <v>2.9</v>
      </c>
      <c r="F160" s="313" t="str">
        <f>全车数据表!C161</f>
        <v>Victor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70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59</v>
      </c>
      <c r="O160" s="311">
        <f>全车数据表!O161</f>
        <v>4255</v>
      </c>
      <c r="P160" s="311">
        <f>全车数据表!P161</f>
        <v>371.4</v>
      </c>
      <c r="Q160" s="311">
        <f>全车数据表!Q161</f>
        <v>78.33</v>
      </c>
      <c r="R160" s="311">
        <f>全车数据表!R161</f>
        <v>76.84</v>
      </c>
      <c r="S160" s="311">
        <f>全车数据表!S161</f>
        <v>69.63</v>
      </c>
      <c r="T160" s="311">
        <f>全车数据表!T161</f>
        <v>6.8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通行证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>
        <f>IF(全车数据表!BG161="","",全车数据表!BG161)</f>
        <v>1</v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阿斯顿马丁 维克多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Porsche 911 GT2 RS ClubSport🔑</v>
      </c>
      <c r="C161" s="311" t="str">
        <f>IF(全车数据表!AQ162="","",全车数据表!AQ162)</f>
        <v>Porsche</v>
      </c>
      <c r="D161" s="313" t="str">
        <f>全车数据表!AT162</f>
        <v>911gt2</v>
      </c>
      <c r="E161" s="313" t="str">
        <f>全车数据表!AS162</f>
        <v>2.1</v>
      </c>
      <c r="F161" s="313" t="str">
        <f>全车数据表!C162</f>
        <v>911GT2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4270</v>
      </c>
      <c r="P161" s="311">
        <f>全车数据表!P162</f>
        <v>356.9</v>
      </c>
      <c r="Q161" s="311">
        <f>全车数据表!Q162</f>
        <v>83.64</v>
      </c>
      <c r="R161" s="311">
        <f>全车数据表!R162</f>
        <v>85.42</v>
      </c>
      <c r="S161" s="311">
        <f>全车数据表!S162</f>
        <v>73.650000000000006</v>
      </c>
      <c r="T161" s="311">
        <f>全车数据表!T162</f>
        <v>8.08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371</v>
      </c>
      <c r="AC161" s="311">
        <f>全车数据表!AX162</f>
        <v>0</v>
      </c>
      <c r="AD161" s="311">
        <f>全车数据表!AY162</f>
        <v>490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保时捷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Pagani Huayra BC</v>
      </c>
      <c r="C162" s="311" t="str">
        <f>IF(全车数据表!AQ163="","",全车数据表!AQ163)</f>
        <v>Pagani</v>
      </c>
      <c r="D162" s="313" t="str">
        <f>全车数据表!AT163</f>
        <v>bc</v>
      </c>
      <c r="E162" s="313" t="str">
        <f>全车数据表!AS163</f>
        <v>1.0</v>
      </c>
      <c r="F162" s="313" t="str">
        <f>全车数据表!C163</f>
        <v>BC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12</v>
      </c>
      <c r="K162" s="311">
        <f>IF(全车数据表!J163="×",0,全车数据表!J163)</f>
        <v>15</v>
      </c>
      <c r="L162" s="311">
        <f>IF(全车数据表!K163="×",0,全车数据表!K163)</f>
        <v>24</v>
      </c>
      <c r="M162" s="311">
        <f>IF(全车数据表!L163="×",0,全车数据表!L163)</f>
        <v>37</v>
      </c>
      <c r="N162" s="311">
        <f>IF(全车数据表!M163="×",0,全车数据表!M163)</f>
        <v>45</v>
      </c>
      <c r="O162" s="311">
        <f>全车数据表!O163</f>
        <v>4274</v>
      </c>
      <c r="P162" s="311">
        <f>全车数据表!P163</f>
        <v>365.4</v>
      </c>
      <c r="Q162" s="311">
        <f>全车数据表!Q163</f>
        <v>80.040000000000006</v>
      </c>
      <c r="R162" s="311">
        <f>全车数据表!R163</f>
        <v>63.11</v>
      </c>
      <c r="S162" s="311">
        <f>全车数据表!S163</f>
        <v>86.75</v>
      </c>
      <c r="T162" s="311">
        <f>全车数据表!T163</f>
        <v>11.832000000000001</v>
      </c>
      <c r="U162" s="311">
        <f>全车数据表!AH163</f>
        <v>6375160</v>
      </c>
      <c r="V162" s="311">
        <f>全车数据表!AO163</f>
        <v>6400000</v>
      </c>
      <c r="W162" s="311">
        <f>全车数据表!AP163</f>
        <v>12775160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380</v>
      </c>
      <c r="AC162" s="311">
        <f>全车数据表!AX163</f>
        <v>0</v>
      </c>
      <c r="AD162" s="311">
        <f>全车数据表!AY163</f>
        <v>504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帕加尼 风神</v>
      </c>
      <c r="BA162" s="311">
        <f>IF(全车数据表!AV163="","",全车数据表!AV163)</f>
        <v>17</v>
      </c>
    </row>
    <row r="163" spans="1:53">
      <c r="A163" s="311">
        <f>全车数据表!A164</f>
        <v>162</v>
      </c>
      <c r="B163" s="311" t="str">
        <f>全车数据表!B164</f>
        <v>McLaren 650S GT3</v>
      </c>
      <c r="C163" s="311" t="str">
        <f>IF(全车数据表!AQ164="","",全车数据表!AQ164)</f>
        <v>McLaren</v>
      </c>
      <c r="D163" s="313" t="str">
        <f>全车数据表!AT164</f>
        <v>650s</v>
      </c>
      <c r="E163" s="313" t="str">
        <f>全车数据表!AS164</f>
        <v>3.8</v>
      </c>
      <c r="F163" s="313" t="str">
        <f>全车数据表!C164</f>
        <v>650S</v>
      </c>
      <c r="G163" s="311" t="str">
        <f>全车数据表!D164</f>
        <v>A</v>
      </c>
      <c r="H163" s="311">
        <f>LEN(全车数据表!E164)</f>
        <v>6</v>
      </c>
      <c r="I163" s="311">
        <f>IF(全车数据表!H164="×",0,全车数据表!H164)</f>
        <v>70</v>
      </c>
      <c r="J163" s="311">
        <f>IF(全车数据表!I164="×",0,全车数据表!I164)</f>
        <v>23</v>
      </c>
      <c r="K163" s="311">
        <f>IF(全车数据表!J164="×",0,全车数据表!J164)</f>
        <v>27</v>
      </c>
      <c r="L163" s="311">
        <f>IF(全车数据表!K164="×",0,全车数据表!K164)</f>
        <v>36</v>
      </c>
      <c r="M163" s="311">
        <f>IF(全车数据表!L164="×",0,全车数据表!L164)</f>
        <v>52</v>
      </c>
      <c r="N163" s="311">
        <f>IF(全车数据表!M164="×",0,全车数据表!M164)</f>
        <v>59</v>
      </c>
      <c r="O163" s="311">
        <f>全车数据表!O164</f>
        <v>4279</v>
      </c>
      <c r="P163" s="311">
        <f>全车数据表!P164</f>
        <v>357</v>
      </c>
      <c r="Q163" s="311">
        <f>全车数据表!Q164</f>
        <v>84.34</v>
      </c>
      <c r="R163" s="311">
        <f>全车数据表!R164</f>
        <v>85.82</v>
      </c>
      <c r="S163" s="311">
        <f>全车数据表!S164</f>
        <v>78.22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371</v>
      </c>
      <c r="AC163" s="311">
        <f>全车数据表!AX164</f>
        <v>0</v>
      </c>
      <c r="AD163" s="311">
        <f>全车数据表!AY164</f>
        <v>490</v>
      </c>
      <c r="AE163" s="311" t="str">
        <f>IF(全车数据表!AZ164="","",全车数据表!AZ164)</f>
        <v>Clash商店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迈凯伦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SC18🔑</v>
      </c>
      <c r="C164" s="311" t="str">
        <f>IF(全车数据表!AQ165="","",全车数据表!AQ165)</f>
        <v>Lamborghini</v>
      </c>
      <c r="D164" s="313" t="str">
        <f>全车数据表!AT165</f>
        <v>sc18</v>
      </c>
      <c r="E164" s="313" t="str">
        <f>全车数据表!AS165</f>
        <v>2.2</v>
      </c>
      <c r="F164" s="313" t="str">
        <f>全车数据表!C165</f>
        <v>SC18</v>
      </c>
      <c r="G164" s="311" t="str">
        <f>全车数据表!D165</f>
        <v>A</v>
      </c>
      <c r="H164" s="311">
        <f>LEN(全车数据表!E165)</f>
        <v>6</v>
      </c>
      <c r="I164" s="311" t="str">
        <f>IF(全车数据表!H165="×",0,全车数据表!H165)</f>
        <v>🔑</v>
      </c>
      <c r="J164" s="311">
        <f>IF(全车数据表!I165="×",0,全车数据表!I165)</f>
        <v>28</v>
      </c>
      <c r="K164" s="311">
        <f>IF(全车数据表!J165="×",0,全车数据表!J165)</f>
        <v>32</v>
      </c>
      <c r="L164" s="311">
        <f>IF(全车数据表!K165="×",0,全车数据表!K165)</f>
        <v>44</v>
      </c>
      <c r="M164" s="311">
        <f>IF(全车数据表!L165="×",0,全车数据表!L165)</f>
        <v>59</v>
      </c>
      <c r="N164" s="311">
        <f>IF(全车数据表!M165="×",0,全车数据表!M165)</f>
        <v>86</v>
      </c>
      <c r="O164" s="311">
        <f>全车数据表!O165</f>
        <v>4284</v>
      </c>
      <c r="P164" s="311">
        <f>全车数据表!P165</f>
        <v>362.1</v>
      </c>
      <c r="Q164" s="311">
        <f>全车数据表!Q165</f>
        <v>82.03</v>
      </c>
      <c r="R164" s="311">
        <f>全车数据表!R165</f>
        <v>64</v>
      </c>
      <c r="S164" s="311">
        <f>全车数据表!S165</f>
        <v>82.48</v>
      </c>
      <c r="T164" s="311">
        <f>全车数据表!T165</f>
        <v>10.35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376</v>
      </c>
      <c r="AC164" s="311">
        <f>全车数据表!AX165</f>
        <v>0</v>
      </c>
      <c r="AD164" s="311">
        <f>全车数据表!AY165</f>
        <v>499</v>
      </c>
      <c r="AE164" s="311" t="str">
        <f>IF(全车数据表!AZ165="","",全车数据表!AZ165)</f>
        <v>大奖赛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>
        <f>IF(全车数据表!BN165="","",全车数据表!BN165)</f>
        <v>1</v>
      </c>
      <c r="AT164" s="311">
        <f>IF(全车数据表!BO165="","",全车数据表!BO165)</f>
        <v>1</v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兰博基尼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Ferrari LaFerrari Aperta</v>
      </c>
      <c r="C165" s="311" t="str">
        <f>IF(全车数据表!AQ166="","",全车数据表!AQ166)</f>
        <v>Ferrari</v>
      </c>
      <c r="D165" s="313" t="str">
        <f>全车数据表!AT166</f>
        <v>aperta</v>
      </c>
      <c r="E165" s="313" t="str">
        <f>全车数据表!AS166</f>
        <v>1.6</v>
      </c>
      <c r="F165" s="313" t="str">
        <f>全车数据表!C166</f>
        <v>黑拉法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62</v>
      </c>
      <c r="O165" s="311">
        <f>全车数据表!O166</f>
        <v>4291</v>
      </c>
      <c r="P165" s="311">
        <f>全车数据表!P166</f>
        <v>366.2</v>
      </c>
      <c r="Q165" s="311">
        <f>全车数据表!Q166</f>
        <v>81.03</v>
      </c>
      <c r="R165" s="311">
        <f>全车数据表!R166</f>
        <v>82.48</v>
      </c>
      <c r="S165" s="311">
        <f>全车数据表!S166</f>
        <v>70.099999999999994</v>
      </c>
      <c r="T165" s="311">
        <f>全车数据表!T166</f>
        <v>7.2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381</v>
      </c>
      <c r="AC165" s="311">
        <f>全车数据表!AX166</f>
        <v>0</v>
      </c>
      <c r="AD165" s="311">
        <f>全车数据表!AY166</f>
        <v>506</v>
      </c>
      <c r="AE165" s="311" t="str">
        <f>IF(全车数据表!AZ166="","",全车数据表!AZ166)</f>
        <v>传奇商店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>无顶</v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法拉利 黑拉法 敞篷拉法</v>
      </c>
      <c r="BA165" s="311">
        <f>IF(全车数据表!AV166="","",全车数据表!AV166)</f>
        <v>17</v>
      </c>
    </row>
    <row r="166" spans="1:53">
      <c r="A166" s="311">
        <f>全车数据表!A167</f>
        <v>165</v>
      </c>
      <c r="B166" s="311" t="str">
        <f>全车数据表!B167</f>
        <v>Ferrari F8 Tributo</v>
      </c>
      <c r="C166" s="311" t="str">
        <f>IF(全车数据表!AQ167="","",全车数据表!AQ167)</f>
        <v>Ferrari</v>
      </c>
      <c r="D166" s="313" t="str">
        <f>全车数据表!AT167</f>
        <v>f8</v>
      </c>
      <c r="E166" s="313" t="str">
        <f>全车数据表!AS167</f>
        <v>2.5</v>
      </c>
      <c r="F166" s="313" t="str">
        <f>全车数据表!C167</f>
        <v>F8</v>
      </c>
      <c r="G166" s="311" t="str">
        <f>全车数据表!D167</f>
        <v>A</v>
      </c>
      <c r="H166" s="311">
        <f>LEN(全车数据表!E167)</f>
        <v>6</v>
      </c>
      <c r="I166" s="311">
        <f>IF(全车数据表!H167="×",0,全车数据表!H167)</f>
        <v>50</v>
      </c>
      <c r="J166" s="311">
        <f>IF(全车数据表!I167="×",0,全车数据表!I167)</f>
        <v>23</v>
      </c>
      <c r="K166" s="311">
        <f>IF(全车数据表!J167="×",0,全车数据表!J167)</f>
        <v>27</v>
      </c>
      <c r="L166" s="311">
        <f>IF(全车数据表!K167="×",0,全车数据表!K167)</f>
        <v>36</v>
      </c>
      <c r="M166" s="311">
        <f>IF(全车数据表!L167="×",0,全车数据表!L167)</f>
        <v>52</v>
      </c>
      <c r="N166" s="311">
        <f>IF(全车数据表!M167="×",0,全车数据表!M167)</f>
        <v>62</v>
      </c>
      <c r="O166" s="311">
        <f>全车数据表!O167</f>
        <v>4305</v>
      </c>
      <c r="P166" s="311">
        <f>全车数据表!P167</f>
        <v>360.2</v>
      </c>
      <c r="Q166" s="311">
        <f>全车数据表!Q167</f>
        <v>83.14</v>
      </c>
      <c r="R166" s="311">
        <f>全车数据表!R167</f>
        <v>94.22</v>
      </c>
      <c r="S166" s="311">
        <f>全车数据表!S167</f>
        <v>69.790000000000006</v>
      </c>
      <c r="T166" s="311">
        <f>全车数据表!T167</f>
        <v>0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375</v>
      </c>
      <c r="AC166" s="311">
        <f>全车数据表!AX167</f>
        <v>0</v>
      </c>
      <c r="AD166" s="311">
        <f>全车数据表!AY167</f>
        <v>496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法拉利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Lamborghini SC20🔑</v>
      </c>
      <c r="C167" s="311" t="str">
        <f>IF(全车数据表!AQ168="","",全车数据表!AQ168)</f>
        <v>Lamborghini</v>
      </c>
      <c r="D167" s="313" t="str">
        <f>全车数据表!AT168</f>
        <v>sc20</v>
      </c>
      <c r="E167" s="313" t="str">
        <f>全车数据表!AS168</f>
        <v>3.0</v>
      </c>
      <c r="F167" s="313" t="str">
        <f>全车数据表!C168</f>
        <v>SC20</v>
      </c>
      <c r="G167" s="311" t="str">
        <f>全车数据表!D168</f>
        <v>A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28</v>
      </c>
      <c r="K167" s="311">
        <f>IF(全车数据表!J168="×",0,全车数据表!J168)</f>
        <v>32</v>
      </c>
      <c r="L167" s="311">
        <f>IF(全车数据表!K168="×",0,全车数据表!K168)</f>
        <v>44</v>
      </c>
      <c r="M167" s="311">
        <f>IF(全车数据表!L168="×",0,全车数据表!L168)</f>
        <v>59</v>
      </c>
      <c r="N167" s="311">
        <f>IF(全车数据表!M168="×",0,全车数据表!M168)</f>
        <v>86</v>
      </c>
      <c r="O167" s="311">
        <f>全车数据表!O168</f>
        <v>4307</v>
      </c>
      <c r="P167" s="311">
        <f>全车数据表!P168</f>
        <v>370.7</v>
      </c>
      <c r="Q167" s="311">
        <f>全车数据表!Q168</f>
        <v>81.900000000000006</v>
      </c>
      <c r="R167" s="311">
        <f>全车数据表!R168</f>
        <v>72.510000000000005</v>
      </c>
      <c r="S167" s="311">
        <f>全车数据表!S168</f>
        <v>68.900000000000006</v>
      </c>
      <c r="T167" s="311">
        <f>全车数据表!T168</f>
        <v>0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385</v>
      </c>
      <c r="AC167" s="311">
        <f>全车数据表!AX168</f>
        <v>0</v>
      </c>
      <c r="AD167" s="311">
        <f>全车数据表!AY168</f>
        <v>514</v>
      </c>
      <c r="AE167" s="311" t="str">
        <f>IF(全车数据表!AZ168="","",全车数据表!AZ168)</f>
        <v>大奖赛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>
        <f>IF(全车数据表!BL168="","",全车数据表!BL168)</f>
        <v>1</v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兰博基尼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Genty Akylone</v>
      </c>
      <c r="C168" s="311" t="str">
        <f>IF(全车数据表!AQ169="","",全车数据表!AQ169)</f>
        <v>Genty</v>
      </c>
      <c r="D168" s="313" t="str">
        <f>全车数据表!AT169</f>
        <v>akylone</v>
      </c>
      <c r="E168" s="313" t="str">
        <f>全车数据表!AS169</f>
        <v>1.2</v>
      </c>
      <c r="F168" s="313" t="str">
        <f>全车数据表!C169</f>
        <v>AKL</v>
      </c>
      <c r="G168" s="311" t="str">
        <f>全车数据表!D169</f>
        <v>A</v>
      </c>
      <c r="H168" s="311">
        <f>LEN(全车数据表!E169)</f>
        <v>6</v>
      </c>
      <c r="I168" s="311">
        <f>IF(全车数据表!H169="×",0,全车数据表!H169)</f>
        <v>50</v>
      </c>
      <c r="J168" s="311">
        <f>IF(全车数据表!I169="×",0,全车数据表!I169)</f>
        <v>23</v>
      </c>
      <c r="K168" s="311">
        <f>IF(全车数据表!J169="×",0,全车数据表!J169)</f>
        <v>27</v>
      </c>
      <c r="L168" s="311">
        <f>IF(全车数据表!K169="×",0,全车数据表!K169)</f>
        <v>36</v>
      </c>
      <c r="M168" s="311">
        <f>IF(全车数据表!L169="×",0,全车数据表!L169)</f>
        <v>52</v>
      </c>
      <c r="N168" s="311">
        <f>IF(全车数据表!M169="×",0,全车数据表!M169)</f>
        <v>62</v>
      </c>
      <c r="O168" s="311">
        <f>全车数据表!O169</f>
        <v>4310</v>
      </c>
      <c r="P168" s="311">
        <f>全车数据表!P169</f>
        <v>371.7</v>
      </c>
      <c r="Q168" s="311">
        <f>全车数据表!Q169</f>
        <v>82.93</v>
      </c>
      <c r="R168" s="311">
        <f>全车数据表!R169</f>
        <v>67.81</v>
      </c>
      <c r="S168" s="311">
        <f>全车数据表!S169</f>
        <v>70.349999999999994</v>
      </c>
      <c r="T168" s="311">
        <f>全车数据表!T169</f>
        <v>7.15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386</v>
      </c>
      <c r="AC168" s="311">
        <f>全车数据表!AX169</f>
        <v>0</v>
      </c>
      <c r="AD168" s="311">
        <f>全车数据表!AY169</f>
        <v>515</v>
      </c>
      <c r="AE168" s="311" t="str">
        <f>IF(全车数据表!AZ169="","",全车数据表!AZ169)</f>
        <v>传奇商店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阿卡龙</v>
      </c>
      <c r="BA168" s="311">
        <f>IF(全车数据表!AV169="","",全车数据表!AV169)</f>
        <v>18</v>
      </c>
    </row>
    <row r="169" spans="1:53">
      <c r="A169" s="311">
        <f>全车数据表!A170</f>
        <v>168</v>
      </c>
      <c r="B169" s="311" t="str">
        <f>全车数据表!B170</f>
        <v>TechRules AT96 Track Version🔑</v>
      </c>
      <c r="C169" s="311" t="str">
        <f>IF(全车数据表!AQ170="","",全车数据表!AQ170)</f>
        <v>TechRules</v>
      </c>
      <c r="D169" s="313" t="str">
        <f>全车数据表!AT170</f>
        <v>at96</v>
      </c>
      <c r="E169" s="313" t="str">
        <f>全车数据表!AS170</f>
        <v>1.9</v>
      </c>
      <c r="F169" s="313" t="str">
        <f>全车数据表!C170</f>
        <v>腾风</v>
      </c>
      <c r="G169" s="311" t="str">
        <f>全车数据表!D170</f>
        <v>A</v>
      </c>
      <c r="H169" s="311">
        <f>LEN(全车数据表!E170)</f>
        <v>6</v>
      </c>
      <c r="I169" s="311" t="str">
        <f>IF(全车数据表!H170="×",0,全车数据表!H170)</f>
        <v>🔑</v>
      </c>
      <c r="J169" s="311">
        <f>IF(全车数据表!I170="×",0,全车数据表!I170)</f>
        <v>30</v>
      </c>
      <c r="K169" s="311">
        <f>IF(全车数据表!J170="×",0,全车数据表!J170)</f>
        <v>40</v>
      </c>
      <c r="L169" s="311">
        <f>IF(全车数据表!K170="×",0,全车数据表!K170)</f>
        <v>50</v>
      </c>
      <c r="M169" s="311">
        <f>IF(全车数据表!L170="×",0,全车数据表!L170)</f>
        <v>65</v>
      </c>
      <c r="N169" s="311">
        <f>IF(全车数据表!M170="×",0,全车数据表!M170)</f>
        <v>80</v>
      </c>
      <c r="O169" s="311">
        <f>全车数据表!O170</f>
        <v>4444</v>
      </c>
      <c r="P169" s="311">
        <f>全车数据表!P170</f>
        <v>364.6</v>
      </c>
      <c r="Q169" s="311">
        <f>全车数据表!Q170</f>
        <v>85.53</v>
      </c>
      <c r="R169" s="311">
        <f>全车数据表!R170</f>
        <v>75.739999999999995</v>
      </c>
      <c r="S169" s="311">
        <f>全车数据表!S170</f>
        <v>69.650000000000006</v>
      </c>
      <c r="T169" s="311">
        <f>全车数据表!T170</f>
        <v>7.13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379</v>
      </c>
      <c r="AC169" s="311">
        <f>全车数据表!AX170</f>
        <v>0</v>
      </c>
      <c r="AD169" s="311">
        <f>全车数据表!AY170</f>
        <v>503</v>
      </c>
      <c r="AE169" s="311" t="str">
        <f>IF(全车数据表!AZ170="","",全车数据表!AZ170)</f>
        <v>大奖赛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>
        <f>IF(全车数据表!BL170="","",全车数据表!BL170)</f>
        <v>1</v>
      </c>
      <c r="AR169" s="311" t="str">
        <f>IF(全车数据表!BM170="","",全车数据表!BM170)</f>
        <v/>
      </c>
      <c r="AS169" s="311">
        <f>IF(全车数据表!BN170="","",全车数据表!BN170)</f>
        <v>1</v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泰克鲁斯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Noble M600 Speedster</v>
      </c>
      <c r="C170" s="311" t="str">
        <f>IF(全车数据表!AQ171="","",全车数据表!AQ171)</f>
        <v>Noble</v>
      </c>
      <c r="D170" s="313" t="str">
        <f>全车数据表!AT171</f>
        <v>m600</v>
      </c>
      <c r="E170" s="313" t="str">
        <f>全车数据表!AS171</f>
        <v>4.2</v>
      </c>
      <c r="F170" s="313" t="str">
        <f>全车数据表!C171</f>
        <v>M600</v>
      </c>
      <c r="G170" s="311" t="str">
        <f>全车数据表!D171</f>
        <v>A</v>
      </c>
      <c r="H170" s="311">
        <f>LEN(全车数据表!E171)</f>
        <v>6</v>
      </c>
      <c r="I170" s="311">
        <f>IF(全车数据表!H171="×",0,全车数据表!H171)</f>
        <v>70</v>
      </c>
      <c r="J170" s="311">
        <f>IF(全车数据表!I171="×",0,全车数据表!I171)</f>
        <v>23</v>
      </c>
      <c r="K170" s="311">
        <f>IF(全车数据表!J171="×",0,全车数据表!J171)</f>
        <v>27</v>
      </c>
      <c r="L170" s="311">
        <f>IF(全车数据表!K171="×",0,全车数据表!K171)</f>
        <v>36</v>
      </c>
      <c r="M170" s="311">
        <f>IF(全车数据表!L171="×",0,全车数据表!L171)</f>
        <v>52</v>
      </c>
      <c r="N170" s="311">
        <f>IF(全车数据表!M171="×",0,全车数据表!M171)</f>
        <v>59</v>
      </c>
      <c r="O170" s="311">
        <f>全车数据表!O171</f>
        <v>4464</v>
      </c>
      <c r="P170" s="311">
        <f>全车数据表!P171</f>
        <v>375.7</v>
      </c>
      <c r="Q170" s="311">
        <f>全车数据表!Q171</f>
        <v>81.3</v>
      </c>
      <c r="R170" s="311">
        <f>全车数据表!R171</f>
        <v>85.47</v>
      </c>
      <c r="S170" s="311">
        <f>全车数据表!S171</f>
        <v>61.71</v>
      </c>
      <c r="T170" s="311">
        <f>全车数据表!T171</f>
        <v>0</v>
      </c>
      <c r="U170" s="311">
        <f>全车数据表!AH171</f>
        <v>19407600</v>
      </c>
      <c r="V170" s="311">
        <f>全车数据表!AO171</f>
        <v>12800000</v>
      </c>
      <c r="W170" s="311">
        <f>全车数据表!AP171</f>
        <v>32207600</v>
      </c>
      <c r="X170" s="311">
        <f>全车数据表!AJ171</f>
        <v>6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390</v>
      </c>
      <c r="AC170" s="311">
        <f>全车数据表!AX171</f>
        <v>0</v>
      </c>
      <c r="AD170" s="311">
        <f>全车数据表!AY171</f>
        <v>522</v>
      </c>
      <c r="AE170" s="311" t="str">
        <f>IF(全车数据表!AZ171="","",全车数据表!AZ171)</f>
        <v>联会赛事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诺贝尔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Rimac Concept_One</v>
      </c>
      <c r="C171" s="311" t="str">
        <f>IF(全车数据表!AQ172="","",全车数据表!AQ172)</f>
        <v>Rimac</v>
      </c>
      <c r="D171" s="313" t="str">
        <f>全车数据表!AT172</f>
        <v>c1</v>
      </c>
      <c r="E171" s="313" t="str">
        <f>全车数据表!AS172</f>
        <v>3.1</v>
      </c>
      <c r="F171" s="313" t="str">
        <f>全车数据表!C172</f>
        <v>C_One</v>
      </c>
      <c r="G171" s="311" t="str">
        <f>全车数据表!D172</f>
        <v>A</v>
      </c>
      <c r="H171" s="311">
        <f>LEN(全车数据表!E172)</f>
        <v>6</v>
      </c>
      <c r="I171" s="311">
        <f>IF(全车数据表!H172="×",0,全车数据表!H172)</f>
        <v>70</v>
      </c>
      <c r="J171" s="311">
        <f>IF(全车数据表!I172="×",0,全车数据表!I172)</f>
        <v>23</v>
      </c>
      <c r="K171" s="311">
        <f>IF(全车数据表!J172="×",0,全车数据表!J172)</f>
        <v>27</v>
      </c>
      <c r="L171" s="311">
        <f>IF(全车数据表!K172="×",0,全车数据表!K172)</f>
        <v>36</v>
      </c>
      <c r="M171" s="311">
        <f>IF(全车数据表!L172="×",0,全车数据表!L172)</f>
        <v>52</v>
      </c>
      <c r="N171" s="311">
        <f>IF(全车数据表!M172="×",0,全车数据表!M172)</f>
        <v>59</v>
      </c>
      <c r="O171" s="311">
        <f>全车数据表!O172</f>
        <v>4480</v>
      </c>
      <c r="P171" s="311">
        <f>全车数据表!P172</f>
        <v>368.5</v>
      </c>
      <c r="Q171" s="311">
        <f>全车数据表!Q172</f>
        <v>86.34</v>
      </c>
      <c r="R171" s="311">
        <f>全车数据表!R172</f>
        <v>84.08</v>
      </c>
      <c r="S171" s="311">
        <f>全车数据表!S172</f>
        <v>54.53</v>
      </c>
      <c r="T171" s="311">
        <f>全车数据表!T172</f>
        <v>5.23</v>
      </c>
      <c r="U171" s="311">
        <f>全车数据表!AH172</f>
        <v>19407600</v>
      </c>
      <c r="V171" s="311">
        <f>全车数据表!AO172</f>
        <v>12800000</v>
      </c>
      <c r="W171" s="311">
        <f>全车数据表!AP172</f>
        <v>32207600</v>
      </c>
      <c r="X171" s="311">
        <f>全车数据表!AJ172</f>
        <v>6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383</v>
      </c>
      <c r="AC171" s="311">
        <f>全车数据表!AX172</f>
        <v>0</v>
      </c>
      <c r="AD171" s="311">
        <f>全车数据表!AY172</f>
        <v>510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c1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Aston Martin Valhalla Concept Car</v>
      </c>
      <c r="C172" s="311" t="str">
        <f>IF(全车数据表!AQ173="","",全车数据表!AQ173)</f>
        <v>Aston Martin</v>
      </c>
      <c r="D172" s="313" t="str">
        <f>全车数据表!AT173</f>
        <v>valhalla</v>
      </c>
      <c r="E172" s="313" t="str">
        <f>全车数据表!AS173</f>
        <v>2.4</v>
      </c>
      <c r="F172" s="313" t="str">
        <f>全车数据表!C173</f>
        <v>英灵殿</v>
      </c>
      <c r="G172" s="311" t="str">
        <f>全车数据表!D173</f>
        <v>A</v>
      </c>
      <c r="H172" s="311">
        <f>LEN(全车数据表!E173)</f>
        <v>6</v>
      </c>
      <c r="I172" s="311">
        <f>IF(全车数据表!H173="×",0,全车数据表!H173)</f>
        <v>50</v>
      </c>
      <c r="J172" s="311">
        <f>IF(全车数据表!I173="×",0,全车数据表!I173)</f>
        <v>23</v>
      </c>
      <c r="K172" s="311">
        <f>IF(全车数据表!J173="×",0,全车数据表!J173)</f>
        <v>27</v>
      </c>
      <c r="L172" s="311">
        <f>IF(全车数据表!K173="×",0,全车数据表!K173)</f>
        <v>36</v>
      </c>
      <c r="M172" s="311">
        <f>IF(全车数据表!L173="×",0,全车数据表!L173)</f>
        <v>52</v>
      </c>
      <c r="N172" s="311">
        <f>IF(全车数据表!M173="×",0,全车数据表!M173)</f>
        <v>77</v>
      </c>
      <c r="O172" s="311">
        <f>全车数据表!O173</f>
        <v>4517</v>
      </c>
      <c r="P172" s="311">
        <f>全车数据表!P173</f>
        <v>377.4</v>
      </c>
      <c r="Q172" s="311">
        <f>全车数据表!Q173</f>
        <v>82.23</v>
      </c>
      <c r="R172" s="311">
        <f>全车数据表!R173</f>
        <v>81.760000000000005</v>
      </c>
      <c r="S172" s="311">
        <f>全车数据表!S173</f>
        <v>59.55</v>
      </c>
      <c r="T172" s="311">
        <f>全车数据表!T173</f>
        <v>5.68</v>
      </c>
      <c r="U172" s="311">
        <f>全车数据表!AH173</f>
        <v>19407600</v>
      </c>
      <c r="V172" s="311">
        <f>全车数据表!AO173</f>
        <v>12800000</v>
      </c>
      <c r="W172" s="311">
        <f>全车数据表!AP173</f>
        <v>32207600</v>
      </c>
      <c r="X172" s="311">
        <f>全车数据表!AJ173</f>
        <v>6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392</v>
      </c>
      <c r="AC172" s="311">
        <f>全车数据表!AX173</f>
        <v>0</v>
      </c>
      <c r="AD172" s="311">
        <f>全车数据表!AY173</f>
        <v>525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阿斯顿马丁 英灵殿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Pagani Imola</v>
      </c>
      <c r="C173" s="311" t="str">
        <f>IF(全车数据表!AQ174="","",全车数据表!AQ174)</f>
        <v>Pagani</v>
      </c>
      <c r="D173" s="313" t="str">
        <f>全车数据表!AT174</f>
        <v>imola</v>
      </c>
      <c r="E173" s="313" t="str">
        <f>全车数据表!AS174</f>
        <v>2.8</v>
      </c>
      <c r="F173" s="313" t="str">
        <f>全车数据表!C174</f>
        <v>伊莫拉</v>
      </c>
      <c r="G173" s="311" t="str">
        <f>全车数据表!D174</f>
        <v>A</v>
      </c>
      <c r="H173" s="311">
        <f>LEN(全车数据表!E174)</f>
        <v>6</v>
      </c>
      <c r="I173" s="311">
        <f>IF(全车数据表!H174="×",0,全车数据表!H174)</f>
        <v>70</v>
      </c>
      <c r="J173" s="311">
        <f>IF(全车数据表!I174="×",0,全车数据表!I174)</f>
        <v>23</v>
      </c>
      <c r="K173" s="311">
        <f>IF(全车数据表!J174="×",0,全车数据表!J174)</f>
        <v>27</v>
      </c>
      <c r="L173" s="311">
        <f>IF(全车数据表!K174="×",0,全车数据表!K174)</f>
        <v>36</v>
      </c>
      <c r="M173" s="311">
        <f>IF(全车数据表!L174="×",0,全车数据表!L174)</f>
        <v>52</v>
      </c>
      <c r="N173" s="311">
        <f>IF(全车数据表!M174="×",0,全车数据表!M174)</f>
        <v>59</v>
      </c>
      <c r="O173" s="311">
        <f>全车数据表!O174</f>
        <v>4545</v>
      </c>
      <c r="P173" s="311">
        <f>全车数据表!P174</f>
        <v>378.9</v>
      </c>
      <c r="Q173" s="311">
        <f>全车数据表!Q174</f>
        <v>80.23</v>
      </c>
      <c r="R173" s="311">
        <f>全车数据表!R174</f>
        <v>72.17</v>
      </c>
      <c r="S173" s="311">
        <f>全车数据表!S174</f>
        <v>71.14</v>
      </c>
      <c r="T173" s="311">
        <f>全车数据表!T174</f>
        <v>6.98</v>
      </c>
      <c r="U173" s="311">
        <f>全车数据表!AH174</f>
        <v>19407600</v>
      </c>
      <c r="V173" s="311">
        <f>全车数据表!AO174</f>
        <v>12800000</v>
      </c>
      <c r="W173" s="311">
        <f>全车数据表!AP174</f>
        <v>32207600</v>
      </c>
      <c r="X173" s="311">
        <f>全车数据表!AJ174</f>
        <v>6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394</v>
      </c>
      <c r="AC173" s="311">
        <f>全车数据表!AX174</f>
        <v>0</v>
      </c>
      <c r="AD173" s="311">
        <f>全车数据表!AY174</f>
        <v>528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帕加尼</v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Jaguar XJR-9🔑</v>
      </c>
      <c r="C174" s="311" t="str">
        <f>IF(全车数据表!AQ175="","",全车数据表!AQ175)</f>
        <v>Jaguar</v>
      </c>
      <c r="D174" s="313" t="str">
        <f>全车数据表!AT175</f>
        <v>xjr</v>
      </c>
      <c r="E174" s="313" t="str">
        <f>全车数据表!AS175</f>
        <v>4.0</v>
      </c>
      <c r="F174" s="313" t="str">
        <f>全车数据表!C175</f>
        <v>XJR</v>
      </c>
      <c r="G174" s="311" t="str">
        <f>全车数据表!D175</f>
        <v>A</v>
      </c>
      <c r="H174" s="311">
        <f>LEN(全车数据表!E175)</f>
        <v>6</v>
      </c>
      <c r="I174" s="311" t="str">
        <f>IF(全车数据表!H175="×",0,全车数据表!H175)</f>
        <v>🔑</v>
      </c>
      <c r="J174" s="311">
        <f>IF(全车数据表!I175="×",0,全车数据表!I175)</f>
        <v>30</v>
      </c>
      <c r="K174" s="311">
        <f>IF(全车数据表!J175="×",0,全车数据表!J175)</f>
        <v>40</v>
      </c>
      <c r="L174" s="311">
        <f>IF(全车数据表!K175="×",0,全车数据表!K175)</f>
        <v>50</v>
      </c>
      <c r="M174" s="311">
        <f>IF(全车数据表!L175="×",0,全车数据表!L175)</f>
        <v>65</v>
      </c>
      <c r="N174" s="311">
        <f>IF(全车数据表!M175="×",0,全车数据表!M175)</f>
        <v>80</v>
      </c>
      <c r="O174" s="311">
        <f>全车数据表!O175</f>
        <v>4551</v>
      </c>
      <c r="P174" s="311">
        <f>全车数据表!P175</f>
        <v>412.3</v>
      </c>
      <c r="Q174" s="311">
        <f>全车数据表!Q175</f>
        <v>69.239999999999995</v>
      </c>
      <c r="R174" s="311">
        <f>全车数据表!R175</f>
        <v>59.33</v>
      </c>
      <c r="S174" s="311">
        <f>全车数据表!S175</f>
        <v>84.95</v>
      </c>
      <c r="T174" s="311">
        <f>全车数据表!T175</f>
        <v>8.4700000000000006</v>
      </c>
      <c r="U174" s="311">
        <f>全车数据表!AH175</f>
        <v>19407600</v>
      </c>
      <c r="V174" s="311">
        <f>全车数据表!AO175</f>
        <v>12800000</v>
      </c>
      <c r="W174" s="311">
        <f>全车数据表!AP175</f>
        <v>32207600</v>
      </c>
      <c r="X174" s="311">
        <f>全车数据表!AJ175</f>
        <v>6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>
        <f>IF(全车数据表!BN175="","",全车数据表!BN175)</f>
        <v>1</v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捷豹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Lamborghini Countach LPI 800-4🔑</v>
      </c>
      <c r="C175" s="311" t="str">
        <f>IF(全车数据表!AQ176="","",全车数据表!AQ176)</f>
        <v>Lamborghini</v>
      </c>
      <c r="D175" s="313" t="str">
        <f>全车数据表!AT176</f>
        <v>lpi800</v>
      </c>
      <c r="E175" s="313" t="str">
        <f>全车数据表!AS176</f>
        <v>3.5</v>
      </c>
      <c r="F175" s="313" t="str">
        <f>全车数据表!C176</f>
        <v>新康塔什</v>
      </c>
      <c r="G175" s="311" t="str">
        <f>全车数据表!D176</f>
        <v>A</v>
      </c>
      <c r="H175" s="311">
        <f>LEN(全车数据表!E176)</f>
        <v>6</v>
      </c>
      <c r="I175" s="311" t="str">
        <f>IF(全车数据表!H176="×",0,全车数据表!H176)</f>
        <v>🔑</v>
      </c>
      <c r="J175" s="311">
        <f>IF(全车数据表!I176="×",0,全车数据表!I176)</f>
        <v>30</v>
      </c>
      <c r="K175" s="311">
        <f>IF(全车数据表!J176="×",0,全车数据表!J176)</f>
        <v>40</v>
      </c>
      <c r="L175" s="311">
        <f>IF(全车数据表!K176="×",0,全车数据表!K176)</f>
        <v>50</v>
      </c>
      <c r="M175" s="311">
        <f>IF(全车数据表!L176="×",0,全车数据表!L176)</f>
        <v>65</v>
      </c>
      <c r="N175" s="311">
        <f>IF(全车数据表!M176="×",0,全车数据表!M176)</f>
        <v>80</v>
      </c>
      <c r="O175" s="311">
        <f>全车数据表!O176</f>
        <v>4559</v>
      </c>
      <c r="P175" s="311">
        <f>全车数据表!P176</f>
        <v>373.4</v>
      </c>
      <c r="Q175" s="311">
        <f>全车数据表!Q176</f>
        <v>81.23</v>
      </c>
      <c r="R175" s="311">
        <f>全车数据表!R176</f>
        <v>85.96</v>
      </c>
      <c r="S175" s="311">
        <f>全车数据表!S176</f>
        <v>72.400000000000006</v>
      </c>
      <c r="T175" s="311">
        <f>全车数据表!T176</f>
        <v>0</v>
      </c>
      <c r="U175" s="311">
        <f>全车数据表!AH176</f>
        <v>19407600</v>
      </c>
      <c r="V175" s="311">
        <f>全车数据表!AO176</f>
        <v>12800000</v>
      </c>
      <c r="W175" s="311">
        <f>全车数据表!AP176</f>
        <v>32207600</v>
      </c>
      <c r="X175" s="311">
        <f>全车数据表!AJ176</f>
        <v>6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388</v>
      </c>
      <c r="AC175" s="311">
        <f>全车数据表!AX176</f>
        <v>0</v>
      </c>
      <c r="AD175" s="311">
        <f>全车数据表!AY176</f>
        <v>518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 t="str">
        <f>IF(全车数据表!BK176="","",全车数据表!BK176)</f>
        <v/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>
        <f>IF(全车数据表!BN176="","",全车数据表!BN176)</f>
        <v>1</v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兰博基尼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De Tomaso P72🔑</v>
      </c>
      <c r="C176" s="311" t="str">
        <f>IF(全车数据表!AQ177="","",全车数据表!AQ177)</f>
        <v>De</v>
      </c>
      <c r="D176" s="313" t="str">
        <f>全车数据表!AT177</f>
        <v>p72</v>
      </c>
      <c r="E176" s="313" t="str">
        <f>全车数据表!AS177</f>
        <v>4.1</v>
      </c>
      <c r="F176" s="313" t="str">
        <f>全车数据表!C177</f>
        <v>P72</v>
      </c>
      <c r="G176" s="311" t="str">
        <f>全车数据表!D177</f>
        <v>A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30</v>
      </c>
      <c r="K176" s="311">
        <f>IF(全车数据表!J177="×",0,全车数据表!J177)</f>
        <v>40</v>
      </c>
      <c r="L176" s="311">
        <f>IF(全车数据表!K177="×",0,全车数据表!K177)</f>
        <v>50</v>
      </c>
      <c r="M176" s="311">
        <f>IF(全车数据表!L177="×",0,全车数据表!L177)</f>
        <v>65</v>
      </c>
      <c r="N176" s="311">
        <f>IF(全车数据表!M177="×",0,全车数据表!M177)</f>
        <v>80</v>
      </c>
      <c r="O176" s="311">
        <f>全车数据表!O177</f>
        <v>4586</v>
      </c>
      <c r="P176" s="311">
        <f>全车数据表!P177</f>
        <v>375.6</v>
      </c>
      <c r="Q176" s="311">
        <f>全车数据表!Q177</f>
        <v>82.74</v>
      </c>
      <c r="R176" s="311">
        <f>全车数据表!R177</f>
        <v>75.239999999999995</v>
      </c>
      <c r="S176" s="311">
        <f>全车数据表!S177</f>
        <v>71.180000000000007</v>
      </c>
      <c r="T176" s="311">
        <f>全车数据表!T177</f>
        <v>7.06</v>
      </c>
      <c r="U176" s="311">
        <f>全车数据表!AH177</f>
        <v>19407600</v>
      </c>
      <c r="V176" s="311">
        <f>全车数据表!AO177</f>
        <v>12800000</v>
      </c>
      <c r="W176" s="311">
        <f>全车数据表!AP177</f>
        <v>32207600</v>
      </c>
      <c r="X176" s="311">
        <f>全车数据表!AJ177</f>
        <v>6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390</v>
      </c>
      <c r="AC176" s="311">
        <f>全车数据表!AX177</f>
        <v>0</v>
      </c>
      <c r="AD176" s="311">
        <f>全车数据表!AY177</f>
        <v>522</v>
      </c>
      <c r="AE176" s="311" t="str">
        <f>IF(全车数据表!AZ177="","",全车数据表!AZ177)</f>
        <v>特殊赛事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>
        <f>IF(全车数据表!BN177="","",全车数据表!BN177)</f>
        <v>1</v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/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Lamborghini Centenario</v>
      </c>
      <c r="C177" s="311" t="str">
        <f>IF(全车数据表!AQ178="","",全车数据表!AQ178)</f>
        <v>Lamborghini</v>
      </c>
      <c r="D177" s="313" t="str">
        <f>全车数据表!AT178</f>
        <v>centenario</v>
      </c>
      <c r="E177" s="313" t="str">
        <f>全车数据表!AS178</f>
        <v>1.0</v>
      </c>
      <c r="F177" s="313" t="str">
        <f>全车数据表!C178</f>
        <v>百年牛</v>
      </c>
      <c r="G177" s="311" t="str">
        <f>全车数据表!D178</f>
        <v>S</v>
      </c>
      <c r="H177" s="311">
        <f>LEN(全车数据表!E178)</f>
        <v>5</v>
      </c>
      <c r="I177" s="311">
        <f>IF(全车数据表!H178="×",0,全车数据表!H178)</f>
        <v>40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39</v>
      </c>
      <c r="N177" s="311">
        <f>IF(全车数据表!M178="×",0,全车数据表!M178)</f>
        <v>0</v>
      </c>
      <c r="O177" s="311">
        <f>全车数据表!O178</f>
        <v>3709</v>
      </c>
      <c r="P177" s="311">
        <f>全车数据表!P178</f>
        <v>363.9</v>
      </c>
      <c r="Q177" s="311">
        <f>全车数据表!Q178</f>
        <v>80.48</v>
      </c>
      <c r="R177" s="311">
        <f>全车数据表!R178</f>
        <v>47.46</v>
      </c>
      <c r="S177" s="311">
        <f>全车数据表!S178</f>
        <v>70.31</v>
      </c>
      <c r="T177" s="311">
        <f>全车数据表!T178</f>
        <v>7.25</v>
      </c>
      <c r="U177" s="311">
        <f>全车数据表!AH178</f>
        <v>3748400</v>
      </c>
      <c r="V177" s="311">
        <f>全车数据表!AO178</f>
        <v>4900000</v>
      </c>
      <c r="W177" s="311">
        <f>全车数据表!AP178</f>
        <v>8648400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3</v>
      </c>
      <c r="AA177" s="313" t="str">
        <f>全车数据表!AU178</f>
        <v>epic</v>
      </c>
      <c r="AB177" s="311">
        <f>全车数据表!AW178</f>
        <v>378</v>
      </c>
      <c r="AC177" s="311">
        <f>全车数据表!AX178</f>
        <v>0</v>
      </c>
      <c r="AD177" s="311">
        <f>全车数据表!AY178</f>
        <v>502</v>
      </c>
      <c r="AE177" s="311" t="str">
        <f>IF(全车数据表!AZ178="","",全车数据表!AZ178)</f>
        <v>级别杯</v>
      </c>
      <c r="AF177" s="311">
        <f>IF(全车数据表!BA178="","",全车数据表!BA178)</f>
        <v>1</v>
      </c>
      <c r="AG177" s="311" t="str">
        <f>IF(全车数据表!BB178="","",全车数据表!BB178)</f>
        <v/>
      </c>
      <c r="AH177" s="311">
        <f>IF(全车数据表!BC178="","",全车数据表!BC178)</f>
        <v>1</v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>
        <f>IF(全车数据表!BF178="","",全车数据表!BF178)</f>
        <v>1</v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兰博基尼 百年牛 C霸</v>
      </c>
      <c r="BA177" s="311">
        <f>IF(全车数据表!AV178="","",全车数据表!AV178)</f>
        <v>11</v>
      </c>
    </row>
    <row r="178" spans="1:53">
      <c r="A178" s="311">
        <f>全车数据表!A179</f>
        <v>177</v>
      </c>
      <c r="B178" s="311" t="str">
        <f>全车数据表!B179</f>
        <v>Ferrari FXX K</v>
      </c>
      <c r="C178" s="311" t="str">
        <f>IF(全车数据表!AQ179="","",全车数据表!AQ179)</f>
        <v>Ferrari</v>
      </c>
      <c r="D178" s="313" t="str">
        <f>全车数据表!AT179</f>
        <v>fxxk</v>
      </c>
      <c r="E178" s="313" t="str">
        <f>全车数据表!AS179</f>
        <v>1.0</v>
      </c>
      <c r="F178" s="313" t="str">
        <f>全车数据表!C179</f>
        <v>FXXK</v>
      </c>
      <c r="G178" s="311" t="str">
        <f>全车数据表!D179</f>
        <v>S</v>
      </c>
      <c r="H178" s="311">
        <f>LEN(全车数据表!E179)</f>
        <v>5</v>
      </c>
      <c r="I178" s="311">
        <f>IF(全车数据表!H179="×",0,全车数据表!H179)</f>
        <v>40</v>
      </c>
      <c r="J178" s="311">
        <f>IF(全车数据表!I179="×",0,全车数据表!I179)</f>
        <v>13</v>
      </c>
      <c r="K178" s="311">
        <f>IF(全车数据表!J179="×",0,全车数据表!J179)</f>
        <v>16</v>
      </c>
      <c r="L178" s="311">
        <f>IF(全车数据表!K179="×",0,全车数据表!K179)</f>
        <v>25</v>
      </c>
      <c r="M178" s="311">
        <f>IF(全车数据表!L179="×",0,全车数据表!L179)</f>
        <v>39</v>
      </c>
      <c r="N178" s="311">
        <f>IF(全车数据表!M179="×",0,全车数据表!M179)</f>
        <v>0</v>
      </c>
      <c r="O178" s="311">
        <f>全车数据表!O179</f>
        <v>3832</v>
      </c>
      <c r="P178" s="311">
        <f>全车数据表!P179</f>
        <v>363.1</v>
      </c>
      <c r="Q178" s="311">
        <f>全车数据表!Q179</f>
        <v>83.9</v>
      </c>
      <c r="R178" s="311">
        <f>全车数据表!R179</f>
        <v>43.75</v>
      </c>
      <c r="S178" s="311">
        <f>全车数据表!S179</f>
        <v>72.39</v>
      </c>
      <c r="T178" s="311">
        <f>全车数据表!T179</f>
        <v>7.6670000000000007</v>
      </c>
      <c r="U178" s="311">
        <f>全车数据表!AH179</f>
        <v>3748400</v>
      </c>
      <c r="V178" s="311">
        <f>全车数据表!AO179</f>
        <v>4900000</v>
      </c>
      <c r="W178" s="311">
        <f>全车数据表!AP179</f>
        <v>8648400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3</v>
      </c>
      <c r="AA178" s="313" t="str">
        <f>全车数据表!AU179</f>
        <v>epic</v>
      </c>
      <c r="AB178" s="311">
        <f>全车数据表!AW179</f>
        <v>378</v>
      </c>
      <c r="AC178" s="311">
        <f>全车数据表!AX179</f>
        <v>0</v>
      </c>
      <c r="AD178" s="311">
        <f>全车数据表!AY179</f>
        <v>501</v>
      </c>
      <c r="AE178" s="311" t="str">
        <f>IF(全车数据表!AZ179="","",全车数据表!AZ179)</f>
        <v>级别杯</v>
      </c>
      <c r="AF178" s="311">
        <f>IF(全车数据表!BA179="","",全车数据表!BA179)</f>
        <v>1</v>
      </c>
      <c r="AG178" s="311" t="str">
        <f>IF(全车数据表!BB179="","",全车数据表!BB179)</f>
        <v/>
      </c>
      <c r="AH178" s="311">
        <f>IF(全车数据表!BC179="","",全车数据表!BC179)</f>
        <v>1</v>
      </c>
      <c r="AI178" s="311">
        <f>IF(全车数据表!BD179="","",全车数据表!BD179)</f>
        <v>1</v>
      </c>
      <c r="AJ178" s="311" t="str">
        <f>IF(全车数据表!BE179="","",全车数据表!BE179)</f>
        <v/>
      </c>
      <c r="AK178" s="311">
        <f>IF(全车数据表!BF179="","",全车数据表!BF179)</f>
        <v>1</v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 t="str">
        <f>IF(全车数据表!BO179="","",全车数据表!BO179)</f>
        <v/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>
        <f>IF(全车数据表!BT179="","",全车数据表!BT179)</f>
        <v>1</v>
      </c>
      <c r="AZ178" s="311" t="str">
        <f>IF(全车数据表!BU179="","",全车数据表!BU179)</f>
        <v>法拉利 马王 fxxk</v>
      </c>
      <c r="BA178" s="311">
        <f>IF(全车数据表!AV179="","",全车数据表!AV179)</f>
        <v>12</v>
      </c>
    </row>
    <row r="179" spans="1:53">
      <c r="A179" s="311">
        <f>全车数据表!A180</f>
        <v>178</v>
      </c>
      <c r="B179" s="311" t="str">
        <f>全车数据表!B180</f>
        <v>Icona Vulcano Titanium</v>
      </c>
      <c r="C179" s="311" t="str">
        <f>IF(全车数据表!AQ180="","",全车数据表!AQ180)</f>
        <v>Icona</v>
      </c>
      <c r="D179" s="313" t="str">
        <f>全车数据表!AT180</f>
        <v>vulcano</v>
      </c>
      <c r="E179" s="313" t="str">
        <f>全车数据表!AS180</f>
        <v>1.0</v>
      </c>
      <c r="F179" s="313" t="str">
        <f>全车数据表!C180</f>
        <v>火山</v>
      </c>
      <c r="G179" s="311" t="str">
        <f>全车数据表!D180</f>
        <v>S</v>
      </c>
      <c r="H179" s="311">
        <f>LEN(全车数据表!E180)</f>
        <v>5</v>
      </c>
      <c r="I179" s="311">
        <f>IF(全车数据表!H180="×",0,全车数据表!H180)</f>
        <v>40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39</v>
      </c>
      <c r="N179" s="311">
        <f>IF(全车数据表!M180="×",0,全车数据表!M180)</f>
        <v>0</v>
      </c>
      <c r="O179" s="311">
        <f>全车数据表!O180</f>
        <v>3957</v>
      </c>
      <c r="P179" s="311">
        <f>全车数据表!P180</f>
        <v>381.7</v>
      </c>
      <c r="Q179" s="311">
        <f>全车数据表!Q180</f>
        <v>81.38</v>
      </c>
      <c r="R179" s="311">
        <f>全车数据表!R180</f>
        <v>43.38</v>
      </c>
      <c r="S179" s="311">
        <f>全车数据表!S180</f>
        <v>65.89</v>
      </c>
      <c r="T179" s="311">
        <f>全车数据表!T180</f>
        <v>6.3</v>
      </c>
      <c r="U179" s="311">
        <f>全车数据表!AH180</f>
        <v>3748400</v>
      </c>
      <c r="V179" s="311">
        <f>全车数据表!AO180</f>
        <v>4900000</v>
      </c>
      <c r="W179" s="311">
        <f>全车数据表!AP180</f>
        <v>8648400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3</v>
      </c>
      <c r="AA179" s="313" t="str">
        <f>全车数据表!AU180</f>
        <v>epic</v>
      </c>
      <c r="AB179" s="311">
        <f>全车数据表!AW180</f>
        <v>397</v>
      </c>
      <c r="AC179" s="311">
        <f>全车数据表!AX180</f>
        <v>0</v>
      </c>
      <c r="AD179" s="311">
        <f>全车数据表!AY180</f>
        <v>533</v>
      </c>
      <c r="AE179" s="311" t="str">
        <f>IF(全车数据表!AZ180="","",全车数据表!AZ180)</f>
        <v>级别杯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>
        <f>IF(全车数据表!BC180="","",全车数据表!BC180)</f>
        <v>1</v>
      </c>
      <c r="AI179" s="311">
        <f>IF(全车数据表!BD180="","",全车数据表!BD180)</f>
        <v>1</v>
      </c>
      <c r="AJ179" s="311" t="str">
        <f>IF(全车数据表!BE180="","",全车数据表!BE180)</f>
        <v/>
      </c>
      <c r="AK179" s="311">
        <f>IF(全车数据表!BF180="","",全车数据表!BF180)</f>
        <v>1</v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 t="str">
        <f>IF(全车数据表!BO180="","",全车数据表!BO180)</f>
        <v/>
      </c>
      <c r="AU179" s="311" t="str">
        <f>IF(全车数据表!BP180="","",全车数据表!BP180)</f>
        <v/>
      </c>
      <c r="AV179" s="311">
        <f>IF(全车数据表!BQ180="","",全车数据表!BQ180)</f>
        <v>1</v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>
        <f>IF(全车数据表!BT180="","",全车数据表!BT180)</f>
        <v>1</v>
      </c>
      <c r="AZ179" s="311" t="str">
        <f>IF(全车数据表!BU180="","",全车数据表!BU180)</f>
        <v>火山</v>
      </c>
      <c r="BA179" s="311">
        <f>IF(全车数据表!AV180="","",全车数据表!AV180)</f>
        <v>13</v>
      </c>
    </row>
    <row r="180" spans="1:53">
      <c r="A180" s="311">
        <f>全车数据表!A181</f>
        <v>179</v>
      </c>
      <c r="B180" s="311" t="str">
        <f>全车数据表!B181</f>
        <v>W Motors Lykan HyperSport</v>
      </c>
      <c r="C180" s="311" t="str">
        <f>IF(全车数据表!AQ181="","",全车数据表!AQ181)</f>
        <v>W Motors</v>
      </c>
      <c r="D180" s="313" t="str">
        <f>全车数据表!AT181</f>
        <v>lykan</v>
      </c>
      <c r="E180" s="313" t="str">
        <f>全车数据表!AS181</f>
        <v>1.0</v>
      </c>
      <c r="F180" s="313" t="str">
        <f>全车数据表!C181</f>
        <v>狼崽</v>
      </c>
      <c r="G180" s="311" t="str">
        <f>全车数据表!D181</f>
        <v>S</v>
      </c>
      <c r="H180" s="311">
        <f>LEN(全车数据表!E181)</f>
        <v>5</v>
      </c>
      <c r="I180" s="311">
        <f>IF(全车数据表!H181="×",0,全车数据表!H181)</f>
        <v>40</v>
      </c>
      <c r="J180" s="311">
        <f>IF(全车数据表!I181="×",0,全车数据表!I181)</f>
        <v>13</v>
      </c>
      <c r="K180" s="311">
        <f>IF(全车数据表!J181="×",0,全车数据表!J181)</f>
        <v>16</v>
      </c>
      <c r="L180" s="311">
        <f>IF(全车数据表!K181="×",0,全车数据表!K181)</f>
        <v>25</v>
      </c>
      <c r="M180" s="311">
        <f>IF(全车数据表!L181="×",0,全车数据表!L181)</f>
        <v>39</v>
      </c>
      <c r="N180" s="311">
        <f>IF(全车数据表!M181="×",0,全车数据表!M181)</f>
        <v>0</v>
      </c>
      <c r="O180" s="311">
        <f>全车数据表!O181</f>
        <v>4083</v>
      </c>
      <c r="P180" s="311">
        <f>全车数据表!P181</f>
        <v>407.5</v>
      </c>
      <c r="Q180" s="311">
        <f>全车数据表!Q181</f>
        <v>80.48</v>
      </c>
      <c r="R180" s="311">
        <f>全车数据表!R181</f>
        <v>40.97</v>
      </c>
      <c r="S180" s="311">
        <f>全车数据表!S181</f>
        <v>58.26</v>
      </c>
      <c r="T180" s="311">
        <f>全车数据表!T181</f>
        <v>5.25</v>
      </c>
      <c r="U180" s="311">
        <f>全车数据表!AH181</f>
        <v>3748400</v>
      </c>
      <c r="V180" s="311">
        <f>全车数据表!AO181</f>
        <v>4900000</v>
      </c>
      <c r="W180" s="311">
        <f>全车数据表!AP181</f>
        <v>8648400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3</v>
      </c>
      <c r="AA180" s="313" t="str">
        <f>全车数据表!AU181</f>
        <v>epic</v>
      </c>
      <c r="AB180" s="311">
        <f>全车数据表!AW181</f>
        <v>425</v>
      </c>
      <c r="AC180" s="311">
        <f>全车数据表!AX181</f>
        <v>0</v>
      </c>
      <c r="AD180" s="311">
        <f>全车数据表!AY181</f>
        <v>560</v>
      </c>
      <c r="AE180" s="311" t="str">
        <f>IF(全车数据表!AZ181="","",全车数据表!AZ181)</f>
        <v>级别杯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>
        <f>IF(全车数据表!BC181="","",全车数据表!BC181)</f>
        <v>1</v>
      </c>
      <c r="AI180" s="311">
        <f>IF(全车数据表!BD181="","",全车数据表!BD181)</f>
        <v>1</v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>
        <f>IF(全车数据表!BT181="","",全车数据表!BT181)</f>
        <v>1</v>
      </c>
      <c r="AZ180" s="311" t="str">
        <f>IF(全车数据表!BU181="","",全车数据表!BU181)</f>
        <v>狼崽 莱肯</v>
      </c>
      <c r="BA180" s="311">
        <f>IF(全车数据表!AV181="","",全车数据表!AV181)</f>
        <v>15</v>
      </c>
    </row>
    <row r="181" spans="1:53">
      <c r="A181" s="311">
        <f>全车数据表!A182</f>
        <v>180</v>
      </c>
      <c r="B181" s="311" t="str">
        <f>全车数据表!B182</f>
        <v>Raesr Tachyon Speed🔑</v>
      </c>
      <c r="C181" s="311" t="str">
        <f>IF(全车数据表!AQ182="","",全车数据表!AQ182)</f>
        <v>Raesr</v>
      </c>
      <c r="D181" s="313" t="str">
        <f>全车数据表!AT182</f>
        <v>tachyon</v>
      </c>
      <c r="E181" s="313" t="str">
        <f>全车数据表!AS182</f>
        <v>3.1</v>
      </c>
      <c r="F181" s="313" t="str">
        <f>全车数据表!C182</f>
        <v>超光速</v>
      </c>
      <c r="G181" s="311" t="str">
        <f>全车数据表!D182</f>
        <v>S</v>
      </c>
      <c r="H181" s="311">
        <f>LEN(全车数据表!E182)</f>
        <v>6</v>
      </c>
      <c r="I181" s="311" t="str">
        <f>IF(全车数据表!H182="×",0,全车数据表!H182)</f>
        <v>🔑</v>
      </c>
      <c r="J181" s="311">
        <f>IF(全车数据表!I182="×",0,全车数据表!I182)</f>
        <v>40</v>
      </c>
      <c r="K181" s="311">
        <f>IF(全车数据表!J182="×",0,全车数据表!J182)</f>
        <v>45</v>
      </c>
      <c r="L181" s="311">
        <f>IF(全车数据表!K182="×",0,全车数据表!K182)</f>
        <v>60</v>
      </c>
      <c r="M181" s="311">
        <f>IF(全车数据表!L182="×",0,全车数据表!L182)</f>
        <v>70</v>
      </c>
      <c r="N181" s="311">
        <f>IF(全车数据表!M182="×",0,全车数据表!M182)</f>
        <v>85</v>
      </c>
      <c r="O181" s="311">
        <f>全车数据表!O182</f>
        <v>4109</v>
      </c>
      <c r="P181" s="311">
        <f>全车数据表!P182</f>
        <v>400.3</v>
      </c>
      <c r="Q181" s="311">
        <f>全车数据表!Q182</f>
        <v>77.91</v>
      </c>
      <c r="R181" s="311">
        <f>全车数据表!R182</f>
        <v>53.44</v>
      </c>
      <c r="S181" s="311">
        <f>全车数据表!S182</f>
        <v>59.94</v>
      </c>
      <c r="T181" s="311">
        <f>全车数据表!T182</f>
        <v>5.4</v>
      </c>
      <c r="U181" s="311">
        <f>全车数据表!AH182</f>
        <v>27726000</v>
      </c>
      <c r="V181" s="311">
        <f>全车数据表!AO182</f>
        <v>7380000</v>
      </c>
      <c r="W181" s="311">
        <f>全车数据表!AP182</f>
        <v>35106000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416</v>
      </c>
      <c r="AC181" s="311">
        <f>全车数据表!AX182</f>
        <v>0</v>
      </c>
      <c r="AD181" s="311">
        <f>全车数据表!AY182</f>
        <v>555</v>
      </c>
      <c r="AE181" s="311" t="str">
        <f>IF(全车数据表!AZ182="","",全车数据表!AZ182)</f>
        <v>大奖赛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>
        <f>IF(全车数据表!BL182="","",全车数据表!BL182)</f>
        <v>1</v>
      </c>
      <c r="AR181" s="311" t="str">
        <f>IF(全车数据表!BM182="","",全车数据表!BM182)</f>
        <v/>
      </c>
      <c r="AS181" s="311">
        <f>IF(全车数据表!BN182="","",全车数据表!BN182)</f>
        <v>1</v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超光速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Lamborghini Veneno</v>
      </c>
      <c r="C182" s="311" t="str">
        <f>IF(全车数据表!AQ183="","",全车数据表!AQ183)</f>
        <v>Lamborghini</v>
      </c>
      <c r="D182" s="313" t="str">
        <f>全车数据表!AT183</f>
        <v>veneno</v>
      </c>
      <c r="E182" s="313" t="str">
        <f>全车数据表!AS183</f>
        <v>2.2</v>
      </c>
      <c r="F182" s="313" t="str">
        <f>全车数据表!C183</f>
        <v>毒药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4148</v>
      </c>
      <c r="P182" s="311">
        <f>全车数据表!P183</f>
        <v>370.2</v>
      </c>
      <c r="Q182" s="311">
        <f>全车数据表!Q183</f>
        <v>81.2</v>
      </c>
      <c r="R182" s="311">
        <f>全车数据表!R183</f>
        <v>62.39</v>
      </c>
      <c r="S182" s="311">
        <f>全车数据表!S183</f>
        <v>78.790000000000006</v>
      </c>
      <c r="T182" s="311">
        <f>全车数据表!T183</f>
        <v>8.82</v>
      </c>
      <c r="U182" s="311">
        <f>全车数据表!AH183</f>
        <v>27726000</v>
      </c>
      <c r="V182" s="311">
        <f>全车数据表!AO183</f>
        <v>7380000</v>
      </c>
      <c r="W182" s="311">
        <f>全车数据表!AP183</f>
        <v>35106000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387</v>
      </c>
      <c r="AC182" s="311">
        <f>全车数据表!AX183</f>
        <v>0</v>
      </c>
      <c r="AD182" s="311">
        <f>全车数据表!AY183</f>
        <v>516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兰博基尼 毒药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Jaguar XJ220 TWR🔑</v>
      </c>
      <c r="C183" s="311" t="str">
        <f>IF(全车数据表!AQ184="","",全车数据表!AQ184)</f>
        <v>Jaguar</v>
      </c>
      <c r="D183" s="313" t="str">
        <f>全车数据表!AT184</f>
        <v>xj220</v>
      </c>
      <c r="E183" s="313" t="str">
        <f>全车数据表!AS184</f>
        <v>3.3</v>
      </c>
      <c r="F183" s="313" t="str">
        <f>全车数据表!C184</f>
        <v>XJ220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4173</v>
      </c>
      <c r="P183" s="311">
        <f>全车数据表!P184</f>
        <v>383.2</v>
      </c>
      <c r="Q183" s="311">
        <f>全车数据表!Q184</f>
        <v>75.17</v>
      </c>
      <c r="R183" s="311">
        <f>全车数据表!R184</f>
        <v>60.57</v>
      </c>
      <c r="S183" s="311">
        <f>全车数据表!S184</f>
        <v>82.21</v>
      </c>
      <c r="T183" s="311">
        <f>全车数据表!T184</f>
        <v>0</v>
      </c>
      <c r="U183" s="311">
        <f>全车数据表!AH184</f>
        <v>27726000</v>
      </c>
      <c r="V183" s="311">
        <f>全车数据表!AO184</f>
        <v>7380000</v>
      </c>
      <c r="W183" s="311">
        <f>全车数据表!AP184</f>
        <v>35106000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398</v>
      </c>
      <c r="AC183" s="311">
        <f>全车数据表!AX184</f>
        <v>0</v>
      </c>
      <c r="AD183" s="311">
        <f>全车数据表!AY184</f>
        <v>535</v>
      </c>
      <c r="AE183" s="311" t="str">
        <f>IF(全车数据表!AZ184="","",全车数据表!AZ184)</f>
        <v>大奖赛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>
        <f>IF(全车数据表!BL184="","",全车数据表!BL184)</f>
        <v>1</v>
      </c>
      <c r="AR183" s="311" t="str">
        <f>IF(全车数据表!BM184="","",全车数据表!BM184)</f>
        <v/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捷豹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Lamborghini Egoista</v>
      </c>
      <c r="C184" s="311" t="str">
        <f>IF(全车数据表!AQ185="","",全车数据表!AQ185)</f>
        <v>Lamborghini</v>
      </c>
      <c r="D184" s="313" t="str">
        <f>全车数据表!AT185</f>
        <v>egoista</v>
      </c>
      <c r="E184" s="313" t="str">
        <f>全车数据表!AS185</f>
        <v>1.0</v>
      </c>
      <c r="F184" s="313" t="str">
        <f>全车数据表!C185</f>
        <v>自私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60</v>
      </c>
      <c r="J184" s="311">
        <f>IF(全车数据表!I185="×",0,全车数据表!I185)</f>
        <v>13</v>
      </c>
      <c r="K184" s="311">
        <f>IF(全车数据表!J185="×",0,全车数据表!J185)</f>
        <v>16</v>
      </c>
      <c r="L184" s="311">
        <f>IF(全车数据表!K185="×",0,全车数据表!K185)</f>
        <v>25</v>
      </c>
      <c r="M184" s="311">
        <f>IF(全车数据表!L185="×",0,全车数据表!L185)</f>
        <v>38</v>
      </c>
      <c r="N184" s="311">
        <f>IF(全车数据表!M185="×",0,全车数据表!M185)</f>
        <v>48</v>
      </c>
      <c r="O184" s="311">
        <f>全车数据表!O185</f>
        <v>4213</v>
      </c>
      <c r="P184" s="311">
        <f>全车数据表!P185</f>
        <v>366.4</v>
      </c>
      <c r="Q184" s="311">
        <f>全车数据表!Q185</f>
        <v>84.48</v>
      </c>
      <c r="R184" s="311">
        <f>全车数据表!R185</f>
        <v>61.54</v>
      </c>
      <c r="S184" s="311">
        <f>全车数据表!S185</f>
        <v>72.02</v>
      </c>
      <c r="T184" s="311">
        <f>全车数据表!T185</f>
        <v>7.516</v>
      </c>
      <c r="U184" s="311">
        <f>全车数据表!AH185</f>
        <v>6798160</v>
      </c>
      <c r="V184" s="311">
        <f>全车数据表!AO185</f>
        <v>7380000</v>
      </c>
      <c r="W184" s="311">
        <f>全车数据表!AP185</f>
        <v>14178160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381</v>
      </c>
      <c r="AC184" s="311">
        <f>全车数据表!AX185</f>
        <v>0</v>
      </c>
      <c r="AD184" s="311">
        <f>全车数据表!AY185</f>
        <v>506</v>
      </c>
      <c r="AE184" s="311" t="str">
        <f>IF(全车数据表!AZ185="","",全车数据表!AZ185)</f>
        <v>独家赛事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>
        <f>IF(全车数据表!BE185="","",全车数据表!BE185)</f>
        <v>1</v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 t="str">
        <f>IF(全车数据表!BK185="","",全车数据表!BK185)</f>
        <v/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 t="str">
        <f>IF(全车数据表!BO185="","",全车数据表!BO185)</f>
        <v/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兰博基尼 自私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Chrysler ME412</v>
      </c>
      <c r="C185" s="311" t="str">
        <f>IF(全车数据表!AQ186="","",全车数据表!AQ186)</f>
        <v>Chrysler</v>
      </c>
      <c r="D185" s="313" t="str">
        <f>全车数据表!AT186</f>
        <v>me412</v>
      </c>
      <c r="E185" s="313" t="str">
        <f>全车数据表!AS186</f>
        <v>3.8</v>
      </c>
      <c r="F185" s="313" t="str">
        <f>全车数据表!C186</f>
        <v>ME412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4241</v>
      </c>
      <c r="P185" s="311">
        <f>全车数据表!P186</f>
        <v>399.1</v>
      </c>
      <c r="Q185" s="311">
        <f>全车数据表!Q186</f>
        <v>74.900000000000006</v>
      </c>
      <c r="R185" s="311">
        <f>全车数据表!R186</f>
        <v>66.52</v>
      </c>
      <c r="S185" s="311">
        <f>全车数据表!S186</f>
        <v>63.39</v>
      </c>
      <c r="T185" s="311">
        <f>全车数据表!T186</f>
        <v>0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415</v>
      </c>
      <c r="AC185" s="311">
        <f>全车数据表!AX186</f>
        <v>0</v>
      </c>
      <c r="AD185" s="311">
        <f>全车数据表!AY186</f>
        <v>555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克莱斯勒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Trion Nemesis</v>
      </c>
      <c r="C186" s="311" t="str">
        <f>IF(全车数据表!AQ187="","",全车数据表!AQ187)</f>
        <v>Trion</v>
      </c>
      <c r="D186" s="313" t="str">
        <f>全车数据表!AT187</f>
        <v>nemesis</v>
      </c>
      <c r="E186" s="313" t="str">
        <f>全车数据表!AS187</f>
        <v>1.0</v>
      </c>
      <c r="F186" s="313" t="str">
        <f>全车数据表!C187</f>
        <v>复仇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60</v>
      </c>
      <c r="J186" s="311">
        <f>IF(全车数据表!I187="×",0,全车数据表!I187)</f>
        <v>13</v>
      </c>
      <c r="K186" s="311">
        <f>IF(全车数据表!J187="×",0,全车数据表!J187)</f>
        <v>16</v>
      </c>
      <c r="L186" s="311">
        <f>IF(全车数据表!K187="×",0,全车数据表!K187)</f>
        <v>25</v>
      </c>
      <c r="M186" s="311">
        <f>IF(全车数据表!L187="×",0,全车数据表!L187)</f>
        <v>38</v>
      </c>
      <c r="N186" s="311">
        <f>IF(全车数据表!M187="×",0,全车数据表!M187)</f>
        <v>48</v>
      </c>
      <c r="O186" s="311">
        <f>全车数据表!O187</f>
        <v>4344</v>
      </c>
      <c r="P186" s="311">
        <f>全车数据表!P187</f>
        <v>450.7</v>
      </c>
      <c r="Q186" s="311">
        <f>全车数据表!Q187</f>
        <v>79.98</v>
      </c>
      <c r="R186" s="311">
        <f>全车数据表!R187</f>
        <v>48.49</v>
      </c>
      <c r="S186" s="311">
        <f>全车数据表!S187</f>
        <v>44.79</v>
      </c>
      <c r="T186" s="311">
        <f>全车数据表!T187</f>
        <v>4.2659999999999991</v>
      </c>
      <c r="U186" s="311">
        <f>全车数据表!AH187</f>
        <v>6798160</v>
      </c>
      <c r="V186" s="311">
        <f>全车数据表!AO187</f>
        <v>7380000</v>
      </c>
      <c r="W186" s="311">
        <f>全车数据表!AP187</f>
        <v>14178160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475</v>
      </c>
      <c r="AC186" s="311">
        <f>全车数据表!AX187</f>
        <v>0</v>
      </c>
      <c r="AD186" s="311">
        <f>全车数据表!AY187</f>
        <v>582</v>
      </c>
      <c r="AE186" s="311" t="str">
        <f>IF(全车数据表!AZ187="","",全车数据表!AZ187)</f>
        <v>独家赛事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>
        <f>IF(全车数据表!BE187="","",全车数据表!BE187)</f>
        <v>1</v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复仇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Spania GTA 2015 GTA Spano</v>
      </c>
      <c r="C187" s="311" t="str">
        <f>IF(全车数据表!AQ188="","",全车数据表!AQ188)</f>
        <v>Spania GTA</v>
      </c>
      <c r="D187" s="313" t="str">
        <f>全车数据表!AT188</f>
        <v>spano</v>
      </c>
      <c r="E187" s="313" t="str">
        <f>全车数据表!AS188</f>
        <v>3.9</v>
      </c>
      <c r="F187" s="313" t="str">
        <f>全车数据表!C188</f>
        <v>Spano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4373</v>
      </c>
      <c r="P187" s="311">
        <f>全车数据表!P188</f>
        <v>383.7</v>
      </c>
      <c r="Q187" s="311">
        <f>全车数据表!Q188</f>
        <v>81.2</v>
      </c>
      <c r="R187" s="311">
        <f>全车数据表!R188</f>
        <v>59.72</v>
      </c>
      <c r="S187" s="311">
        <f>全车数据表!S188</f>
        <v>69.97</v>
      </c>
      <c r="T187" s="311">
        <f>全车数据表!T188</f>
        <v>0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399</v>
      </c>
      <c r="AC187" s="311">
        <f>全车数据表!AX188</f>
        <v>0</v>
      </c>
      <c r="AD187" s="311">
        <f>全车数据表!AY188</f>
        <v>536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/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Ferrari SF90 Stradale</v>
      </c>
      <c r="C188" s="311" t="str">
        <f>IF(全车数据表!AQ189="","",全车数据表!AQ189)</f>
        <v>Ferrari</v>
      </c>
      <c r="D188" s="313" t="str">
        <f>全车数据表!AT189</f>
        <v>sf90</v>
      </c>
      <c r="E188" s="313" t="str">
        <f>全车数据表!AS189</f>
        <v>2.5</v>
      </c>
      <c r="F188" s="313" t="str">
        <f>全车数据表!C189</f>
        <v>SF90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60</v>
      </c>
      <c r="J188" s="311">
        <f>IF(全车数据表!I189="×",0,全车数据表!I189)</f>
        <v>25</v>
      </c>
      <c r="K188" s="311">
        <f>IF(全车数据表!J189="×",0,全车数据表!J189)</f>
        <v>30</v>
      </c>
      <c r="L188" s="311">
        <f>IF(全车数据表!K189="×",0,全车数据表!K189)</f>
        <v>35</v>
      </c>
      <c r="M188" s="311">
        <f>IF(全车数据表!L189="×",0,全车数据表!L189)</f>
        <v>45</v>
      </c>
      <c r="N188" s="311">
        <f>IF(全车数据表!M189="×",0,全车数据表!M189)</f>
        <v>55</v>
      </c>
      <c r="O188" s="311">
        <f>全车数据表!O189</f>
        <v>4395</v>
      </c>
      <c r="P188" s="311">
        <f>全车数据表!P189</f>
        <v>355.4</v>
      </c>
      <c r="Q188" s="311">
        <f>全车数据表!Q189</f>
        <v>86.83</v>
      </c>
      <c r="R188" s="311">
        <f>全车数据表!R189</f>
        <v>93.51</v>
      </c>
      <c r="S188" s="311">
        <f>全车数据表!S189</f>
        <v>69.900000000000006</v>
      </c>
      <c r="T188" s="311">
        <f>全车数据表!T189</f>
        <v>7.33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370</v>
      </c>
      <c r="AC188" s="311">
        <f>全车数据表!AX189</f>
        <v>379</v>
      </c>
      <c r="AD188" s="311">
        <f>全车数据表!AY189</f>
        <v>501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法拉利 顺丰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FV Frangivento Sorpasso GT3</v>
      </c>
      <c r="C189" s="311" t="str">
        <f>IF(全车数据表!AQ190="","",全车数据表!AQ190)</f>
        <v>FV Frangivento</v>
      </c>
      <c r="D189" s="313" t="str">
        <f>全车数据表!AT190</f>
        <v>sorpasso</v>
      </c>
      <c r="E189" s="313" t="str">
        <f>全车数据表!AS190</f>
        <v>4.0</v>
      </c>
      <c r="F189" s="313" t="str">
        <f>全车数据表!C190</f>
        <v>Sorpasso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4398</v>
      </c>
      <c r="P189" s="311">
        <f>全车数据表!P190</f>
        <v>391.3</v>
      </c>
      <c r="Q189" s="311">
        <f>全车数据表!Q190</f>
        <v>85.7</v>
      </c>
      <c r="R189" s="311">
        <f>全车数据表!R190</f>
        <v>56.68</v>
      </c>
      <c r="S189" s="311">
        <f>全车数据表!S190</f>
        <v>47.35</v>
      </c>
      <c r="T189" s="311">
        <f>全车数据表!T190</f>
        <v>3.3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407</v>
      </c>
      <c r="AC189" s="311">
        <f>全车数据表!AX190</f>
        <v>0</v>
      </c>
      <c r="AD189" s="311">
        <f>全车数据表!AY190</f>
        <v>549</v>
      </c>
      <c r="AE189" s="311" t="str">
        <f>IF(全车数据表!AZ190="","",全车数据表!AZ190)</f>
        <v>大奖赛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>
        <f>IF(全车数据表!BN190="","",全车数据表!BN190)</f>
        <v>1</v>
      </c>
      <c r="AT189" s="311" t="str">
        <f>IF(全车数据表!BO190="","",全车数据表!BO190)</f>
        <v/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/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McLaren Senna</v>
      </c>
      <c r="C190" s="311" t="str">
        <f>IF(全车数据表!AQ191="","",全车数据表!AQ191)</f>
        <v>McLaren</v>
      </c>
      <c r="D190" s="313" t="str">
        <f>全车数据表!AT191</f>
        <v>senna</v>
      </c>
      <c r="E190" s="313" t="str">
        <f>全车数据表!AS191</f>
        <v>1.7</v>
      </c>
      <c r="F190" s="313" t="str">
        <f>全车数据表!C191</f>
        <v>Senna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60</v>
      </c>
      <c r="J190" s="311">
        <f>IF(全车数据表!I191="×",0,全车数据表!I191)</f>
        <v>13</v>
      </c>
      <c r="K190" s="311">
        <f>IF(全车数据表!J191="×",0,全车数据表!J191)</f>
        <v>16</v>
      </c>
      <c r="L190" s="311">
        <f>IF(全车数据表!K191="×",0,全车数据表!K191)</f>
        <v>25</v>
      </c>
      <c r="M190" s="311">
        <f>IF(全车数据表!L191="×",0,全车数据表!L191)</f>
        <v>38</v>
      </c>
      <c r="N190" s="311">
        <f>IF(全车数据表!M191="×",0,全车数据表!M191)</f>
        <v>48</v>
      </c>
      <c r="O190" s="311">
        <f>全车数据表!O191</f>
        <v>4406</v>
      </c>
      <c r="P190" s="311">
        <f>全车数据表!P191</f>
        <v>358.7</v>
      </c>
      <c r="Q190" s="311">
        <f>全车数据表!Q191</f>
        <v>82.91</v>
      </c>
      <c r="R190" s="311">
        <f>全车数据表!R191</f>
        <v>101.81</v>
      </c>
      <c r="S190" s="311">
        <f>全车数据表!S191</f>
        <v>78.25</v>
      </c>
      <c r="T190" s="311">
        <f>全车数据表!T191</f>
        <v>9.1489999999999974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373</v>
      </c>
      <c r="AC190" s="311">
        <f>全车数据表!AX191</f>
        <v>0</v>
      </c>
      <c r="AD190" s="311">
        <f>全车数据表!AY191</f>
        <v>493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>
        <f>IF(全车数据表!BQ191="","",全车数据表!BQ191)</f>
        <v>1</v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迈凯伦 塞纳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Bugatti Veyron 16.4 Grand Sport Vitesse</v>
      </c>
      <c r="C191" s="311" t="str">
        <f>IF(全车数据表!AQ192="","",全车数据表!AQ192)</f>
        <v>Bugatti</v>
      </c>
      <c r="D191" s="313" t="str">
        <f>全车数据表!AT192</f>
        <v>veyron</v>
      </c>
      <c r="E191" s="313" t="str">
        <f>全车数据表!AS192</f>
        <v>3.0</v>
      </c>
      <c r="F191" s="313" t="str">
        <f>全车数据表!C192</f>
        <v>威龙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4406</v>
      </c>
      <c r="P191" s="311">
        <f>全车数据表!P192</f>
        <v>419</v>
      </c>
      <c r="Q191" s="311">
        <f>全车数据表!Q192</f>
        <v>81.06</v>
      </c>
      <c r="R191" s="311">
        <f>全车数据表!R192</f>
        <v>49.15</v>
      </c>
      <c r="S191" s="311">
        <f>全车数据表!S192</f>
        <v>50.72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441</v>
      </c>
      <c r="AC191" s="311">
        <f>全车数据表!AX192</f>
        <v>0</v>
      </c>
      <c r="AD191" s="311">
        <f>全车数据表!AY192</f>
        <v>568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>无顶</v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布加迪 威龙 威航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Lamborghini Terzo Millennio</v>
      </c>
      <c r="C192" s="311" t="str">
        <f>IF(全车数据表!AQ193="","",全车数据表!AQ193)</f>
        <v>Lamborghini</v>
      </c>
      <c r="D192" s="313" t="str">
        <f>全车数据表!AT193</f>
        <v>terzo</v>
      </c>
      <c r="E192" s="313" t="str">
        <f>全车数据表!AS193</f>
        <v>1.0</v>
      </c>
      <c r="F192" s="313" t="str">
        <f>全车数据表!C193</f>
        <v>千年牛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60</v>
      </c>
      <c r="J192" s="311">
        <f>IF(全车数据表!I193="×",0,全车数据表!I193)</f>
        <v>13</v>
      </c>
      <c r="K192" s="311">
        <f>IF(全车数据表!J193="×",0,全车数据表!J193)</f>
        <v>16</v>
      </c>
      <c r="L192" s="311">
        <f>IF(全车数据表!K193="×",0,全车数据表!K193)</f>
        <v>25</v>
      </c>
      <c r="M192" s="311">
        <f>IF(全车数据表!L193="×",0,全车数据表!L193)</f>
        <v>38</v>
      </c>
      <c r="N192" s="311">
        <f>IF(全车数据表!M193="×",0,全车数据表!M193)</f>
        <v>48</v>
      </c>
      <c r="O192" s="311">
        <f>全车数据表!O193</f>
        <v>4411</v>
      </c>
      <c r="P192" s="311">
        <f>全车数据表!P193</f>
        <v>394.3</v>
      </c>
      <c r="Q192" s="311">
        <f>全车数据表!Q193</f>
        <v>82.77</v>
      </c>
      <c r="R192" s="311">
        <f>全车数据表!R193</f>
        <v>52.84</v>
      </c>
      <c r="S192" s="311">
        <f>全车数据表!S193</f>
        <v>69.290000000000006</v>
      </c>
      <c r="T192" s="311">
        <f>全车数据表!T193</f>
        <v>6.55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410</v>
      </c>
      <c r="AC192" s="311">
        <f>全车数据表!AX193</f>
        <v>0</v>
      </c>
      <c r="AD192" s="311">
        <f>全车数据表!AY193</f>
        <v>551</v>
      </c>
      <c r="AE192" s="311" t="str">
        <f>IF(全车数据表!AZ193="","",全车数据表!AZ193)</f>
        <v>红币商店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>
        <f>IF(全车数据表!BD193="","",全车数据表!BD193)</f>
        <v>1</v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>
        <f>IF(全车数据表!BT193="","",全车数据表!BT193)</f>
        <v>1</v>
      </c>
      <c r="AZ192" s="311" t="str">
        <f>IF(全车数据表!BU193="","",全车数据表!BU193)</f>
        <v>兰博基尼 千年牛 电牛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Vision 1789</v>
      </c>
      <c r="C193" s="311" t="str">
        <f>IF(全车数据表!AQ194="","",全车数据表!AQ194)</f>
        <v>Vision</v>
      </c>
      <c r="D193" s="313" t="str">
        <f>全车数据表!AT194</f>
        <v>1789</v>
      </c>
      <c r="E193" s="313" t="str">
        <f>全车数据表!AS194</f>
        <v>3.4</v>
      </c>
      <c r="F193" s="313" t="str">
        <f>全车数据表!C194</f>
        <v>1789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4435</v>
      </c>
      <c r="P193" s="311">
        <f>全车数据表!P194</f>
        <v>390.2</v>
      </c>
      <c r="Q193" s="311">
        <f>全车数据表!Q194</f>
        <v>81.290000000000006</v>
      </c>
      <c r="R193" s="311">
        <f>全车数据表!R194</f>
        <v>59.91</v>
      </c>
      <c r="S193" s="311">
        <f>全车数据表!S194</f>
        <v>72.19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405</v>
      </c>
      <c r="AC193" s="311">
        <f>全车数据表!AX194</f>
        <v>0</v>
      </c>
      <c r="AD193" s="311">
        <f>全车数据表!AY194</f>
        <v>547</v>
      </c>
      <c r="AE193" s="311" t="str">
        <f>IF(全车数据表!AZ194="","",全车数据表!AZ194)</f>
        <v>每日多人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>
        <f>IF(全车数据表!BI194="","",全车数据表!BI194)</f>
        <v>1</v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/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W Motors Fenyr SuperSport</v>
      </c>
      <c r="C194" s="311" t="str">
        <f>IF(全车数据表!AQ195="","",全车数据表!AQ195)</f>
        <v>W Motors</v>
      </c>
      <c r="D194" s="313" t="str">
        <f>全车数据表!AT195</f>
        <v>fenyr</v>
      </c>
      <c r="E194" s="313" t="str">
        <f>全车数据表!AS195</f>
        <v>1.0</v>
      </c>
      <c r="F194" s="313" t="str">
        <f>全车数据表!C195</f>
        <v>狼王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4479</v>
      </c>
      <c r="P194" s="311">
        <f>全车数据表!P195</f>
        <v>416.9</v>
      </c>
      <c r="Q194" s="311">
        <f>全车数据表!Q195</f>
        <v>82.19</v>
      </c>
      <c r="R194" s="311">
        <f>全车数据表!R195</f>
        <v>43.24</v>
      </c>
      <c r="S194" s="311">
        <f>全车数据表!S195</f>
        <v>68.599999999999994</v>
      </c>
      <c r="T194" s="311">
        <f>全车数据表!T195</f>
        <v>6.1</v>
      </c>
      <c r="U194" s="311">
        <f>全车数据表!AH195</f>
        <v>6798160</v>
      </c>
      <c r="V194" s="311">
        <f>全车数据表!AO195</f>
        <v>7380000</v>
      </c>
      <c r="W194" s="311">
        <f>全车数据表!AP195</f>
        <v>14178160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438</v>
      </c>
      <c r="AC194" s="311">
        <f>全车数据表!AX195</f>
        <v>0</v>
      </c>
      <c r="AD194" s="311">
        <f>全车数据表!AY195</f>
        <v>566</v>
      </c>
      <c r="AE194" s="311" t="str">
        <f>IF(全车数据表!AZ195="","",全车数据表!AZ195)</f>
        <v>多人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>
        <f>IF(全车数据表!BI195="","",全车数据表!BI195)</f>
        <v>1</v>
      </c>
      <c r="AO194" s="311" t="str">
        <f>IF(全车数据表!BJ195="","",全车数据表!BJ195)</f>
        <v/>
      </c>
      <c r="AP194" s="311" t="str">
        <f>IF(全车数据表!BK195="","",全车数据表!BK195)</f>
        <v/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 t="str">
        <f>IF(全车数据表!BO195="","",全车数据表!BO195)</f>
        <v/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芬尼尔 狼王</v>
      </c>
      <c r="BA194" s="311" t="str">
        <f>IF(全车数据表!AV195="","",全车数据表!AV195)</f>
        <v/>
      </c>
    </row>
    <row r="195" spans="1:53">
      <c r="A195" s="311">
        <f>全车数据表!A196</f>
        <v>194</v>
      </c>
      <c r="B195" s="311" t="str">
        <f>全车数据表!B196</f>
        <v>Aston Martin Valkyrie</v>
      </c>
      <c r="C195" s="311" t="str">
        <f>IF(全车数据表!AQ196="","",全车数据表!AQ196)</f>
        <v>Aston Martin</v>
      </c>
      <c r="D195" s="313" t="str">
        <f>全车数据表!AT196</f>
        <v>valkyrie</v>
      </c>
      <c r="E195" s="313" t="str">
        <f>全车数据表!AS196</f>
        <v>2.9</v>
      </c>
      <c r="F195" s="313" t="str">
        <f>全车数据表!C196</f>
        <v>女武神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4488</v>
      </c>
      <c r="P195" s="311">
        <f>全车数据表!P196</f>
        <v>378.2</v>
      </c>
      <c r="Q195" s="311">
        <f>全车数据表!Q196</f>
        <v>80.3</v>
      </c>
      <c r="R195" s="311">
        <f>全车数据表!R196</f>
        <v>77.91</v>
      </c>
      <c r="S195" s="311">
        <f>全车数据表!S196</f>
        <v>76.7</v>
      </c>
      <c r="T195" s="311">
        <f>全车数据表!T196</f>
        <v>8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393</v>
      </c>
      <c r="AC195" s="311">
        <f>全车数据表!AX196</f>
        <v>0</v>
      </c>
      <c r="AD195" s="311">
        <f>全车数据表!AY196</f>
        <v>527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>
        <f>IF(全车数据表!BO196="","",全车数据表!BO196)</f>
        <v>1</v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阿斯顿马丁 女武神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Zenvo TS1 GT Anniversary</v>
      </c>
      <c r="C196" s="311" t="str">
        <f>IF(全车数据表!AQ197="","",全车数据表!AQ197)</f>
        <v>Zenvo</v>
      </c>
      <c r="D196" s="313" t="str">
        <f>全车数据表!AT197</f>
        <v>ts1</v>
      </c>
      <c r="E196" s="313" t="str">
        <f>全车数据表!AS197</f>
        <v>1.3</v>
      </c>
      <c r="F196" s="313" t="str">
        <f>全车数据表!C197</f>
        <v>自燃车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60</v>
      </c>
      <c r="J196" s="311">
        <f>IF(全车数据表!I197="×",0,全车数据表!I197)</f>
        <v>13</v>
      </c>
      <c r="K196" s="311">
        <f>IF(全车数据表!J197="×",0,全车数据表!J197)</f>
        <v>16</v>
      </c>
      <c r="L196" s="311">
        <f>IF(全车数据表!K197="×",0,全车数据表!K197)</f>
        <v>25</v>
      </c>
      <c r="M196" s="311">
        <f>IF(全车数据表!L197="×",0,全车数据表!L197)</f>
        <v>38</v>
      </c>
      <c r="N196" s="311">
        <f>IF(全车数据表!M197="×",0,全车数据表!M197)</f>
        <v>48</v>
      </c>
      <c r="O196" s="311">
        <f>全车数据表!O197</f>
        <v>4514</v>
      </c>
      <c r="P196" s="311">
        <f>全车数据表!P197</f>
        <v>418.2</v>
      </c>
      <c r="Q196" s="311">
        <f>全车数据表!Q197</f>
        <v>81.290000000000006</v>
      </c>
      <c r="R196" s="311">
        <f>全车数据表!R197</f>
        <v>46.66</v>
      </c>
      <c r="S196" s="311">
        <f>全车数据表!S197</f>
        <v>63.43</v>
      </c>
      <c r="T196" s="311">
        <f>全车数据表!T197</f>
        <v>5.5670000000000011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443</v>
      </c>
      <c r="AC196" s="311">
        <f>全车数据表!AX197</f>
        <v>0</v>
      </c>
      <c r="AD196" s="311">
        <f>全车数据表!AY197</f>
        <v>568</v>
      </c>
      <c r="AE196" s="311" t="str">
        <f>IF(全车数据表!AZ197="","",全车数据表!AZ197)</f>
        <v>多人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>
        <f>IF(全车数据表!BI197="","",全车数据表!BI197)</f>
        <v>1</v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 t="str">
        <f>IF(全车数据表!BO197="","",全车数据表!BO197)</f>
        <v/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自燃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Rimac Concept S</v>
      </c>
      <c r="C197" s="311" t="str">
        <f>IF(全车数据表!AQ198="","",全车数据表!AQ198)</f>
        <v>Rimac</v>
      </c>
      <c r="D197" s="313" t="str">
        <f>全车数据表!AT198</f>
        <v>cs</v>
      </c>
      <c r="E197" s="313" t="str">
        <f>全车数据表!AS198</f>
        <v>4.3</v>
      </c>
      <c r="F197" s="313" t="str">
        <f>全车数据表!C198</f>
        <v>CS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4528</v>
      </c>
      <c r="P197" s="311">
        <f>全车数据表!P198</f>
        <v>376.3</v>
      </c>
      <c r="Q197" s="311">
        <f>全车数据表!Q198</f>
        <v>84.53</v>
      </c>
      <c r="R197" s="311">
        <f>全车数据表!R198</f>
        <v>79.900000000000006</v>
      </c>
      <c r="S197" s="311">
        <f>全车数据表!S198</f>
        <v>69.86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0</v>
      </c>
      <c r="AC197" s="311">
        <f>全车数据表!AX198</f>
        <v>0</v>
      </c>
      <c r="AD197" s="311">
        <f>全车数据表!AY198</f>
        <v>0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Automobili Pininfarina Battista</v>
      </c>
      <c r="C198" s="311" t="str">
        <f>IF(全车数据表!AQ199="","",全车数据表!AQ199)</f>
        <v>Automobili Pininfarina</v>
      </c>
      <c r="D198" s="313" t="str">
        <f>全车数据表!AT199</f>
        <v>battista</v>
      </c>
      <c r="E198" s="313" t="str">
        <f>全车数据表!AS199</f>
        <v>1.8</v>
      </c>
      <c r="F198" s="313" t="str">
        <f>全车数据表!C199</f>
        <v>秋王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60</v>
      </c>
      <c r="J198" s="311">
        <f>IF(全车数据表!I199="×",0,全车数据表!I199)</f>
        <v>25</v>
      </c>
      <c r="K198" s="311">
        <f>IF(全车数据表!J199="×",0,全车数据表!J199)</f>
        <v>35</v>
      </c>
      <c r="L198" s="311">
        <f>IF(全车数据表!K199="×",0,全车数据表!K199)</f>
        <v>46</v>
      </c>
      <c r="M198" s="311">
        <f>IF(全车数据表!L199="×",0,全车数据表!L199)</f>
        <v>58</v>
      </c>
      <c r="N198" s="311">
        <f>IF(全车数据表!M199="×",0,全车数据表!M199)</f>
        <v>76</v>
      </c>
      <c r="O198" s="311">
        <f>全车数据表!O199</f>
        <v>4550</v>
      </c>
      <c r="P198" s="311">
        <f>全车数据表!P199</f>
        <v>368.5</v>
      </c>
      <c r="Q198" s="311">
        <f>全车数据表!Q199</f>
        <v>88.49</v>
      </c>
      <c r="R198" s="311">
        <f>全车数据表!R199</f>
        <v>80.45</v>
      </c>
      <c r="S198" s="311">
        <f>全车数据表!S199</f>
        <v>78.260000000000005</v>
      </c>
      <c r="T198" s="311">
        <f>全车数据表!T199</f>
        <v>8.6300000000000008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383</v>
      </c>
      <c r="AC198" s="311">
        <f>全车数据表!AX199</f>
        <v>0</v>
      </c>
      <c r="AD198" s="311">
        <f>全车数据表!AY199</f>
        <v>509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巴蒂斯塔 秋王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Naran Hyper Coupe</v>
      </c>
      <c r="C199" s="311" t="str">
        <f>IF(全车数据表!AQ200="","",全车数据表!AQ200)</f>
        <v>Naran</v>
      </c>
      <c r="D199" s="313" t="str">
        <f>全车数据表!AT200</f>
        <v>naran</v>
      </c>
      <c r="E199" s="313" t="str">
        <f>全车数据表!AS200</f>
        <v>3.2</v>
      </c>
      <c r="F199" s="313" t="str">
        <f>全车数据表!C200</f>
        <v>纳兰</v>
      </c>
      <c r="G199" s="311" t="str">
        <f>全车数据表!D200</f>
        <v>S</v>
      </c>
      <c r="H199" s="311">
        <f>LEN(全车数据表!E200)</f>
        <v>6</v>
      </c>
      <c r="I199" s="311">
        <f>IF(全车数据表!H200="×",0,全车数据表!H200)</f>
        <v>85</v>
      </c>
      <c r="J199" s="311">
        <f>IF(全车数据表!I200="×",0,全车数据表!I200)</f>
        <v>25</v>
      </c>
      <c r="K199" s="311">
        <f>IF(全车数据表!J200="×",0,全车数据表!J200)</f>
        <v>29</v>
      </c>
      <c r="L199" s="311">
        <f>IF(全车数据表!K200="×",0,全车数据表!K200)</f>
        <v>38</v>
      </c>
      <c r="M199" s="311">
        <f>IF(全车数据表!L200="×",0,全车数据表!L200)</f>
        <v>54</v>
      </c>
      <c r="N199" s="311">
        <f>IF(全车数据表!M200="×",0,全车数据表!M200)</f>
        <v>69</v>
      </c>
      <c r="O199" s="311">
        <f>全车数据表!O200</f>
        <v>4566</v>
      </c>
      <c r="P199" s="311">
        <f>全车数据表!P200</f>
        <v>383.4</v>
      </c>
      <c r="Q199" s="311">
        <f>全车数据表!Q200</f>
        <v>85.79</v>
      </c>
      <c r="R199" s="311">
        <f>全车数据表!R200</f>
        <v>67.31</v>
      </c>
      <c r="S199" s="311">
        <f>全车数据表!S200</f>
        <v>65.58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398</v>
      </c>
      <c r="AC199" s="311">
        <f>全车数据表!AX200</f>
        <v>0</v>
      </c>
      <c r="AD199" s="311">
        <f>全车数据表!AY200</f>
        <v>536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纳兰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McLaren Speedtail</v>
      </c>
      <c r="C200" s="311" t="str">
        <f>IF(全车数据表!AQ201="","",全车数据表!AQ201)</f>
        <v>McLaren</v>
      </c>
      <c r="D200" s="313" t="str">
        <f>全车数据表!AT201</f>
        <v>speedtail</v>
      </c>
      <c r="E200" s="313" t="str">
        <f>全车数据表!AS201</f>
        <v>2.4</v>
      </c>
      <c r="F200" s="313" t="str">
        <f>全车数据表!C201</f>
        <v>速尾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85</v>
      </c>
      <c r="J200" s="311">
        <f>IF(全车数据表!I201="×",0,全车数据表!I201)</f>
        <v>25</v>
      </c>
      <c r="K200" s="311">
        <f>IF(全车数据表!J201="×",0,全车数据表!J201)</f>
        <v>29</v>
      </c>
      <c r="L200" s="311">
        <f>IF(全车数据表!K201="×",0,全车数据表!K201)</f>
        <v>38</v>
      </c>
      <c r="M200" s="311">
        <f>IF(全车数据表!L201="×",0,全车数据表!L201)</f>
        <v>54</v>
      </c>
      <c r="N200" s="311">
        <f>IF(全车数据表!M201="×",0,全车数据表!M201)</f>
        <v>69</v>
      </c>
      <c r="O200" s="311">
        <f>全车数据表!O201</f>
        <v>4593</v>
      </c>
      <c r="P200" s="311">
        <f>全车数据表!P201</f>
        <v>416.7</v>
      </c>
      <c r="Q200" s="311">
        <f>全车数据表!Q201</f>
        <v>81.11</v>
      </c>
      <c r="R200" s="311">
        <f>全车数据表!R201</f>
        <v>56.65</v>
      </c>
      <c r="S200" s="311">
        <f>全车数据表!S201</f>
        <v>74.2</v>
      </c>
      <c r="T200" s="311">
        <f>全车数据表!T201</f>
        <v>6.77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438</v>
      </c>
      <c r="AC200" s="311">
        <f>全车数据表!AX201</f>
        <v>0</v>
      </c>
      <c r="AD200" s="311">
        <f>全车数据表!AY201</f>
        <v>566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迈凯伦 速尾 速度尾巴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Faraday FFZero1</v>
      </c>
      <c r="C201" s="311" t="str">
        <f>IF(全车数据表!AQ202="","",全车数据表!AQ202)</f>
        <v>Faraday</v>
      </c>
      <c r="D201" s="313" t="str">
        <f>全车数据表!AT202</f>
        <v>ff01</v>
      </c>
      <c r="E201" s="313" t="str">
        <f>全车数据表!AS202</f>
        <v>3.9</v>
      </c>
      <c r="F201" s="313" t="str">
        <f>全车数据表!C202</f>
        <v>FF01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4602</v>
      </c>
      <c r="P201" s="311">
        <f>全车数据表!P202</f>
        <v>423</v>
      </c>
      <c r="Q201" s="311">
        <f>全车数据表!Q202</f>
        <v>86.06</v>
      </c>
      <c r="R201" s="311">
        <f>全车数据表!R202</f>
        <v>42.83</v>
      </c>
      <c r="S201" s="311">
        <f>全车数据表!S202</f>
        <v>51.7</v>
      </c>
      <c r="T201" s="311">
        <f>全车数据表!T202</f>
        <v>0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445</v>
      </c>
      <c r="AC201" s="311">
        <f>全车数据表!AX202</f>
        <v>0</v>
      </c>
      <c r="AD201" s="311">
        <f>全车数据表!AY202</f>
        <v>569</v>
      </c>
      <c r="AE201" s="311" t="str">
        <f>IF(全车数据表!AZ202="","",全车数据表!AZ202)</f>
        <v>道路测试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 t="str">
        <f>IF(全车数据表!BK202="","",全车数据表!BK202)</f>
        <v/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 t="str">
        <f>IF(全车数据表!BO202="","",全车数据表!BO202)</f>
        <v/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法拉第未来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Koenigsegg Regera</v>
      </c>
      <c r="C202" s="311" t="str">
        <f>IF(全车数据表!AQ203="","",全车数据表!AQ203)</f>
        <v>Koenigsegg</v>
      </c>
      <c r="D202" s="313" t="str">
        <f>全车数据表!AT203</f>
        <v>regera</v>
      </c>
      <c r="E202" s="313" t="str">
        <f>全车数据表!AS203</f>
        <v>1.0</v>
      </c>
      <c r="F202" s="313" t="str">
        <f>全车数据表!C203</f>
        <v>regera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60</v>
      </c>
      <c r="J202" s="311">
        <f>IF(全车数据表!I203="×",0,全车数据表!I203)</f>
        <v>13</v>
      </c>
      <c r="K202" s="311">
        <f>IF(全车数据表!J203="×",0,全车数据表!J203)</f>
        <v>16</v>
      </c>
      <c r="L202" s="311">
        <f>IF(全车数据表!K203="×",0,全车数据表!K203)</f>
        <v>25</v>
      </c>
      <c r="M202" s="311">
        <f>IF(全车数据表!L203="×",0,全车数据表!L203)</f>
        <v>38</v>
      </c>
      <c r="N202" s="311">
        <f>IF(全车数据表!M203="×",0,全车数据表!M203)</f>
        <v>48</v>
      </c>
      <c r="O202" s="311">
        <f>全车数据表!O203</f>
        <v>4616</v>
      </c>
      <c r="P202" s="311">
        <f>全车数据表!P203</f>
        <v>457.1</v>
      </c>
      <c r="Q202" s="311">
        <f>全车数据表!Q203</f>
        <v>80.88</v>
      </c>
      <c r="R202" s="311">
        <f>全车数据表!R203</f>
        <v>48.75</v>
      </c>
      <c r="S202" s="311">
        <f>全车数据表!S203</f>
        <v>52.48</v>
      </c>
      <c r="T202" s="311">
        <f>全车数据表!T203</f>
        <v>4.6159999999999997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481</v>
      </c>
      <c r="AC202" s="311">
        <f>全车数据表!AX203</f>
        <v>0</v>
      </c>
      <c r="AD202" s="311">
        <f>全车数据表!AY203</f>
        <v>585</v>
      </c>
      <c r="AE202" s="311" t="str">
        <f>IF(全车数据表!AZ203="","",全车数据表!AZ203)</f>
        <v>传奇商店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>
        <f>IF(全车数据表!BD203="","",全车数据表!BD203)</f>
        <v>1</v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>
        <f>IF(全车数据表!BK203="","",全车数据表!BK203)</f>
        <v>1</v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>
        <f>IF(全车数据表!BT203="","",全车数据表!BT203)</f>
        <v>1</v>
      </c>
      <c r="AZ202" s="311" t="str">
        <f>IF(全车数据表!BU203="","",全车数据表!BU203)</f>
        <v>柯尼塞格 统治 雷旮旯</v>
      </c>
      <c r="BA202" s="311">
        <f>IF(全车数据表!AV203="","",全车数据表!AV203)</f>
        <v>17</v>
      </c>
    </row>
    <row r="203" spans="1:53">
      <c r="A203" s="311">
        <f>全车数据表!A204</f>
        <v>202</v>
      </c>
      <c r="B203" s="311" t="str">
        <f>全车数据表!B204</f>
        <v>Saleen S7 Twin Turbo🔑</v>
      </c>
      <c r="C203" s="311" t="str">
        <f>IF(全车数据表!AQ204="","",全车数据表!AQ204)</f>
        <v>Saleen</v>
      </c>
      <c r="D203" s="313" t="str">
        <f>全车数据表!AT204</f>
        <v>saleens7</v>
      </c>
      <c r="E203" s="313" t="str">
        <f>全车数据表!AS204</f>
        <v>4.2</v>
      </c>
      <c r="F203" s="313" t="str">
        <f>全车数据表!C204</f>
        <v>萨林S7</v>
      </c>
      <c r="G203" s="311" t="str">
        <f>全车数据表!D204</f>
        <v>S</v>
      </c>
      <c r="H203" s="311">
        <f>LEN(全车数据表!E204)</f>
        <v>6</v>
      </c>
      <c r="I203" s="311" t="str">
        <f>IF(全车数据表!H204="×",0,全车数据表!H204)</f>
        <v>🔑</v>
      </c>
      <c r="J203" s="311">
        <f>IF(全车数据表!I204="×",0,全车数据表!I204)</f>
        <v>40</v>
      </c>
      <c r="K203" s="311">
        <f>IF(全车数据表!J204="×",0,全车数据表!J204)</f>
        <v>45</v>
      </c>
      <c r="L203" s="311">
        <f>IF(全车数据表!K204="×",0,全车数据表!K204)</f>
        <v>60</v>
      </c>
      <c r="M203" s="311">
        <f>IF(全车数据表!L204="×",0,全车数据表!L204)</f>
        <v>70</v>
      </c>
      <c r="N203" s="311">
        <f>IF(全车数据表!M204="×",0,全车数据表!M204)</f>
        <v>85</v>
      </c>
      <c r="O203" s="311">
        <f>全车数据表!O204</f>
        <v>4629</v>
      </c>
      <c r="P203" s="311">
        <f>全车数据表!P204</f>
        <v>429.9</v>
      </c>
      <c r="Q203" s="311">
        <f>全车数据表!Q204</f>
        <v>69.5</v>
      </c>
      <c r="R203" s="311">
        <f>全车数据表!R204</f>
        <v>68.97</v>
      </c>
      <c r="S203" s="311">
        <f>全车数据表!S204</f>
        <v>77.31</v>
      </c>
      <c r="T203" s="311">
        <f>全车数据表!T204</f>
        <v>0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452</v>
      </c>
      <c r="AC203" s="311">
        <f>全车数据表!AX204</f>
        <v>0</v>
      </c>
      <c r="AD203" s="311">
        <f>全车数据表!AY204</f>
        <v>572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 t="str">
        <f>IF(全车数据表!BK204="","",全车数据表!BK204)</f>
        <v/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>
        <f>IF(全车数据表!BN204="","",全车数据表!BN204)</f>
        <v>1</v>
      </c>
      <c r="AT203" s="311" t="str">
        <f>IF(全车数据表!BO204="","",全车数据表!BO204)</f>
        <v/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赛麟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Ultima RS🔑</v>
      </c>
      <c r="C204" s="311" t="str">
        <f>IF(全车数据表!AQ205="","",全车数据表!AQ205)</f>
        <v>Ultima</v>
      </c>
      <c r="D204" s="313" t="str">
        <f>全车数据表!AT205</f>
        <v>ultimars</v>
      </c>
      <c r="E204" s="313" t="str">
        <f>全车数据表!AS205</f>
        <v>3.3</v>
      </c>
      <c r="F204" s="313" t="str">
        <f>全车数据表!C205</f>
        <v>Ultima RS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4644</v>
      </c>
      <c r="P204" s="311">
        <f>全车数据表!P205</f>
        <v>418.2</v>
      </c>
      <c r="Q204" s="311">
        <f>全车数据表!Q205</f>
        <v>81.38</v>
      </c>
      <c r="R204" s="311">
        <f>全车数据表!R205</f>
        <v>63.54</v>
      </c>
      <c r="S204" s="311">
        <f>全车数据表!S205</f>
        <v>63.24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440</v>
      </c>
      <c r="AC204" s="311">
        <f>全车数据表!AX205</f>
        <v>0</v>
      </c>
      <c r="AD204" s="311">
        <f>全车数据表!AY205</f>
        <v>567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>
        <f>IF(全车数据表!BK205="","",全车数据表!BK205)</f>
        <v>1</v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>
        <f>IF(全车数据表!BN205="","",全车数据表!BN205)</f>
        <v>1</v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奥特曼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Lamborghini Sian FKP 37</v>
      </c>
      <c r="C205" s="311" t="str">
        <f>IF(全车数据表!AQ206="","",全车数据表!AQ206)</f>
        <v>Lamborghini</v>
      </c>
      <c r="D205" s="313" t="str">
        <f>全车数据表!AT206</f>
        <v>sian</v>
      </c>
      <c r="E205" s="313" t="str">
        <f>全车数据表!AS206</f>
        <v>2.2</v>
      </c>
      <c r="F205" s="313" t="str">
        <f>全车数据表!C206</f>
        <v>Sian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4685</v>
      </c>
      <c r="P205" s="311">
        <f>全车数据表!P206</f>
        <v>368.1</v>
      </c>
      <c r="Q205" s="311">
        <f>全车数据表!Q206</f>
        <v>82.1</v>
      </c>
      <c r="R205" s="311">
        <f>全车数据表!R206</f>
        <v>92.35</v>
      </c>
      <c r="S205" s="311">
        <f>全车数据表!S206</f>
        <v>81.180000000000007</v>
      </c>
      <c r="T205" s="311">
        <f>全车数据表!T206</f>
        <v>9.57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383</v>
      </c>
      <c r="AC205" s="311">
        <f>全车数据表!AX206</f>
        <v>393</v>
      </c>
      <c r="AD205" s="311">
        <f>全车数据表!AY206</f>
        <v>523</v>
      </c>
      <c r="AE205" s="311" t="str">
        <f>IF(全车数据表!AZ206="","",全车数据表!AZ206)</f>
        <v>特殊赛事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>
        <f>IF(全车数据表!BO206="","",全车数据表!BO206)</f>
        <v>1</v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兰博基尼 西安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Ajlani Drakuma</v>
      </c>
      <c r="C206" s="311" t="str">
        <f>IF(全车数据表!AQ207="","",全车数据表!AQ207)</f>
        <v>Ajlani</v>
      </c>
      <c r="D206" s="313" t="str">
        <f>全车数据表!AT207</f>
        <v>drakuma</v>
      </c>
      <c r="E206" s="313" t="str">
        <f>全车数据表!AS207</f>
        <v>3.7</v>
      </c>
      <c r="F206" s="313" t="str">
        <f>全车数据表!C207</f>
        <v>Drakuma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4702</v>
      </c>
      <c r="P206" s="311">
        <f>全车数据表!P207</f>
        <v>441</v>
      </c>
      <c r="Q206" s="311">
        <f>全车数据表!Q207</f>
        <v>81.56</v>
      </c>
      <c r="R206" s="311">
        <f>全车数据表!R207</f>
        <v>47.91</v>
      </c>
      <c r="S206" s="311">
        <f>全车数据表!S207</f>
        <v>60.58</v>
      </c>
      <c r="T206" s="311">
        <f>全车数据表!T207</f>
        <v>0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464</v>
      </c>
      <c r="AC206" s="311">
        <f>全车数据表!AX207</f>
        <v>0</v>
      </c>
      <c r="AD206" s="311">
        <f>全车数据表!AY207</f>
        <v>578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 t="str">
        <f>IF(全车数据表!BK207="","",全车数据表!BK207)</f>
        <v/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/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Inferno Automobili Inferno</v>
      </c>
      <c r="C207" s="311" t="str">
        <f>IF(全车数据表!AQ208="","",全车数据表!AQ208)</f>
        <v>Inferno</v>
      </c>
      <c r="D207" s="313" t="str">
        <f>全车数据表!AT208</f>
        <v>inferno</v>
      </c>
      <c r="E207" s="313" t="str">
        <f>全车数据表!AS208</f>
        <v>2.7</v>
      </c>
      <c r="F207" s="313" t="str">
        <f>全车数据表!C208</f>
        <v>地狱火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4722</v>
      </c>
      <c r="P207" s="311">
        <f>全车数据表!P208</f>
        <v>412.6</v>
      </c>
      <c r="Q207" s="311">
        <f>全车数据表!Q208</f>
        <v>83.05</v>
      </c>
      <c r="R207" s="311">
        <f>全车数据表!R208</f>
        <v>54.88</v>
      </c>
      <c r="S207" s="311">
        <f>全车数据表!S208</f>
        <v>76.62</v>
      </c>
      <c r="T207" s="311">
        <f>全车数据表!T208</f>
        <v>7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432</v>
      </c>
      <c r="AC207" s="311">
        <f>全车数据表!AX208</f>
        <v>0</v>
      </c>
      <c r="AD207" s="311">
        <f>全车数据表!AY208</f>
        <v>563</v>
      </c>
      <c r="AE207" s="311" t="str">
        <f>IF(全车数据表!AZ208="","",全车数据表!AZ208)</f>
        <v>特殊赛事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>
        <f>IF(全车数据表!BK208="","",全车数据表!BK208)</f>
        <v>1</v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地狱火 QQ飞车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Torino Design Super Sport🔑</v>
      </c>
      <c r="C208" s="311" t="str">
        <f>IF(全车数据表!AQ209="","",全车数据表!AQ209)</f>
        <v>Torino Design</v>
      </c>
      <c r="D208" s="313" t="str">
        <f>全车数据表!AT209</f>
        <v>torino</v>
      </c>
      <c r="E208" s="313" t="str">
        <f>全车数据表!AS209</f>
        <v>3.9</v>
      </c>
      <c r="F208" s="313" t="str">
        <f>全车数据表!C209</f>
        <v>都林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4741</v>
      </c>
      <c r="P208" s="311">
        <f>全车数据表!P209</f>
        <v>405.3</v>
      </c>
      <c r="Q208" s="311">
        <f>全车数据表!Q209</f>
        <v>82.28</v>
      </c>
      <c r="R208" s="311">
        <f>全车数据表!R209</f>
        <v>62.3</v>
      </c>
      <c r="S208" s="311">
        <f>全车数据表!S209</f>
        <v>75.81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422</v>
      </c>
      <c r="AC208" s="311">
        <f>全车数据表!AX209</f>
        <v>0</v>
      </c>
      <c r="AD208" s="311">
        <f>全车数据表!AY209</f>
        <v>559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>
        <f>IF(全车数据表!BN209="","",全车数据表!BN209)</f>
        <v>1</v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Bugatti Chiron</v>
      </c>
      <c r="C209" s="311" t="str">
        <f>IF(全车数据表!AQ210="","",全车数据表!AQ210)</f>
        <v>Bugatti</v>
      </c>
      <c r="D209" s="313" t="str">
        <f>全车数据表!AT210</f>
        <v>chiron</v>
      </c>
      <c r="E209" s="313" t="str">
        <f>全车数据表!AS210</f>
        <v>1.0</v>
      </c>
      <c r="F209" s="313" t="str">
        <f>全车数据表!C210</f>
        <v>布加迪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60</v>
      </c>
      <c r="J209" s="311">
        <f>IF(全车数据表!I210="×",0,全车数据表!I210)</f>
        <v>13</v>
      </c>
      <c r="K209" s="311">
        <f>IF(全车数据表!J210="×",0,全车数据表!J210)</f>
        <v>16</v>
      </c>
      <c r="L209" s="311">
        <f>IF(全车数据表!K210="×",0,全车数据表!K210)</f>
        <v>25</v>
      </c>
      <c r="M209" s="311">
        <f>IF(全车数据表!L210="×",0,全车数据表!L210)</f>
        <v>38</v>
      </c>
      <c r="N209" s="311">
        <f>IF(全车数据表!M210="×",0,全车数据表!M210)</f>
        <v>48</v>
      </c>
      <c r="O209" s="311">
        <f>全车数据表!O210</f>
        <v>4755</v>
      </c>
      <c r="P209" s="311">
        <f>全车数据表!P210</f>
        <v>443.4</v>
      </c>
      <c r="Q209" s="311">
        <f>全车数据表!Q210</f>
        <v>84.4</v>
      </c>
      <c r="R209" s="311">
        <f>全车数据表!R210</f>
        <v>45.62</v>
      </c>
      <c r="S209" s="311">
        <f>全车数据表!S210</f>
        <v>63.63</v>
      </c>
      <c r="T209" s="311">
        <f>全车数据表!T210</f>
        <v>5.4329999999999989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467</v>
      </c>
      <c r="AC209" s="311">
        <f>全车数据表!AX210</f>
        <v>0</v>
      </c>
      <c r="AD209" s="311">
        <f>全车数据表!AY210</f>
        <v>579</v>
      </c>
      <c r="AE209" s="311" t="str">
        <f>IF(全车数据表!AZ210="","",全车数据表!AZ210)</f>
        <v>传奇商店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>
        <f>IF(全车数据表!BD210="","",全车数据表!BD210)</f>
        <v>1</v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>
        <f>IF(全车数据表!BQ210="","",全车数据表!BQ210)</f>
        <v>1</v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>
        <f>IF(全车数据表!BT210="","",全车数据表!BT210)</f>
        <v>1</v>
      </c>
      <c r="AZ209" s="311" t="str">
        <f>IF(全车数据表!BU210="","",全车数据表!BU210)</f>
        <v>布加迪 胖龙 肥龙 奇龙 凯龙</v>
      </c>
      <c r="BA209" s="311">
        <f>IF(全车数据表!AV210="","",全车数据表!AV210)</f>
        <v>18</v>
      </c>
    </row>
    <row r="210" spans="1:53">
      <c r="A210" s="311">
        <f>全车数据表!A211</f>
        <v>209</v>
      </c>
      <c r="B210" s="311" t="str">
        <f>全车数据表!B211</f>
        <v>BXR Bailey Blade GT1</v>
      </c>
      <c r="C210" s="311" t="str">
        <f>IF(全车数据表!AQ211="","",全车数据表!AQ211)</f>
        <v>BXR</v>
      </c>
      <c r="D210" s="313" t="str">
        <f>全车数据表!AT211</f>
        <v>bxr</v>
      </c>
      <c r="E210" s="313" t="str">
        <f>全车数据表!AS211</f>
        <v>2.3</v>
      </c>
      <c r="F210" s="313" t="str">
        <f>全车数据表!C211</f>
        <v>BXR</v>
      </c>
      <c r="G210" s="311" t="str">
        <f>全车数据表!D211</f>
        <v>S</v>
      </c>
      <c r="H210" s="311">
        <f>LEN(全车数据表!E211)</f>
        <v>6</v>
      </c>
      <c r="I210" s="311">
        <f>IF(全车数据表!H211="×",0,全车数据表!H211)</f>
        <v>85</v>
      </c>
      <c r="J210" s="311">
        <f>IF(全车数据表!I211="×",0,全车数据表!I211)</f>
        <v>25</v>
      </c>
      <c r="K210" s="311">
        <f>IF(全车数据表!J211="×",0,全车数据表!J211)</f>
        <v>29</v>
      </c>
      <c r="L210" s="311">
        <f>IF(全车数据表!K211="×",0,全车数据表!K211)</f>
        <v>38</v>
      </c>
      <c r="M210" s="311">
        <f>IF(全车数据表!L211="×",0,全车数据表!L211)</f>
        <v>54</v>
      </c>
      <c r="N210" s="311">
        <f>IF(全车数据表!M211="×",0,全车数据表!M211)</f>
        <v>69</v>
      </c>
      <c r="O210" s="311">
        <f>全车数据表!O211</f>
        <v>4764</v>
      </c>
      <c r="P210" s="311">
        <f>全车数据表!P211</f>
        <v>449.5</v>
      </c>
      <c r="Q210" s="311">
        <f>全车数据表!Q211</f>
        <v>80.48</v>
      </c>
      <c r="R210" s="311">
        <f>全车数据表!R211</f>
        <v>46.87</v>
      </c>
      <c r="S210" s="311">
        <f>全车数据表!S211</f>
        <v>70.66</v>
      </c>
      <c r="T210" s="311">
        <f>全车数据表!T211</f>
        <v>5.97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473</v>
      </c>
      <c r="AC210" s="311">
        <f>全车数据表!AX211</f>
        <v>0</v>
      </c>
      <c r="AD210" s="311">
        <f>全车数据表!AY211</f>
        <v>582</v>
      </c>
      <c r="AE210" s="311" t="str">
        <f>IF(全车数据表!AZ211="","",全车数据表!AZ211)</f>
        <v>特殊赛事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>
        <f>IF(全车数据表!BK211="","",全车数据表!BK211)</f>
        <v>1</v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 t="str">
        <f>IF(全车数据表!BN211="","",全车数据表!BN211)</f>
        <v/>
      </c>
      <c r="AT210" s="311" t="str">
        <f>IF(全车数据表!BO211="","",全车数据表!BO211)</f>
        <v/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鞋拔子 鼻息肉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Bugatti Divo</v>
      </c>
      <c r="C211" s="311" t="str">
        <f>IF(全车数据表!AQ212="","",全车数据表!AQ212)</f>
        <v>Bugatti</v>
      </c>
      <c r="D211" s="313" t="str">
        <f>全车数据表!AT212</f>
        <v>divo</v>
      </c>
      <c r="E211" s="313" t="str">
        <f>全车数据表!AS212</f>
        <v>2.6</v>
      </c>
      <c r="F211" s="313" t="str">
        <f>全车数据表!C212</f>
        <v>Divo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4773</v>
      </c>
      <c r="P211" s="311">
        <f>全车数据表!P212</f>
        <v>396</v>
      </c>
      <c r="Q211" s="311">
        <f>全车数据表!Q212</f>
        <v>85.7</v>
      </c>
      <c r="R211" s="311">
        <f>全车数据表!R212</f>
        <v>61.48</v>
      </c>
      <c r="S211" s="311">
        <f>全车数据表!S212</f>
        <v>73.989999999999995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411</v>
      </c>
      <c r="AC211" s="311">
        <f>全车数据表!AX212</f>
        <v>0</v>
      </c>
      <c r="AD211" s="311">
        <f>全车数据表!AY212</f>
        <v>552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>
        <f>IF(全车数据表!BK212="","",全车数据表!BK212)</f>
        <v>1</v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>
        <f>IF(全车数据表!BO212="","",全车数据表!BO212)</f>
        <v>1</v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布加迪 三万老大爷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Tushek TS 900 Racer Pro</v>
      </c>
      <c r="C212" s="311" t="str">
        <f>IF(全车数据表!AQ213="","",全车数据表!AQ213)</f>
        <v>Tushek</v>
      </c>
      <c r="D212" s="313" t="str">
        <f>全车数据表!AT213</f>
        <v>ts900</v>
      </c>
      <c r="E212" s="313" t="str">
        <f>全车数据表!AS213</f>
        <v>3.4</v>
      </c>
      <c r="F212" s="313" t="str">
        <f>全车数据表!C213</f>
        <v>TS900</v>
      </c>
      <c r="G212" s="311" t="str">
        <f>全车数据表!D213</f>
        <v>S</v>
      </c>
      <c r="H212" s="311">
        <f>LEN(全车数据表!E213)</f>
        <v>6</v>
      </c>
      <c r="I212" s="311">
        <f>IF(全车数据表!H213="×",0,全车数据表!H213)</f>
        <v>85</v>
      </c>
      <c r="J212" s="311">
        <f>IF(全车数据表!I213="×",0,全车数据表!I213)</f>
        <v>25</v>
      </c>
      <c r="K212" s="311">
        <f>IF(全车数据表!J213="×",0,全车数据表!J213)</f>
        <v>29</v>
      </c>
      <c r="L212" s="311">
        <f>IF(全车数据表!K213="×",0,全车数据表!K213)</f>
        <v>38</v>
      </c>
      <c r="M212" s="311">
        <f>IF(全车数据表!L213="×",0,全车数据表!L213)</f>
        <v>54</v>
      </c>
      <c r="N212" s="311">
        <f>IF(全车数据表!M213="×",0,全车数据表!M213)</f>
        <v>69</v>
      </c>
      <c r="O212" s="311">
        <f>全车数据表!O213</f>
        <v>4779</v>
      </c>
      <c r="P212" s="311">
        <f>全车数据表!P213</f>
        <v>395.2</v>
      </c>
      <c r="Q212" s="311">
        <f>全车数据表!Q213</f>
        <v>86</v>
      </c>
      <c r="R212" s="311">
        <f>全车数据表!R213</f>
        <v>73.709999999999994</v>
      </c>
      <c r="S212" s="311">
        <f>全车数据表!S213</f>
        <v>61.51</v>
      </c>
      <c r="T212" s="311">
        <f>全车数据表!T213</f>
        <v>0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411</v>
      </c>
      <c r="AC212" s="311">
        <f>全车数据表!AX213</f>
        <v>0</v>
      </c>
      <c r="AD212" s="311">
        <f>全车数据表!AY213</f>
        <v>552</v>
      </c>
      <c r="AE212" s="311" t="str">
        <f>IF(全车数据表!AZ213="","",全车数据表!AZ213)</f>
        <v>特殊赛事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>
        <f>IF(全车数据表!BK213="","",全车数据表!BK213)</f>
        <v>1</v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 t="str">
        <f>IF(全车数据表!BN213="","",全车数据表!BN213)</f>
        <v/>
      </c>
      <c r="AT212" s="311" t="str">
        <f>IF(全车数据表!BO213="","",全车数据表!BO213)</f>
        <v/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/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Mazzanti Evantra Millecavalli</v>
      </c>
      <c r="C213" s="311" t="str">
        <f>IF(全车数据表!AQ214="","",全车数据表!AQ214)</f>
        <v>Mazzanti</v>
      </c>
      <c r="D213" s="313" t="str">
        <f>全车数据表!AT214</f>
        <v>millecavalli</v>
      </c>
      <c r="E213" s="313" t="str">
        <f>全车数据表!AS214</f>
        <v>2.8</v>
      </c>
      <c r="F213" s="313" t="str">
        <f>全车数据表!C214</f>
        <v>皇后</v>
      </c>
      <c r="G213" s="311" t="str">
        <f>全车数据表!D214</f>
        <v>S</v>
      </c>
      <c r="H213" s="311">
        <f>LEN(全车数据表!E214)</f>
        <v>6</v>
      </c>
      <c r="I213" s="311">
        <f>IF(全车数据表!H214="×",0,全车数据表!H214)</f>
        <v>85</v>
      </c>
      <c r="J213" s="311">
        <f>IF(全车数据表!I214="×",0,全车数据表!I214)</f>
        <v>25</v>
      </c>
      <c r="K213" s="311">
        <f>IF(全车数据表!J214="×",0,全车数据表!J214)</f>
        <v>29</v>
      </c>
      <c r="L213" s="311">
        <f>IF(全车数据表!K214="×",0,全车数据表!K214)</f>
        <v>38</v>
      </c>
      <c r="M213" s="311">
        <f>IF(全车数据表!L214="×",0,全车数据表!L214)</f>
        <v>54</v>
      </c>
      <c r="N213" s="311">
        <f>IF(全车数据表!M214="×",0,全车数据表!M214)</f>
        <v>69</v>
      </c>
      <c r="O213" s="311">
        <f>全车数据表!O214</f>
        <v>4796</v>
      </c>
      <c r="P213" s="311">
        <f>全车数据表!P214</f>
        <v>412.5</v>
      </c>
      <c r="Q213" s="311">
        <f>全车数据表!Q214</f>
        <v>82.6</v>
      </c>
      <c r="R213" s="311">
        <f>全车数据表!R214</f>
        <v>63.86</v>
      </c>
      <c r="S213" s="311">
        <f>全车数据表!S214</f>
        <v>64.86</v>
      </c>
      <c r="T213" s="311">
        <f>全车数据表!T214</f>
        <v>0</v>
      </c>
      <c r="U213" s="311">
        <f>全车数据表!AH214</f>
        <v>27726000</v>
      </c>
      <c r="V213" s="311">
        <f>全车数据表!AO214</f>
        <v>14760000</v>
      </c>
      <c r="W213" s="311">
        <f>全车数据表!AP214</f>
        <v>42486000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432</v>
      </c>
      <c r="AC213" s="311">
        <f>全车数据表!AX214</f>
        <v>0</v>
      </c>
      <c r="AD213" s="311">
        <f>全车数据表!AY214</f>
        <v>563</v>
      </c>
      <c r="AE213" s="311" t="str">
        <f>IF(全车数据表!AZ214="","",全车数据表!AZ214)</f>
        <v>特殊赛事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>
        <f>IF(全车数据表!BK214="","",全车数据表!BK214)</f>
        <v>1</v>
      </c>
      <c r="AQ213" s="311" t="str">
        <f>IF(全车数据表!BL214="","",全车数据表!BL214)</f>
        <v/>
      </c>
      <c r="AR213" s="311" t="str">
        <f>IF(全车数据表!BM214="","",全车数据表!BM214)</f>
        <v/>
      </c>
      <c r="AS213" s="311" t="str">
        <f>IF(全车数据表!BN214="","",全车数据表!BN214)</f>
        <v/>
      </c>
      <c r="AT213" s="311">
        <f>IF(全车数据表!BO214="","",全车数据表!BO214)</f>
        <v>1</v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>皇后 马赞蒂</v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Toroidion 1MW</v>
      </c>
      <c r="C214" s="311" t="str">
        <f>IF(全车数据表!AQ215="","",全车数据表!AQ215)</f>
        <v>Toroidion</v>
      </c>
      <c r="D214" s="313" t="str">
        <f>全车数据表!AT215</f>
        <v>1mw</v>
      </c>
      <c r="E214" s="313" t="str">
        <f>全车数据表!AS215</f>
        <v>3.1</v>
      </c>
      <c r="F214" s="313" t="str">
        <f>全车数据表!C215</f>
        <v>1MW</v>
      </c>
      <c r="G214" s="311" t="str">
        <f>全车数据表!D215</f>
        <v>S</v>
      </c>
      <c r="H214" s="311">
        <f>LEN(全车数据表!E215)</f>
        <v>6</v>
      </c>
      <c r="I214" s="311">
        <f>IF(全车数据表!H215="×",0,全车数据表!H215)</f>
        <v>85</v>
      </c>
      <c r="J214" s="311">
        <f>IF(全车数据表!I215="×",0,全车数据表!I215)</f>
        <v>25</v>
      </c>
      <c r="K214" s="311">
        <f>IF(全车数据表!J215="×",0,全车数据表!J215)</f>
        <v>29</v>
      </c>
      <c r="L214" s="311">
        <f>IF(全车数据表!K215="×",0,全车数据表!K215)</f>
        <v>38</v>
      </c>
      <c r="M214" s="311">
        <f>IF(全车数据表!L215="×",0,全车数据表!L215)</f>
        <v>54</v>
      </c>
      <c r="N214" s="311">
        <f>IF(全车数据表!M215="×",0,全车数据表!M215)</f>
        <v>69</v>
      </c>
      <c r="O214" s="311">
        <f>全车数据表!O215</f>
        <v>4806</v>
      </c>
      <c r="P214" s="311">
        <f>全车数据表!P215</f>
        <v>460.6</v>
      </c>
      <c r="Q214" s="311">
        <f>全车数据表!Q215</f>
        <v>81.290000000000006</v>
      </c>
      <c r="R214" s="311">
        <f>全车数据表!R215</f>
        <v>60.32</v>
      </c>
      <c r="S214" s="311">
        <f>全车数据表!S215</f>
        <v>54.19</v>
      </c>
      <c r="T214" s="311">
        <f>全车数据表!T215</f>
        <v>4.5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485</v>
      </c>
      <c r="AC214" s="311">
        <f>全车数据表!AX215</f>
        <v>0</v>
      </c>
      <c r="AD214" s="311">
        <f>全车数据表!AY215</f>
        <v>587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>
        <f>IF(全车数据表!BK215="","",全车数据表!BK215)</f>
        <v>1</v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 t="str">
        <f>IF(全车数据表!BN215="","",全车数据表!BN215)</f>
        <v/>
      </c>
      <c r="AT214" s="311" t="str">
        <f>IF(全车数据表!BO215="","",全车数据表!BO215)</f>
        <v/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百万马力 万兆wate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Inferno Settimo Cerchio</v>
      </c>
      <c r="C215" s="311" t="str">
        <f>IF(全车数据表!AQ216="","",全车数据表!AQ216)</f>
        <v>Inferno</v>
      </c>
      <c r="D215" s="313" t="str">
        <f>全车数据表!AT216</f>
        <v>settimo</v>
      </c>
      <c r="E215" s="313" t="str">
        <f>全车数据表!AS216</f>
        <v>3.7</v>
      </c>
      <c r="F215" s="313" t="str">
        <f>全车数据表!C216</f>
        <v>第七狱</v>
      </c>
      <c r="G215" s="311" t="str">
        <f>全车数据表!D216</f>
        <v>S</v>
      </c>
      <c r="H215" s="311">
        <f>LEN(全车数据表!E216)</f>
        <v>6</v>
      </c>
      <c r="I215" s="311">
        <f>IF(全车数据表!H216="×",0,全车数据表!H216)</f>
        <v>85</v>
      </c>
      <c r="J215" s="311">
        <f>IF(全车数据表!I216="×",0,全车数据表!I216)</f>
        <v>25</v>
      </c>
      <c r="K215" s="311">
        <f>IF(全车数据表!J216="×",0,全车数据表!J216)</f>
        <v>29</v>
      </c>
      <c r="L215" s="311">
        <f>IF(全车数据表!K216="×",0,全车数据表!K216)</f>
        <v>38</v>
      </c>
      <c r="M215" s="311">
        <f>IF(全车数据表!L216="×",0,全车数据表!L216)</f>
        <v>54</v>
      </c>
      <c r="N215" s="311">
        <f>IF(全车数据表!M216="×",0,全车数据表!M216)</f>
        <v>69</v>
      </c>
      <c r="O215" s="311">
        <f>全车数据表!O216</f>
        <v>4817</v>
      </c>
      <c r="P215" s="311">
        <f>全车数据表!P216</f>
        <v>447.1</v>
      </c>
      <c r="Q215" s="311">
        <f>全车数据表!Q216</f>
        <v>84.34</v>
      </c>
      <c r="R215" s="311">
        <f>全车数据表!R216</f>
        <v>61.43</v>
      </c>
      <c r="S215" s="311">
        <f>全车数据表!S216</f>
        <v>39.21</v>
      </c>
      <c r="T215" s="311">
        <f>全车数据表!T216</f>
        <v>0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470</v>
      </c>
      <c r="AC215" s="311">
        <f>全车数据表!AX216</f>
        <v>0</v>
      </c>
      <c r="AD215" s="311">
        <f>全车数据表!AY216</f>
        <v>581</v>
      </c>
      <c r="AE215" s="311" t="str">
        <f>IF(全车数据表!AZ216="","",全车数据表!AZ216)</f>
        <v>特殊赛事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 t="str">
        <f>IF(全车数据表!BM216="","",全车数据表!BM216)</f>
        <v/>
      </c>
      <c r="AS215" s="311" t="str">
        <f>IF(全车数据表!BN216="","",全车数据表!BN216)</f>
        <v/>
      </c>
      <c r="AT215" s="311" t="str">
        <f>IF(全车数据表!BO216="","",全车数据表!BO216)</f>
        <v/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地域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Jesko🔑</v>
      </c>
      <c r="C216" s="311" t="str">
        <f>IF(全车数据表!AQ217="","",全车数据表!AQ217)</f>
        <v>Koenigsegg</v>
      </c>
      <c r="D216" s="313" t="str">
        <f>全车数据表!AT217</f>
        <v>jesko</v>
      </c>
      <c r="E216" s="313" t="str">
        <f>全车数据表!AS217</f>
        <v>1.6</v>
      </c>
      <c r="F216" s="313" t="str">
        <f>全车数据表!C217</f>
        <v>Jesko</v>
      </c>
      <c r="G216" s="311" t="str">
        <f>全车数据表!D217</f>
        <v>S</v>
      </c>
      <c r="H216" s="311">
        <f>LEN(全车数据表!E217)</f>
        <v>6</v>
      </c>
      <c r="I216" s="311" t="str">
        <f>IF(全车数据表!H217="×",0,全车数据表!H217)</f>
        <v>🔑</v>
      </c>
      <c r="J216" s="311">
        <f>IF(全车数据表!I217="×",0,全车数据表!I217)</f>
        <v>40</v>
      </c>
      <c r="K216" s="311">
        <f>IF(全车数据表!J217="×",0,全车数据表!J217)</f>
        <v>45</v>
      </c>
      <c r="L216" s="311">
        <f>IF(全车数据表!K217="×",0,全车数据表!K217)</f>
        <v>60</v>
      </c>
      <c r="M216" s="311">
        <f>IF(全车数据表!L217="×",0,全车数据表!L217)</f>
        <v>70</v>
      </c>
      <c r="N216" s="311">
        <f>IF(全车数据表!M217="×",0,全车数据表!M217)</f>
        <v>85</v>
      </c>
      <c r="O216" s="311">
        <f>全车数据表!O217</f>
        <v>4826</v>
      </c>
      <c r="P216" s="311">
        <f>全车数据表!P217</f>
        <v>496.6</v>
      </c>
      <c r="Q216" s="311">
        <f>全车数据表!Q217</f>
        <v>80.069999999999993</v>
      </c>
      <c r="R216" s="311">
        <f>全车数据表!R217</f>
        <v>48.19</v>
      </c>
      <c r="S216" s="311">
        <f>全车数据表!S217</f>
        <v>58.23</v>
      </c>
      <c r="T216" s="311">
        <f>全车数据表!T217</f>
        <v>4.8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522</v>
      </c>
      <c r="AC216" s="311">
        <f>全车数据表!AX217</f>
        <v>0</v>
      </c>
      <c r="AD216" s="311">
        <f>全车数据表!AY217</f>
        <v>600</v>
      </c>
      <c r="AE216" s="311" t="str">
        <f>IF(全车数据表!AZ217="","",全车数据表!AZ217)</f>
        <v>联会赛事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>
        <f>IF(全车数据表!BM217="","",全车数据表!BM217)</f>
        <v>1</v>
      </c>
      <c r="AS216" s="311">
        <f>IF(全车数据表!BN217="","",全车数据表!BN217)</f>
        <v>1</v>
      </c>
      <c r="AT216" s="311">
        <f>IF(全车数据表!BO217="","",全车数据表!BO217)</f>
        <v>1</v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 杰哥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Bugatti Centodieci🔑</v>
      </c>
      <c r="C217" s="311" t="str">
        <f>IF(全车数据表!AQ218="","",全车数据表!AQ218)</f>
        <v>Bugatti</v>
      </c>
      <c r="D217" s="313" t="str">
        <f>全车数据表!AT218</f>
        <v>centodieci</v>
      </c>
      <c r="E217" s="313" t="str">
        <f>全车数据表!AS218</f>
        <v>3.6</v>
      </c>
      <c r="F217" s="313" t="str">
        <f>全车数据表!C218</f>
        <v>Centodieci</v>
      </c>
      <c r="G217" s="311" t="str">
        <f>全车数据表!D218</f>
        <v>S</v>
      </c>
      <c r="H217" s="311">
        <f>LEN(全车数据表!E218)</f>
        <v>6</v>
      </c>
      <c r="I217" s="311" t="str">
        <f>IF(全车数据表!H218="×",0,全车数据表!H218)</f>
        <v>🔑</v>
      </c>
      <c r="J217" s="311">
        <f>IF(全车数据表!I218="×",0,全车数据表!I218)</f>
        <v>40</v>
      </c>
      <c r="K217" s="311">
        <f>IF(全车数据表!J218="×",0,全车数据表!J218)</f>
        <v>45</v>
      </c>
      <c r="L217" s="311">
        <f>IF(全车数据表!K218="×",0,全车数据表!K218)</f>
        <v>60</v>
      </c>
      <c r="M217" s="311">
        <f>IF(全车数据表!L218="×",0,全车数据表!L218)</f>
        <v>70</v>
      </c>
      <c r="N217" s="311">
        <f>IF(全车数据表!M218="×",0,全车数据表!M218)</f>
        <v>85</v>
      </c>
      <c r="O217" s="311">
        <f>全车数据表!O218</f>
        <v>4843</v>
      </c>
      <c r="P217" s="311">
        <f>全车数据表!P218</f>
        <v>402.7</v>
      </c>
      <c r="Q217" s="311">
        <f>全车数据表!Q218</f>
        <v>86.51</v>
      </c>
      <c r="R217" s="311">
        <f>全车数据表!R218</f>
        <v>62.58</v>
      </c>
      <c r="S217" s="311">
        <f>全车数据表!S218</f>
        <v>77.09</v>
      </c>
      <c r="T217" s="311">
        <f>全车数据表!T218</f>
        <v>7.3</v>
      </c>
      <c r="U217" s="311">
        <f>全车数据表!AH218</f>
        <v>27726000</v>
      </c>
      <c r="V217" s="311">
        <f>全车数据表!AO218</f>
        <v>14760000</v>
      </c>
      <c r="W217" s="311">
        <f>全车数据表!AP218</f>
        <v>42486000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418</v>
      </c>
      <c r="AC217" s="311">
        <f>全车数据表!AX218</f>
        <v>0</v>
      </c>
      <c r="AD217" s="311">
        <f>全车数据表!AY218</f>
        <v>557</v>
      </c>
      <c r="AE217" s="311" t="str">
        <f>IF(全车数据表!AZ218="","",全车数据表!AZ218)</f>
        <v>联会赛事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 t="str">
        <f>IF(全车数据表!BK218="","",全车数据表!BK218)</f>
        <v/>
      </c>
      <c r="AQ217" s="311" t="str">
        <f>IF(全车数据表!BL218="","",全车数据表!BL218)</f>
        <v/>
      </c>
      <c r="AR217" s="311">
        <f>IF(全车数据表!BM218="","",全车数据表!BM218)</f>
        <v>1</v>
      </c>
      <c r="AS217" s="311">
        <f>IF(全车数据表!BN218="","",全车数据表!BN218)</f>
        <v>1</v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/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布加迪 白龙 110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Aspark Owl</v>
      </c>
      <c r="C218" s="311" t="str">
        <f>IF(全车数据表!AQ219="","",全车数据表!AQ219)</f>
        <v>Aspark</v>
      </c>
      <c r="D218" s="313" t="str">
        <f>全车数据表!AT219</f>
        <v>owl</v>
      </c>
      <c r="E218" s="313" t="str">
        <f>全车数据表!AS219</f>
        <v>2.7</v>
      </c>
      <c r="F218" s="313" t="str">
        <f>全车数据表!C219</f>
        <v>猫头鹰</v>
      </c>
      <c r="G218" s="311" t="str">
        <f>全车数据表!D219</f>
        <v>S</v>
      </c>
      <c r="H218" s="311">
        <f>LEN(全车数据表!E219)</f>
        <v>6</v>
      </c>
      <c r="I218" s="311">
        <f>IF(全车数据表!H219="×",0,全车数据表!H219)</f>
        <v>85</v>
      </c>
      <c r="J218" s="311">
        <f>IF(全车数据表!I219="×",0,全车数据表!I219)</f>
        <v>25</v>
      </c>
      <c r="K218" s="311">
        <f>IF(全车数据表!J219="×",0,全车数据表!J219)</f>
        <v>29</v>
      </c>
      <c r="L218" s="311">
        <f>IF(全车数据表!K219="×",0,全车数据表!K219)</f>
        <v>38</v>
      </c>
      <c r="M218" s="311">
        <f>IF(全车数据表!L219="×",0,全车数据表!L219)</f>
        <v>54</v>
      </c>
      <c r="N218" s="311">
        <f>IF(全车数据表!M219="×",0,全车数据表!M219)</f>
        <v>69</v>
      </c>
      <c r="O218" s="311">
        <f>全车数据表!O219</f>
        <v>4863</v>
      </c>
      <c r="P218" s="311">
        <f>全车数据表!P219</f>
        <v>414.7</v>
      </c>
      <c r="Q218" s="311">
        <f>全车数据表!Q219</f>
        <v>89.4</v>
      </c>
      <c r="R218" s="311">
        <f>全车数据表!R219</f>
        <v>51.75</v>
      </c>
      <c r="S218" s="311">
        <f>全车数据表!S219</f>
        <v>51.27</v>
      </c>
      <c r="T218" s="311">
        <f>全车数据表!T219</f>
        <v>4.5</v>
      </c>
      <c r="U218" s="311">
        <f>全车数据表!AH219</f>
        <v>27726000</v>
      </c>
      <c r="V218" s="311">
        <f>全车数据表!AO219</f>
        <v>14760000</v>
      </c>
      <c r="W218" s="311">
        <f>全车数据表!AP219</f>
        <v>42486000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435</v>
      </c>
      <c r="AC218" s="311">
        <f>全车数据表!AX219</f>
        <v>0</v>
      </c>
      <c r="AD218" s="311">
        <f>全车数据表!AY219</f>
        <v>565</v>
      </c>
      <c r="AE218" s="311" t="str">
        <f>IF(全车数据表!AZ219="","",全车数据表!AZ219)</f>
        <v>特殊赛事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>
        <f>IF(全车数据表!BK219="","",全车数据表!BK219)</f>
        <v>1</v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 t="str">
        <f>IF(全车数据表!BN219="","",全车数据表!BN219)</f>
        <v/>
      </c>
      <c r="AT218" s="311">
        <f>IF(全车数据表!BO219="","",全车数据表!BO219)</f>
        <v>1</v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>猫头鹰</v>
      </c>
      <c r="BA218" s="311" t="str">
        <f>IF(全车数据表!AV219="","",全车数据表!AV219)</f>
        <v/>
      </c>
    </row>
    <row r="219" spans="1:53">
      <c r="A219" s="311">
        <f>全车数据表!A220</f>
        <v>218</v>
      </c>
      <c r="B219" s="311" t="str">
        <f>全车数据表!B220</f>
        <v>Rimac Nevera🔑</v>
      </c>
      <c r="C219" s="311" t="str">
        <f>IF(全车数据表!AQ220="","",全车数据表!AQ220)</f>
        <v>Rimac</v>
      </c>
      <c r="D219" s="313" t="str">
        <f>全车数据表!AT220</f>
        <v>c2</v>
      </c>
      <c r="E219" s="313" t="str">
        <f>全车数据表!AS220</f>
        <v>1.9</v>
      </c>
      <c r="F219" s="313" t="str">
        <f>全车数据表!C220</f>
        <v>C2</v>
      </c>
      <c r="G219" s="311" t="str">
        <f>全车数据表!D220</f>
        <v>S</v>
      </c>
      <c r="H219" s="311">
        <f>LEN(全车数据表!E220)</f>
        <v>6</v>
      </c>
      <c r="I219" s="311" t="str">
        <f>IF(全车数据表!H220="×",0,全车数据表!H220)</f>
        <v>🔑</v>
      </c>
      <c r="J219" s="311">
        <f>IF(全车数据表!I220="×",0,全车数据表!I220)</f>
        <v>40</v>
      </c>
      <c r="K219" s="311">
        <f>IF(全车数据表!J220="×",0,全车数据表!J220)</f>
        <v>45</v>
      </c>
      <c r="L219" s="311">
        <f>IF(全车数据表!K220="×",0,全车数据表!K220)</f>
        <v>60</v>
      </c>
      <c r="M219" s="311">
        <f>IF(全车数据表!L220="×",0,全车数据表!L220)</f>
        <v>70</v>
      </c>
      <c r="N219" s="311">
        <f>IF(全车数据表!M220="×",0,全车数据表!M220)</f>
        <v>85</v>
      </c>
      <c r="O219" s="311">
        <f>全车数据表!O220</f>
        <v>4897</v>
      </c>
      <c r="P219" s="311">
        <f>全车数据表!P220</f>
        <v>421.6</v>
      </c>
      <c r="Q219" s="311">
        <f>全车数据表!Q220</f>
        <v>87.71</v>
      </c>
      <c r="R219" s="311">
        <f>全车数据表!R220</f>
        <v>51.33</v>
      </c>
      <c r="S219" s="311">
        <f>全车数据表!S220</f>
        <v>56.51</v>
      </c>
      <c r="T219" s="311">
        <f>全车数据表!T220</f>
        <v>5</v>
      </c>
      <c r="U219" s="311">
        <f>全车数据表!AH220</f>
        <v>27726000</v>
      </c>
      <c r="V219" s="311">
        <f>全车数据表!AO220</f>
        <v>14760000</v>
      </c>
      <c r="W219" s="311">
        <f>全车数据表!AP220</f>
        <v>42486000</v>
      </c>
      <c r="X219" s="311">
        <f>全车数据表!AJ220</f>
        <v>7</v>
      </c>
      <c r="Y219" s="311">
        <f>全车数据表!AL220</f>
        <v>5</v>
      </c>
      <c r="Z219" s="311">
        <f>IF(全车数据表!AN220="×",0,全车数据表!AN220)</f>
        <v>4</v>
      </c>
      <c r="AA219" s="313" t="str">
        <f>全车数据表!AU220</f>
        <v>epic</v>
      </c>
      <c r="AB219" s="311">
        <f>全车数据表!AW220</f>
        <v>444</v>
      </c>
      <c r="AC219" s="311">
        <f>全车数据表!AX220</f>
        <v>0</v>
      </c>
      <c r="AD219" s="311">
        <f>全车数据表!AY220</f>
        <v>569</v>
      </c>
      <c r="AE219" s="311" t="str">
        <f>IF(全车数据表!AZ220="","",全车数据表!AZ220)</f>
        <v>联会赛事</v>
      </c>
      <c r="AF219" s="311" t="str">
        <f>IF(全车数据表!BA220="","",全车数据表!BA220)</f>
        <v/>
      </c>
      <c r="AG219" s="311" t="str">
        <f>IF(全车数据表!BB220="","",全车数据表!BB220)</f>
        <v/>
      </c>
      <c r="AH219" s="311" t="str">
        <f>IF(全车数据表!BC220="","",全车数据表!BC220)</f>
        <v/>
      </c>
      <c r="AI219" s="311" t="str">
        <f>IF(全车数据表!BD220="","",全车数据表!BD220)</f>
        <v/>
      </c>
      <c r="AJ219" s="311" t="str">
        <f>IF(全车数据表!BE220="","",全车数据表!BE220)</f>
        <v/>
      </c>
      <c r="AK219" s="311" t="str">
        <f>IF(全车数据表!BF220="","",全车数据表!BF220)</f>
        <v/>
      </c>
      <c r="AL219" s="311" t="str">
        <f>IF(全车数据表!BG220="","",全车数据表!BG220)</f>
        <v/>
      </c>
      <c r="AM219" s="311" t="str">
        <f>IF(全车数据表!BH220="","",全车数据表!BH220)</f>
        <v/>
      </c>
      <c r="AN219" s="311" t="str">
        <f>IF(全车数据表!BI220="","",全车数据表!BI220)</f>
        <v/>
      </c>
      <c r="AO219" s="311" t="str">
        <f>IF(全车数据表!BJ220="","",全车数据表!BJ220)</f>
        <v/>
      </c>
      <c r="AP219" s="311" t="str">
        <f>IF(全车数据表!BK220="","",全车数据表!BK220)</f>
        <v/>
      </c>
      <c r="AQ219" s="311" t="str">
        <f>IF(全车数据表!BL220="","",全车数据表!BL220)</f>
        <v/>
      </c>
      <c r="AR219" s="311">
        <f>IF(全车数据表!BM220="","",全车数据表!BM220)</f>
        <v>1</v>
      </c>
      <c r="AS219" s="311">
        <f>IF(全车数据表!BN220="","",全车数据表!BN220)</f>
        <v>1</v>
      </c>
      <c r="AT219" s="311">
        <f>IF(全车数据表!BO220="","",全车数据表!BO220)</f>
        <v>1</v>
      </c>
      <c r="AU219" s="311" t="str">
        <f>IF(全车数据表!BP220="","",全车数据表!BP220)</f>
        <v/>
      </c>
      <c r="AV219" s="311" t="str">
        <f>IF(全车数据表!BQ220="","",全车数据表!BQ220)</f>
        <v/>
      </c>
      <c r="AW219" s="311" t="str">
        <f>IF(全车数据表!BR220="","",全车数据表!BR220)</f>
        <v/>
      </c>
      <c r="AX219" s="311" t="str">
        <f>IF(全车数据表!BS220="","",全车数据表!BS220)</f>
        <v/>
      </c>
      <c r="AY219" s="311" t="str">
        <f>IF(全车数据表!BT220="","",全车数据表!BT220)</f>
        <v/>
      </c>
      <c r="AZ219" s="311" t="str">
        <f>IF(全车数据表!BU220="","",全车数据表!BU220)</f>
        <v>c2</v>
      </c>
      <c r="BA219" s="311" t="str">
        <f>IF(全车数据表!AV220="","",全车数据表!AV220)</f>
        <v/>
      </c>
    </row>
    <row r="220" spans="1:53">
      <c r="A220" s="311">
        <f>全车数据表!A221</f>
        <v>219</v>
      </c>
      <c r="B220" s="311" t="str">
        <f>全车数据表!B221</f>
        <v>Koenigsegg Agera RS</v>
      </c>
      <c r="C220" s="311" t="str">
        <f>IF(全车数据表!AQ221="","",全车数据表!AQ221)</f>
        <v>Koenigsegg</v>
      </c>
      <c r="D220" s="313" t="str">
        <f>全车数据表!AT221</f>
        <v>agerars</v>
      </c>
      <c r="E220" s="313" t="str">
        <f>全车数据表!AS221</f>
        <v>3.7</v>
      </c>
      <c r="F220" s="313" t="str">
        <f>全车数据表!C221</f>
        <v>Agera RS</v>
      </c>
      <c r="G220" s="311" t="str">
        <f>全车数据表!D221</f>
        <v>S</v>
      </c>
      <c r="H220" s="311">
        <f>LEN(全车数据表!E221)</f>
        <v>6</v>
      </c>
      <c r="I220" s="311">
        <f>IF(全车数据表!H221="×",0,全车数据表!H221)</f>
        <v>85</v>
      </c>
      <c r="J220" s="311">
        <f>IF(全车数据表!I221="×",0,全车数据表!I221)</f>
        <v>25</v>
      </c>
      <c r="K220" s="311">
        <f>IF(全车数据表!J221="×",0,全车数据表!J221)</f>
        <v>29</v>
      </c>
      <c r="L220" s="311">
        <f>IF(全车数据表!K221="×",0,全车数据表!K221)</f>
        <v>38</v>
      </c>
      <c r="M220" s="311">
        <f>IF(全车数据表!L221="×",0,全车数据表!L221)</f>
        <v>54</v>
      </c>
      <c r="N220" s="311">
        <f>IF(全车数据表!M221="×",0,全车数据表!M221)</f>
        <v>69</v>
      </c>
      <c r="O220" s="311">
        <f>全车数据表!O221</f>
        <v>4940</v>
      </c>
      <c r="P220" s="311">
        <f>全车数据表!P221</f>
        <v>484.8</v>
      </c>
      <c r="Q220" s="311">
        <f>全车数据表!Q221</f>
        <v>79.67</v>
      </c>
      <c r="R220" s="311">
        <f>全车数据表!R221</f>
        <v>60.03</v>
      </c>
      <c r="S220" s="311">
        <f>全车数据表!S221</f>
        <v>58.86</v>
      </c>
      <c r="T220" s="311">
        <f>全车数据表!T221</f>
        <v>0</v>
      </c>
      <c r="U220" s="311">
        <f>全车数据表!AH221</f>
        <v>27726000</v>
      </c>
      <c r="V220" s="311">
        <f>全车数据表!AO221</f>
        <v>14760000</v>
      </c>
      <c r="W220" s="311">
        <f>全车数据表!AP221</f>
        <v>42486000</v>
      </c>
      <c r="X220" s="311">
        <f>全车数据表!AJ221</f>
        <v>7</v>
      </c>
      <c r="Y220" s="311">
        <f>全车数据表!AL221</f>
        <v>5</v>
      </c>
      <c r="Z220" s="311">
        <f>IF(全车数据表!AN221="×",0,全车数据表!AN221)</f>
        <v>4</v>
      </c>
      <c r="AA220" s="313" t="str">
        <f>全车数据表!AU221</f>
        <v>epic</v>
      </c>
      <c r="AB220" s="311">
        <f>全车数据表!AW221</f>
        <v>510</v>
      </c>
      <c r="AC220" s="311">
        <f>全车数据表!AX221</f>
        <v>0</v>
      </c>
      <c r="AD220" s="311">
        <f>全车数据表!AY221</f>
        <v>598</v>
      </c>
      <c r="AE220" s="311" t="str">
        <f>IF(全车数据表!AZ221="","",全车数据表!AZ221)</f>
        <v>俱乐部对战</v>
      </c>
      <c r="AF220" s="311" t="str">
        <f>IF(全车数据表!BA221="","",全车数据表!BA221)</f>
        <v/>
      </c>
      <c r="AG220" s="311" t="str">
        <f>IF(全车数据表!BB221="","",全车数据表!BB221)</f>
        <v/>
      </c>
      <c r="AH220" s="311" t="str">
        <f>IF(全车数据表!BC221="","",全车数据表!BC221)</f>
        <v/>
      </c>
      <c r="AI220" s="311" t="str">
        <f>IF(全车数据表!BD221="","",全车数据表!BD221)</f>
        <v/>
      </c>
      <c r="AJ220" s="311" t="str">
        <f>IF(全车数据表!BE221="","",全车数据表!BE221)</f>
        <v/>
      </c>
      <c r="AK220" s="311" t="str">
        <f>IF(全车数据表!BF221="","",全车数据表!BF221)</f>
        <v/>
      </c>
      <c r="AL220" s="311" t="str">
        <f>IF(全车数据表!BG221="","",全车数据表!BG221)</f>
        <v/>
      </c>
      <c r="AM220" s="311" t="str">
        <f>IF(全车数据表!BH221="","",全车数据表!BH221)</f>
        <v/>
      </c>
      <c r="AN220" s="311" t="str">
        <f>IF(全车数据表!BI221="","",全车数据表!BI221)</f>
        <v/>
      </c>
      <c r="AO220" s="311" t="str">
        <f>IF(全车数据表!BJ221="","",全车数据表!BJ221)</f>
        <v/>
      </c>
      <c r="AP220" s="311" t="str">
        <f>IF(全车数据表!BK221="","",全车数据表!BK221)</f>
        <v/>
      </c>
      <c r="AQ220" s="311" t="str">
        <f>IF(全车数据表!BL221="","",全车数据表!BL221)</f>
        <v/>
      </c>
      <c r="AR220" s="311" t="str">
        <f>IF(全车数据表!BM221="","",全车数据表!BM221)</f>
        <v/>
      </c>
      <c r="AS220" s="311" t="str">
        <f>IF(全车数据表!BN221="","",全车数据表!BN221)</f>
        <v/>
      </c>
      <c r="AT220" s="311" t="str">
        <f>IF(全车数据表!BO221="","",全车数据表!BO221)</f>
        <v/>
      </c>
      <c r="AU220" s="311" t="str">
        <f>IF(全车数据表!BP221="","",全车数据表!BP221)</f>
        <v/>
      </c>
      <c r="AV220" s="311" t="str">
        <f>IF(全车数据表!BQ221="","",全车数据表!BQ221)</f>
        <v/>
      </c>
      <c r="AW220" s="311" t="str">
        <f>IF(全车数据表!BR221="","",全车数据表!BR221)</f>
        <v/>
      </c>
      <c r="AX220" s="311" t="str">
        <f>IF(全车数据表!BS221="","",全车数据表!BS221)</f>
        <v/>
      </c>
      <c r="AY220" s="311" t="str">
        <f>IF(全车数据表!BT221="","",全车数据表!BT221)</f>
        <v/>
      </c>
      <c r="AZ220" s="311" t="str">
        <f>IF(全车数据表!BU221="","",全车数据表!BU221)</f>
        <v>柯尼塞格</v>
      </c>
      <c r="BA220" s="311" t="str">
        <f>IF(全车数据表!AV221="","",全车数据表!AV221)</f>
        <v/>
      </c>
    </row>
    <row r="221" spans="1:53">
      <c r="A221" s="311">
        <f>全车数据表!A222</f>
        <v>220</v>
      </c>
      <c r="B221" s="311" t="str">
        <f>全车数据表!B222</f>
        <v>SSC Tuatara🔑</v>
      </c>
      <c r="C221" s="311" t="str">
        <f>IF(全车数据表!AQ222="","",全车数据表!AQ222)</f>
        <v>SSC</v>
      </c>
      <c r="D221" s="313" t="str">
        <f>全车数据表!AT222</f>
        <v>ssc</v>
      </c>
      <c r="E221" s="313" t="str">
        <f>全车数据表!AS222</f>
        <v>2.3</v>
      </c>
      <c r="F221" s="313" t="str">
        <f>全车数据表!C222</f>
        <v>大蜥蜴</v>
      </c>
      <c r="G221" s="311" t="str">
        <f>全车数据表!D222</f>
        <v>S</v>
      </c>
      <c r="H221" s="311">
        <f>LEN(全车数据表!E222)</f>
        <v>6</v>
      </c>
      <c r="I221" s="311" t="str">
        <f>IF(全车数据表!H222="×",0,全车数据表!H222)</f>
        <v>🔑</v>
      </c>
      <c r="J221" s="311">
        <f>IF(全车数据表!I222="×",0,全车数据表!I222)</f>
        <v>40</v>
      </c>
      <c r="K221" s="311">
        <f>IF(全车数据表!J222="×",0,全车数据表!J222)</f>
        <v>45</v>
      </c>
      <c r="L221" s="311">
        <f>IF(全车数据表!K222="×",0,全车数据表!K222)</f>
        <v>60</v>
      </c>
      <c r="M221" s="311">
        <f>IF(全车数据表!L222="×",0,全车数据表!L222)</f>
        <v>70</v>
      </c>
      <c r="N221" s="311">
        <f>IF(全车数据表!M222="×",0,全车数据表!M222)</f>
        <v>85</v>
      </c>
      <c r="O221" s="311">
        <f>全车数据表!O222</f>
        <v>4969</v>
      </c>
      <c r="P221" s="311">
        <f>全车数据表!P222</f>
        <v>490.6</v>
      </c>
      <c r="Q221" s="311">
        <f>全车数据表!Q222</f>
        <v>82.51</v>
      </c>
      <c r="R221" s="311">
        <f>全车数据表!R222</f>
        <v>48.77</v>
      </c>
      <c r="S221" s="311">
        <f>全车数据表!S222</f>
        <v>62.04</v>
      </c>
      <c r="T221" s="311">
        <f>全车数据表!T222</f>
        <v>5.17</v>
      </c>
      <c r="U221" s="311">
        <f>全车数据表!AH222</f>
        <v>27726000</v>
      </c>
      <c r="V221" s="311">
        <f>全车数据表!AO222</f>
        <v>7380000</v>
      </c>
      <c r="W221" s="311">
        <f>全车数据表!AP222</f>
        <v>35106000</v>
      </c>
      <c r="X221" s="311">
        <f>全车数据表!AJ222</f>
        <v>7</v>
      </c>
      <c r="Y221" s="311">
        <f>全车数据表!AL222</f>
        <v>5</v>
      </c>
      <c r="Z221" s="311">
        <f>IF(全车数据表!AN222="×",0,全车数据表!AN222)</f>
        <v>4</v>
      </c>
      <c r="AA221" s="313" t="str">
        <f>全车数据表!AU222</f>
        <v>epic</v>
      </c>
      <c r="AB221" s="311">
        <f>全车数据表!AW222</f>
        <v>516</v>
      </c>
      <c r="AC221" s="311">
        <f>全车数据表!AX222</f>
        <v>0</v>
      </c>
      <c r="AD221" s="311">
        <f>全车数据表!AY222</f>
        <v>600</v>
      </c>
      <c r="AE221" s="311" t="str">
        <f>IF(全车数据表!AZ222="","",全车数据表!AZ222)</f>
        <v>特殊赛事</v>
      </c>
      <c r="AF221" s="311" t="str">
        <f>IF(全车数据表!BA222="","",全车数据表!BA222)</f>
        <v/>
      </c>
      <c r="AG221" s="311" t="str">
        <f>IF(全车数据表!BB222="","",全车数据表!BB222)</f>
        <v/>
      </c>
      <c r="AH221" s="311" t="str">
        <f>IF(全车数据表!BC222="","",全车数据表!BC222)</f>
        <v/>
      </c>
      <c r="AI221" s="311" t="str">
        <f>IF(全车数据表!BD222="","",全车数据表!BD222)</f>
        <v/>
      </c>
      <c r="AJ221" s="311" t="str">
        <f>IF(全车数据表!BE222="","",全车数据表!BE222)</f>
        <v/>
      </c>
      <c r="AK221" s="311" t="str">
        <f>IF(全车数据表!BF222="","",全车数据表!BF222)</f>
        <v/>
      </c>
      <c r="AL221" s="311" t="str">
        <f>IF(全车数据表!BG222="","",全车数据表!BG222)</f>
        <v/>
      </c>
      <c r="AM221" s="311" t="str">
        <f>IF(全车数据表!BH222="","",全车数据表!BH222)</f>
        <v/>
      </c>
      <c r="AN221" s="311" t="str">
        <f>IF(全车数据表!BI222="","",全车数据表!BI222)</f>
        <v/>
      </c>
      <c r="AO221" s="311" t="str">
        <f>IF(全车数据表!BJ222="","",全车数据表!BJ222)</f>
        <v/>
      </c>
      <c r="AP221" s="311">
        <f>IF(全车数据表!BK222="","",全车数据表!BK222)</f>
        <v>1</v>
      </c>
      <c r="AQ221" s="311" t="str">
        <f>IF(全车数据表!BL222="","",全车数据表!BL222)</f>
        <v/>
      </c>
      <c r="AR221" s="311" t="str">
        <f>IF(全车数据表!BM222="","",全车数据表!BM222)</f>
        <v/>
      </c>
      <c r="AS221" s="311">
        <f>IF(全车数据表!BN222="","",全车数据表!BN222)</f>
        <v>1</v>
      </c>
      <c r="AT221" s="311">
        <f>IF(全车数据表!BO222="","",全车数据表!BO222)</f>
        <v>1</v>
      </c>
      <c r="AU221" s="311" t="str">
        <f>IF(全车数据表!BP222="","",全车数据表!BP222)</f>
        <v/>
      </c>
      <c r="AV221" s="311" t="str">
        <f>IF(全车数据表!BQ222="","",全车数据表!BQ222)</f>
        <v/>
      </c>
      <c r="AW221" s="311" t="str">
        <f>IF(全车数据表!BR222="","",全车数据表!BR222)</f>
        <v/>
      </c>
      <c r="AX221" s="311" t="str">
        <f>IF(全车数据表!BS222="","",全车数据表!BS222)</f>
        <v/>
      </c>
      <c r="AY221" s="311" t="str">
        <f>IF(全车数据表!BT222="","",全车数据表!BT222)</f>
        <v/>
      </c>
      <c r="AZ221" s="311" t="str">
        <f>IF(全车数据表!BU222="","",全车数据表!BU222)</f>
        <v>大蜥蜴</v>
      </c>
      <c r="BA221" s="311" t="str">
        <f>IF(全车数据表!AV222="","",全车数据表!AV222)</f>
        <v/>
      </c>
    </row>
    <row r="222" spans="1:53">
      <c r="A222" s="311">
        <f>全车数据表!A223</f>
        <v>221</v>
      </c>
      <c r="B222" s="311" t="str">
        <f>全车数据表!B223</f>
        <v>W Motors Lykan Security</v>
      </c>
      <c r="C222" s="311" t="str">
        <f>IF(全车数据表!AQ223="","",全车数据表!AQ223)</f>
        <v>W Motors</v>
      </c>
      <c r="D222" s="313" t="str">
        <f>全车数据表!AT223</f>
        <v>lykansecurity</v>
      </c>
      <c r="E222" s="313" t="str">
        <f>全车数据表!AS223</f>
        <v>3.6</v>
      </c>
      <c r="F222" s="313" t="str">
        <f>全车数据表!C223</f>
        <v>安全狼崽</v>
      </c>
      <c r="G222" s="311" t="str">
        <f>全车数据表!D223</f>
        <v>S</v>
      </c>
      <c r="H222" s="311">
        <f>LEN(全车数据表!E223)</f>
        <v>6</v>
      </c>
      <c r="I222" s="311">
        <f>IF(全车数据表!H223="×",0,全车数据表!H223)</f>
        <v>85</v>
      </c>
      <c r="J222" s="311">
        <f>IF(全车数据表!I223="×",0,全车数据表!I223)</f>
        <v>25</v>
      </c>
      <c r="K222" s="311">
        <f>IF(全车数据表!J223="×",0,全车数据表!J223)</f>
        <v>29</v>
      </c>
      <c r="L222" s="311">
        <f>IF(全车数据表!K223="×",0,全车数据表!K223)</f>
        <v>38</v>
      </c>
      <c r="M222" s="311">
        <f>IF(全车数据表!L223="×",0,全车数据表!L223)</f>
        <v>54</v>
      </c>
      <c r="N222" s="311">
        <f>IF(全车数据表!M223="×",0,全车数据表!M223)</f>
        <v>69</v>
      </c>
      <c r="O222" s="311">
        <f>全车数据表!O223</f>
        <v>4977</v>
      </c>
      <c r="P222" s="311">
        <f>全车数据表!P223</f>
        <v>445.8</v>
      </c>
      <c r="Q222" s="311">
        <f>全车数据表!Q223</f>
        <v>86.33</v>
      </c>
      <c r="R222" s="311">
        <f>全车数据表!R223</f>
        <v>61.08</v>
      </c>
      <c r="S222" s="311">
        <f>全车数据表!S223</f>
        <v>29.38</v>
      </c>
      <c r="T222" s="311">
        <f>全车数据表!T223</f>
        <v>0</v>
      </c>
      <c r="U222" s="311">
        <f>全车数据表!AH223</f>
        <v>0</v>
      </c>
      <c r="V222" s="311" t="str">
        <f>全车数据表!AO223</f>
        <v/>
      </c>
      <c r="W222" s="311">
        <f>全车数据表!AP223</f>
        <v>0</v>
      </c>
      <c r="X222" s="311">
        <f>全车数据表!AJ223</f>
        <v>7</v>
      </c>
      <c r="Y222" s="311">
        <f>全车数据表!AL223</f>
        <v>5</v>
      </c>
      <c r="Z222" s="311">
        <f>IF(全车数据表!AN223="×",0,全车数据表!AN223)</f>
        <v>4</v>
      </c>
      <c r="AA222" s="313" t="str">
        <f>全车数据表!AU223</f>
        <v>epic</v>
      </c>
      <c r="AB222" s="311">
        <f>全车数据表!AW223</f>
        <v>469</v>
      </c>
      <c r="AC222" s="311">
        <f>全车数据表!AX223</f>
        <v>0</v>
      </c>
      <c r="AD222" s="311">
        <f>全车数据表!AY223</f>
        <v>580</v>
      </c>
      <c r="AE222" s="311" t="str">
        <f>IF(全车数据表!AZ223="","",全车数据表!AZ223)</f>
        <v>联会赛事</v>
      </c>
      <c r="AF222" s="311" t="str">
        <f>IF(全车数据表!BA223="","",全车数据表!BA223)</f>
        <v/>
      </c>
      <c r="AG222" s="311" t="str">
        <f>IF(全车数据表!BB223="","",全车数据表!BB223)</f>
        <v/>
      </c>
      <c r="AH222" s="311" t="str">
        <f>IF(全车数据表!BC223="","",全车数据表!BC223)</f>
        <v/>
      </c>
      <c r="AI222" s="311" t="str">
        <f>IF(全车数据表!BD223="","",全车数据表!BD223)</f>
        <v/>
      </c>
      <c r="AJ222" s="311" t="str">
        <f>IF(全车数据表!BE223="","",全车数据表!BE223)</f>
        <v/>
      </c>
      <c r="AK222" s="311" t="str">
        <f>IF(全车数据表!BF223="","",全车数据表!BF223)</f>
        <v/>
      </c>
      <c r="AL222" s="311" t="str">
        <f>IF(全车数据表!BG223="","",全车数据表!BG223)</f>
        <v/>
      </c>
      <c r="AM222" s="311" t="str">
        <f>IF(全车数据表!BH223="","",全车数据表!BH223)</f>
        <v/>
      </c>
      <c r="AN222" s="311" t="str">
        <f>IF(全车数据表!BI223="","",全车数据表!BI223)</f>
        <v/>
      </c>
      <c r="AO222" s="311" t="str">
        <f>IF(全车数据表!BJ223="","",全车数据表!BJ223)</f>
        <v/>
      </c>
      <c r="AP222" s="311" t="str">
        <f>IF(全车数据表!BK223="","",全车数据表!BK223)</f>
        <v/>
      </c>
      <c r="AQ222" s="311" t="str">
        <f>IF(全车数据表!BL223="","",全车数据表!BL223)</f>
        <v/>
      </c>
      <c r="AR222" s="311" t="str">
        <f>IF(全车数据表!BM223="","",全车数据表!BM223)</f>
        <v/>
      </c>
      <c r="AS222" s="311" t="str">
        <f>IF(全车数据表!BN223="","",全车数据表!BN223)</f>
        <v/>
      </c>
      <c r="AT222" s="311" t="str">
        <f>IF(全车数据表!BO223="","",全车数据表!BO223)</f>
        <v/>
      </c>
      <c r="AU222" s="311" t="str">
        <f>IF(全车数据表!BP223="","",全车数据表!BP223)</f>
        <v/>
      </c>
      <c r="AV222" s="311" t="str">
        <f>IF(全车数据表!BQ223="","",全车数据表!BQ223)</f>
        <v/>
      </c>
      <c r="AW222" s="311" t="str">
        <f>IF(全车数据表!BR223="","",全车数据表!BR223)</f>
        <v/>
      </c>
      <c r="AX222" s="311" t="str">
        <f>IF(全车数据表!BS223="","",全车数据表!BS223)</f>
        <v/>
      </c>
      <c r="AY222" s="311" t="str">
        <f>IF(全车数据表!BT223="","",全车数据表!BT223)</f>
        <v/>
      </c>
      <c r="AZ222" s="311" t="str">
        <f>IF(全车数据表!BU223="","",全车数据表!BU223)</f>
        <v/>
      </c>
      <c r="BA222" s="311" t="str">
        <f>IF(全车数据表!AV223="","",全车数据表!AV223)</f>
        <v/>
      </c>
    </row>
    <row r="223" spans="1:53">
      <c r="A223" s="311">
        <f>全车数据表!A224</f>
        <v>222</v>
      </c>
      <c r="B223" s="311" t="str">
        <f>全车数据表!B224</f>
        <v>Bugatti Chiron Super Sport 300+</v>
      </c>
      <c r="C223" s="311" t="str">
        <f>IF(全车数据表!AQ224="","",全车数据表!AQ224)</f>
        <v>Bugatti</v>
      </c>
      <c r="D223" s="313" t="str">
        <f>全车数据表!AT224</f>
        <v>300+</v>
      </c>
      <c r="E223" s="313" t="str">
        <f>全车数据表!AS224</f>
        <v>4.3</v>
      </c>
      <c r="F223" s="313" t="str">
        <f>全车数据表!C224</f>
        <v>300+</v>
      </c>
      <c r="G223" s="311" t="str">
        <f>全车数据表!D224</f>
        <v>S</v>
      </c>
      <c r="H223" s="311">
        <f>LEN(全车数据表!E224)</f>
        <v>6</v>
      </c>
      <c r="I223" s="311" t="str">
        <f>IF(全车数据表!H224="×",0,全车数据表!H224)</f>
        <v>🔑</v>
      </c>
      <c r="J223" s="311">
        <f>IF(全车数据表!I224="×",0,全车数据表!I224)</f>
        <v>40</v>
      </c>
      <c r="K223" s="311">
        <f>IF(全车数据表!J224="×",0,全车数据表!J224)</f>
        <v>45</v>
      </c>
      <c r="L223" s="311">
        <f>IF(全车数据表!K224="×",0,全车数据表!K224)</f>
        <v>60</v>
      </c>
      <c r="M223" s="311">
        <f>IF(全车数据表!L224="×",0,全车数据表!L224)</f>
        <v>70</v>
      </c>
      <c r="N223" s="311">
        <f>IF(全车数据表!M224="×",0,全车数据表!M224)</f>
        <v>85</v>
      </c>
      <c r="O223" s="311">
        <f>全车数据表!O224</f>
        <v>4983</v>
      </c>
      <c r="P223" s="311">
        <f>全车数据表!P224</f>
        <v>453.6</v>
      </c>
      <c r="Q223" s="311">
        <f>全车数据表!Q224</f>
        <v>83.27</v>
      </c>
      <c r="R223" s="311">
        <f>全车数据表!R224</f>
        <v>60.63</v>
      </c>
      <c r="S223" s="311">
        <f>全车数据表!S224</f>
        <v>41.7</v>
      </c>
      <c r="T223" s="311">
        <f>全车数据表!T224</f>
        <v>0</v>
      </c>
      <c r="U223" s="311">
        <f>全车数据表!AH224</f>
        <v>27726000</v>
      </c>
      <c r="V223" s="311">
        <f>全车数据表!AO224</f>
        <v>14760000</v>
      </c>
      <c r="W223" s="311">
        <f>全车数据表!AP224</f>
        <v>42486000</v>
      </c>
      <c r="X223" s="311">
        <f>全车数据表!AJ224</f>
        <v>7</v>
      </c>
      <c r="Y223" s="311">
        <f>全车数据表!AL224</f>
        <v>5</v>
      </c>
      <c r="Z223" s="311">
        <f>IF(全车数据表!AN224="×",0,全车数据表!AN224)</f>
        <v>4</v>
      </c>
      <c r="AA223" s="313" t="str">
        <f>全车数据表!AU224</f>
        <v>epic</v>
      </c>
      <c r="AB223" s="311">
        <f>全车数据表!AW224</f>
        <v>0</v>
      </c>
      <c r="AC223" s="311">
        <f>全车数据表!AX224</f>
        <v>0</v>
      </c>
      <c r="AD223" s="311">
        <f>全车数据表!AY224</f>
        <v>0</v>
      </c>
      <c r="AE223" s="311" t="str">
        <f>IF(全车数据表!AZ224="","",全车数据表!AZ224)</f>
        <v>特殊赛事</v>
      </c>
      <c r="AF223" s="311" t="str">
        <f>IF(全车数据表!BA224="","",全车数据表!BA224)</f>
        <v/>
      </c>
      <c r="AG223" s="311" t="str">
        <f>IF(全车数据表!BB224="","",全车数据表!BB224)</f>
        <v/>
      </c>
      <c r="AH223" s="311" t="str">
        <f>IF(全车数据表!BC224="","",全车数据表!BC224)</f>
        <v/>
      </c>
      <c r="AI223" s="311" t="str">
        <f>IF(全车数据表!BD224="","",全车数据表!BD224)</f>
        <v/>
      </c>
      <c r="AJ223" s="311" t="str">
        <f>IF(全车数据表!BE224="","",全车数据表!BE224)</f>
        <v/>
      </c>
      <c r="AK223" s="311" t="str">
        <f>IF(全车数据表!BF224="","",全车数据表!BF224)</f>
        <v/>
      </c>
      <c r="AL223" s="311" t="str">
        <f>IF(全车数据表!BG224="","",全车数据表!BG224)</f>
        <v/>
      </c>
      <c r="AM223" s="311" t="str">
        <f>IF(全车数据表!BH224="","",全车数据表!BH224)</f>
        <v/>
      </c>
      <c r="AN223" s="311" t="str">
        <f>IF(全车数据表!BI224="","",全车数据表!BI224)</f>
        <v/>
      </c>
      <c r="AO223" s="311" t="str">
        <f>IF(全车数据表!BJ224="","",全车数据表!BJ224)</f>
        <v/>
      </c>
      <c r="AP223" s="311" t="str">
        <f>IF(全车数据表!BK224="","",全车数据表!BK224)</f>
        <v/>
      </c>
      <c r="AQ223" s="311" t="str">
        <f>IF(全车数据表!BL224="","",全车数据表!BL224)</f>
        <v/>
      </c>
      <c r="AR223" s="311" t="str">
        <f>IF(全车数据表!BM224="","",全车数据表!BM224)</f>
        <v/>
      </c>
      <c r="AS223" s="311" t="str">
        <f>IF(全车数据表!BN224="","",全车数据表!BN224)</f>
        <v/>
      </c>
      <c r="AT223" s="311" t="str">
        <f>IF(全车数据表!BO224="","",全车数据表!BO224)</f>
        <v/>
      </c>
      <c r="AU223" s="311" t="str">
        <f>IF(全车数据表!BP224="","",全车数据表!BP224)</f>
        <v/>
      </c>
      <c r="AV223" s="311" t="str">
        <f>IF(全车数据表!BQ224="","",全车数据表!BQ224)</f>
        <v/>
      </c>
      <c r="AW223" s="311" t="str">
        <f>IF(全车数据表!BR224="","",全车数据表!BR224)</f>
        <v/>
      </c>
      <c r="AX223" s="311" t="str">
        <f>IF(全车数据表!BS224="","",全车数据表!BS224)</f>
        <v/>
      </c>
      <c r="AY223" s="311" t="str">
        <f>IF(全车数据表!BT224="","",全车数据表!BT224)</f>
        <v/>
      </c>
      <c r="AZ223" s="311" t="str">
        <f>IF(全车数据表!BU224="","",全车数据表!BU224)</f>
        <v/>
      </c>
      <c r="BA223" s="311" t="str">
        <f>IF(全车数据表!AV224="","",全车数据表!AV224)</f>
        <v/>
      </c>
    </row>
    <row r="224" spans="1:53">
      <c r="A224" s="311">
        <f>全车数据表!A225</f>
        <v>223</v>
      </c>
      <c r="B224" s="311" t="str">
        <f>全车数据表!B225</f>
        <v>Koenigsegg CCXR🔑</v>
      </c>
      <c r="C224" s="311" t="str">
        <f>IF(全车数据表!AQ225="","",全车数据表!AQ225)</f>
        <v>Koenigsegg</v>
      </c>
      <c r="D224" s="313" t="str">
        <f>全车数据表!AT225</f>
        <v>ccxr</v>
      </c>
      <c r="E224" s="313" t="str">
        <f>全车数据表!AS225</f>
        <v>4.0</v>
      </c>
      <c r="F224" s="313" t="str">
        <f>全车数据表!C225</f>
        <v>CCXR</v>
      </c>
      <c r="G224" s="311" t="str">
        <f>全车数据表!D225</f>
        <v>S</v>
      </c>
      <c r="H224" s="311">
        <f>LEN(全车数据表!E225)</f>
        <v>6</v>
      </c>
      <c r="I224" s="311" t="str">
        <f>IF(全车数据表!H225="×",0,全车数据表!H225)</f>
        <v>🔑</v>
      </c>
      <c r="J224" s="311">
        <f>IF(全车数据表!I225="×",0,全车数据表!I225)</f>
        <v>40</v>
      </c>
      <c r="K224" s="311">
        <f>IF(全车数据表!J225="×",0,全车数据表!J225)</f>
        <v>45</v>
      </c>
      <c r="L224" s="311">
        <f>IF(全车数据表!K225="×",0,全车数据表!K225)</f>
        <v>60</v>
      </c>
      <c r="M224" s="311">
        <f>IF(全车数据表!L225="×",0,全车数据表!L225)</f>
        <v>70</v>
      </c>
      <c r="N224" s="311">
        <f>IF(全车数据表!M225="×",0,全车数据表!M225)</f>
        <v>85</v>
      </c>
      <c r="O224" s="311">
        <f>全车数据表!O225</f>
        <v>4998</v>
      </c>
      <c r="P224" s="311">
        <f>全车数据表!P225</f>
        <v>412.2</v>
      </c>
      <c r="Q224" s="311">
        <f>全车数据表!Q225</f>
        <v>79.400000000000006</v>
      </c>
      <c r="R224" s="311">
        <f>全车数据表!R225</f>
        <v>79.09</v>
      </c>
      <c r="S224" s="311">
        <f>全车数据表!S225</f>
        <v>71.510000000000005</v>
      </c>
      <c r="T224" s="311">
        <f>全车数据表!T225</f>
        <v>6.4</v>
      </c>
      <c r="U224" s="311">
        <f>全车数据表!AH225</f>
        <v>27726000</v>
      </c>
      <c r="V224" s="311">
        <f>全车数据表!AO225</f>
        <v>14760000</v>
      </c>
      <c r="W224" s="311">
        <f>全车数据表!AP225</f>
        <v>42486000</v>
      </c>
      <c r="X224" s="311">
        <f>全车数据表!AJ225</f>
        <v>7</v>
      </c>
      <c r="Y224" s="311">
        <f>全车数据表!AL225</f>
        <v>5</v>
      </c>
      <c r="Z224" s="311">
        <f>IF(全车数据表!AN225="×",0,全车数据表!AN225)</f>
        <v>4</v>
      </c>
      <c r="AA224" s="313" t="str">
        <f>全车数据表!AU225</f>
        <v>epic</v>
      </c>
      <c r="AB224" s="311">
        <f>全车数据表!AW225</f>
        <v>432</v>
      </c>
      <c r="AC224" s="311">
        <f>全车数据表!AX225</f>
        <v>0</v>
      </c>
      <c r="AD224" s="311">
        <f>全车数据表!AY225</f>
        <v>563</v>
      </c>
      <c r="AE224" s="311" t="str">
        <f>IF(全车数据表!AZ225="","",全车数据表!AZ225)</f>
        <v>特殊赛事</v>
      </c>
      <c r="AF224" s="311" t="str">
        <f>IF(全车数据表!BA225="","",全车数据表!BA225)</f>
        <v/>
      </c>
      <c r="AG224" s="311" t="str">
        <f>IF(全车数据表!BB225="","",全车数据表!BB225)</f>
        <v/>
      </c>
      <c r="AH224" s="311" t="str">
        <f>IF(全车数据表!BC225="","",全车数据表!BC225)</f>
        <v/>
      </c>
      <c r="AI224" s="311" t="str">
        <f>IF(全车数据表!BD225="","",全车数据表!BD225)</f>
        <v/>
      </c>
      <c r="AJ224" s="311" t="str">
        <f>IF(全车数据表!BE225="","",全车数据表!BE225)</f>
        <v/>
      </c>
      <c r="AK224" s="311" t="str">
        <f>IF(全车数据表!BF225="","",全车数据表!BF225)</f>
        <v/>
      </c>
      <c r="AL224" s="311" t="str">
        <f>IF(全车数据表!BG225="","",全车数据表!BG225)</f>
        <v/>
      </c>
      <c r="AM224" s="311" t="str">
        <f>IF(全车数据表!BH225="","",全车数据表!BH225)</f>
        <v/>
      </c>
      <c r="AN224" s="311" t="str">
        <f>IF(全车数据表!BI225="","",全车数据表!BI225)</f>
        <v/>
      </c>
      <c r="AO224" s="311" t="str">
        <f>IF(全车数据表!BJ225="","",全车数据表!BJ225)</f>
        <v/>
      </c>
      <c r="AP224" s="311" t="str">
        <f>IF(全车数据表!BK225="","",全车数据表!BK225)</f>
        <v/>
      </c>
      <c r="AQ224" s="311" t="str">
        <f>IF(全车数据表!BL225="","",全车数据表!BL225)</f>
        <v/>
      </c>
      <c r="AR224" s="311" t="str">
        <f>IF(全车数据表!BM225="","",全车数据表!BM225)</f>
        <v/>
      </c>
      <c r="AS224" s="311">
        <f>IF(全车数据表!BN225="","",全车数据表!BN225)</f>
        <v>1</v>
      </c>
      <c r="AT224" s="311" t="str">
        <f>IF(全车数据表!BO225="","",全车数据表!BO225)</f>
        <v/>
      </c>
      <c r="AU224" s="311" t="str">
        <f>IF(全车数据表!BP225="","",全车数据表!BP225)</f>
        <v/>
      </c>
      <c r="AV224" s="311" t="str">
        <f>IF(全车数据表!BQ225="","",全车数据表!BQ225)</f>
        <v/>
      </c>
      <c r="AW224" s="311" t="str">
        <f>IF(全车数据表!BR225="","",全车数据表!BR225)</f>
        <v/>
      </c>
      <c r="AX224" s="311" t="str">
        <f>IF(全车数据表!BS225="","",全车数据表!BS225)</f>
        <v/>
      </c>
      <c r="AY224" s="311" t="str">
        <f>IF(全车数据表!BT225="","",全车数据表!BT225)</f>
        <v/>
      </c>
      <c r="AZ224" s="311" t="str">
        <f>IF(全车数据表!BU225="","",全车数据表!BU225)</f>
        <v>柯尼塞格</v>
      </c>
      <c r="BA224" s="311" t="str">
        <f>IF(全车数据表!AV225="","",全车数据表!AV225)</f>
        <v/>
      </c>
    </row>
    <row r="225" spans="1:53">
      <c r="A225" s="311">
        <f>全车数据表!A226</f>
        <v>224</v>
      </c>
      <c r="B225" s="311" t="str">
        <f>全车数据表!B226</f>
        <v>Bugatti LA Voiture Noire🔑</v>
      </c>
      <c r="C225" s="311" t="str">
        <f>IF(全车数据表!AQ226="","",全车数据表!AQ226)</f>
        <v>Bugatti</v>
      </c>
      <c r="D225" s="313" t="str">
        <f>全车数据表!AT226</f>
        <v>lvn</v>
      </c>
      <c r="E225" s="313" t="str">
        <f>全车数据表!AS226</f>
        <v>2.6</v>
      </c>
      <c r="F225" s="313" t="str">
        <f>全车数据表!C226</f>
        <v>黑龙</v>
      </c>
      <c r="G225" s="311" t="str">
        <f>全车数据表!D226</f>
        <v>S</v>
      </c>
      <c r="H225" s="311">
        <f>LEN(全车数据表!E226)</f>
        <v>6</v>
      </c>
      <c r="I225" s="311" t="str">
        <f>IF(全车数据表!H226="×",0,全车数据表!H226)</f>
        <v>🔑</v>
      </c>
      <c r="J225" s="311">
        <f>IF(全车数据表!I226="×",0,全车数据表!I226)</f>
        <v>40</v>
      </c>
      <c r="K225" s="311">
        <f>IF(全车数据表!J226="×",0,全车数据表!J226)</f>
        <v>45</v>
      </c>
      <c r="L225" s="311">
        <f>IF(全车数据表!K226="×",0,全车数据表!K226)</f>
        <v>60</v>
      </c>
      <c r="M225" s="311">
        <f>IF(全车数据表!L226="×",0,全车数据表!L226)</f>
        <v>70</v>
      </c>
      <c r="N225" s="311">
        <f>IF(全车数据表!M226="×",0,全车数据表!M226)</f>
        <v>85</v>
      </c>
      <c r="O225" s="311">
        <f>全车数据表!O226</f>
        <v>5041</v>
      </c>
      <c r="P225" s="311">
        <f>全车数据表!P226</f>
        <v>443.4</v>
      </c>
      <c r="Q225" s="311">
        <f>全车数据表!Q226</f>
        <v>84.89</v>
      </c>
      <c r="R225" s="311">
        <f>全车数据表!R226</f>
        <v>54.63</v>
      </c>
      <c r="S225" s="311">
        <f>全车数据表!S226</f>
        <v>63.79</v>
      </c>
      <c r="T225" s="311">
        <f>全车数据表!T226</f>
        <v>0</v>
      </c>
      <c r="U225" s="311">
        <f>全车数据表!AH226</f>
        <v>27726000</v>
      </c>
      <c r="V225" s="311">
        <f>全车数据表!AO226</f>
        <v>14760000</v>
      </c>
      <c r="W225" s="311">
        <f>全车数据表!AP226</f>
        <v>42486000</v>
      </c>
      <c r="X225" s="311">
        <f>全车数据表!AJ226</f>
        <v>7</v>
      </c>
      <c r="Y225" s="311">
        <f>全车数据表!AL226</f>
        <v>5</v>
      </c>
      <c r="Z225" s="311">
        <f>IF(全车数据表!AN226="×",0,全车数据表!AN226)</f>
        <v>4</v>
      </c>
      <c r="AA225" s="313" t="str">
        <f>全车数据表!AU226</f>
        <v>epic</v>
      </c>
      <c r="AB225" s="311">
        <f>全车数据表!AW226</f>
        <v>467</v>
      </c>
      <c r="AC225" s="311">
        <f>全车数据表!AX226</f>
        <v>0</v>
      </c>
      <c r="AD225" s="311">
        <f>全车数据表!AY226</f>
        <v>579</v>
      </c>
      <c r="AE225" s="311" t="str">
        <f>IF(全车数据表!AZ226="","",全车数据表!AZ226)</f>
        <v>联会赛事</v>
      </c>
      <c r="AF225" s="311" t="str">
        <f>IF(全车数据表!BA226="","",全车数据表!BA226)</f>
        <v/>
      </c>
      <c r="AG225" s="311" t="str">
        <f>IF(全车数据表!BB226="","",全车数据表!BB226)</f>
        <v/>
      </c>
      <c r="AH225" s="311" t="str">
        <f>IF(全车数据表!BC226="","",全车数据表!BC226)</f>
        <v/>
      </c>
      <c r="AI225" s="311" t="str">
        <f>IF(全车数据表!BD226="","",全车数据表!BD226)</f>
        <v/>
      </c>
      <c r="AJ225" s="311" t="str">
        <f>IF(全车数据表!BE226="","",全车数据表!BE226)</f>
        <v/>
      </c>
      <c r="AK225" s="311" t="str">
        <f>IF(全车数据表!BF226="","",全车数据表!BF226)</f>
        <v/>
      </c>
      <c r="AL225" s="311" t="str">
        <f>IF(全车数据表!BG226="","",全车数据表!BG226)</f>
        <v/>
      </c>
      <c r="AM225" s="311" t="str">
        <f>IF(全车数据表!BH226="","",全车数据表!BH226)</f>
        <v/>
      </c>
      <c r="AN225" s="311" t="str">
        <f>IF(全车数据表!BI226="","",全车数据表!BI226)</f>
        <v/>
      </c>
      <c r="AO225" s="311" t="str">
        <f>IF(全车数据表!BJ226="","",全车数据表!BJ226)</f>
        <v/>
      </c>
      <c r="AP225" s="311" t="str">
        <f>IF(全车数据表!BK226="","",全车数据表!BK226)</f>
        <v/>
      </c>
      <c r="AQ225" s="311" t="str">
        <f>IF(全车数据表!BL226="","",全车数据表!BL226)</f>
        <v/>
      </c>
      <c r="AR225" s="311">
        <f>IF(全车数据表!BM226="","",全车数据表!BM226)</f>
        <v>1</v>
      </c>
      <c r="AS225" s="311">
        <f>IF(全车数据表!BN226="","",全车数据表!BN226)</f>
        <v>1</v>
      </c>
      <c r="AT225" s="311">
        <f>IF(全车数据表!BO226="","",全车数据表!BO226)</f>
        <v>1</v>
      </c>
      <c r="AU225" s="311" t="str">
        <f>IF(全车数据表!BP226="","",全车数据表!BP226)</f>
        <v/>
      </c>
      <c r="AV225" s="311" t="str">
        <f>IF(全车数据表!BQ226="","",全车数据表!BQ226)</f>
        <v/>
      </c>
      <c r="AW225" s="311" t="str">
        <f>IF(全车数据表!BR226="","",全车数据表!BR226)</f>
        <v/>
      </c>
      <c r="AX225" s="311" t="str">
        <f>IF(全车数据表!BS226="","",全车数据表!BS226)</f>
        <v/>
      </c>
      <c r="AY225" s="311" t="str">
        <f>IF(全车数据表!BT226="","",全车数据表!BT226)</f>
        <v/>
      </c>
      <c r="AZ225" s="311" t="str">
        <f>IF(全车数据表!BU226="","",全车数据表!BU226)</f>
        <v>黑龙 lvn</v>
      </c>
      <c r="BA225" s="311" t="str">
        <f>IF(全车数据表!AV226="","",全车数据表!AV226)</f>
        <v/>
      </c>
    </row>
    <row r="226" spans="1:53">
      <c r="A226" s="311">
        <f>全车数据表!A227</f>
        <v>225</v>
      </c>
      <c r="B226" s="311" t="str">
        <f>全车数据表!B227</f>
        <v>Deus Vayanne</v>
      </c>
      <c r="C226" s="311" t="str">
        <f>IF(全车数据表!AQ227="","",全车数据表!AQ227)</f>
        <v>Deus</v>
      </c>
      <c r="D226" s="313" t="str">
        <f>全车数据表!AT227</f>
        <v>vayanne</v>
      </c>
      <c r="E226" s="313" t="str">
        <f>全车数据表!AS227</f>
        <v>4.3</v>
      </c>
      <c r="F226" s="313" t="str">
        <f>全车数据表!C227</f>
        <v>Vayanne</v>
      </c>
      <c r="G226" s="311" t="str">
        <f>全车数据表!D227</f>
        <v>S</v>
      </c>
      <c r="H226" s="311">
        <f>LEN(全车数据表!E227)</f>
        <v>6</v>
      </c>
      <c r="I226" s="311" t="str">
        <f>IF(全车数据表!H227="×",0,全车数据表!H227)</f>
        <v>🔑</v>
      </c>
      <c r="J226" s="311">
        <f>IF(全车数据表!I227="×",0,全车数据表!I227)</f>
        <v>40</v>
      </c>
      <c r="K226" s="311">
        <f>IF(全车数据表!J227="×",0,全车数据表!J227)</f>
        <v>45</v>
      </c>
      <c r="L226" s="311">
        <f>IF(全车数据表!K227="×",0,全车数据表!K227)</f>
        <v>60</v>
      </c>
      <c r="M226" s="311">
        <f>IF(全车数据表!L227="×",0,全车数据表!L227)</f>
        <v>70</v>
      </c>
      <c r="N226" s="311">
        <f>IF(全车数据表!M227="×",0,全车数据表!M227)</f>
        <v>85</v>
      </c>
      <c r="O226" s="311">
        <f>全车数据表!O227</f>
        <v>5082</v>
      </c>
      <c r="P226" s="311">
        <f>全车数据表!P227</f>
        <v>438.7</v>
      </c>
      <c r="Q226" s="311">
        <f>全车数据表!Q227</f>
        <v>86.55</v>
      </c>
      <c r="R226" s="311">
        <f>全车数据表!R227</f>
        <v>47.61</v>
      </c>
      <c r="S226" s="311">
        <f>全车数据表!S227</f>
        <v>47.08</v>
      </c>
      <c r="T226" s="311">
        <f>全车数据表!T227</f>
        <v>0</v>
      </c>
      <c r="U226" s="311">
        <f>全车数据表!AH227</f>
        <v>27726000</v>
      </c>
      <c r="V226" s="311">
        <f>全车数据表!AO227</f>
        <v>14760000</v>
      </c>
      <c r="W226" s="311">
        <f>全车数据表!AP227</f>
        <v>42486000</v>
      </c>
      <c r="X226" s="311">
        <f>全车数据表!AJ227</f>
        <v>7</v>
      </c>
      <c r="Y226" s="311">
        <f>全车数据表!AL227</f>
        <v>5</v>
      </c>
      <c r="Z226" s="311">
        <f>IF(全车数据表!AN227="×",0,全车数据表!AN227)</f>
        <v>4</v>
      </c>
      <c r="AA226" s="313" t="str">
        <f>全车数据表!AU227</f>
        <v>epic</v>
      </c>
      <c r="AB226" s="311">
        <f>全车数据表!AW227</f>
        <v>0</v>
      </c>
      <c r="AC226" s="311">
        <f>全车数据表!AX227</f>
        <v>0</v>
      </c>
      <c r="AD226" s="311">
        <f>全车数据表!AY227</f>
        <v>0</v>
      </c>
      <c r="AE226" s="311" t="str">
        <f>IF(全车数据表!AZ227="","",全车数据表!AZ227)</f>
        <v>特殊赛事</v>
      </c>
      <c r="AF226" s="311" t="str">
        <f>IF(全车数据表!BA227="","",全车数据表!BA227)</f>
        <v/>
      </c>
      <c r="AG226" s="311" t="str">
        <f>IF(全车数据表!BB227="","",全车数据表!BB227)</f>
        <v/>
      </c>
      <c r="AH226" s="311" t="str">
        <f>IF(全车数据表!BC227="","",全车数据表!BC227)</f>
        <v/>
      </c>
      <c r="AI226" s="311" t="str">
        <f>IF(全车数据表!BD227="","",全车数据表!BD227)</f>
        <v/>
      </c>
      <c r="AJ226" s="311" t="str">
        <f>IF(全车数据表!BE227="","",全车数据表!BE227)</f>
        <v/>
      </c>
      <c r="AK226" s="311" t="str">
        <f>IF(全车数据表!BF227="","",全车数据表!BF227)</f>
        <v/>
      </c>
      <c r="AL226" s="311" t="str">
        <f>IF(全车数据表!BG227="","",全车数据表!BG227)</f>
        <v/>
      </c>
      <c r="AM226" s="311" t="str">
        <f>IF(全车数据表!BH227="","",全车数据表!BH227)</f>
        <v/>
      </c>
      <c r="AN226" s="311" t="str">
        <f>IF(全车数据表!BI227="","",全车数据表!BI227)</f>
        <v/>
      </c>
      <c r="AO226" s="311" t="str">
        <f>IF(全车数据表!BJ227="","",全车数据表!BJ227)</f>
        <v/>
      </c>
      <c r="AP226" s="311" t="str">
        <f>IF(全车数据表!BK227="","",全车数据表!BK227)</f>
        <v/>
      </c>
      <c r="AQ226" s="311" t="str">
        <f>IF(全车数据表!BL227="","",全车数据表!BL227)</f>
        <v/>
      </c>
      <c r="AR226" s="311" t="str">
        <f>IF(全车数据表!BM227="","",全车数据表!BM227)</f>
        <v/>
      </c>
      <c r="AS226" s="311" t="str">
        <f>IF(全车数据表!BN227="","",全车数据表!BN227)</f>
        <v/>
      </c>
      <c r="AT226" s="311" t="str">
        <f>IF(全车数据表!BO227="","",全车数据表!BO227)</f>
        <v/>
      </c>
      <c r="AU226" s="311" t="str">
        <f>IF(全车数据表!BP227="","",全车数据表!BP227)</f>
        <v/>
      </c>
      <c r="AV226" s="311" t="str">
        <f>IF(全车数据表!BQ227="","",全车数据表!BQ227)</f>
        <v/>
      </c>
      <c r="AW226" s="311" t="str">
        <f>IF(全车数据表!BR227="","",全车数据表!BR227)</f>
        <v/>
      </c>
      <c r="AX226" s="311" t="str">
        <f>IF(全车数据表!BS227="","",全车数据表!BS227)</f>
        <v/>
      </c>
      <c r="AY226" s="311" t="str">
        <f>IF(全车数据表!BT227="","",全车数据表!BT227)</f>
        <v/>
      </c>
      <c r="AZ226" s="311" t="str">
        <f>IF(全车数据表!BU227="","",全车数据表!BU227)</f>
        <v/>
      </c>
      <c r="BA226" s="311" t="str">
        <f>IF(全车数据表!AV227="","",全车数据表!AV227)</f>
        <v/>
      </c>
    </row>
    <row r="227" spans="1:53">
      <c r="A227" s="311">
        <f>全车数据表!A228</f>
        <v>226</v>
      </c>
      <c r="B227" s="311" t="str">
        <f>全车数据表!B228</f>
        <v>Koenigsegg Gemera🔑</v>
      </c>
      <c r="C227" s="311" t="str">
        <f>IF(全车数据表!AQ228="","",全车数据表!AQ228)</f>
        <v>Koenigsegg</v>
      </c>
      <c r="D227" s="313" t="str">
        <f>全车数据表!AT228</f>
        <v>gemera</v>
      </c>
      <c r="E227" s="313" t="str">
        <f>全车数据表!AS228</f>
        <v>3.2</v>
      </c>
      <c r="F227" s="313" t="str">
        <f>全车数据表!C228</f>
        <v>Gemera</v>
      </c>
      <c r="G227" s="311" t="str">
        <f>全车数据表!D228</f>
        <v>S</v>
      </c>
      <c r="H227" s="311">
        <f>LEN(全车数据表!E228)</f>
        <v>6</v>
      </c>
      <c r="I227" s="311" t="str">
        <f>IF(全车数据表!H228="×",0,全车数据表!H228)</f>
        <v>🔑</v>
      </c>
      <c r="J227" s="311">
        <f>IF(全车数据表!I228="×",0,全车数据表!I228)</f>
        <v>40</v>
      </c>
      <c r="K227" s="311">
        <f>IF(全车数据表!J228="×",0,全车数据表!J228)</f>
        <v>45</v>
      </c>
      <c r="L227" s="311">
        <f>IF(全车数据表!K228="×",0,全车数据表!K228)</f>
        <v>60</v>
      </c>
      <c r="M227" s="311">
        <f>IF(全车数据表!L228="×",0,全车数据表!L228)</f>
        <v>70</v>
      </c>
      <c r="N227" s="311">
        <f>IF(全车数据表!M228="×",0,全车数据表!M228)</f>
        <v>85</v>
      </c>
      <c r="O227" s="311">
        <f>全车数据表!O228</f>
        <v>5085</v>
      </c>
      <c r="P227" s="311">
        <f>全车数据表!P228</f>
        <v>413.1</v>
      </c>
      <c r="Q227" s="311">
        <f>全车数据表!Q228</f>
        <v>88.58</v>
      </c>
      <c r="R227" s="311">
        <f>全车数据表!R228</f>
        <v>66.06</v>
      </c>
      <c r="S227" s="311">
        <f>全车数据表!S228</f>
        <v>48.36</v>
      </c>
      <c r="T227" s="311">
        <f>全车数据表!T228</f>
        <v>4.4000000000000004</v>
      </c>
      <c r="U227" s="311">
        <f>全车数据表!AH228</f>
        <v>27726000</v>
      </c>
      <c r="V227" s="311">
        <f>全车数据表!AO228</f>
        <v>14760000</v>
      </c>
      <c r="W227" s="311">
        <f>全车数据表!AP228</f>
        <v>42486000</v>
      </c>
      <c r="X227" s="311">
        <f>全车数据表!AJ228</f>
        <v>7</v>
      </c>
      <c r="Y227" s="311">
        <f>全车数据表!AL228</f>
        <v>5</v>
      </c>
      <c r="Z227" s="311">
        <f>IF(全车数据表!AN228="×",0,全车数据表!AN228)</f>
        <v>4</v>
      </c>
      <c r="AA227" s="313" t="str">
        <f>全车数据表!AU228</f>
        <v>epic</v>
      </c>
      <c r="AB227" s="311">
        <f>全车数据表!AW228</f>
        <v>433</v>
      </c>
      <c r="AC227" s="311">
        <f>全车数据表!AX228</f>
        <v>0</v>
      </c>
      <c r="AD227" s="311">
        <f>全车数据表!AY228</f>
        <v>564</v>
      </c>
      <c r="AE227" s="311" t="str">
        <f>IF(全车数据表!AZ228="","",全车数据表!AZ228)</f>
        <v>联会赛事</v>
      </c>
      <c r="AF227" s="311" t="str">
        <f>IF(全车数据表!BA228="","",全车数据表!BA228)</f>
        <v/>
      </c>
      <c r="AG227" s="311" t="str">
        <f>IF(全车数据表!BB228="","",全车数据表!BB228)</f>
        <v/>
      </c>
      <c r="AH227" s="311" t="str">
        <f>IF(全车数据表!BC228="","",全车数据表!BC228)</f>
        <v/>
      </c>
      <c r="AI227" s="311" t="str">
        <f>IF(全车数据表!BD228="","",全车数据表!BD228)</f>
        <v/>
      </c>
      <c r="AJ227" s="311" t="str">
        <f>IF(全车数据表!BE228="","",全车数据表!BE228)</f>
        <v/>
      </c>
      <c r="AK227" s="311" t="str">
        <f>IF(全车数据表!BF228="","",全车数据表!BF228)</f>
        <v/>
      </c>
      <c r="AL227" s="311" t="str">
        <f>IF(全车数据表!BG228="","",全车数据表!BG228)</f>
        <v/>
      </c>
      <c r="AM227" s="311" t="str">
        <f>IF(全车数据表!BH228="","",全车数据表!BH228)</f>
        <v/>
      </c>
      <c r="AN227" s="311" t="str">
        <f>IF(全车数据表!BI228="","",全车数据表!BI228)</f>
        <v/>
      </c>
      <c r="AO227" s="311" t="str">
        <f>IF(全车数据表!BJ228="","",全车数据表!BJ228)</f>
        <v/>
      </c>
      <c r="AP227" s="311" t="str">
        <f>IF(全车数据表!BK228="","",全车数据表!BK228)</f>
        <v/>
      </c>
      <c r="AQ227" s="311" t="str">
        <f>IF(全车数据表!BL228="","",全车数据表!BL228)</f>
        <v/>
      </c>
      <c r="AR227" s="311" t="str">
        <f>IF(全车数据表!BM228="","",全车数据表!BM228)</f>
        <v/>
      </c>
      <c r="AS227" s="311">
        <f>IF(全车数据表!BN228="","",全车数据表!BN228)</f>
        <v>1</v>
      </c>
      <c r="AT227" s="311">
        <f>IF(全车数据表!BO228="","",全车数据表!BO228)</f>
        <v>1</v>
      </c>
      <c r="AU227" s="311" t="str">
        <f>IF(全车数据表!BP228="","",全车数据表!BP228)</f>
        <v/>
      </c>
      <c r="AV227" s="311" t="str">
        <f>IF(全车数据表!BQ228="","",全车数据表!BQ228)</f>
        <v/>
      </c>
      <c r="AW227" s="311" t="str">
        <f>IF(全车数据表!BR228="","",全车数据表!BR228)</f>
        <v/>
      </c>
      <c r="AX227" s="311" t="str">
        <f>IF(全车数据表!BS228="","",全车数据表!BS228)</f>
        <v/>
      </c>
      <c r="AY227" s="311" t="str">
        <f>IF(全车数据表!BT228="","",全车数据表!BT228)</f>
        <v/>
      </c>
      <c r="AZ227" s="311" t="str">
        <f>IF(全车数据表!BU228="","",全车数据表!BU228)</f>
        <v>柯尼塞格 哥 杰弟</v>
      </c>
      <c r="BA227" s="311" t="str">
        <f>IF(全车数据表!AV228="","",全车数据表!AV228)</f>
        <v/>
      </c>
    </row>
    <row r="228" spans="1:53">
      <c r="A228" s="311">
        <f>全车数据表!A229</f>
        <v>227</v>
      </c>
      <c r="B228" s="311" t="str">
        <f>全车数据表!B229</f>
        <v>Hennessey Venom F5</v>
      </c>
      <c r="C228" s="311" t="str">
        <f>IF(全车数据表!AQ229="","",全车数据表!AQ229)</f>
        <v>Hennessey</v>
      </c>
      <c r="D228" s="313" t="str">
        <f>全车数据表!AT229</f>
        <v>f5</v>
      </c>
      <c r="E228" s="313" t="str">
        <f>全车数据表!AS229</f>
        <v>3.0</v>
      </c>
      <c r="F228" s="313" t="str">
        <f>全车数据表!C229</f>
        <v>毒液F5</v>
      </c>
      <c r="G228" s="311" t="str">
        <f>全车数据表!D229</f>
        <v>S</v>
      </c>
      <c r="H228" s="311">
        <f>LEN(全车数据表!E229)</f>
        <v>6</v>
      </c>
      <c r="I228" s="311">
        <f>IF(全车数据表!H229="×",0,全车数据表!H229)</f>
        <v>85</v>
      </c>
      <c r="J228" s="311">
        <f>IF(全车数据表!I229="×",0,全车数据表!I229)</f>
        <v>25</v>
      </c>
      <c r="K228" s="311">
        <f>IF(全车数据表!J229="×",0,全车数据表!J229)</f>
        <v>29</v>
      </c>
      <c r="L228" s="311">
        <f>IF(全车数据表!K229="×",0,全车数据表!K229)</f>
        <v>38</v>
      </c>
      <c r="M228" s="311">
        <f>IF(全车数据表!L229="×",0,全车数据表!L229)</f>
        <v>54</v>
      </c>
      <c r="N228" s="311">
        <f>IF(全车数据表!M229="×",0,全车数据表!M229)</f>
        <v>69</v>
      </c>
      <c r="O228" s="311">
        <f>全车数据表!O229</f>
        <v>5126</v>
      </c>
      <c r="P228" s="311">
        <f>全车数据表!P229</f>
        <v>512.29999999999995</v>
      </c>
      <c r="Q228" s="311">
        <f>全车数据表!Q229</f>
        <v>80.66</v>
      </c>
      <c r="R228" s="311">
        <f>全车数据表!R229</f>
        <v>49.07</v>
      </c>
      <c r="S228" s="311">
        <f>全车数据表!S229</f>
        <v>49.53</v>
      </c>
      <c r="T228" s="311">
        <f>全车数据表!T229</f>
        <v>4.3</v>
      </c>
      <c r="U228" s="311">
        <f>全车数据表!AH229</f>
        <v>27726000</v>
      </c>
      <c r="V228" s="311">
        <f>全车数据表!AO229</f>
        <v>14760000</v>
      </c>
      <c r="W228" s="311">
        <f>全车数据表!AP229</f>
        <v>42486000</v>
      </c>
      <c r="X228" s="311">
        <f>全车数据表!AJ229</f>
        <v>7</v>
      </c>
      <c r="Y228" s="311">
        <f>全车数据表!AL229</f>
        <v>5</v>
      </c>
      <c r="Z228" s="311">
        <f>IF(全车数据表!AN229="×",0,全车数据表!AN229)</f>
        <v>4</v>
      </c>
      <c r="AA228" s="313" t="str">
        <f>全车数据表!AU229</f>
        <v>epic</v>
      </c>
      <c r="AB228" s="311">
        <f>全车数据表!AW229</f>
        <v>538</v>
      </c>
      <c r="AC228" s="311">
        <f>全车数据表!AX229</f>
        <v>0</v>
      </c>
      <c r="AD228" s="311">
        <f>全车数据表!AY229</f>
        <v>600</v>
      </c>
      <c r="AE228" s="311" t="str">
        <f>IF(全车数据表!AZ229="","",全车数据表!AZ229)</f>
        <v>特殊赛事</v>
      </c>
      <c r="AF228" s="311" t="str">
        <f>IF(全车数据表!BA229="","",全车数据表!BA229)</f>
        <v/>
      </c>
      <c r="AG228" s="311" t="str">
        <f>IF(全车数据表!BB229="","",全车数据表!BB229)</f>
        <v/>
      </c>
      <c r="AH228" s="311" t="str">
        <f>IF(全车数据表!BC229="","",全车数据表!BC229)</f>
        <v/>
      </c>
      <c r="AI228" s="311" t="str">
        <f>IF(全车数据表!BD229="","",全车数据表!BD229)</f>
        <v/>
      </c>
      <c r="AJ228" s="311" t="str">
        <f>IF(全车数据表!BE229="","",全车数据表!BE229)</f>
        <v/>
      </c>
      <c r="AK228" s="311" t="str">
        <f>IF(全车数据表!BF229="","",全车数据表!BF229)</f>
        <v/>
      </c>
      <c r="AL228" s="311" t="str">
        <f>IF(全车数据表!BG229="","",全车数据表!BG229)</f>
        <v/>
      </c>
      <c r="AM228" s="311" t="str">
        <f>IF(全车数据表!BH229="","",全车数据表!BH229)</f>
        <v/>
      </c>
      <c r="AN228" s="311" t="str">
        <f>IF(全车数据表!BI229="","",全车数据表!BI229)</f>
        <v/>
      </c>
      <c r="AO228" s="311" t="str">
        <f>IF(全车数据表!BJ229="","",全车数据表!BJ229)</f>
        <v/>
      </c>
      <c r="AP228" s="311">
        <f>IF(全车数据表!BK229="","",全车数据表!BK229)</f>
        <v>1</v>
      </c>
      <c r="AQ228" s="311" t="str">
        <f>IF(全车数据表!BL229="","",全车数据表!BL229)</f>
        <v/>
      </c>
      <c r="AR228" s="311" t="str">
        <f>IF(全车数据表!BM229="","",全车数据表!BM229)</f>
        <v/>
      </c>
      <c r="AS228" s="311" t="str">
        <f>IF(全车数据表!BN229="","",全车数据表!BN229)</f>
        <v/>
      </c>
      <c r="AT228" s="311">
        <f>IF(全车数据表!BO229="","",全车数据表!BO229)</f>
        <v>1</v>
      </c>
      <c r="AU228" s="311" t="str">
        <f>IF(全车数据表!BP229="","",全车数据表!BP229)</f>
        <v/>
      </c>
      <c r="AV228" s="311" t="str">
        <f>IF(全车数据表!BQ229="","",全车数据表!BQ229)</f>
        <v/>
      </c>
      <c r="AW228" s="311" t="str">
        <f>IF(全车数据表!BR229="","",全车数据表!BR229)</f>
        <v>无顶</v>
      </c>
      <c r="AX228" s="311" t="str">
        <f>IF(全车数据表!BS229="","",全车数据表!BS229)</f>
        <v/>
      </c>
      <c r="AY228" s="311" t="str">
        <f>IF(全车数据表!BT229="","",全车数据表!BT229)</f>
        <v/>
      </c>
      <c r="AZ228" s="311" t="str">
        <f>IF(全车数据表!BU229="","",全车数据表!BU229)</f>
        <v>轩尼诗 毒液</v>
      </c>
      <c r="BA228" s="311" t="str">
        <f>IF(全车数据表!AV229="","",全车数据表!AV229)</f>
        <v/>
      </c>
    </row>
    <row r="229" spans="1:53">
      <c r="A229" s="311">
        <f>全车数据表!A230</f>
        <v>228</v>
      </c>
      <c r="B229" s="311" t="str">
        <f>全车数据表!B230</f>
        <v>Koenigsegg CC850🔑</v>
      </c>
      <c r="C229" s="311" t="str">
        <f>IF(全车数据表!AQ230="","",全车数据表!AQ230)</f>
        <v>Koenigsegg</v>
      </c>
      <c r="D229" s="313" t="str">
        <f>全车数据表!AT230</f>
        <v>cc850</v>
      </c>
      <c r="E229" s="313" t="str">
        <f>全车数据表!AS230</f>
        <v>4.2</v>
      </c>
      <c r="F229" s="313" t="str">
        <f>全车数据表!C230</f>
        <v>CC850</v>
      </c>
      <c r="G229" s="311" t="str">
        <f>全车数据表!D230</f>
        <v>S</v>
      </c>
      <c r="H229" s="311">
        <f>LEN(全车数据表!E230)</f>
        <v>6</v>
      </c>
      <c r="I229" s="311" t="str">
        <f>IF(全车数据表!H230="×",0,全车数据表!H230)</f>
        <v>🔑</v>
      </c>
      <c r="J229" s="311">
        <f>IF(全车数据表!I230="×",0,全车数据表!I230)</f>
        <v>40</v>
      </c>
      <c r="K229" s="311">
        <f>IF(全车数据表!J230="×",0,全车数据表!J230)</f>
        <v>45</v>
      </c>
      <c r="L229" s="311">
        <f>IF(全车数据表!K230="×",0,全车数据表!K230)</f>
        <v>60</v>
      </c>
      <c r="M229" s="311">
        <f>IF(全车数据表!L230="×",0,全车数据表!L230)</f>
        <v>70</v>
      </c>
      <c r="N229" s="311">
        <f>IF(全车数据表!M230="×",0,全车数据表!M230)</f>
        <v>85</v>
      </c>
      <c r="O229" s="311">
        <f>全车数据表!O230</f>
        <v>5145</v>
      </c>
      <c r="P229" s="311">
        <f>全车数据表!P230</f>
        <v>478.3</v>
      </c>
      <c r="Q229" s="311">
        <f>全车数据表!Q230</f>
        <v>82.37</v>
      </c>
      <c r="R229" s="311">
        <f>全车数据表!R230</f>
        <v>54.39</v>
      </c>
      <c r="S229" s="311">
        <f>全车数据表!S230</f>
        <v>39.44</v>
      </c>
      <c r="T229" s="311">
        <f>全车数据表!T230</f>
        <v>3.9</v>
      </c>
      <c r="U229" s="311">
        <f>全车数据表!AH230</f>
        <v>27726000</v>
      </c>
      <c r="V229" s="311">
        <f>全车数据表!AO230</f>
        <v>14760000</v>
      </c>
      <c r="W229" s="311">
        <f>全车数据表!AP230</f>
        <v>42486000</v>
      </c>
      <c r="X229" s="311">
        <f>全车数据表!AJ230</f>
        <v>7</v>
      </c>
      <c r="Y229" s="311">
        <f>全车数据表!AL230</f>
        <v>5</v>
      </c>
      <c r="Z229" s="311">
        <f>IF(全车数据表!AN230="×",0,全车数据表!AN230)</f>
        <v>4</v>
      </c>
      <c r="AA229" s="313" t="str">
        <f>全车数据表!AU230</f>
        <v>epic</v>
      </c>
      <c r="AB229" s="311">
        <f>全车数据表!AW230</f>
        <v>503</v>
      </c>
      <c r="AC229" s="311">
        <f>全车数据表!AX230</f>
        <v>0</v>
      </c>
      <c r="AD229" s="311">
        <f>全车数据表!AY230</f>
        <v>595</v>
      </c>
      <c r="AE229" s="311" t="str">
        <f>IF(全车数据表!AZ230="","",全车数据表!AZ230)</f>
        <v>联会赛事</v>
      </c>
      <c r="AF229" s="311" t="str">
        <f>IF(全车数据表!BA230="","",全车数据表!BA230)</f>
        <v/>
      </c>
      <c r="AG229" s="311" t="str">
        <f>IF(全车数据表!BB230="","",全车数据表!BB230)</f>
        <v/>
      </c>
      <c r="AH229" s="311" t="str">
        <f>IF(全车数据表!BC230="","",全车数据表!BC230)</f>
        <v/>
      </c>
      <c r="AI229" s="311" t="str">
        <f>IF(全车数据表!BD230="","",全车数据表!BD230)</f>
        <v/>
      </c>
      <c r="AJ229" s="311" t="str">
        <f>IF(全车数据表!BE230="","",全车数据表!BE230)</f>
        <v/>
      </c>
      <c r="AK229" s="311" t="str">
        <f>IF(全车数据表!BF230="","",全车数据表!BF230)</f>
        <v/>
      </c>
      <c r="AL229" s="311" t="str">
        <f>IF(全车数据表!BG230="","",全车数据表!BG230)</f>
        <v/>
      </c>
      <c r="AM229" s="311" t="str">
        <f>IF(全车数据表!BH230="","",全车数据表!BH230)</f>
        <v/>
      </c>
      <c r="AN229" s="311" t="str">
        <f>IF(全车数据表!BI230="","",全车数据表!BI230)</f>
        <v/>
      </c>
      <c r="AO229" s="311" t="str">
        <f>IF(全车数据表!BJ230="","",全车数据表!BJ230)</f>
        <v/>
      </c>
      <c r="AP229" s="311" t="str">
        <f>IF(全车数据表!BK230="","",全车数据表!BK230)</f>
        <v/>
      </c>
      <c r="AQ229" s="311" t="str">
        <f>IF(全车数据表!BL230="","",全车数据表!BL230)</f>
        <v/>
      </c>
      <c r="AR229" s="311" t="str">
        <f>IF(全车数据表!BM230="","",全车数据表!BM230)</f>
        <v/>
      </c>
      <c r="AS229" s="311">
        <f>IF(全车数据表!BN230="","",全车数据表!BN230)</f>
        <v>1</v>
      </c>
      <c r="AT229" s="311" t="str">
        <f>IF(全车数据表!BO230="","",全车数据表!BO230)</f>
        <v/>
      </c>
      <c r="AU229" s="311" t="str">
        <f>IF(全车数据表!BP230="","",全车数据表!BP230)</f>
        <v/>
      </c>
      <c r="AV229" s="311" t="str">
        <f>IF(全车数据表!BQ230="","",全车数据表!BQ230)</f>
        <v/>
      </c>
      <c r="AW229" s="311" t="str">
        <f>IF(全车数据表!BR230="","",全车数据表!BR230)</f>
        <v/>
      </c>
      <c r="AX229" s="311" t="str">
        <f>IF(全车数据表!BS230="","",全车数据表!BS230)</f>
        <v/>
      </c>
      <c r="AY229" s="311" t="str">
        <f>IF(全车数据表!BT230="","",全车数据表!BT230)</f>
        <v/>
      </c>
      <c r="AZ229" s="311" t="str">
        <f>IF(全车数据表!BU230="","",全车数据表!BU230)</f>
        <v>柯尼塞格 哥 杰弟</v>
      </c>
      <c r="BA229" s="311" t="str">
        <f>IF(全车数据表!AV230="","",全车数据表!AV230)</f>
        <v/>
      </c>
    </row>
    <row r="230" spans="1:53">
      <c r="A230" s="311">
        <f>全车数据表!A231</f>
        <v>229</v>
      </c>
      <c r="B230" s="311" t="str">
        <f>全车数据表!B231</f>
        <v>Bugatti Bolide🔑</v>
      </c>
      <c r="C230" s="311" t="str">
        <f>IF(全车数据表!AQ231="","",全车数据表!AQ231)</f>
        <v>Bugatti</v>
      </c>
      <c r="D230" s="313" t="str">
        <f>全车数据表!AT231</f>
        <v>bolide</v>
      </c>
      <c r="E230" s="313" t="str">
        <f>全车数据表!AS231</f>
        <v>3.8</v>
      </c>
      <c r="F230" s="313" t="str">
        <f>全车数据表!C231</f>
        <v>Bolide</v>
      </c>
      <c r="G230" s="311" t="str">
        <f>全车数据表!D231</f>
        <v>S</v>
      </c>
      <c r="H230" s="311">
        <f>LEN(全车数据表!E231)</f>
        <v>6</v>
      </c>
      <c r="I230" s="311" t="str">
        <f>IF(全车数据表!H231="×",0,全车数据表!H231)</f>
        <v>🔑</v>
      </c>
      <c r="J230" s="311">
        <f>IF(全车数据表!I231="×",0,全车数据表!I231)</f>
        <v>40</v>
      </c>
      <c r="K230" s="311">
        <f>IF(全车数据表!J231="×",0,全车数据表!J231)</f>
        <v>45</v>
      </c>
      <c r="L230" s="311">
        <f>IF(全车数据表!K231="×",0,全车数据表!K231)</f>
        <v>60</v>
      </c>
      <c r="M230" s="311">
        <f>IF(全车数据表!L231="×",0,全车数据表!L231)</f>
        <v>70</v>
      </c>
      <c r="N230" s="311">
        <f>IF(全车数据表!M231="×",0,全车数据表!M231)</f>
        <v>85</v>
      </c>
      <c r="O230" s="311">
        <f>全车数据表!O231</f>
        <v>5190</v>
      </c>
      <c r="P230" s="311">
        <f>全车数据表!P231</f>
        <v>497.1</v>
      </c>
      <c r="Q230" s="311">
        <f>全车数据表!Q231</f>
        <v>84.28</v>
      </c>
      <c r="R230" s="311">
        <f>全车数据表!R231</f>
        <v>51.07</v>
      </c>
      <c r="S230" s="311">
        <f>全车数据表!S231</f>
        <v>27.5</v>
      </c>
      <c r="T230" s="311">
        <f>全车数据表!T231</f>
        <v>0</v>
      </c>
      <c r="U230" s="311">
        <f>全车数据表!AH231</f>
        <v>27726000</v>
      </c>
      <c r="V230" s="311">
        <f>全车数据表!AO231</f>
        <v>14760000</v>
      </c>
      <c r="W230" s="311">
        <f>全车数据表!AP231</f>
        <v>42486000</v>
      </c>
      <c r="X230" s="311">
        <f>全车数据表!AJ231</f>
        <v>7</v>
      </c>
      <c r="Y230" s="311">
        <f>全车数据表!AL231</f>
        <v>5</v>
      </c>
      <c r="Z230" s="311">
        <f>IF(全车数据表!AN231="×",0,全车数据表!AN231)</f>
        <v>4</v>
      </c>
      <c r="AA230" s="313" t="str">
        <f>全车数据表!AU231</f>
        <v>epic</v>
      </c>
      <c r="AB230" s="311">
        <f>全车数据表!AW231</f>
        <v>522</v>
      </c>
      <c r="AC230" s="311">
        <f>全车数据表!AX231</f>
        <v>0</v>
      </c>
      <c r="AD230" s="311">
        <f>全车数据表!AY231</f>
        <v>600</v>
      </c>
      <c r="AE230" s="311" t="str">
        <f>IF(全车数据表!AZ231="","",全车数据表!AZ231)</f>
        <v>联会赛事</v>
      </c>
      <c r="AF230" s="311" t="str">
        <f>IF(全车数据表!BA231="","",全车数据表!BA231)</f>
        <v/>
      </c>
      <c r="AG230" s="311" t="str">
        <f>IF(全车数据表!BB231="","",全车数据表!BB231)</f>
        <v/>
      </c>
      <c r="AH230" s="311" t="str">
        <f>IF(全车数据表!BC231="","",全车数据表!BC231)</f>
        <v/>
      </c>
      <c r="AI230" s="311" t="str">
        <f>IF(全车数据表!BD231="","",全车数据表!BD231)</f>
        <v/>
      </c>
      <c r="AJ230" s="311" t="str">
        <f>IF(全车数据表!BE231="","",全车数据表!BE231)</f>
        <v/>
      </c>
      <c r="AK230" s="311" t="str">
        <f>IF(全车数据表!BF231="","",全车数据表!BF231)</f>
        <v/>
      </c>
      <c r="AL230" s="311" t="str">
        <f>IF(全车数据表!BG231="","",全车数据表!BG231)</f>
        <v/>
      </c>
      <c r="AM230" s="311" t="str">
        <f>IF(全车数据表!BH231="","",全车数据表!BH231)</f>
        <v/>
      </c>
      <c r="AN230" s="311" t="str">
        <f>IF(全车数据表!BI231="","",全车数据表!BI231)</f>
        <v/>
      </c>
      <c r="AO230" s="311" t="str">
        <f>IF(全车数据表!BJ231="","",全车数据表!BJ231)</f>
        <v/>
      </c>
      <c r="AP230" s="311" t="str">
        <f>IF(全车数据表!BK231="","",全车数据表!BK231)</f>
        <v/>
      </c>
      <c r="AQ230" s="311" t="str">
        <f>IF(全车数据表!BL231="","",全车数据表!BL231)</f>
        <v/>
      </c>
      <c r="AR230" s="311" t="str">
        <f>IF(全车数据表!BM231="","",全车数据表!BM231)</f>
        <v/>
      </c>
      <c r="AS230" s="311">
        <f>IF(全车数据表!BN231="","",全车数据表!BN231)</f>
        <v>1</v>
      </c>
      <c r="AT230" s="311" t="str">
        <f>IF(全车数据表!BO231="","",全车数据表!BO231)</f>
        <v/>
      </c>
      <c r="AU230" s="311" t="str">
        <f>IF(全车数据表!BP231="","",全车数据表!BP231)</f>
        <v/>
      </c>
      <c r="AV230" s="311" t="str">
        <f>IF(全车数据表!BQ231="","",全车数据表!BQ231)</f>
        <v/>
      </c>
      <c r="AW230" s="311" t="str">
        <f>IF(全车数据表!BR231="","",全车数据表!BR231)</f>
        <v/>
      </c>
      <c r="AX230" s="311" t="str">
        <f>IF(全车数据表!BS231="","",全车数据表!BS231)</f>
        <v/>
      </c>
      <c r="AY230" s="311" t="str">
        <f>IF(全车数据表!BT231="","",全车数据表!BT231)</f>
        <v/>
      </c>
      <c r="AZ230" s="311" t="str">
        <f>IF(全车数据表!BU231="","",全车数据表!BU231)</f>
        <v>布加迪 玻璃龙</v>
      </c>
      <c r="BA230" s="311" t="str">
        <f>IF(全车数据表!AV231="","",全车数据表!AV231)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5"/>
  <sheetViews>
    <sheetView tabSelected="1" topLeftCell="A16" workbookViewId="0">
      <selection activeCell="C36" sqref="C36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1267</v>
      </c>
      <c r="C24" s="345" t="s">
        <v>1290</v>
      </c>
    </row>
    <row r="25" spans="1:3" ht="27" customHeight="1">
      <c r="A25" s="346">
        <v>24</v>
      </c>
      <c r="B25" s="345" t="s">
        <v>1308</v>
      </c>
      <c r="C25" s="345" t="s">
        <v>1327</v>
      </c>
    </row>
    <row r="26" spans="1:3" ht="27" customHeight="1">
      <c r="A26" s="346">
        <v>25</v>
      </c>
      <c r="B26" s="345" t="s">
        <v>1334</v>
      </c>
      <c r="C26" s="345" t="s">
        <v>1352</v>
      </c>
    </row>
    <row r="27" spans="1:3" ht="27" customHeight="1">
      <c r="A27" s="346">
        <v>26</v>
      </c>
      <c r="B27" s="345" t="s">
        <v>1381</v>
      </c>
      <c r="C27" s="345" t="s">
        <v>1389</v>
      </c>
    </row>
    <row r="28" spans="1:3" ht="27" customHeight="1">
      <c r="A28" s="346">
        <v>27</v>
      </c>
      <c r="B28" s="345" t="s">
        <v>1392</v>
      </c>
      <c r="C28" s="345" t="s">
        <v>1417</v>
      </c>
    </row>
    <row r="29" spans="1:3" ht="27" customHeight="1">
      <c r="A29" s="346">
        <v>28</v>
      </c>
      <c r="B29" s="345" t="s">
        <v>1427</v>
      </c>
      <c r="C29" s="345" t="s">
        <v>1451</v>
      </c>
    </row>
    <row r="30" spans="1:3" ht="27" customHeight="1">
      <c r="A30" s="346">
        <v>29</v>
      </c>
      <c r="B30" s="345" t="s">
        <v>1457</v>
      </c>
      <c r="C30" s="345" t="s">
        <v>1485</v>
      </c>
    </row>
    <row r="31" spans="1:3" ht="27" customHeight="1">
      <c r="A31" s="346">
        <v>30</v>
      </c>
      <c r="B31" s="345" t="s">
        <v>1487</v>
      </c>
      <c r="C31" s="345" t="s">
        <v>1511</v>
      </c>
    </row>
    <row r="32" spans="1:3" ht="27" customHeight="1">
      <c r="A32" s="346">
        <v>31</v>
      </c>
      <c r="B32" s="345" t="s">
        <v>1514</v>
      </c>
      <c r="C32" s="345" t="s">
        <v>976</v>
      </c>
    </row>
    <row r="33" spans="1:3" ht="27" customHeight="1">
      <c r="A33" s="346">
        <v>32</v>
      </c>
      <c r="B33" s="345" t="s">
        <v>1576</v>
      </c>
      <c r="C33" s="345" t="s">
        <v>1577</v>
      </c>
    </row>
    <row r="34" spans="1:3" ht="27" customHeight="1">
      <c r="A34" s="346">
        <v>33</v>
      </c>
      <c r="B34" s="345" t="s">
        <v>1610</v>
      </c>
      <c r="C34" s="345" t="s">
        <v>1638</v>
      </c>
    </row>
    <row r="35" spans="1:3" ht="27" customHeight="1">
      <c r="A35" s="346">
        <v>34</v>
      </c>
      <c r="B35" s="345" t="s">
        <v>1622</v>
      </c>
      <c r="C35" s="345" t="s">
        <v>1639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5" t="s">
        <v>364</v>
      </c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7"/>
      <c r="O2" s="1"/>
      <c r="P2" s="478" t="s">
        <v>365</v>
      </c>
      <c r="Q2" s="481"/>
      <c r="R2" s="481"/>
      <c r="S2" s="481"/>
      <c r="T2" s="482"/>
      <c r="V2" s="470" t="s">
        <v>486</v>
      </c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2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3" t="s">
        <v>468</v>
      </c>
      <c r="X3" s="473"/>
      <c r="Y3" s="473"/>
      <c r="Z3" s="473" t="s">
        <v>467</v>
      </c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4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8" t="s">
        <v>374</v>
      </c>
      <c r="Q8" s="479"/>
      <c r="R8" s="479"/>
      <c r="S8" s="479"/>
      <c r="T8" s="480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2023-09-21T16:36:11Z</dcterms:modified>
</cp:coreProperties>
</file>