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lg\Desktop\"/>
    </mc:Choice>
  </mc:AlternateContent>
  <xr:revisionPtr revIDLastSave="0" documentId="8_{1A156BBC-3775-4569-9A7B-AB7F37E799DA}" xr6:coauthVersionLast="47" xr6:coauthVersionMax="47" xr10:uidLastSave="{00000000-0000-0000-0000-000000000000}"/>
  <bookViews>
    <workbookView xWindow="-120" yWindow="-120" windowWidth="29040" windowHeight="15840" activeTab="2" xr2:uid="{2E9B3427-BD15-4280-BDA3-CF251C00724D}"/>
  </bookViews>
  <sheets>
    <sheet name="COFM" sheetId="4" r:id="rId1"/>
    <sheet name="Kinematic Models" sheetId="1" r:id="rId2"/>
    <sheet name="Brake System Pedal to Wheel" sheetId="2" r:id="rId3"/>
    <sheet name="Pedal Box Design" sheetId="5" r:id="rId4"/>
    <sheet name="Sheet1" sheetId="11" r:id="rId5"/>
    <sheet name="Steering" sheetId="3" r:id="rId6"/>
    <sheet name="Battery_Config" sheetId="10" r:id="rId7"/>
    <sheet name="Battery Mounts" sheetId="7" r:id="rId8"/>
    <sheet name="Aerodynamics Model" sheetId="6" r:id="rId9"/>
    <sheet name="Springs and Dampers" sheetId="8" r:id="rId10"/>
    <sheet name="Powertrain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8" l="1"/>
  <c r="L129" i="3"/>
  <c r="R81" i="3"/>
  <c r="J160" i="3"/>
  <c r="K16" i="8"/>
  <c r="I25" i="8"/>
  <c r="I27" i="8" s="1"/>
  <c r="N36" i="8"/>
  <c r="N37" i="8" s="1"/>
  <c r="K15" i="10"/>
  <c r="I28" i="10"/>
  <c r="I29" i="10"/>
  <c r="I27" i="10"/>
  <c r="Y21" i="4"/>
  <c r="I14" i="8"/>
  <c r="I13" i="8"/>
  <c r="I12" i="8"/>
  <c r="I15" i="8" s="1"/>
  <c r="I16" i="8" s="1"/>
  <c r="I4" i="8"/>
  <c r="U3" i="8"/>
  <c r="U4" i="8"/>
  <c r="K12" i="10"/>
  <c r="K6" i="10"/>
  <c r="R44" i="3"/>
  <c r="Q36" i="1"/>
  <c r="J23" i="3"/>
  <c r="J25" i="3"/>
  <c r="J27" i="3"/>
  <c r="R104" i="3"/>
  <c r="R43" i="3"/>
  <c r="C11" i="9"/>
  <c r="C9" i="9"/>
  <c r="C10" i="9" s="1"/>
  <c r="C5" i="9"/>
  <c r="C66" i="1"/>
  <c r="C6" i="9"/>
  <c r="C61" i="1"/>
  <c r="I25" i="10"/>
  <c r="I24" i="10"/>
  <c r="I30" i="10"/>
  <c r="I31" i="10" s="1"/>
  <c r="I22" i="10"/>
  <c r="I20" i="10"/>
  <c r="I21" i="10" s="1"/>
  <c r="I18" i="10"/>
  <c r="I17" i="10"/>
  <c r="I19" i="10" s="1"/>
  <c r="K12" i="8" l="1"/>
  <c r="I23" i="8"/>
  <c r="I26" i="10"/>
  <c r="J127" i="3" l="1"/>
  <c r="J30" i="7"/>
  <c r="J31" i="7"/>
  <c r="J32" i="7" s="1"/>
  <c r="O63" i="1"/>
  <c r="Q63" i="1"/>
  <c r="K24" i="1"/>
  <c r="J77" i="3"/>
  <c r="L77" i="3" s="1"/>
  <c r="O40" i="1"/>
  <c r="O39" i="1"/>
  <c r="O38" i="1"/>
  <c r="O41" i="1" s="1"/>
  <c r="O37" i="1"/>
  <c r="P36" i="1"/>
  <c r="O36" i="1"/>
  <c r="N36" i="1"/>
  <c r="C4" i="9"/>
  <c r="C3" i="9"/>
  <c r="C1" i="9"/>
  <c r="C32" i="9"/>
  <c r="G29" i="9"/>
  <c r="G27" i="9"/>
  <c r="C27" i="9"/>
  <c r="F13" i="9"/>
  <c r="L23" i="3"/>
  <c r="K9" i="8"/>
  <c r="J151" i="3"/>
  <c r="J162" i="3" s="1"/>
  <c r="J73" i="3"/>
  <c r="J72" i="3"/>
  <c r="K26" i="8"/>
  <c r="I28" i="8" s="1"/>
  <c r="I29" i="8" s="1"/>
  <c r="I30" i="8" s="1"/>
  <c r="I24" i="8"/>
  <c r="I22" i="8"/>
  <c r="I21" i="8"/>
  <c r="R33" i="4"/>
  <c r="I9" i="8"/>
  <c r="Y23" i="4"/>
  <c r="Y25" i="4"/>
  <c r="N4" i="8"/>
  <c r="N3" i="8"/>
  <c r="I3" i="8"/>
  <c r="J123" i="3"/>
  <c r="J115" i="3"/>
  <c r="J114" i="3"/>
  <c r="R153" i="3"/>
  <c r="J128" i="3" s="1"/>
  <c r="J71" i="3"/>
  <c r="R92" i="3"/>
  <c r="J87" i="3" s="1"/>
  <c r="J94" i="3"/>
  <c r="J101" i="3"/>
  <c r="C29" i="1"/>
  <c r="O46" i="1"/>
  <c r="O45" i="1"/>
  <c r="O24" i="1"/>
  <c r="O31" i="1"/>
  <c r="Q112" i="1"/>
  <c r="O59" i="1"/>
  <c r="C73" i="1"/>
  <c r="P23" i="1"/>
  <c r="P24" i="1"/>
  <c r="J22" i="6"/>
  <c r="J36" i="6"/>
  <c r="J21" i="6"/>
  <c r="J33" i="6" s="1"/>
  <c r="J28" i="6"/>
  <c r="J27" i="6"/>
  <c r="J26" i="6"/>
  <c r="J40" i="3"/>
  <c r="L40" i="3"/>
  <c r="J64" i="2"/>
  <c r="J63" i="2"/>
  <c r="R99" i="3"/>
  <c r="R100" i="3" s="1"/>
  <c r="R96" i="3"/>
  <c r="J26" i="7"/>
  <c r="J29" i="7"/>
  <c r="J19" i="7"/>
  <c r="L70" i="5"/>
  <c r="L69" i="5"/>
  <c r="J70" i="5"/>
  <c r="J69" i="5"/>
  <c r="J55" i="5"/>
  <c r="J56" i="5"/>
  <c r="J54" i="5"/>
  <c r="J46" i="5"/>
  <c r="J57" i="5" s="1"/>
  <c r="J58" i="5" s="1"/>
  <c r="J52" i="5"/>
  <c r="J88" i="2"/>
  <c r="J89" i="2"/>
  <c r="J86" i="2" s="1"/>
  <c r="J87" i="2" s="1"/>
  <c r="J90" i="2"/>
  <c r="J38" i="5"/>
  <c r="J36" i="5"/>
  <c r="J9" i="5"/>
  <c r="J7" i="5"/>
  <c r="J6" i="5"/>
  <c r="J133" i="3"/>
  <c r="J54" i="3"/>
  <c r="J55" i="3"/>
  <c r="Q144" i="3"/>
  <c r="J144" i="3" s="1"/>
  <c r="J142" i="3"/>
  <c r="R145" i="3"/>
  <c r="R142" i="3"/>
  <c r="J95" i="3"/>
  <c r="J89" i="3"/>
  <c r="J84" i="3"/>
  <c r="J70" i="3"/>
  <c r="J48" i="3"/>
  <c r="J85" i="3"/>
  <c r="J31" i="3"/>
  <c r="J26" i="3"/>
  <c r="C75" i="1"/>
  <c r="C74" i="1"/>
  <c r="C72" i="1"/>
  <c r="J17" i="3"/>
  <c r="R28" i="3"/>
  <c r="R27" i="3"/>
  <c r="J62" i="3"/>
  <c r="J61" i="3"/>
  <c r="J65" i="3" s="1"/>
  <c r="J14" i="3"/>
  <c r="J10" i="3"/>
  <c r="J6" i="3"/>
  <c r="J18" i="3" s="1"/>
  <c r="J5" i="3"/>
  <c r="I63" i="1"/>
  <c r="U19" i="1"/>
  <c r="I24" i="1" s="1"/>
  <c r="W9" i="4"/>
  <c r="W8" i="4"/>
  <c r="O13" i="1"/>
  <c r="J6" i="2"/>
  <c r="I25" i="1"/>
  <c r="I46" i="1"/>
  <c r="I45" i="1"/>
  <c r="I44" i="1"/>
  <c r="I43" i="1"/>
  <c r="I42" i="1"/>
  <c r="I41" i="1"/>
  <c r="C45" i="1"/>
  <c r="C59" i="1" s="1"/>
  <c r="C44" i="1"/>
  <c r="C58" i="1" s="1"/>
  <c r="C43" i="1"/>
  <c r="C57" i="1" s="1"/>
  <c r="C42" i="1"/>
  <c r="C56" i="1" s="1"/>
  <c r="C16" i="1"/>
  <c r="C15" i="1"/>
  <c r="C14" i="1"/>
  <c r="C13" i="1"/>
  <c r="I17" i="1"/>
  <c r="I16" i="1"/>
  <c r="I15" i="1"/>
  <c r="I14" i="1"/>
  <c r="I13" i="1"/>
  <c r="O16" i="1"/>
  <c r="O17" i="1"/>
  <c r="W10" i="4"/>
  <c r="W11" i="4" s="1"/>
  <c r="Y3" i="4"/>
  <c r="O15" i="1"/>
  <c r="O14" i="1"/>
  <c r="O18" i="1"/>
  <c r="W7" i="4"/>
  <c r="W6" i="4"/>
  <c r="W2" i="4"/>
  <c r="W5" i="4"/>
  <c r="W3" i="4"/>
  <c r="W4" i="4"/>
  <c r="R27" i="4"/>
  <c r="P27" i="4"/>
  <c r="I18" i="1"/>
  <c r="J7" i="2"/>
  <c r="J9" i="2" s="1"/>
  <c r="J78" i="2"/>
  <c r="J50" i="2"/>
  <c r="J49" i="2"/>
  <c r="J35" i="2"/>
  <c r="J68" i="2"/>
  <c r="J37" i="2"/>
  <c r="J67" i="2" s="1"/>
  <c r="J36" i="2"/>
  <c r="J33" i="2"/>
  <c r="J38" i="2" s="1"/>
  <c r="J51" i="2" s="1"/>
  <c r="J53" i="2" s="1"/>
  <c r="J118" i="3" l="1"/>
  <c r="O42" i="1"/>
  <c r="C8" i="9"/>
  <c r="C28" i="9" s="1"/>
  <c r="C29" i="9" s="1"/>
  <c r="I26" i="8"/>
  <c r="I7" i="8"/>
  <c r="I6" i="8"/>
  <c r="I5" i="8"/>
  <c r="J35" i="3"/>
  <c r="J47" i="3" s="1"/>
  <c r="J29" i="6"/>
  <c r="J34" i="6"/>
  <c r="J35" i="6" s="1"/>
  <c r="J37" i="5"/>
  <c r="J40" i="5" s="1"/>
  <c r="J53" i="3"/>
  <c r="J35" i="5"/>
  <c r="R82" i="3"/>
  <c r="O23" i="1"/>
  <c r="J54" i="2"/>
  <c r="J79" i="2"/>
  <c r="J80" i="2" s="1"/>
  <c r="J82" i="2" s="1"/>
  <c r="J39" i="2"/>
  <c r="J69" i="2" s="1"/>
  <c r="J71" i="2" s="1"/>
  <c r="J72" i="2" s="1"/>
  <c r="K17" i="8" l="1"/>
  <c r="K15" i="8"/>
  <c r="I31" i="8" s="1"/>
  <c r="I32" i="8" s="1"/>
  <c r="J32" i="8" s="1"/>
  <c r="K32" i="8" s="1"/>
  <c r="C33" i="9"/>
  <c r="C34" i="9" s="1"/>
  <c r="J51" i="5"/>
  <c r="J53" i="5" s="1"/>
  <c r="J64" i="5"/>
  <c r="J49" i="5"/>
  <c r="J59" i="5"/>
  <c r="J60" i="5" s="1"/>
  <c r="J63" i="5"/>
  <c r="J21" i="3"/>
  <c r="J28" i="3" s="1"/>
  <c r="J29" i="3" s="1"/>
  <c r="J56" i="2"/>
  <c r="J74" i="2"/>
  <c r="C20" i="1"/>
  <c r="C30" i="1" s="1"/>
  <c r="C35" i="1" s="1"/>
  <c r="C18" i="1"/>
  <c r="C62" i="1"/>
  <c r="C63" i="1"/>
  <c r="C65" i="1" s="1"/>
  <c r="O22" i="1"/>
  <c r="O21" i="1"/>
  <c r="O25" i="1"/>
  <c r="P63" i="1"/>
  <c r="N64" i="1"/>
  <c r="O64" i="1" s="1"/>
  <c r="Q64" i="1" s="1"/>
  <c r="O20" i="1"/>
  <c r="I56" i="1"/>
  <c r="I22" i="1" s="1"/>
  <c r="I21" i="1"/>
  <c r="C32" i="1"/>
  <c r="J67" i="5" l="1"/>
  <c r="J68" i="5" s="1"/>
  <c r="L68" i="5" s="1"/>
  <c r="J65" i="5"/>
  <c r="J66" i="5" s="1"/>
  <c r="O26" i="1"/>
  <c r="I57" i="1"/>
  <c r="I61" i="1"/>
  <c r="I62" i="1"/>
  <c r="I60" i="1"/>
  <c r="C64" i="1"/>
  <c r="C67" i="1" s="1"/>
  <c r="N65" i="1"/>
  <c r="N66" i="1" s="1"/>
  <c r="I58" i="1"/>
  <c r="I59" i="1"/>
  <c r="O27" i="1"/>
  <c r="O29" i="1"/>
  <c r="O28" i="1"/>
  <c r="P64" i="1"/>
  <c r="R45" i="3" l="1"/>
  <c r="L66" i="5"/>
  <c r="J71" i="5"/>
  <c r="I23" i="1"/>
  <c r="O30" i="1"/>
  <c r="C68" i="1"/>
  <c r="O65" i="1"/>
  <c r="R25" i="3" l="1"/>
  <c r="U25" i="3" s="1"/>
  <c r="R101" i="3"/>
  <c r="L21" i="3"/>
  <c r="J30" i="3"/>
  <c r="J32" i="3" s="1"/>
  <c r="I28" i="1"/>
  <c r="I29" i="1" s="1"/>
  <c r="P65" i="1"/>
  <c r="Q65" i="1"/>
  <c r="N67" i="1"/>
  <c r="O66" i="1"/>
  <c r="R30" i="3" l="1"/>
  <c r="R26" i="3" s="1"/>
  <c r="R29" i="3" s="1"/>
  <c r="R103" i="3"/>
  <c r="T104" i="3" s="1"/>
  <c r="J86" i="3"/>
  <c r="J83" i="3" s="1"/>
  <c r="I31" i="1"/>
  <c r="I48" i="1" s="1"/>
  <c r="I64" i="1" s="1"/>
  <c r="J37" i="3"/>
  <c r="J36" i="3" s="1"/>
  <c r="J39" i="3" s="1"/>
  <c r="J41" i="3" s="1"/>
  <c r="Q66" i="1"/>
  <c r="P66" i="1"/>
  <c r="N68" i="1"/>
  <c r="O67" i="1"/>
  <c r="U26" i="3" l="1"/>
  <c r="I65" i="1"/>
  <c r="I67" i="1" s="1"/>
  <c r="I68" i="1" s="1"/>
  <c r="I69" i="1" s="1"/>
  <c r="I70" i="1"/>
  <c r="I71" i="1"/>
  <c r="I34" i="1"/>
  <c r="I32" i="1"/>
  <c r="I33" i="1"/>
  <c r="J46" i="3"/>
  <c r="J49" i="3" s="1"/>
  <c r="J50" i="3" s="1"/>
  <c r="I66" i="1"/>
  <c r="P67" i="1"/>
  <c r="Q67" i="1"/>
  <c r="N69" i="1"/>
  <c r="O68" i="1"/>
  <c r="I73" i="1" l="1"/>
  <c r="J13" i="5"/>
  <c r="J14" i="5" s="1"/>
  <c r="J13" i="2"/>
  <c r="J14" i="2" s="1"/>
  <c r="J73" i="2" s="1"/>
  <c r="J75" i="2" s="1"/>
  <c r="I72" i="1"/>
  <c r="I74" i="1" s="1"/>
  <c r="I75" i="1" s="1"/>
  <c r="J11" i="5"/>
  <c r="J12" i="5" s="1"/>
  <c r="J11" i="2"/>
  <c r="J59" i="3"/>
  <c r="J60" i="3" s="1"/>
  <c r="J56" i="3"/>
  <c r="N70" i="1"/>
  <c r="O69" i="1"/>
  <c r="P68" i="1"/>
  <c r="Q68" i="1"/>
  <c r="J66" i="3" l="1"/>
  <c r="J67" i="3" s="1"/>
  <c r="J75" i="3"/>
  <c r="J78" i="3" s="1"/>
  <c r="J12" i="2"/>
  <c r="J55" i="2"/>
  <c r="J57" i="2" s="1"/>
  <c r="J76" i="3"/>
  <c r="P69" i="1"/>
  <c r="Q69" i="1"/>
  <c r="N71" i="1"/>
  <c r="O70" i="1"/>
  <c r="J79" i="3" l="1"/>
  <c r="J80" i="3" s="1"/>
  <c r="J90" i="3"/>
  <c r="N72" i="1"/>
  <c r="O71" i="1"/>
  <c r="P70" i="1"/>
  <c r="Q70" i="1"/>
  <c r="J91" i="3" l="1"/>
  <c r="J135" i="3" s="1"/>
  <c r="J88" i="3"/>
  <c r="J121" i="3" s="1"/>
  <c r="J120" i="3" s="1"/>
  <c r="J92" i="3"/>
  <c r="Q71" i="1"/>
  <c r="P71" i="1"/>
  <c r="N73" i="1"/>
  <c r="O72" i="1"/>
  <c r="J137" i="3" l="1"/>
  <c r="J136" i="3" s="1"/>
  <c r="J93" i="3"/>
  <c r="J119" i="3"/>
  <c r="J132" i="3" s="1"/>
  <c r="J131" i="3" s="1"/>
  <c r="J122" i="3"/>
  <c r="J124" i="3" s="1"/>
  <c r="L94" i="3"/>
  <c r="J138" i="3"/>
  <c r="J140" i="3" s="1"/>
  <c r="J139" i="3" s="1"/>
  <c r="J143" i="3" s="1"/>
  <c r="J146" i="3" s="1"/>
  <c r="J147" i="3" s="1"/>
  <c r="Q72" i="1"/>
  <c r="P72" i="1"/>
  <c r="N74" i="1"/>
  <c r="O73" i="1"/>
  <c r="J155" i="3" l="1"/>
  <c r="J156" i="3" s="1"/>
  <c r="J157" i="3" s="1"/>
  <c r="J158" i="3" s="1"/>
  <c r="J134" i="3"/>
  <c r="J150" i="3"/>
  <c r="J152" i="3" s="1"/>
  <c r="J100" i="3"/>
  <c r="L100" i="3" s="1"/>
  <c r="J102" i="3" s="1"/>
  <c r="J106" i="3"/>
  <c r="J107" i="3" s="1"/>
  <c r="J108" i="3" s="1"/>
  <c r="J109" i="3" s="1"/>
  <c r="J111" i="3" s="1"/>
  <c r="Q73" i="1"/>
  <c r="P73" i="1"/>
  <c r="N75" i="1"/>
  <c r="O74" i="1"/>
  <c r="J163" i="3" l="1"/>
  <c r="J164" i="3" s="1"/>
  <c r="Q74" i="1"/>
  <c r="P74" i="1"/>
  <c r="N76" i="1"/>
  <c r="O75" i="1"/>
  <c r="P75" i="1" l="1"/>
  <c r="Q75" i="1"/>
  <c r="N77" i="1"/>
  <c r="O76" i="1"/>
  <c r="N78" i="1" l="1"/>
  <c r="O77" i="1"/>
  <c r="Q76" i="1"/>
  <c r="P76" i="1"/>
  <c r="Q77" i="1" l="1"/>
  <c r="P77" i="1"/>
  <c r="N79" i="1"/>
  <c r="O78" i="1"/>
  <c r="P78" i="1" l="1"/>
  <c r="Q78" i="1"/>
  <c r="N80" i="1"/>
  <c r="O79" i="1"/>
  <c r="N81" i="1" l="1"/>
  <c r="O80" i="1"/>
  <c r="Q79" i="1"/>
  <c r="P79" i="1"/>
  <c r="P80" i="1" l="1"/>
  <c r="Q80" i="1"/>
  <c r="N82" i="1"/>
  <c r="O81" i="1"/>
  <c r="N83" i="1" l="1"/>
  <c r="O82" i="1"/>
  <c r="Q81" i="1"/>
  <c r="P81" i="1"/>
  <c r="P82" i="1" l="1"/>
  <c r="Q82" i="1"/>
  <c r="N84" i="1"/>
  <c r="O83" i="1"/>
  <c r="P83" i="1" l="1"/>
  <c r="Q83" i="1"/>
  <c r="N85" i="1"/>
  <c r="O84" i="1"/>
  <c r="P84" i="1" l="1"/>
  <c r="Q84" i="1"/>
  <c r="N86" i="1"/>
  <c r="O85" i="1"/>
  <c r="N87" i="1" l="1"/>
  <c r="O86" i="1"/>
  <c r="P85" i="1"/>
  <c r="Q85" i="1"/>
  <c r="Q86" i="1" l="1"/>
  <c r="P86" i="1"/>
  <c r="N88" i="1"/>
  <c r="O87" i="1"/>
  <c r="P87" i="1" l="1"/>
  <c r="Q87" i="1"/>
  <c r="N89" i="1"/>
  <c r="O88" i="1"/>
  <c r="Q88" i="1" l="1"/>
  <c r="P88" i="1"/>
  <c r="N90" i="1"/>
  <c r="O89" i="1"/>
  <c r="N91" i="1" l="1"/>
  <c r="O90" i="1"/>
  <c r="Q89" i="1"/>
  <c r="P89" i="1"/>
  <c r="P90" i="1" l="1"/>
  <c r="Q90" i="1"/>
  <c r="O91" i="1"/>
  <c r="N92" i="1"/>
  <c r="Q91" i="1" l="1"/>
  <c r="P91" i="1"/>
  <c r="N93" i="1"/>
  <c r="O92" i="1"/>
  <c r="P92" i="1" l="1"/>
  <c r="Q92" i="1"/>
  <c r="N94" i="1"/>
  <c r="O93" i="1"/>
  <c r="P93" i="1" l="1"/>
  <c r="Q93" i="1"/>
  <c r="N95" i="1"/>
  <c r="O94" i="1"/>
  <c r="N96" i="1" l="1"/>
  <c r="O95" i="1"/>
  <c r="Q94" i="1"/>
  <c r="P94" i="1"/>
  <c r="Q95" i="1" l="1"/>
  <c r="P95" i="1"/>
  <c r="N97" i="1"/>
  <c r="O96" i="1"/>
  <c r="Q96" i="1" l="1"/>
  <c r="P96" i="1"/>
  <c r="N98" i="1"/>
  <c r="O97" i="1"/>
  <c r="P97" i="1" l="1"/>
  <c r="Q97" i="1"/>
  <c r="O98" i="1"/>
  <c r="N99" i="1"/>
  <c r="Q98" i="1" l="1"/>
  <c r="P98" i="1"/>
  <c r="N100" i="1"/>
  <c r="O99" i="1"/>
  <c r="Q99" i="1" l="1"/>
  <c r="P99" i="1"/>
  <c r="N101" i="1"/>
  <c r="O100" i="1"/>
  <c r="N102" i="1" l="1"/>
  <c r="O101" i="1"/>
  <c r="Q100" i="1"/>
  <c r="P100" i="1"/>
  <c r="Q101" i="1" l="1"/>
  <c r="P101" i="1"/>
  <c r="N103" i="1"/>
  <c r="O102" i="1"/>
  <c r="P102" i="1" l="1"/>
  <c r="Q102" i="1"/>
  <c r="N104" i="1"/>
  <c r="O103" i="1"/>
  <c r="Q103" i="1" l="1"/>
  <c r="P103" i="1"/>
  <c r="N105" i="1"/>
  <c r="O104" i="1"/>
  <c r="P104" i="1" l="1"/>
  <c r="Q104" i="1"/>
  <c r="N106" i="1"/>
  <c r="O105" i="1"/>
  <c r="N107" i="1" l="1"/>
  <c r="O106" i="1"/>
  <c r="P105" i="1"/>
  <c r="Q105" i="1"/>
  <c r="Q106" i="1" l="1"/>
  <c r="P106" i="1"/>
  <c r="N108" i="1"/>
  <c r="O107" i="1"/>
  <c r="P107" i="1" l="1"/>
  <c r="Q107" i="1"/>
  <c r="N109" i="1"/>
  <c r="O108" i="1"/>
  <c r="N110" i="1" l="1"/>
  <c r="O109" i="1"/>
  <c r="Q108" i="1"/>
  <c r="P108" i="1"/>
  <c r="Q109" i="1" l="1"/>
  <c r="P109" i="1"/>
  <c r="N111" i="1"/>
  <c r="O110" i="1"/>
  <c r="Q110" i="1" l="1"/>
  <c r="P110" i="1"/>
  <c r="N112" i="1"/>
  <c r="O112" i="1" s="1"/>
  <c r="O111" i="1"/>
  <c r="P111" i="1" l="1"/>
  <c r="Q111" i="1"/>
  <c r="P112" i="1"/>
  <c r="O33" i="1" l="1"/>
  <c r="O34" i="1"/>
  <c r="O44" i="1" s="1"/>
  <c r="O32" i="1"/>
  <c r="O43" i="1" s="1"/>
  <c r="C47" i="1"/>
  <c r="C49" i="1" s="1"/>
  <c r="C48" i="1"/>
  <c r="C50" i="1" s="1"/>
  <c r="Q13" i="1" l="1"/>
  <c r="C51" i="1"/>
  <c r="O35" i="1"/>
  <c r="N49" i="1"/>
  <c r="N52" i="1"/>
  <c r="C15" i="9"/>
  <c r="E15" i="9" s="1"/>
  <c r="C14" i="9"/>
  <c r="E14" i="9" s="1"/>
  <c r="C37" i="9" l="1"/>
  <c r="C38" i="9" s="1"/>
  <c r="C39" i="9" s="1"/>
  <c r="C16" i="9"/>
  <c r="G28" i="9" s="1"/>
  <c r="G30" i="9" s="1"/>
  <c r="G31" i="9" s="1"/>
  <c r="C42" i="9"/>
  <c r="C43" i="9" s="1"/>
  <c r="C44" i="9" s="1"/>
</calcChain>
</file>

<file path=xl/sharedStrings.xml><?xml version="1.0" encoding="utf-8"?>
<sst xmlns="http://schemas.openxmlformats.org/spreadsheetml/2006/main" count="1890" uniqueCount="979">
  <si>
    <t>Component</t>
  </si>
  <si>
    <t>x (mm)</t>
  </si>
  <si>
    <t>y (mm)</t>
  </si>
  <si>
    <t>z (mm)</t>
  </si>
  <si>
    <t>Mass (kg)</t>
  </si>
  <si>
    <t>x *mass</t>
  </si>
  <si>
    <t>y * mass</t>
  </si>
  <si>
    <t>z * mass</t>
  </si>
  <si>
    <t>m</t>
  </si>
  <si>
    <t>Chassis:</t>
  </si>
  <si>
    <t>a2</t>
  </si>
  <si>
    <t xml:space="preserve">Battery: </t>
  </si>
  <si>
    <t>a1</t>
  </si>
  <si>
    <t>Front Left Wheel Assembly:</t>
  </si>
  <si>
    <t>h</t>
  </si>
  <si>
    <t>Front Right Wheel Assembly:</t>
  </si>
  <si>
    <t>lf</t>
  </si>
  <si>
    <t>Rear Left Wheel Assembly:</t>
  </si>
  <si>
    <t>lr</t>
  </si>
  <si>
    <t>Rear Right Wheel Assembly:</t>
  </si>
  <si>
    <t>hf</t>
  </si>
  <si>
    <t>Driver:</t>
  </si>
  <si>
    <t>hr</t>
  </si>
  <si>
    <t>Motor and big sprocket:</t>
  </si>
  <si>
    <t>bleft</t>
  </si>
  <si>
    <t>Steering Assembly:</t>
  </si>
  <si>
    <t>brigjt</t>
  </si>
  <si>
    <t>Seat and Harness:</t>
  </si>
  <si>
    <t>Rear drive shaft:</t>
  </si>
  <si>
    <t>Front Suspension Assembly:</t>
  </si>
  <si>
    <t>Rear Suspension Assembly:</t>
  </si>
  <si>
    <t>Pedal Box:</t>
  </si>
  <si>
    <t>Rear wing and mouting:</t>
  </si>
  <si>
    <t>Front Splitter and mouting:</t>
  </si>
  <si>
    <t>Total Mass</t>
  </si>
  <si>
    <t>COM</t>
  </si>
  <si>
    <t>Origin is in the middle of Front Bulkhead</t>
  </si>
  <si>
    <t>SPRUNG MASS</t>
  </si>
  <si>
    <t>UNSPRUNG MASS</t>
  </si>
  <si>
    <t>COM from Ground</t>
  </si>
  <si>
    <t>Rear Tire to COFM</t>
  </si>
  <si>
    <t>Front Tire to COFM</t>
  </si>
  <si>
    <t>ACCELERATION CALC</t>
  </si>
  <si>
    <t>DECELERATION CALC</t>
  </si>
  <si>
    <t>SPEED VS CORNERING RADIUS</t>
  </si>
  <si>
    <t xml:space="preserve">in </t>
  </si>
  <si>
    <t>Height from Road to COFM</t>
  </si>
  <si>
    <t>kg</t>
  </si>
  <si>
    <t>Length from COFM to Front</t>
  </si>
  <si>
    <t>Length from COFM to Rear</t>
  </si>
  <si>
    <t>Mass of the Vehicle</t>
  </si>
  <si>
    <t>Length from COFM to Rear Wing</t>
  </si>
  <si>
    <t>l_r</t>
  </si>
  <si>
    <t>Length from Right Wheel to COFM</t>
  </si>
  <si>
    <t>b</t>
  </si>
  <si>
    <t>Acceleration due to gravity</t>
  </si>
  <si>
    <t>g</t>
  </si>
  <si>
    <t>m/s^2</t>
  </si>
  <si>
    <t>Length from COFM to Front Wing</t>
  </si>
  <si>
    <t>l_f</t>
  </si>
  <si>
    <t>Length from Left Wheel to COFM</t>
  </si>
  <si>
    <t>Radius of the Tire</t>
  </si>
  <si>
    <t>Rw</t>
  </si>
  <si>
    <t>Peak Power Batter</t>
  </si>
  <si>
    <t>Pb</t>
  </si>
  <si>
    <t>kW</t>
  </si>
  <si>
    <t>Coefficient of Drag</t>
  </si>
  <si>
    <t>C_D</t>
  </si>
  <si>
    <t>Max Torque from Motor</t>
  </si>
  <si>
    <t>Tm</t>
  </si>
  <si>
    <t>Nm</t>
  </si>
  <si>
    <t>Number of Teeth Driving</t>
  </si>
  <si>
    <t>N1</t>
  </si>
  <si>
    <t>Total Normal Force on Front Wheels</t>
  </si>
  <si>
    <t>WF</t>
  </si>
  <si>
    <t>N</t>
  </si>
  <si>
    <t>Statics</t>
  </si>
  <si>
    <t>b_left</t>
  </si>
  <si>
    <t>Number of Teeth Driven</t>
  </si>
  <si>
    <t>N2</t>
  </si>
  <si>
    <t>Maximum Down Force Generated</t>
  </si>
  <si>
    <t>F_TL</t>
  </si>
  <si>
    <t>Total Normal Force on Rear Wheels</t>
  </si>
  <si>
    <t>WR</t>
  </si>
  <si>
    <t>b_right</t>
  </si>
  <si>
    <t>Differential Gear Ratio</t>
  </si>
  <si>
    <t>DGR</t>
  </si>
  <si>
    <t>Lift Generated from Car</t>
  </si>
  <si>
    <t>F_LC</t>
  </si>
  <si>
    <t>Front Bias</t>
  </si>
  <si>
    <t>blad</t>
  </si>
  <si>
    <t>Transmission Efficiency</t>
  </si>
  <si>
    <t>n_Tr</t>
  </si>
  <si>
    <t>Height from COFM to Front Wing</t>
  </si>
  <si>
    <t>h_f</t>
  </si>
  <si>
    <t>Rear Bias</t>
  </si>
  <si>
    <t>blod</t>
  </si>
  <si>
    <t>Coefficient of Friction (Road)</t>
  </si>
  <si>
    <t>u_f</t>
  </si>
  <si>
    <t>Height from COFM to Rear Wing</t>
  </si>
  <si>
    <t>h_r</t>
  </si>
  <si>
    <t>Aero without velocity</t>
  </si>
  <si>
    <t>rho*cd*A</t>
  </si>
  <si>
    <t>Front Normal Force on Right Wheel</t>
  </si>
  <si>
    <t>F_Nfr</t>
  </si>
  <si>
    <t>Smallest Corner</t>
  </si>
  <si>
    <t>Finding maximum allowable deceleration due to friction</t>
  </si>
  <si>
    <t>Front Normal Force on Left Wheel</t>
  </si>
  <si>
    <t>F_Nfl</t>
  </si>
  <si>
    <t>Finding max accel of car from the motor</t>
  </si>
  <si>
    <t>Total Normal Force about COFM</t>
  </si>
  <si>
    <t>F_NT</t>
  </si>
  <si>
    <t>Rear Normal Force on Right Wheel</t>
  </si>
  <si>
    <t>F_Nrr</t>
  </si>
  <si>
    <t>Torque transferred to wheels</t>
  </si>
  <si>
    <t>T_w</t>
  </si>
  <si>
    <t xml:space="preserve">Maximum allowable total Friction from Tires and Road </t>
  </si>
  <si>
    <t>F_fmax</t>
  </si>
  <si>
    <t>Rear Normal Force on Left Wheel</t>
  </si>
  <si>
    <t>F_Nrl</t>
  </si>
  <si>
    <t>Force transmitted from the wheels</t>
  </si>
  <si>
    <t>F_w</t>
  </si>
  <si>
    <t>Thus max decel. Allowed</t>
  </si>
  <si>
    <t>Friction Verification</t>
  </si>
  <si>
    <t>Max Allowable Total Friction from Tires and the Road</t>
  </si>
  <si>
    <t>Maximum Deceleration</t>
  </si>
  <si>
    <t>a_decel max</t>
  </si>
  <si>
    <t>Largest Corner
Multiplied by BIAS</t>
  </si>
  <si>
    <t>Friction Force from tires to road</t>
  </si>
  <si>
    <t>F_f</t>
  </si>
  <si>
    <t>Maximum Deceleration in G's</t>
  </si>
  <si>
    <t>a/g</t>
  </si>
  <si>
    <t>Since F_f &gt; F_w, car will accelerate wihtout slip</t>
  </si>
  <si>
    <t>Time Required to Stop from Max Speed to 0</t>
  </si>
  <si>
    <t>t_stopping</t>
  </si>
  <si>
    <t>s</t>
  </si>
  <si>
    <t>Thus,</t>
  </si>
  <si>
    <t>Estimated Stopping Distance</t>
  </si>
  <si>
    <t>S_stopping</t>
  </si>
  <si>
    <t>Max Acceleration of the Car</t>
  </si>
  <si>
    <t>a_max</t>
  </si>
  <si>
    <t>INDUCED FROM A STAND STILL AS THERE ARE LITTLE TO NO DRAG FORCES INDUCED ON THE VEHICLE
THIS ACCELERATION IS UNATTAINABLE SMALLER MOTOR REQUIRED</t>
  </si>
  <si>
    <t>Drag? Will be ADDED tmrw max</t>
  </si>
  <si>
    <t>Reaction Forces at wheel due to F_C right</t>
  </si>
  <si>
    <t>F_yr</t>
  </si>
  <si>
    <t>DON’T USE</t>
  </si>
  <si>
    <t>Reaction Forces at wheel due to F_C left</t>
  </si>
  <si>
    <t>F_yl</t>
  </si>
  <si>
    <t>Force Reactions Due to Acceleration</t>
  </si>
  <si>
    <t>Force Reactions Due to Decceleration</t>
  </si>
  <si>
    <t>Reaction Forces at wheel due to F_C Front right</t>
  </si>
  <si>
    <t>F_yfr</t>
  </si>
  <si>
    <t>Sum of Forces about Z-axis</t>
  </si>
  <si>
    <t>Reaction Forces at wheel due to F_C Rear right</t>
  </si>
  <si>
    <t>F_yrr</t>
  </si>
  <si>
    <t>Reaction Forces at wheel due to F_C Front left</t>
  </si>
  <si>
    <t>F_yfl</t>
  </si>
  <si>
    <t>Reaction Forces at wheel due to F_C Rear left</t>
  </si>
  <si>
    <t>F_yrl</t>
  </si>
  <si>
    <t>Friction Forces Front Left</t>
  </si>
  <si>
    <t>F_xfl</t>
  </si>
  <si>
    <t>Friction Forces Rear Left</t>
  </si>
  <si>
    <t>F_xrl</t>
  </si>
  <si>
    <t>Friction Forces Front right</t>
  </si>
  <si>
    <t>F_xfr</t>
  </si>
  <si>
    <t>Friction Forces Rear right</t>
  </si>
  <si>
    <t>F_xrr</t>
  </si>
  <si>
    <t>Normal Force on a Front Wheel</t>
  </si>
  <si>
    <t>Fz_f</t>
  </si>
  <si>
    <t>TOTAL FORCE ON FRONT LEFT</t>
  </si>
  <si>
    <t>Normal Force on a Rear Wheel</t>
  </si>
  <si>
    <t>Fz_r</t>
  </si>
  <si>
    <t>Normal Force Front</t>
  </si>
  <si>
    <t>2*Fz_f</t>
  </si>
  <si>
    <t>Coefficient of Lift Rear Wing</t>
  </si>
  <si>
    <t>C_ff</t>
  </si>
  <si>
    <t xml:space="preserve">ASSUMED
DON’T KNOW HOW TO FINDING NEED SAPPORT
</t>
  </si>
  <si>
    <t>F_Tfl</t>
  </si>
  <si>
    <t>Normal Force Rear</t>
  </si>
  <si>
    <t>2*Fz_r</t>
  </si>
  <si>
    <t>Coefficient of Lift Front Wing</t>
  </si>
  <si>
    <t>C_fr</t>
  </si>
  <si>
    <t>TOTAL FORCE ON REAR LEFT</t>
  </si>
  <si>
    <t>Verification of Friction Force</t>
  </si>
  <si>
    <t>Coefficient of Lift Car</t>
  </si>
  <si>
    <t>C_fcar</t>
  </si>
  <si>
    <t>Frontal Area of Front Wing</t>
  </si>
  <si>
    <t>A_f</t>
  </si>
  <si>
    <t>m^2</t>
  </si>
  <si>
    <t>F_Trl</t>
  </si>
  <si>
    <t>Frontal Area of Rear Wing</t>
  </si>
  <si>
    <t>A_r</t>
  </si>
  <si>
    <t>Force Reactions Due to Acceleration Method 2 ex.107 FVD Springer</t>
  </si>
  <si>
    <t>Frontal Area of Car</t>
  </si>
  <si>
    <t>A_car</t>
  </si>
  <si>
    <t>VELOCITY ITTERATIONS</t>
  </si>
  <si>
    <t>Density of Air</t>
  </si>
  <si>
    <t>p</t>
  </si>
  <si>
    <t>kg/m^3</t>
  </si>
  <si>
    <t>Coefficient of Lift for Car</t>
  </si>
  <si>
    <t>C_lcar</t>
  </si>
  <si>
    <t>DOWNWARDS</t>
  </si>
  <si>
    <t>Maximum Velocity of Vehicle</t>
  </si>
  <si>
    <t>v_max</t>
  </si>
  <si>
    <t>m/s</t>
  </si>
  <si>
    <t>Downforce Produced by Front Wing</t>
  </si>
  <si>
    <t>F_lf</t>
  </si>
  <si>
    <t>Downwards</t>
  </si>
  <si>
    <t>Downforce Produced by Rear Wing</t>
  </si>
  <si>
    <t>F_lr</t>
  </si>
  <si>
    <t>Downforce Produced</t>
  </si>
  <si>
    <t>F_l</t>
  </si>
  <si>
    <t>?</t>
  </si>
  <si>
    <t>Lift Force Produced from Car</t>
  </si>
  <si>
    <t>F_lcar</t>
  </si>
  <si>
    <t>Upwards</t>
  </si>
  <si>
    <t>Drag Force Front</t>
  </si>
  <si>
    <t>F_Df</t>
  </si>
  <si>
    <t>Coefficient of Friction</t>
  </si>
  <si>
    <t>Max Acceleration 1</t>
  </si>
  <si>
    <t>a_1</t>
  </si>
  <si>
    <t>Drag Force Rear</t>
  </si>
  <si>
    <t>F_Dr</t>
  </si>
  <si>
    <t>Gravity</t>
  </si>
  <si>
    <t>Acceleration for WHEELIES</t>
  </si>
  <si>
    <t>a_2</t>
  </si>
  <si>
    <t>Total Drag</t>
  </si>
  <si>
    <t>F_D</t>
  </si>
  <si>
    <t>Cornering Radius (m)</t>
  </si>
  <si>
    <t>Max Velocity (m/s)</t>
  </si>
  <si>
    <t>F_c</t>
  </si>
  <si>
    <t>F_friction</t>
  </si>
  <si>
    <t>C_Davg</t>
  </si>
  <si>
    <t xml:space="preserve">Downforce only
</t>
  </si>
  <si>
    <t>Friction Force</t>
  </si>
  <si>
    <t>Friction Force From Rear Wheels</t>
  </si>
  <si>
    <t>F_fr</t>
  </si>
  <si>
    <t>Total Normal Forces Acting on Car</t>
  </si>
  <si>
    <t>Fz_T</t>
  </si>
  <si>
    <t xml:space="preserve">Downforce and Drag
</t>
  </si>
  <si>
    <t>Static Scenrio</t>
  </si>
  <si>
    <t>Front and Rear Tire Brake Analysis</t>
  </si>
  <si>
    <t>Vehicle Properties</t>
  </si>
  <si>
    <t>Mass of Vehicle</t>
  </si>
  <si>
    <t>m_v</t>
  </si>
  <si>
    <t>Radius of Wheel</t>
  </si>
  <si>
    <t>R_w</t>
  </si>
  <si>
    <t>Modelling Report</t>
  </si>
  <si>
    <t>Maximum Vehicle Velocity</t>
  </si>
  <si>
    <t>V_max</t>
  </si>
  <si>
    <t>105 km/h</t>
  </si>
  <si>
    <t>Angular Velocity of the Wheel at max velocity</t>
  </si>
  <si>
    <t>omega_max</t>
  </si>
  <si>
    <t>rad/s</t>
  </si>
  <si>
    <t>Coefficient of Friction Between Tire and Road</t>
  </si>
  <si>
    <t>mu_road</t>
  </si>
  <si>
    <t xml:space="preserve">Normal Force on Wheel Front for 1 Tire </t>
  </si>
  <si>
    <t>F_NF1</t>
  </si>
  <si>
    <t>From Deceleration Analysis</t>
  </si>
  <si>
    <t>F_NF2</t>
  </si>
  <si>
    <t xml:space="preserve">Normal Force on Wheel Rear for 1 Tire </t>
  </si>
  <si>
    <t>F_NR1</t>
  </si>
  <si>
    <t>F_NR2</t>
  </si>
  <si>
    <t>Pedal Forces &amp; Bias Bar Translations</t>
  </si>
  <si>
    <t>PARAM. C LENGTH ATTACHMENT POINT TO ROD AND BIAS RATIOS + SAFETY FACTOR FOR LOCKING</t>
  </si>
  <si>
    <t>Description</t>
  </si>
  <si>
    <t>Variable</t>
  </si>
  <si>
    <t>Value</t>
  </si>
  <si>
    <t>Units</t>
  </si>
  <si>
    <t>Notes</t>
  </si>
  <si>
    <t>Length at which Pedal Force is Applied from Pinion</t>
  </si>
  <si>
    <t>L</t>
  </si>
  <si>
    <t>Length at which Master Cylinders attach to pedal from Pinion</t>
  </si>
  <si>
    <t>C</t>
  </si>
  <si>
    <t>Variable we can change</t>
  </si>
  <si>
    <t>Force Applied by Drivers Foot</t>
  </si>
  <si>
    <t>Fapp</t>
  </si>
  <si>
    <t>Reaction force from Master Cylinder Rod</t>
  </si>
  <si>
    <t>Fc</t>
  </si>
  <si>
    <t>Bias Bar Front Ratio</t>
  </si>
  <si>
    <t>BBRf</t>
  </si>
  <si>
    <t>-</t>
  </si>
  <si>
    <t>Bias Bar Rear Ratio</t>
  </si>
  <si>
    <t>BBRr</t>
  </si>
  <si>
    <t>Master Cylinders</t>
  </si>
  <si>
    <t>Front Master Cylinder Bore Radius</t>
  </si>
  <si>
    <t>R_FMC</t>
  </si>
  <si>
    <t>5/8 " Master Cylinder</t>
  </si>
  <si>
    <t>https://www.wilwood.com/MasterCylinders/MasterCylinderProd?itemno=260-10371</t>
  </si>
  <si>
    <t>Rear Master Cylinder Bore Radius</t>
  </si>
  <si>
    <t>R_RMC</t>
  </si>
  <si>
    <t>7/8 " Master Cylinder</t>
  </si>
  <si>
    <t>https://www.wilwood.com/MasterCylinders/MasterCylinderProd?itemno=260-10374</t>
  </si>
  <si>
    <t>Front Master Cylinder Force</t>
  </si>
  <si>
    <t>F_FMC</t>
  </si>
  <si>
    <t>Rear Master Cylinder Force</t>
  </si>
  <si>
    <t>F_RMC</t>
  </si>
  <si>
    <t>Caliper and Rotor Specs Front</t>
  </si>
  <si>
    <t>Radius of Front Caliper Pistons</t>
  </si>
  <si>
    <t>R_CPPf</t>
  </si>
  <si>
    <t>Refer to Wilwoods Subject to change</t>
  </si>
  <si>
    <t>Equivelant Radius of Front Calipers from Center Wheel</t>
  </si>
  <si>
    <t>R_ef</t>
  </si>
  <si>
    <t>Coefficient of Friction between Pads and Disc/Rotor</t>
  </si>
  <si>
    <t>mu_pd</t>
  </si>
  <si>
    <t>Shgileys</t>
  </si>
  <si>
    <t>Rotor Width</t>
  </si>
  <si>
    <t>t_rotorf</t>
  </si>
  <si>
    <t>Rotor/Disc Radius</t>
  </si>
  <si>
    <t>R_rotorf</t>
  </si>
  <si>
    <t>Forces Acting on Front Brakes at Max Deceleration</t>
  </si>
  <si>
    <t>Area of Front Master Cylinder</t>
  </si>
  <si>
    <t>A_MCf</t>
  </si>
  <si>
    <t>Area of Front Caliper Pistons</t>
  </si>
  <si>
    <t>A_Calf</t>
  </si>
  <si>
    <t>Normal Force Applied on 1 Caliper Piston</t>
  </si>
  <si>
    <t>F_Ncalf</t>
  </si>
  <si>
    <t>CALIPERS</t>
  </si>
  <si>
    <t>Number of Pistons for the Front Caliper</t>
  </si>
  <si>
    <t>n</t>
  </si>
  <si>
    <t>https://www.wilwood.com/PDF/Flyers/fl148.pdf</t>
  </si>
  <si>
    <t>Total Froce Applied on Caliper Pistons</t>
  </si>
  <si>
    <t>F_Tncalf</t>
  </si>
  <si>
    <t>https://www.wilwood.com/Calipers/CaliperProd?itemno=120-15752%20%20%20%20%20%20&amp;appid=0</t>
  </si>
  <si>
    <t>Total Friction Force Front Calipers Apply on Rotor</t>
  </si>
  <si>
    <t>F_fcalf</t>
  </si>
  <si>
    <t>Total Friction Force from Front Tire</t>
  </si>
  <si>
    <t>F_ff</t>
  </si>
  <si>
    <t>Torque applied from front Calipers onto Rotor</t>
  </si>
  <si>
    <t>T_calf</t>
  </si>
  <si>
    <t>N.m</t>
  </si>
  <si>
    <t>T_caf &gt; T_ff thus wheels will lock!</t>
  </si>
  <si>
    <t>Torque from Friction at Front Tire</t>
  </si>
  <si>
    <t>T_ff</t>
  </si>
  <si>
    <t>Caliper and Rotor Specs Rear</t>
  </si>
  <si>
    <t>Radius of Rear Caliper Pistons</t>
  </si>
  <si>
    <t>R_CPPr</t>
  </si>
  <si>
    <t>Equivelant Radius of Rear Calipers from Center Wheel</t>
  </si>
  <si>
    <t>R_er</t>
  </si>
  <si>
    <t>Rotor Dimensions determined from Calipers and equivelant found</t>
  </si>
  <si>
    <t>t_rotorr</t>
  </si>
  <si>
    <t>Rotor Radius</t>
  </si>
  <si>
    <t>R_rotorr</t>
  </si>
  <si>
    <t>https://www.wilwood.com/Rotors/RotorProd?itemno=160-10662-BK%20%20%20&amp;appid=0</t>
  </si>
  <si>
    <t>Forces Acting on Rear Brakes at Max Deceleration</t>
  </si>
  <si>
    <t>A_MCr</t>
  </si>
  <si>
    <t>A_Calr</t>
  </si>
  <si>
    <t>F_Ncalr</t>
  </si>
  <si>
    <t>F_Tncalr</t>
  </si>
  <si>
    <t>F_fcalr</t>
  </si>
  <si>
    <t>T_calr</t>
  </si>
  <si>
    <t>T_fr</t>
  </si>
  <si>
    <t>Yield Stress Analysis</t>
  </si>
  <si>
    <t>Area of Pads at which caliper force is applied on to rotors</t>
  </si>
  <si>
    <t>A_pads</t>
  </si>
  <si>
    <t>Refer to Wilwoods Caliper Properties</t>
  </si>
  <si>
    <t xml:space="preserve">Highest Normal Force applied on Rotors </t>
  </si>
  <si>
    <t>F_Ncal</t>
  </si>
  <si>
    <t>Induced Stress on Rotors from Normal Force Applied</t>
  </si>
  <si>
    <t>sigma</t>
  </si>
  <si>
    <t>MPa</t>
  </si>
  <si>
    <t>Yield Strength of Stainless Steel</t>
  </si>
  <si>
    <t>Sy</t>
  </si>
  <si>
    <t>Safety factor</t>
  </si>
  <si>
    <t>PEDAL BOX DESIGN ANALYSIS (RETURN SPRING BRAKES)</t>
  </si>
  <si>
    <t>Max Force Applied from Drivers Foot</t>
  </si>
  <si>
    <t>F_app</t>
  </si>
  <si>
    <t>Force Applied from Master Cylinders into pedal</t>
  </si>
  <si>
    <t>F_C</t>
  </si>
  <si>
    <t>Reaction Moment from Spring</t>
  </si>
  <si>
    <t>M_s</t>
  </si>
  <si>
    <t>Theta Angle at which the force changes the pedal position</t>
  </si>
  <si>
    <t>theta</t>
  </si>
  <si>
    <t>radians</t>
  </si>
  <si>
    <t>Distance horizontally from joint to F_cy</t>
  </si>
  <si>
    <t>a</t>
  </si>
  <si>
    <t>Pedal Forces &amp; Cable Translations</t>
  </si>
  <si>
    <t>w</t>
  </si>
  <si>
    <t>PEDAL BOX DESIGN ANALYSIS (RETURN SPRING Accel Pedal)</t>
  </si>
  <si>
    <t>Min Force Applied from Drivers Foot</t>
  </si>
  <si>
    <t>F_appmin</t>
  </si>
  <si>
    <t>Force Applied from Cable into pedal</t>
  </si>
  <si>
    <t>CABLE FORCE NOT FROM MC</t>
  </si>
  <si>
    <t>F_appmax</t>
  </si>
  <si>
    <t>W</t>
  </si>
  <si>
    <t>Spring Force Max</t>
  </si>
  <si>
    <t>F_s1</t>
  </si>
  <si>
    <t>Spring Design and Analysis</t>
  </si>
  <si>
    <t>Spring Width</t>
  </si>
  <si>
    <t>d</t>
  </si>
  <si>
    <t>Same spring will be used for brake pedal
No point in designing two different ones</t>
  </si>
  <si>
    <t>Angle between horizontal to spring arm L1</t>
  </si>
  <si>
    <t>Beta</t>
  </si>
  <si>
    <t>degrees</t>
  </si>
  <si>
    <t>Inner Diameter</t>
  </si>
  <si>
    <t>ID</t>
  </si>
  <si>
    <t>Outer Diameter</t>
  </si>
  <si>
    <t>D</t>
  </si>
  <si>
    <t>Length of arm at which F_s1 is applied</t>
  </si>
  <si>
    <t>L1</t>
  </si>
  <si>
    <t>Length of arm at which F_s2 reacts</t>
  </si>
  <si>
    <t>L2</t>
  </si>
  <si>
    <t>Max spring force from Pedal</t>
  </si>
  <si>
    <t>Spring Reaction Force</t>
  </si>
  <si>
    <t>F_s2</t>
  </si>
  <si>
    <t xml:space="preserve">Total Angular Deflection </t>
  </si>
  <si>
    <t>Theta_t</t>
  </si>
  <si>
    <t>Young's Modulus</t>
  </si>
  <si>
    <t>E</t>
  </si>
  <si>
    <t>Pa</t>
  </si>
  <si>
    <t>Spring Rate</t>
  </si>
  <si>
    <t>K</t>
  </si>
  <si>
    <t>Nm/rad</t>
  </si>
  <si>
    <t>Body Turn Count</t>
  </si>
  <si>
    <t>N_b</t>
  </si>
  <si>
    <t>turns</t>
  </si>
  <si>
    <t>Ultimate Tensile Stress</t>
  </si>
  <si>
    <t>S_ut</t>
  </si>
  <si>
    <t>Yield Stress</t>
  </si>
  <si>
    <t>S_y</t>
  </si>
  <si>
    <t>Spring Index</t>
  </si>
  <si>
    <t>Bending Stress Factor</t>
  </si>
  <si>
    <t>K_i</t>
  </si>
  <si>
    <t>Bending Stress</t>
  </si>
  <si>
    <t>Safety Factor</t>
  </si>
  <si>
    <t>Spring Fatigue Analysis</t>
  </si>
  <si>
    <t>Max Moment</t>
  </si>
  <si>
    <t>M_max</t>
  </si>
  <si>
    <t>Min Moment</t>
  </si>
  <si>
    <t>M_min</t>
  </si>
  <si>
    <t>Amplitude of Moments</t>
  </si>
  <si>
    <t>M_a</t>
  </si>
  <si>
    <t>Stress amplitude</t>
  </si>
  <si>
    <t>sigma_a</t>
  </si>
  <si>
    <t>Mean Moment</t>
  </si>
  <si>
    <t>M_m</t>
  </si>
  <si>
    <t>Stress mean</t>
  </si>
  <si>
    <t>sigma_m</t>
  </si>
  <si>
    <t>Fatigue Strength</t>
  </si>
  <si>
    <t>S_f</t>
  </si>
  <si>
    <t>Corrected Fatigue Strength</t>
  </si>
  <si>
    <t>S_fc</t>
  </si>
  <si>
    <t>n_f</t>
  </si>
  <si>
    <t>General COFM info</t>
  </si>
  <si>
    <t>Primary Shaft Dimensions</t>
  </si>
  <si>
    <t>Length of Primary Shaft</t>
  </si>
  <si>
    <t>L_prim</t>
  </si>
  <si>
    <t>Angle at which shaft is oriented</t>
  </si>
  <si>
    <t>theta_prim</t>
  </si>
  <si>
    <t>\</t>
  </si>
  <si>
    <t>Secondary Shaft Dimensions</t>
  </si>
  <si>
    <t>Length of Secondary Shaft</t>
  </si>
  <si>
    <t>Degrees</t>
  </si>
  <si>
    <t>Heim Joint Bolt (Steering Knuckle)</t>
  </si>
  <si>
    <t xml:space="preserve"> Tire Width</t>
  </si>
  <si>
    <t>Tire_width</t>
  </si>
  <si>
    <t>Tire Radius</t>
  </si>
  <si>
    <t>Tire_radius</t>
  </si>
  <si>
    <t>Coefficient of Fricition Tire and Road</t>
  </si>
  <si>
    <t>mu</t>
  </si>
  <si>
    <t>Safety Factor for Heim Joint</t>
  </si>
  <si>
    <t>Steering Dimensions</t>
  </si>
  <si>
    <t>Maximum Turning Angle for inner wheel</t>
  </si>
  <si>
    <t>alpha_i</t>
  </si>
  <si>
    <t>Distance between KingPin Axis and steering arm Heim Joint</t>
  </si>
  <si>
    <t>X_kpheim</t>
  </si>
  <si>
    <t>Tire Width</t>
  </si>
  <si>
    <t>W_tire</t>
  </si>
  <si>
    <t>GEOMETRIES</t>
  </si>
  <si>
    <t>Angle Between Steering Arm and Knuckle</t>
  </si>
  <si>
    <t>beta</t>
  </si>
  <si>
    <t>R_tire</t>
  </si>
  <si>
    <t>Heim Joint Bolt Diameter</t>
  </si>
  <si>
    <t>d_heim</t>
  </si>
  <si>
    <t>M8 Bolt</t>
  </si>
  <si>
    <t>Track Width</t>
  </si>
  <si>
    <t>T</t>
  </si>
  <si>
    <t>Moment of Friction</t>
  </si>
  <si>
    <t>M_f</t>
  </si>
  <si>
    <t>Inner Wheel Steering Angle</t>
  </si>
  <si>
    <t>Phi_i</t>
  </si>
  <si>
    <t>Total Radius of Contact Patch</t>
  </si>
  <si>
    <t>R_t</t>
  </si>
  <si>
    <t>Outer Wheel Steering Angle</t>
  </si>
  <si>
    <t>Phi_o</t>
  </si>
  <si>
    <t>Total Normal Force on Wheel</t>
  </si>
  <si>
    <t>F_N</t>
  </si>
  <si>
    <t>Distance from Rear axle to COFM</t>
  </si>
  <si>
    <t>Lateral Force Required to turn the Wheel (Steering Arm)</t>
  </si>
  <si>
    <t>F_SA</t>
  </si>
  <si>
    <t>Distance from Rear axle to Front Axle</t>
  </si>
  <si>
    <t xml:space="preserve">Reaction Force acting on Heim Joint </t>
  </si>
  <si>
    <t>F_heim</t>
  </si>
  <si>
    <t>Distance from Center of Corner to COFM of car (MINIMUM TURNING RADIUS)</t>
  </si>
  <si>
    <t>R_1</t>
  </si>
  <si>
    <t>Max Shear Stress on Heim Joint</t>
  </si>
  <si>
    <t>tao_max</t>
  </si>
  <si>
    <t>Horizontal Distance from Center of Corner to center of rear axle</t>
  </si>
  <si>
    <t>R_2</t>
  </si>
  <si>
    <t>Shear Yield Strength</t>
  </si>
  <si>
    <t>S_sy</t>
  </si>
  <si>
    <t>Acc. Safety Factor for Heim Joint</t>
  </si>
  <si>
    <t>n_acc</t>
  </si>
  <si>
    <t>Derivation to determine our ACKERMANN STEERING GEOMETRY</t>
  </si>
  <si>
    <t>Tie Rod and Heim Joint</t>
  </si>
  <si>
    <t>Ride Height</t>
  </si>
  <si>
    <t>Angle that Tie Rod makes with Heim Joint</t>
  </si>
  <si>
    <t>Theta</t>
  </si>
  <si>
    <t>Lower Wishbone Length Front Long</t>
  </si>
  <si>
    <t>Tie Rod input Force</t>
  </si>
  <si>
    <t>F_Trout</t>
  </si>
  <si>
    <t>Lower Wishbone Length Front Short</t>
  </si>
  <si>
    <t>Heim Joint Reaction Force X</t>
  </si>
  <si>
    <t>F_Heimx</t>
  </si>
  <si>
    <t>Area of Thread</t>
  </si>
  <si>
    <t>A_thread</t>
  </si>
  <si>
    <t>mm^2</t>
  </si>
  <si>
    <t>Upper Wishbone Length Front Long</t>
  </si>
  <si>
    <t>Axial Stress</t>
  </si>
  <si>
    <t>sigma_axial</t>
  </si>
  <si>
    <t>Upper Wishbone Length Front Short</t>
  </si>
  <si>
    <t>Test</t>
  </si>
  <si>
    <t>Yield Strength</t>
  </si>
  <si>
    <t>Y-Distance of Model</t>
  </si>
  <si>
    <t>Height</t>
  </si>
  <si>
    <t>Distance from Knuckle Connection to Center of Wheel</t>
  </si>
  <si>
    <t>Tie Rods Tensile Loading</t>
  </si>
  <si>
    <t>Distance from center of wishbone connection Knuckle subtracted by Tire Width</t>
  </si>
  <si>
    <t>Tie Rod Diameter</t>
  </si>
  <si>
    <t>d_TR</t>
  </si>
  <si>
    <t>Max Allowable Steering Angle inner</t>
  </si>
  <si>
    <t>Threaded Hole Diameter</t>
  </si>
  <si>
    <t>d_Trhole</t>
  </si>
  <si>
    <t>Input Force on TR</t>
  </si>
  <si>
    <t>F_Trin</t>
  </si>
  <si>
    <t>Tie Rod angle</t>
  </si>
  <si>
    <t>Radians</t>
  </si>
  <si>
    <t>Tie Rod Length</t>
  </si>
  <si>
    <t>x_TR</t>
  </si>
  <si>
    <t>BETA DERIVATION FOR HEIM JOINT ANALYSIS</t>
  </si>
  <si>
    <t>Tie Rods Compressive Loading</t>
  </si>
  <si>
    <t>Critical Buckling Load</t>
  </si>
  <si>
    <t>P_cr</t>
  </si>
  <si>
    <t>E_TR</t>
  </si>
  <si>
    <t>Moment of Inertia</t>
  </si>
  <si>
    <t>I_TR</t>
  </si>
  <si>
    <t>m^4</t>
  </si>
  <si>
    <t>n_buckling</t>
  </si>
  <si>
    <t>Rack Hiem Joint and Rack Pin</t>
  </si>
  <si>
    <t>Rack Heim Joint Force</t>
  </si>
  <si>
    <t>F_Heim2</t>
  </si>
  <si>
    <t>Reaction force at Pin</t>
  </si>
  <si>
    <t>Fp</t>
  </si>
  <si>
    <t>Critical Shear Load</t>
  </si>
  <si>
    <t>F_cr</t>
  </si>
  <si>
    <t>Shear Yield Stress</t>
  </si>
  <si>
    <t>Pin Diameter</t>
  </si>
  <si>
    <t>d_pin</t>
  </si>
  <si>
    <t>Max Shear Stress</t>
  </si>
  <si>
    <t>Actual Shear Stress</t>
  </si>
  <si>
    <t>tao_acc'.</t>
  </si>
  <si>
    <t>Rack</t>
  </si>
  <si>
    <t xml:space="preserve">Height of Rack from Chassis </t>
  </si>
  <si>
    <t>H_R</t>
  </si>
  <si>
    <t>Dimensions of the rack with the rods 
at the end</t>
  </si>
  <si>
    <t>Length of Rack</t>
  </si>
  <si>
    <t>L_R</t>
  </si>
  <si>
    <t>Rack width</t>
  </si>
  <si>
    <t>W_R</t>
  </si>
  <si>
    <t>Pin Hole diameter</t>
  </si>
  <si>
    <t>Stress Concentration Factor</t>
  </si>
  <si>
    <t>K_t</t>
  </si>
  <si>
    <t>Pin Raction Forces on Rack X</t>
  </si>
  <si>
    <t>F_px</t>
  </si>
  <si>
    <t>Pin Raction Forces on Rack Y</t>
  </si>
  <si>
    <t>F_py</t>
  </si>
  <si>
    <t>Angle at which pins are connected to tie rods</t>
  </si>
  <si>
    <t>Phi</t>
  </si>
  <si>
    <t>radains</t>
  </si>
  <si>
    <t>L_TR</t>
  </si>
  <si>
    <t>Tangential Force acting on Rack</t>
  </si>
  <si>
    <t>F_pt</t>
  </si>
  <si>
    <t>Rack Length</t>
  </si>
  <si>
    <t>Stress on one prong of the rack</t>
  </si>
  <si>
    <t>sigma_prong</t>
  </si>
  <si>
    <t xml:space="preserve">Rack Height </t>
  </si>
  <si>
    <t>Too high needs to be reitterated for</t>
  </si>
  <si>
    <t>Angle from Horizontal of Knuckle to Tie Rod connection at Rack</t>
  </si>
  <si>
    <t>Theta_TR-R</t>
  </si>
  <si>
    <t>Pinion</t>
  </si>
  <si>
    <t>Maximum Steering Arm Distance</t>
  </si>
  <si>
    <t>d_max</t>
  </si>
  <si>
    <t>Length of Steering Arm</t>
  </si>
  <si>
    <t>l_arm</t>
  </si>
  <si>
    <t>Ackermann Steering Angle</t>
  </si>
  <si>
    <t>alpha_max</t>
  </si>
  <si>
    <t>Steering Ratio</t>
  </si>
  <si>
    <t>STR</t>
  </si>
  <si>
    <t>PINON GEAR DIMENSIONS</t>
  </si>
  <si>
    <t>Pinion Gear Dimensions and Properties</t>
  </si>
  <si>
    <t>Pinion Diameter</t>
  </si>
  <si>
    <t>d_p</t>
  </si>
  <si>
    <t>Torque Transmitted</t>
  </si>
  <si>
    <t>Pitch Diameter</t>
  </si>
  <si>
    <t>in</t>
  </si>
  <si>
    <t>5172T45</t>
  </si>
  <si>
    <t>Gear Pressure Angle</t>
  </si>
  <si>
    <t xml:space="preserve">Number of Teeth </t>
  </si>
  <si>
    <t>Z_pinion</t>
  </si>
  <si>
    <t>teeth</t>
  </si>
  <si>
    <t>https://www.mcmaster.com/gear-wheels/component~gear/for-shaft-diameter~7-8/</t>
  </si>
  <si>
    <t>Transmitted Load Tangential</t>
  </si>
  <si>
    <t>F_t</t>
  </si>
  <si>
    <t>Diameteral Pitch</t>
  </si>
  <si>
    <t>1/m</t>
  </si>
  <si>
    <t>teeth/in</t>
  </si>
  <si>
    <t>Transmitted Radial Force</t>
  </si>
  <si>
    <t>F_r</t>
  </si>
  <si>
    <t>Face Width</t>
  </si>
  <si>
    <t>Reaction force applied on Secondary Shaft x</t>
  </si>
  <si>
    <t>d_pi</t>
  </si>
  <si>
    <t>mm</t>
  </si>
  <si>
    <t>Reaction force applied on Secondary Shaft y</t>
  </si>
  <si>
    <t>RACK DIMENSIONS assumingmachinable to cut to whatever length we want</t>
  </si>
  <si>
    <t>Diametral Pitch</t>
  </si>
  <si>
    <t>P</t>
  </si>
  <si>
    <t>1/in</t>
  </si>
  <si>
    <t>Pinion Width</t>
  </si>
  <si>
    <t>lbf</t>
  </si>
  <si>
    <t>RACK DIMENSIONS</t>
  </si>
  <si>
    <t>5174T5</t>
  </si>
  <si>
    <t>Geometry Factor</t>
  </si>
  <si>
    <t>J</t>
  </si>
  <si>
    <t>Rack Length (this will be modified to fit our rack length</t>
  </si>
  <si>
    <t>L_Rmc</t>
  </si>
  <si>
    <t>https://www.mcmaster.com/gear-rods/component~gear-rack/gear-rack-shape~rectangular/length~24/</t>
  </si>
  <si>
    <t>Dynamic Factor</t>
  </si>
  <si>
    <t>K_v</t>
  </si>
  <si>
    <t>Rack Face Width</t>
  </si>
  <si>
    <t>b_r</t>
  </si>
  <si>
    <t>Overload Factor</t>
  </si>
  <si>
    <t>K_o</t>
  </si>
  <si>
    <t>Figure 14-17 Shigleys Medium Shock Driver, Heavy Shock Pinion</t>
  </si>
  <si>
    <t>Mounting Correction Factor</t>
  </si>
  <si>
    <t>K_m</t>
  </si>
  <si>
    <t>Rack Travel</t>
  </si>
  <si>
    <t>RT</t>
  </si>
  <si>
    <t>sigma_pinion</t>
  </si>
  <si>
    <t>Psi</t>
  </si>
  <si>
    <t>Teeth on Rack Required</t>
  </si>
  <si>
    <t>Z_rack</t>
  </si>
  <si>
    <t>Teeth</t>
  </si>
  <si>
    <t>S_n</t>
  </si>
  <si>
    <t>STR_proper</t>
  </si>
  <si>
    <t>Steering Wheel Radius</t>
  </si>
  <si>
    <t>r_steering</t>
  </si>
  <si>
    <t>Rack Travel Required (Probably more correct)</t>
  </si>
  <si>
    <t>RT_req</t>
  </si>
  <si>
    <t>Rack must be 2 x this number + a bit</t>
  </si>
  <si>
    <t>Rack Travel (PINION related Calc)</t>
  </si>
  <si>
    <t>RT_req2</t>
  </si>
  <si>
    <t>Pinon Surface Stresses to be included in APPENDIX not in BODY</t>
  </si>
  <si>
    <t>Calculation for surface Stresses</t>
  </si>
  <si>
    <t>BEARING ATTACHMENT POINT FOR OUR SECONDARY SHAFT</t>
  </si>
  <si>
    <t>Surface stresses</t>
  </si>
  <si>
    <t>Mpa</t>
  </si>
  <si>
    <t>S</t>
  </si>
  <si>
    <t>S_h</t>
  </si>
  <si>
    <t>WE IS GOOD</t>
  </si>
  <si>
    <t>Pinion Key</t>
  </si>
  <si>
    <t>Key Width</t>
  </si>
  <si>
    <t>w_key</t>
  </si>
  <si>
    <t>Can be designed</t>
  </si>
  <si>
    <t>Key Height</t>
  </si>
  <si>
    <t>h_key</t>
  </si>
  <si>
    <t>Key Length</t>
  </si>
  <si>
    <t>l_key</t>
  </si>
  <si>
    <t>Secondary Shaft Diameter</t>
  </si>
  <si>
    <t>d_sshaft</t>
  </si>
  <si>
    <t>From Catalogue</t>
  </si>
  <si>
    <t>r</t>
  </si>
  <si>
    <t>Pin Reaction Force in</t>
  </si>
  <si>
    <t>F_Kpin</t>
  </si>
  <si>
    <t>y force</t>
  </si>
  <si>
    <t>Pin Reaction Force Out</t>
  </si>
  <si>
    <t>F_Kpout</t>
  </si>
  <si>
    <t>Torque applied on Pinion Key</t>
  </si>
  <si>
    <t>tao</t>
  </si>
  <si>
    <t>STEEL A36 Hot Rolled</t>
  </si>
  <si>
    <t>Secondary Steering Shaft</t>
  </si>
  <si>
    <t>U joint arms thickness</t>
  </si>
  <si>
    <t>t_uarms</t>
  </si>
  <si>
    <t>pg.157 and 158 diagrams</t>
  </si>
  <si>
    <t>Distance between u joint arms</t>
  </si>
  <si>
    <t>l_uarms</t>
  </si>
  <si>
    <t>Shaft Diameter (minor) (@ key end)</t>
  </si>
  <si>
    <t>d_shaftmin</t>
  </si>
  <si>
    <t>Shaft Diameter (major)</t>
  </si>
  <si>
    <t>d_shaftmaj</t>
  </si>
  <si>
    <t>Force at U joint from secondary shaft y</t>
  </si>
  <si>
    <t>F_uy2</t>
  </si>
  <si>
    <t>Force transmitted from pinion key</t>
  </si>
  <si>
    <t>F_pkin</t>
  </si>
  <si>
    <t>Angle at which Secondary Shaft is positioned from Vertical</t>
  </si>
  <si>
    <t>Phi_sec.</t>
  </si>
  <si>
    <t>Force at U joint from secondary shaft x</t>
  </si>
  <si>
    <t>F_ux2</t>
  </si>
  <si>
    <t>Force y from Pinion</t>
  </si>
  <si>
    <t>Force Bearing 2 y end of shaft</t>
  </si>
  <si>
    <t>F_By2</t>
  </si>
  <si>
    <t>PAGE 158 report Eric for Moment and Force Equations</t>
  </si>
  <si>
    <t>Force Bearing 1 y after pinion</t>
  </si>
  <si>
    <t>F_By1</t>
  </si>
  <si>
    <t>F_Bx2</t>
  </si>
  <si>
    <t>F_Bx1</t>
  </si>
  <si>
    <t>BEARING PRODUCT DESCRIPTION</t>
  </si>
  <si>
    <t>Reliability factor</t>
  </si>
  <si>
    <t>K_r</t>
  </si>
  <si>
    <t>Life (revolutions)</t>
  </si>
  <si>
    <t>L_r</t>
  </si>
  <si>
    <t>Bearing Shaft Diameter</t>
  </si>
  <si>
    <t>d_shaft</t>
  </si>
  <si>
    <t>Equivelant load</t>
  </si>
  <si>
    <t>F_e</t>
  </si>
  <si>
    <t>Bearing Trade Number</t>
  </si>
  <si>
    <t>R14</t>
  </si>
  <si>
    <t>Bearing Rated Capacity</t>
  </si>
  <si>
    <t>MCMASTER CARR</t>
  </si>
  <si>
    <t>Max Bearing Load Dynamic</t>
  </si>
  <si>
    <t>lbs</t>
  </si>
  <si>
    <t>Application Factor</t>
  </si>
  <si>
    <t>K_a</t>
  </si>
  <si>
    <t>Bearing Width</t>
  </si>
  <si>
    <t>w_bearing</t>
  </si>
  <si>
    <t>Bearing Fatigue Life</t>
  </si>
  <si>
    <t>cycles</t>
  </si>
  <si>
    <t>10^8 cycles</t>
  </si>
  <si>
    <t>Secondary Shaft</t>
  </si>
  <si>
    <t>KEYED SHAFT KEYWAY LENGTH</t>
  </si>
  <si>
    <t>l_keyway</t>
  </si>
  <si>
    <t>Universal Joint Pin Failure Analysis</t>
  </si>
  <si>
    <t>Far from failing as the forces applied are very small (APPENDIX)</t>
  </si>
  <si>
    <t>UNIVERSAL JOINT PROPERTIES</t>
  </si>
  <si>
    <t>6452K5</t>
  </si>
  <si>
    <t>Universal Joint Overall Height</t>
  </si>
  <si>
    <t>h_uarms</t>
  </si>
  <si>
    <t>https://www.mcmaster.com/catalog/6452k5</t>
  </si>
  <si>
    <t>Primary Shaft</t>
  </si>
  <si>
    <t>Max Operating Angle</t>
  </si>
  <si>
    <t>Beta_maxu</t>
  </si>
  <si>
    <t>Force Applied on Key Way of Primary Shaft from Steering</t>
  </si>
  <si>
    <t>F_keyprimy</t>
  </si>
  <si>
    <t>Max Torque Rated</t>
  </si>
  <si>
    <t>T_maxrated</t>
  </si>
  <si>
    <t>Torque from Shaft</t>
  </si>
  <si>
    <t>T_out</t>
  </si>
  <si>
    <t>Joint Diameter for pins on universal joint</t>
  </si>
  <si>
    <t>d_pin joint</t>
  </si>
  <si>
    <t>Torque from Steering Wheel</t>
  </si>
  <si>
    <t>T_in</t>
  </si>
  <si>
    <t>Force input from Wheel</t>
  </si>
  <si>
    <t>F_in</t>
  </si>
  <si>
    <t>Radius of Steering Wheel</t>
  </si>
  <si>
    <t>r_sw</t>
  </si>
  <si>
    <t>I_majorshaft</t>
  </si>
  <si>
    <t>Stress Concentration</t>
  </si>
  <si>
    <t>K_f</t>
  </si>
  <si>
    <t>Shear Stress max for hollow prim shaft</t>
  </si>
  <si>
    <t>Sony VTC6 Battery Specifications</t>
  </si>
  <si>
    <t>Amp hours per Section</t>
  </si>
  <si>
    <t>Motor Voltage</t>
  </si>
  <si>
    <t>Motor Amps</t>
  </si>
  <si>
    <t>Continuous Max. Discharge (A)</t>
  </si>
  <si>
    <t>Peak Max. Discharge (A)</t>
  </si>
  <si>
    <t>Nominal Voltage (V)</t>
  </si>
  <si>
    <t>Number of Modules</t>
  </si>
  <si>
    <t>Max Voltage (V)</t>
  </si>
  <si>
    <t>Capacity (Ah)</t>
  </si>
  <si>
    <t>Diameter (mm)</t>
  </si>
  <si>
    <t>Number of Cells Connected in Series</t>
  </si>
  <si>
    <t>Height (mm)</t>
  </si>
  <si>
    <t>Mass (g)</t>
  </si>
  <si>
    <t>Power Produced by Accunulator (kW)</t>
  </si>
  <si>
    <r>
      <t xml:space="preserve">Sony VTC6 Accumulator Design
</t>
    </r>
    <r>
      <rPr>
        <i/>
        <sz val="12"/>
        <color theme="1"/>
        <rFont val="Times New Roman"/>
        <family val="1"/>
      </rPr>
      <t>5 modules connected in series consisting of (4px28s)</t>
    </r>
  </si>
  <si>
    <t>Capacity per Module (Ah)</t>
  </si>
  <si>
    <t>Nominal Voltage per Module (V)</t>
  </si>
  <si>
    <t>Nominal Capacity per Module (Wh)</t>
  </si>
  <si>
    <t>Peak Voltage per Module (V)</t>
  </si>
  <si>
    <t>Peak Capacity per Module (Wh)</t>
  </si>
  <si>
    <t>Total Nominal Voltage (V)</t>
  </si>
  <si>
    <t>Accumulator Peak Voltage (V)</t>
  </si>
  <si>
    <t>Max Discharge Current (A)</t>
  </si>
  <si>
    <t>Accumulator Peak Power (W)</t>
  </si>
  <si>
    <t>Accumulator Capacity (kWh)</t>
  </si>
  <si>
    <t>Dimensions X (mm)</t>
  </si>
  <si>
    <t>Dimensions Y (mm)</t>
  </si>
  <si>
    <t>Dimensions Z (mm)</t>
  </si>
  <si>
    <t>Weight (Batteries) (kg)</t>
  </si>
  <si>
    <t>Accumulator Estimated Weight (kg)</t>
  </si>
  <si>
    <t>Battery Mount Dimensions</t>
  </si>
  <si>
    <t>Mass of Battery</t>
  </si>
  <si>
    <t>Gravitational Accel</t>
  </si>
  <si>
    <t>Reaction Force from Mounts</t>
  </si>
  <si>
    <t>R_m</t>
  </si>
  <si>
    <t>Number of Mounts</t>
  </si>
  <si>
    <t>Mounts to be able to withstand 3x force</t>
  </si>
  <si>
    <t>Mount General Dimensions and Bolt Analysis</t>
  </si>
  <si>
    <t xml:space="preserve">M20 Bolt by 380 mm </t>
  </si>
  <si>
    <t>Distance between Force and Bolt</t>
  </si>
  <si>
    <t>d_f</t>
  </si>
  <si>
    <t>Bolt Diameter</t>
  </si>
  <si>
    <t>D_bolt</t>
  </si>
  <si>
    <t>M20 bolt</t>
  </si>
  <si>
    <t>https://www.trfastenings.com/Products/Catalogue/Screws-and-Bolts/Hexagon-Screws-and-Bolts/Bolts/TR00002635-100</t>
  </si>
  <si>
    <t>Bolt Length</t>
  </si>
  <si>
    <t>L_bolt</t>
  </si>
  <si>
    <t>Thickness of Top Mount</t>
  </si>
  <si>
    <t>t_topmount</t>
  </si>
  <si>
    <t>Thickness of Bottom Mount</t>
  </si>
  <si>
    <t>t_botmount</t>
  </si>
  <si>
    <t>Max Force Applied Top Mount</t>
  </si>
  <si>
    <t>F_TM max</t>
  </si>
  <si>
    <t>3x the expected force on a single mount</t>
  </si>
  <si>
    <t>Bending Stress on boly</t>
  </si>
  <si>
    <t>sigma_bolt</t>
  </si>
  <si>
    <t>Yield Stress Bolt</t>
  </si>
  <si>
    <t xml:space="preserve">Safety Factor </t>
  </si>
  <si>
    <t>n &gt; 1.5 good</t>
  </si>
  <si>
    <t>Aerodynamic Forces</t>
  </si>
  <si>
    <t>General Information</t>
  </si>
  <si>
    <t>Coefficient of Drag Front Wing</t>
  </si>
  <si>
    <t>Coefficient of Drag Rear Wing</t>
  </si>
  <si>
    <t>Downforces and Lift Forces Generated on the Car</t>
  </si>
  <si>
    <t xml:space="preserve">Total Lift Forces Generated on Car </t>
  </si>
  <si>
    <t>F_lift total</t>
  </si>
  <si>
    <t>against direction of car</t>
  </si>
  <si>
    <t>Sum of Front and Rear Drag Forces</t>
  </si>
  <si>
    <t>Verification</t>
  </si>
  <si>
    <t>Total Drag on COFM of Car</t>
  </si>
  <si>
    <t>Springs</t>
  </si>
  <si>
    <t>Total Mass of the Car</t>
  </si>
  <si>
    <t>m_T</t>
  </si>
  <si>
    <t>Front Sprung Mass per Corner</t>
  </si>
  <si>
    <t>m_funsprung</t>
  </si>
  <si>
    <t>Rear Sprung Mass per Corner</t>
  </si>
  <si>
    <t>m_runsprung</t>
  </si>
  <si>
    <t>Front Unsprung Mass per Corner</t>
  </si>
  <si>
    <t>m_fsprung</t>
  </si>
  <si>
    <t>Distance from Pushrod to Bell Crank</t>
  </si>
  <si>
    <t>Rear Unsprung Mass per Corner</t>
  </si>
  <si>
    <t>m_rsprung</t>
  </si>
  <si>
    <t>Distance From Wheel Center to Lower Control Arm</t>
  </si>
  <si>
    <t>Motion Ratio</t>
  </si>
  <si>
    <t>MR</t>
  </si>
  <si>
    <t>Tire Stiffness</t>
  </si>
  <si>
    <t>N/m</t>
  </si>
  <si>
    <t>c</t>
  </si>
  <si>
    <t>Undamped Natural Frequency</t>
  </si>
  <si>
    <t>f_r</t>
  </si>
  <si>
    <t>Hz</t>
  </si>
  <si>
    <t>Spring Rate Front</t>
  </si>
  <si>
    <t>K_sf</t>
  </si>
  <si>
    <t>Spring Rate Rear</t>
  </si>
  <si>
    <t>K_sr</t>
  </si>
  <si>
    <t>Ride Rate</t>
  </si>
  <si>
    <t>kg-Hz^2</t>
  </si>
  <si>
    <t>Wheel Rate</t>
  </si>
  <si>
    <t>K_wf</t>
  </si>
  <si>
    <t>https://www.hoosiertire.com/contingency_rates/fsae/</t>
  </si>
  <si>
    <t>Critical Damping Ratio Front</t>
  </si>
  <si>
    <t>c_crit</t>
  </si>
  <si>
    <t>Ns/m</t>
  </si>
  <si>
    <t>Damping Coefficient</t>
  </si>
  <si>
    <t>b_front</t>
  </si>
  <si>
    <t>Front Push Rod Force</t>
  </si>
  <si>
    <t>F_prf</t>
  </si>
  <si>
    <t xml:space="preserve"> N</t>
  </si>
  <si>
    <t>Min Force</t>
  </si>
  <si>
    <t>F_min</t>
  </si>
  <si>
    <t>Amplitude Force</t>
  </si>
  <si>
    <t>F_a</t>
  </si>
  <si>
    <t>Mean Force</t>
  </si>
  <si>
    <t>F_m</t>
  </si>
  <si>
    <t>Displacement induced by force</t>
  </si>
  <si>
    <t>x_max</t>
  </si>
  <si>
    <t>Falls between 4 and 12</t>
  </si>
  <si>
    <t>Solid Force</t>
  </si>
  <si>
    <t>F_s</t>
  </si>
  <si>
    <t>Active Coils</t>
  </si>
  <si>
    <t>N_a</t>
  </si>
  <si>
    <t>delta_s</t>
  </si>
  <si>
    <t>Solid deflection</t>
  </si>
  <si>
    <t>L_s</t>
  </si>
  <si>
    <t>Free Length</t>
  </si>
  <si>
    <t>L_f</t>
  </si>
  <si>
    <t>Modulus of Elasticity</t>
  </si>
  <si>
    <t>Shear Modulus</t>
  </si>
  <si>
    <t>Ultimate Tensile Strength</t>
  </si>
  <si>
    <t>Mass of vehicle</t>
  </si>
  <si>
    <t>Rear bias</t>
  </si>
  <si>
    <t>Coefficient of friction of rear tire</t>
  </si>
  <si>
    <t>Normal force on the rear tire</t>
  </si>
  <si>
    <t>Minimum traction force needed</t>
  </si>
  <si>
    <t>Radius of tire</t>
  </si>
  <si>
    <t>Torque needed from shaft</t>
  </si>
  <si>
    <t>Max torque produced from Emraxx 228</t>
  </si>
  <si>
    <t>Torque ratio = Teeth ratio</t>
  </si>
  <si>
    <t>We will use</t>
  </si>
  <si>
    <t>Sprocket catalouge</t>
  </si>
  <si>
    <t>Number of teeth</t>
  </si>
  <si>
    <t>BIG</t>
  </si>
  <si>
    <t>http://www.jtsprockets.com/fileadmin/files/jtgearratio.pdf</t>
  </si>
  <si>
    <t>SMALL</t>
  </si>
  <si>
    <t>Pitch of Sprocket and Chain</t>
  </si>
  <si>
    <t>inches</t>
  </si>
  <si>
    <t>Radius of Sprocket on half axle</t>
  </si>
  <si>
    <t>Sprocket diameter equation</t>
  </si>
  <si>
    <t>Radius of Sprocket on motor</t>
  </si>
  <si>
    <t>https://www.engineersedge.com/calculators/sprocket_pitch_diameter_15579.htm</t>
  </si>
  <si>
    <t>Tangential force on sprocket</t>
  </si>
  <si>
    <t>Assumed radius of shaft</t>
  </si>
  <si>
    <t>Material of sprockets</t>
  </si>
  <si>
    <t>7075 Tempered Alloy</t>
  </si>
  <si>
    <t>Material of chain</t>
  </si>
  <si>
    <t>AISI 1045 Med Carbon Steel</t>
  </si>
  <si>
    <t>428 Chain</t>
  </si>
  <si>
    <t>Material of shaft</t>
  </si>
  <si>
    <t>4130 Steel</t>
  </si>
  <si>
    <t>Yield strength of sprockets</t>
  </si>
  <si>
    <t>Yield strength of chain</t>
  </si>
  <si>
    <t>Yield strength of shaft</t>
  </si>
  <si>
    <t>Half Axle Spline Analysis</t>
  </si>
  <si>
    <t>Chain Link Analysis</t>
  </si>
  <si>
    <t>Polar moment of inertia of shaft</t>
  </si>
  <si>
    <t>mm^4</t>
  </si>
  <si>
    <t>Link pin diameter</t>
  </si>
  <si>
    <t>Assume no friction between links</t>
  </si>
  <si>
    <t>Torsional Shear Stress</t>
  </si>
  <si>
    <t>Shear force</t>
  </si>
  <si>
    <t>Torsional Safety Factor</t>
  </si>
  <si>
    <t>Area of pin</t>
  </si>
  <si>
    <t>Shear stress on link</t>
  </si>
  <si>
    <t>Shaft Analysis</t>
  </si>
  <si>
    <t>Shear safety factor</t>
  </si>
  <si>
    <t>Moment of inertia</t>
  </si>
  <si>
    <t>Bending stress</t>
  </si>
  <si>
    <t>Bending safety factor</t>
  </si>
  <si>
    <t>Big Sprocket Analysis</t>
  </si>
  <si>
    <t>Small Sprocket Analysis</t>
  </si>
  <si>
    <t>R</t>
  </si>
  <si>
    <t>SPRUNG MASS FRONT</t>
  </si>
  <si>
    <t>SPRUNG MASS REAR</t>
  </si>
  <si>
    <t>MAX DEFLECTION POSSIBLE</t>
  </si>
  <si>
    <t>FULL SOLID DEFLECTION</t>
  </si>
  <si>
    <t>L_fs</t>
  </si>
  <si>
    <t>Chassis</t>
  </si>
  <si>
    <t>Pipe A Thickness</t>
  </si>
  <si>
    <t>Square Pipe B Thickness</t>
  </si>
  <si>
    <t>Control Arm Tubes</t>
  </si>
  <si>
    <t>Steering</t>
  </si>
  <si>
    <t>Assembly</t>
  </si>
  <si>
    <t>Optimization</t>
  </si>
  <si>
    <t>6.5 mm &lt; t &lt; 8.1 mm</t>
  </si>
  <si>
    <t xml:space="preserve"> 5.2 mm &lt; t &lt; 6 mm </t>
  </si>
  <si>
    <t xml:space="preserve"> &lt; ID &lt; </t>
  </si>
  <si>
    <t>Shaft Inner Diameter</t>
  </si>
  <si>
    <t xml:space="preserve"> &lt; L_{rack} &lt; </t>
  </si>
  <si>
    <t>Spring</t>
  </si>
  <si>
    <t>Damper</t>
  </si>
  <si>
    <t>Wire Diameter</t>
  </si>
  <si>
    <t>Mean Coil Diameter</t>
  </si>
  <si>
    <t xml:space="preserve">Piston Wall thickness </t>
  </si>
  <si>
    <t>Outer Diameter Piston</t>
  </si>
  <si>
    <t>Orifice Diameter</t>
  </si>
  <si>
    <t xml:space="preserve"> &lt; D_{wire} &lt; </t>
  </si>
  <si>
    <t xml:space="preserve"> &lt; D_{mean coil} &lt; </t>
  </si>
  <si>
    <t xml:space="preserve"> &lt;D_{Piston Outer} &lt; </t>
  </si>
  <si>
    <t xml:space="preserve"> &lt;t_{Piston Wall} &lt; </t>
  </si>
  <si>
    <t xml:space="preserve"> &lt; D_{Orifice} &lt;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</si>
</sst>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theme="0" tint="-0.14999847407452621"/>
      <name val="Times New Roman"/>
      <family val="1"/>
    </font>
    <font>
      <sz val="12"/>
      <color theme="9" tint="-0.499984740745262"/>
      <name val="Times New Roman"/>
      <family val="1"/>
    </font>
    <font>
      <b/>
      <sz val="12"/>
      <color theme="9" tint="-0.499984740745262"/>
      <name val="Times New Roman"/>
      <family val="1"/>
    </font>
    <font>
      <sz val="9"/>
      <color theme="1"/>
      <name val="Times New Roman"/>
      <family val="1"/>
    </font>
    <font>
      <sz val="12"/>
      <color theme="0" tint="-0.34998626667073579"/>
      <name val="Times New Roman"/>
      <family val="1"/>
    </font>
    <font>
      <b/>
      <sz val="12"/>
      <color theme="0" tint="-0.34998626667073579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0" tint="-0.34998626667073579"/>
      <name val="Calibri"/>
      <family val="2"/>
      <scheme val="minor"/>
    </font>
    <font>
      <u/>
      <sz val="11"/>
      <color theme="0" tint="-0.34998626667073579"/>
      <name val="Times New Roman"/>
      <family val="1"/>
    </font>
    <font>
      <sz val="12"/>
      <color theme="0" tint="-0.249977111117893"/>
      <name val="Times New Roman"/>
      <family val="1"/>
    </font>
    <font>
      <u/>
      <sz val="11"/>
      <color theme="0" tint="-0.249977111117893"/>
      <name val="Calibri"/>
      <family val="2"/>
      <scheme val="minor"/>
    </font>
    <font>
      <sz val="12"/>
      <color theme="2" tint="-0.249977111117893"/>
      <name val="Times New Roman"/>
      <family val="1"/>
    </font>
    <font>
      <sz val="12"/>
      <color theme="2"/>
      <name val="Times New Roman"/>
      <family val="1"/>
    </font>
    <font>
      <sz val="1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A080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4" fillId="0" borderId="0"/>
    <xf numFmtId="0" fontId="12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10" borderId="0" xfId="2" applyFont="1" applyFill="1" applyAlignment="1">
      <alignment horizontal="center" vertical="center"/>
    </xf>
    <xf numFmtId="0" fontId="2" fillId="11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/>
    </xf>
    <xf numFmtId="0" fontId="2" fillId="13" borderId="0" xfId="2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3" fillId="3" borderId="0" xfId="3" applyFont="1" applyFill="1" applyAlignment="1">
      <alignment horizontal="center" vertical="center"/>
    </xf>
    <xf numFmtId="0" fontId="14" fillId="3" borderId="0" xfId="3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2" fillId="3" borderId="0" xfId="0" applyFont="1" applyFill="1"/>
    <xf numFmtId="0" fontId="15" fillId="3" borderId="0" xfId="0" applyFont="1" applyFill="1" applyAlignment="1">
      <alignment horizontal="center" vertical="center"/>
    </xf>
    <xf numFmtId="0" fontId="16" fillId="3" borderId="0" xfId="3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vertical="center" wrapText="1"/>
    </xf>
    <xf numFmtId="0" fontId="2" fillId="18" borderId="0" xfId="0" applyFont="1" applyFill="1" applyAlignment="1">
      <alignment vertical="center"/>
    </xf>
    <xf numFmtId="0" fontId="2" fillId="17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11" fontId="2" fillId="4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0" xfId="2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9" fillId="23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19" fillId="22" borderId="0" xfId="0" applyFont="1" applyFill="1" applyAlignment="1">
      <alignment horizontal="center"/>
    </xf>
  </cellXfs>
  <cellStyles count="4">
    <cellStyle name="Hyperlink" xfId="3" builtinId="8"/>
    <cellStyle name="Normal" xfId="0" builtinId="0"/>
    <cellStyle name="Normal 2" xfId="2" xr:uid="{650F3FC4-AFCC-4C4F-9FFB-FD2CA2941FBA}"/>
    <cellStyle name="Note" xfId="1" builtinId="10"/>
  </cellStyles>
  <dxfs count="0"/>
  <tableStyles count="0" defaultTableStyle="TableStyleMedium2" defaultPivotStyle="PivotStyleLight16"/>
  <colors>
    <mruColors>
      <color rgb="FF9A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296396</xdr:colOff>
      <xdr:row>0</xdr:row>
      <xdr:rowOff>103093</xdr:rowOff>
    </xdr:from>
    <xdr:to>
      <xdr:col>11</xdr:col>
      <xdr:colOff>321796</xdr:colOff>
      <xdr:row>38</xdr:row>
      <xdr:rowOff>185290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C4B9E-10F5-46CA-9EFC-9992A8173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514" y="103093"/>
          <a:ext cx="6076576" cy="7747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740050</xdr:colOff>
      <xdr:row>2</xdr:row>
      <xdr:rowOff>35203</xdr:rowOff>
    </xdr:from>
    <xdr:to>
      <xdr:col>2</xdr:col>
      <xdr:colOff>784714</xdr:colOff>
      <xdr:row>10</xdr:row>
      <xdr:rowOff>148260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50A1B-5605-4076-9B49-5CBAE6CD5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50" y="432768"/>
          <a:ext cx="2930909" cy="1703318"/>
        </a:xfrm>
        <a:prstGeom prst="rect">
          <a:avLst/>
        </a:prstGeom>
      </xdr:spPr>
    </xdr:pic>
    <xdr:clientData/>
  </xdr:twoCellAnchor>
  <xdr:twoCellAnchor editAs="oneCell">
    <xdr:from>
      <xdr:col>6</xdr:col>
      <xdr:colOff>1689652</xdr:colOff>
      <xdr:row>1</xdr:row>
      <xdr:rowOff>149086</xdr:rowOff>
    </xdr:from>
    <xdr:to>
      <xdr:col>8</xdr:col>
      <xdr:colOff>16404</xdr:colOff>
      <xdr:row>10</xdr:row>
      <xdr:rowOff>72886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3B30B-6E5C-4C6F-92C6-4A77D7FA9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7695" y="347869"/>
          <a:ext cx="2930909" cy="1703318"/>
        </a:xfrm>
        <a:prstGeom prst="rect">
          <a:avLst/>
        </a:prstGeom>
      </xdr:spPr>
    </xdr:pic>
    <xdr:clientData/>
  </xdr:twoCellAnchor>
  <xdr:twoCellAnchor editAs="oneCell">
    <xdr:from>
      <xdr:col>12</xdr:col>
      <xdr:colOff>2786272</xdr:colOff>
      <xdr:row>1</xdr:row>
      <xdr:rowOff>65224</xdr:rowOff>
    </xdr:from>
    <xdr:to>
      <xdr:col>15</xdr:col>
      <xdr:colOff>249211</xdr:colOff>
      <xdr:row>11</xdr:row>
      <xdr:rowOff>21535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E11728-ABB6-4C65-99EC-09B859ED7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35522" y="265249"/>
          <a:ext cx="3225565" cy="19565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1524000</xdr:colOff>
      <xdr:row>16</xdr:row>
      <xdr:rowOff>104775</xdr:rowOff>
    </xdr:from>
    <xdr:to>
      <xdr:col>7</xdr:col>
      <xdr:colOff>4077259</xdr:colOff>
      <xdr:row>27</xdr:row>
      <xdr:rowOff>85377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84921-6C1A-421F-814F-225AAAE75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3305175"/>
          <a:ext cx="2552699" cy="2180877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16</xdr:row>
      <xdr:rowOff>114300</xdr:rowOff>
    </xdr:from>
    <xdr:to>
      <xdr:col>11</xdr:col>
      <xdr:colOff>1931733</xdr:colOff>
      <xdr:row>27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39EA02-1A5F-4D5E-9043-A460A391E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3314700"/>
          <a:ext cx="3548742" cy="2133600"/>
        </a:xfrm>
        <a:prstGeom prst="rect">
          <a:avLst/>
        </a:prstGeom>
      </xdr:spPr>
    </xdr:pic>
    <xdr:clientData/>
  </xdr:twoCellAnchor>
  <xdr:twoCellAnchor editAs="oneCell">
    <xdr:from>
      <xdr:col>7</xdr:col>
      <xdr:colOff>1267239</xdr:colOff>
      <xdr:row>16</xdr:row>
      <xdr:rowOff>96492</xdr:rowOff>
    </xdr:from>
    <xdr:to>
      <xdr:col>7</xdr:col>
      <xdr:colOff>3820498</xdr:colOff>
      <xdr:row>27</xdr:row>
      <xdr:rowOff>77094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3FE481-F2B8-4ED7-A939-6B2B4880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7630" y="3277014"/>
          <a:ext cx="2552285" cy="2167210"/>
        </a:xfrm>
        <a:prstGeom prst="rect">
          <a:avLst/>
        </a:prstGeom>
      </xdr:spPr>
    </xdr:pic>
    <xdr:clientData/>
  </xdr:twoCellAnchor>
  <xdr:twoCellAnchor editAs="oneCell">
    <xdr:from>
      <xdr:col>8</xdr:col>
      <xdr:colOff>366920</xdr:colOff>
      <xdr:row>16</xdr:row>
      <xdr:rowOff>114300</xdr:rowOff>
    </xdr:from>
    <xdr:to>
      <xdr:col>11</xdr:col>
      <xdr:colOff>1708103</xdr:colOff>
      <xdr:row>27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D3C83A-97E2-4FCD-B28E-EE70DCE18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072" y="3294822"/>
          <a:ext cx="3548742" cy="2119933"/>
        </a:xfrm>
        <a:prstGeom prst="rect">
          <a:avLst/>
        </a:prstGeom>
      </xdr:spPr>
    </xdr:pic>
    <xdr:clientData/>
  </xdr:twoCellAnchor>
  <xdr:twoCellAnchor editAs="oneCell">
    <xdr:from>
      <xdr:col>16</xdr:col>
      <xdr:colOff>1469794</xdr:colOff>
      <xdr:row>124</xdr:row>
      <xdr:rowOff>70180</xdr:rowOff>
    </xdr:from>
    <xdr:to>
      <xdr:col>24</xdr:col>
      <xdr:colOff>171273</xdr:colOff>
      <xdr:row>150</xdr:row>
      <xdr:rowOff>198292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C1411FB-1989-4373-B6B1-C64AE8594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41" r="6001"/>
        <a:stretch/>
      </xdr:blipFill>
      <xdr:spPr>
        <a:xfrm>
          <a:off x="16986885" y="25839635"/>
          <a:ext cx="9317524" cy="5540909"/>
        </a:xfrm>
        <a:prstGeom prst="rect">
          <a:avLst/>
        </a:prstGeom>
      </xdr:spPr>
    </xdr:pic>
    <xdr:clientData/>
  </xdr:twoCellAnchor>
  <xdr:twoCellAnchor editAs="oneCell">
    <xdr:from>
      <xdr:col>16</xdr:col>
      <xdr:colOff>1528179</xdr:colOff>
      <xdr:row>94</xdr:row>
      <xdr:rowOff>73341</xdr:rowOff>
    </xdr:from>
    <xdr:to>
      <xdr:col>24</xdr:col>
      <xdr:colOff>103910</xdr:colOff>
      <xdr:row>121</xdr:row>
      <xdr:rowOff>81166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D260AC-211E-4601-A55B-10D042BB9E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09"/>
        <a:stretch/>
      </xdr:blipFill>
      <xdr:spPr>
        <a:xfrm>
          <a:off x="17045270" y="19608250"/>
          <a:ext cx="9191776" cy="5618916"/>
        </a:xfrm>
        <a:prstGeom prst="rect">
          <a:avLst/>
        </a:prstGeom>
      </xdr:spPr>
    </xdr:pic>
    <xdr:clientData/>
  </xdr:twoCellAnchor>
  <xdr:twoCellAnchor editAs="oneCell">
    <xdr:from>
      <xdr:col>7</xdr:col>
      <xdr:colOff>527709</xdr:colOff>
      <xdr:row>122</xdr:row>
      <xdr:rowOff>106877</xdr:rowOff>
    </xdr:from>
    <xdr:to>
      <xdr:col>11</xdr:col>
      <xdr:colOff>1985281</xdr:colOff>
      <xdr:row>151</xdr:row>
      <xdr:rowOff>49596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E2A1F5-0C29-483B-9617-F436B19C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0664" y="25460695"/>
          <a:ext cx="7778708" cy="5969446"/>
        </a:xfrm>
        <a:prstGeom prst="rect">
          <a:avLst/>
        </a:prstGeom>
      </xdr:spPr>
    </xdr:pic>
    <xdr:clientData/>
  </xdr:twoCellAnchor>
  <xdr:twoCellAnchor editAs="oneCell">
    <xdr:from>
      <xdr:col>1</xdr:col>
      <xdr:colOff>4775</xdr:colOff>
      <xdr:row>94</xdr:row>
      <xdr:rowOff>39163</xdr:rowOff>
    </xdr:from>
    <xdr:to>
      <xdr:col>8</xdr:col>
      <xdr:colOff>261011</xdr:colOff>
      <xdr:row>122</xdr:row>
      <xdr:rowOff>5051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FDC17C8-32C4-4F7F-B262-195CA5A68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911" y="19574072"/>
          <a:ext cx="8014782" cy="5775761"/>
        </a:xfrm>
        <a:prstGeom prst="rect">
          <a:avLst/>
        </a:prstGeom>
      </xdr:spPr>
    </xdr:pic>
    <xdr:clientData/>
  </xdr:twoCellAnchor>
  <xdr:twoCellAnchor editAs="oneCell">
    <xdr:from>
      <xdr:col>8</xdr:col>
      <xdr:colOff>517467</xdr:colOff>
      <xdr:row>94</xdr:row>
      <xdr:rowOff>43566</xdr:rowOff>
    </xdr:from>
    <xdr:to>
      <xdr:col>16</xdr:col>
      <xdr:colOff>1117541</xdr:colOff>
      <xdr:row>122</xdr:row>
      <xdr:rowOff>8287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9445530-7098-4238-B61F-3F81D844D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2149" y="19578475"/>
          <a:ext cx="7752483" cy="57836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3600451</xdr:colOff>
      <xdr:row>16</xdr:row>
      <xdr:rowOff>47625</xdr:rowOff>
    </xdr:from>
    <xdr:to>
      <xdr:col>9</xdr:col>
      <xdr:colOff>274304</xdr:colOff>
      <xdr:row>26</xdr:row>
      <xdr:rowOff>174617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2C5999-1D07-4F85-98A7-F93A26B64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1" y="3248025"/>
          <a:ext cx="1560178" cy="2127242"/>
        </a:xfrm>
        <a:prstGeom prst="rect">
          <a:avLst/>
        </a:prstGeom>
      </xdr:spPr>
    </xdr:pic>
    <xdr:clientData/>
  </xdr:twoCellAnchor>
  <xdr:twoCellAnchor editAs="oneCell">
    <xdr:from>
      <xdr:col>12</xdr:col>
      <xdr:colOff>438150</xdr:colOff>
      <xdr:row>41</xdr:row>
      <xdr:rowOff>88848</xdr:rowOff>
    </xdr:from>
    <xdr:to>
      <xdr:col>16</xdr:col>
      <xdr:colOff>546497</xdr:colOff>
      <xdr:row>54</xdr:row>
      <xdr:rowOff>181395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483D30-D5DC-4922-8FBA-249E78EB5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4075" y="8289873"/>
          <a:ext cx="2546747" cy="26928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106</xdr:row>
      <xdr:rowOff>104775</xdr:rowOff>
    </xdr:from>
    <xdr:to>
      <xdr:col>18</xdr:col>
      <xdr:colOff>453094</xdr:colOff>
      <xdr:row>138</xdr:row>
      <xdr:rowOff>56356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B88F2-7B78-462F-9F1F-4933D21C9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20925" y="19907250"/>
          <a:ext cx="7438095" cy="6352381"/>
        </a:xfrm>
        <a:prstGeom prst="rect">
          <a:avLst/>
        </a:prstGeom>
      </xdr:spPr>
    </xdr:pic>
    <xdr:clientData/>
  </xdr:twoCellAnchor>
  <xdr:twoCellAnchor editAs="oneCell">
    <xdr:from>
      <xdr:col>20</xdr:col>
      <xdr:colOff>1066800</xdr:colOff>
      <xdr:row>97</xdr:row>
      <xdr:rowOff>180975</xdr:rowOff>
    </xdr:from>
    <xdr:to>
      <xdr:col>20</xdr:col>
      <xdr:colOff>6168388</xdr:colOff>
      <xdr:row>112</xdr:row>
      <xdr:rowOff>186950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63F0B3-B1EE-4F7E-BDC1-629D636A1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69850" y="19583400"/>
          <a:ext cx="5095238" cy="30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1509592</xdr:colOff>
      <xdr:row>114</xdr:row>
      <xdr:rowOff>36819</xdr:rowOff>
    </xdr:from>
    <xdr:to>
      <xdr:col>20</xdr:col>
      <xdr:colOff>5804830</xdr:colOff>
      <xdr:row>132</xdr:row>
      <xdr:rowOff>158677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DB44B7-8694-407A-9A82-F5001DC9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71063" y="23031290"/>
          <a:ext cx="4295238" cy="3752563"/>
        </a:xfrm>
        <a:prstGeom prst="rect">
          <a:avLst/>
        </a:prstGeom>
      </xdr:spPr>
    </xdr:pic>
    <xdr:clientData/>
  </xdr:twoCellAnchor>
  <xdr:twoCellAnchor editAs="oneCell">
    <xdr:from>
      <xdr:col>15</xdr:col>
      <xdr:colOff>2068987</xdr:colOff>
      <xdr:row>48</xdr:row>
      <xdr:rowOff>194252</xdr:rowOff>
    </xdr:from>
    <xdr:to>
      <xdr:col>15</xdr:col>
      <xdr:colOff>5591175</xdr:colOff>
      <xdr:row>73</xdr:row>
      <xdr:rowOff>69865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5CF30A-361C-4BA6-A8BA-23113C87E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9896" y="10169525"/>
          <a:ext cx="3519013" cy="50678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824694</xdr:colOff>
      <xdr:row>2</xdr:row>
      <xdr:rowOff>104775</xdr:rowOff>
    </xdr:from>
    <xdr:to>
      <xdr:col>9</xdr:col>
      <xdr:colOff>164451</xdr:colOff>
      <xdr:row>14</xdr:row>
      <xdr:rowOff>82899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C8BEE2-DB12-4465-AC54-6DC02F2A9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1894" y="504825"/>
          <a:ext cx="2121057" cy="23784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573741</xdr:colOff>
      <xdr:row>5</xdr:row>
      <xdr:rowOff>36980</xdr:rowOff>
    </xdr:from>
    <xdr:to>
      <xdr:col>18</xdr:col>
      <xdr:colOff>248808</xdr:colOff>
      <xdr:row>17</xdr:row>
      <xdr:rowOff>33805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95F99-4353-454B-90BE-5AFFF1617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63065" y="1045509"/>
          <a:ext cx="3451449" cy="2410946"/>
        </a:xfrm>
        <a:prstGeom prst="rect">
          <a:avLst/>
        </a:prstGeom>
      </xdr:spPr>
    </xdr:pic>
    <xdr:clientData/>
  </xdr:twoCellAnchor>
  <xdr:twoCellAnchor editAs="oneCell">
    <xdr:from>
      <xdr:col>11</xdr:col>
      <xdr:colOff>414619</xdr:colOff>
      <xdr:row>18</xdr:row>
      <xdr:rowOff>73805</xdr:rowOff>
    </xdr:from>
    <xdr:to>
      <xdr:col>14</xdr:col>
      <xdr:colOff>1672702</xdr:colOff>
      <xdr:row>28</xdr:row>
      <xdr:rowOff>188168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281411-6C2F-4467-9176-CD05143D3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1" y="3704511"/>
          <a:ext cx="6275144" cy="2125072"/>
        </a:xfrm>
        <a:prstGeom prst="rect">
          <a:avLst/>
        </a:prstGeom>
      </xdr:spPr>
    </xdr:pic>
    <xdr:clientData/>
  </xdr:twoCellAnchor>
  <xdr:twoCellAnchor editAs="oneCell">
    <xdr:from>
      <xdr:col>17</xdr:col>
      <xdr:colOff>432835</xdr:colOff>
      <xdr:row>18</xdr:row>
      <xdr:rowOff>44824</xdr:rowOff>
    </xdr:from>
    <xdr:to>
      <xdr:col>20</xdr:col>
      <xdr:colOff>379270</xdr:colOff>
      <xdr:row>33</xdr:row>
      <xdr:rowOff>52403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43A796-8D2C-449A-B294-D46C6298D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79659" y="3675530"/>
          <a:ext cx="3233120" cy="3029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wood.com/PDF/Flyers/fl148.pdf" TargetMode="External"/><Relationship Id="rId2" Type="http://schemas.openxmlformats.org/officeDocument/2006/relationships/hyperlink" Target="https://www.wilwood.com/MasterCylinders/MasterCylinderProd?itemno=260-10374" TargetMode="External"/><Relationship Id="rId1" Type="http://schemas.openxmlformats.org/officeDocument/2006/relationships/hyperlink" Target="https://www.wilwood.com/MasterCylinders/MasterCylinderProd?itemno=260-10371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wilwood.com/Calipers/CaliperProd?itemno=120-15752%20%20%20%20%20%20&amp;appid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gear-rods/component~gear-rack/gear-rack-shape~rectangular/length~24/" TargetMode="External"/><Relationship Id="rId2" Type="http://schemas.openxmlformats.org/officeDocument/2006/relationships/hyperlink" Target="https://www.mcmaster.com/5174T5" TargetMode="External"/><Relationship Id="rId1" Type="http://schemas.openxmlformats.org/officeDocument/2006/relationships/hyperlink" Target="https://www.mcmaster.com/gear-wheels/component~gear/for-shaft-diameter~7-8/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trfastenings.com/Products/Catalogue/Screws-and-Bolts/Hexagon-Screws-and-Bolts/Bolts/TR00002635-10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7B83-9A9E-418F-9B12-1994B6E954D5}">
  <dimension ref="M2:Y33"/>
  <sheetViews>
    <sheetView zoomScale="85" zoomScaleNormal="85" workbookViewId="0">
      <selection activeCell="Y21" sqref="Y21"/>
    </sheetView>
  </sheetViews>
  <sheetFormatPr defaultRowHeight="15.75" x14ac:dyDescent="0.25"/>
  <cols>
    <col min="1" max="12" width="9.140625" style="1"/>
    <col min="13" max="13" width="28.85546875" style="1" bestFit="1" customWidth="1"/>
    <col min="14" max="15" width="14.28515625" style="1" bestFit="1" customWidth="1"/>
    <col min="16" max="16" width="12.85546875" style="1" bestFit="1" customWidth="1"/>
    <col min="17" max="17" width="10.140625" style="1" bestFit="1" customWidth="1"/>
    <col min="18" max="18" width="8.85546875" style="1" bestFit="1" customWidth="1"/>
    <col min="19" max="19" width="12.85546875" style="1" bestFit="1" customWidth="1"/>
    <col min="20" max="20" width="14.28515625" style="1" bestFit="1" customWidth="1"/>
    <col min="21" max="23" width="9.140625" style="1"/>
    <col min="24" max="24" width="17.28515625" style="1" bestFit="1" customWidth="1"/>
    <col min="25" max="16384" width="9.140625" style="1"/>
  </cols>
  <sheetData>
    <row r="2" spans="13:25" x14ac:dyDescent="0.25">
      <c r="M2" s="11" t="s">
        <v>0</v>
      </c>
      <c r="N2" s="12" t="s">
        <v>1</v>
      </c>
      <c r="O2" s="12" t="s">
        <v>2</v>
      </c>
      <c r="P2" s="12" t="s">
        <v>3</v>
      </c>
      <c r="Q2" s="12" t="s">
        <v>4</v>
      </c>
      <c r="R2" s="13" t="s">
        <v>5</v>
      </c>
      <c r="S2" s="13" t="s">
        <v>6</v>
      </c>
      <c r="T2" s="13" t="s">
        <v>7</v>
      </c>
      <c r="V2" s="1" t="s">
        <v>8</v>
      </c>
      <c r="W2" s="1">
        <f>Q19</f>
        <v>303.46499999999997</v>
      </c>
    </row>
    <row r="3" spans="13:25" x14ac:dyDescent="0.25">
      <c r="M3" s="11" t="s">
        <v>9</v>
      </c>
      <c r="N3" s="12">
        <v>0</v>
      </c>
      <c r="O3" s="12">
        <v>246.9</v>
      </c>
      <c r="P3" s="12">
        <v>1345.2</v>
      </c>
      <c r="Q3" s="12">
        <v>38.56</v>
      </c>
      <c r="R3" s="13">
        <v>0</v>
      </c>
      <c r="S3" s="13">
        <v>9520.4639999999999</v>
      </c>
      <c r="T3" s="13">
        <v>51870.912000000004</v>
      </c>
      <c r="V3" s="1" t="s">
        <v>10</v>
      </c>
      <c r="W3" s="1">
        <f>P27/(-1000)</f>
        <v>0.78988874950982813</v>
      </c>
      <c r="Y3" s="1">
        <f>N24/1000</f>
        <v>2.7650635163857444E-3</v>
      </c>
    </row>
    <row r="4" spans="13:25" x14ac:dyDescent="0.25">
      <c r="M4" s="11" t="s">
        <v>11</v>
      </c>
      <c r="N4" s="12">
        <v>0</v>
      </c>
      <c r="O4" s="12">
        <v>94.11</v>
      </c>
      <c r="P4" s="12">
        <v>1910.3</v>
      </c>
      <c r="Q4" s="12">
        <v>30.38</v>
      </c>
      <c r="R4" s="13">
        <v>0</v>
      </c>
      <c r="S4" s="13">
        <v>2859.0617999999999</v>
      </c>
      <c r="T4" s="13">
        <v>58034.913999999997</v>
      </c>
      <c r="V4" s="1" t="s">
        <v>12</v>
      </c>
      <c r="W4" s="1">
        <f>R27/1000</f>
        <v>0.8131362504901718</v>
      </c>
    </row>
    <row r="5" spans="13:25" x14ac:dyDescent="0.25">
      <c r="M5" s="11" t="s">
        <v>13</v>
      </c>
      <c r="N5" s="12">
        <v>500</v>
      </c>
      <c r="O5" s="12">
        <v>97.27000000000001</v>
      </c>
      <c r="P5" s="12">
        <v>658.53499999999997</v>
      </c>
      <c r="Q5" s="12">
        <v>9.843</v>
      </c>
      <c r="R5" s="13">
        <v>4921.5</v>
      </c>
      <c r="S5" s="13">
        <v>957.42861000000005</v>
      </c>
      <c r="T5" s="13">
        <v>6481.9600049999999</v>
      </c>
      <c r="V5" s="1" t="s">
        <v>14</v>
      </c>
      <c r="W5" s="1">
        <f>O24/1000</f>
        <v>0.28918968513667148</v>
      </c>
    </row>
    <row r="6" spans="13:25" x14ac:dyDescent="0.25">
      <c r="M6" s="11" t="s">
        <v>15</v>
      </c>
      <c r="N6" s="12">
        <v>-500</v>
      </c>
      <c r="O6" s="12">
        <v>97.27000000000001</v>
      </c>
      <c r="P6" s="12">
        <v>658.53499999999997</v>
      </c>
      <c r="Q6" s="12">
        <v>9.843</v>
      </c>
      <c r="R6" s="13">
        <v>-4921.5</v>
      </c>
      <c r="S6" s="13">
        <v>957.42861000000005</v>
      </c>
      <c r="T6" s="13">
        <v>6481.9600049999999</v>
      </c>
      <c r="V6" s="1" t="s">
        <v>16</v>
      </c>
      <c r="W6" s="1">
        <f>W4+0.05</f>
        <v>0.86313625049017184</v>
      </c>
    </row>
    <row r="7" spans="13:25" x14ac:dyDescent="0.25">
      <c r="M7" s="11" t="s">
        <v>17</v>
      </c>
      <c r="N7" s="12">
        <v>500</v>
      </c>
      <c r="O7" s="12">
        <v>97.27000000000001</v>
      </c>
      <c r="P7" s="12">
        <v>2261.56</v>
      </c>
      <c r="Q7" s="12">
        <v>13.843</v>
      </c>
      <c r="R7" s="13">
        <v>6921.5</v>
      </c>
      <c r="S7" s="13">
        <v>1346.5086100000001</v>
      </c>
      <c r="T7" s="13">
        <v>31306.775079999999</v>
      </c>
      <c r="V7" s="1" t="s">
        <v>18</v>
      </c>
      <c r="W7" s="1">
        <f>W3+0.03</f>
        <v>0.81988874950982815</v>
      </c>
    </row>
    <row r="8" spans="13:25" x14ac:dyDescent="0.25">
      <c r="M8" s="11" t="s">
        <v>19</v>
      </c>
      <c r="N8" s="12">
        <v>-500</v>
      </c>
      <c r="O8" s="12">
        <v>97.27000000000001</v>
      </c>
      <c r="P8" s="12">
        <v>2261.56</v>
      </c>
      <c r="Q8" s="12">
        <v>13.843</v>
      </c>
      <c r="R8" s="13">
        <v>-6921.5</v>
      </c>
      <c r="S8" s="13">
        <v>1346.5086100000001</v>
      </c>
      <c r="T8" s="13">
        <v>31306.775079999999</v>
      </c>
      <c r="V8" s="1" t="s">
        <v>20</v>
      </c>
      <c r="W8" s="1">
        <f>(O24/1000)-0.1</f>
        <v>0.18918968513667148</v>
      </c>
    </row>
    <row r="9" spans="13:25" x14ac:dyDescent="0.25">
      <c r="M9" s="11" t="s">
        <v>21</v>
      </c>
      <c r="N9" s="12">
        <v>0</v>
      </c>
      <c r="O9" s="12">
        <v>-35</v>
      </c>
      <c r="P9" s="12">
        <v>1312.54</v>
      </c>
      <c r="Q9" s="12">
        <v>111.58</v>
      </c>
      <c r="R9" s="13">
        <v>0</v>
      </c>
      <c r="S9" s="13">
        <v>-3905.2999999999997</v>
      </c>
      <c r="T9" s="13">
        <v>146453.2132</v>
      </c>
      <c r="V9" s="1" t="s">
        <v>22</v>
      </c>
      <c r="W9" s="1">
        <f>1.285-W5</f>
        <v>0.99581031486332838</v>
      </c>
    </row>
    <row r="10" spans="13:25" x14ac:dyDescent="0.25">
      <c r="M10" s="11" t="s">
        <v>23</v>
      </c>
      <c r="N10" s="12">
        <v>100</v>
      </c>
      <c r="O10" s="12">
        <v>-9</v>
      </c>
      <c r="P10" s="12">
        <v>2201</v>
      </c>
      <c r="Q10" s="12">
        <v>12</v>
      </c>
      <c r="R10" s="13">
        <v>1200</v>
      </c>
      <c r="S10" s="13">
        <v>-108</v>
      </c>
      <c r="T10" s="13">
        <v>26412</v>
      </c>
      <c r="V10" s="1" t="s">
        <v>24</v>
      </c>
      <c r="W10" s="1">
        <f>0.5-Y3</f>
        <v>0.49723493648361428</v>
      </c>
    </row>
    <row r="11" spans="13:25" x14ac:dyDescent="0.25">
      <c r="M11" s="11" t="s">
        <v>25</v>
      </c>
      <c r="N11" s="12">
        <v>0</v>
      </c>
      <c r="O11" s="12">
        <v>183.24</v>
      </c>
      <c r="P11" s="12">
        <v>658.53499999999997</v>
      </c>
      <c r="Q11" s="12">
        <v>11.795999999999999</v>
      </c>
      <c r="R11" s="13">
        <v>0</v>
      </c>
      <c r="S11" s="13">
        <v>2161.4990400000002</v>
      </c>
      <c r="T11" s="13">
        <v>7768.0788599999996</v>
      </c>
      <c r="V11" s="1" t="s">
        <v>26</v>
      </c>
      <c r="W11" s="1">
        <f>1-W10</f>
        <v>0.50276506351638572</v>
      </c>
    </row>
    <row r="12" spans="13:25" x14ac:dyDescent="0.25">
      <c r="M12" s="11" t="s">
        <v>27</v>
      </c>
      <c r="N12" s="12">
        <v>0</v>
      </c>
      <c r="O12" s="12">
        <v>485</v>
      </c>
      <c r="P12" s="12">
        <v>1830</v>
      </c>
      <c r="Q12" s="12">
        <v>3.85</v>
      </c>
      <c r="R12" s="13">
        <v>0</v>
      </c>
      <c r="S12" s="13">
        <v>1867.25</v>
      </c>
      <c r="T12" s="13">
        <v>7045.5</v>
      </c>
    </row>
    <row r="13" spans="13:25" x14ac:dyDescent="0.25">
      <c r="M13" s="11" t="s">
        <v>28</v>
      </c>
      <c r="N13" s="12">
        <v>0</v>
      </c>
      <c r="O13" s="12">
        <v>183.24</v>
      </c>
      <c r="P13" s="12">
        <v>2261.56</v>
      </c>
      <c r="Q13" s="12">
        <v>10.933</v>
      </c>
      <c r="R13" s="13">
        <v>0</v>
      </c>
      <c r="S13" s="13">
        <v>2003.36292</v>
      </c>
      <c r="T13" s="13">
        <v>24725.635480000001</v>
      </c>
    </row>
    <row r="14" spans="13:25" x14ac:dyDescent="0.25">
      <c r="M14" s="11" t="s">
        <v>29</v>
      </c>
      <c r="N14" s="12">
        <v>0</v>
      </c>
      <c r="O14" s="12">
        <v>550</v>
      </c>
      <c r="P14" s="12">
        <v>645.72</v>
      </c>
      <c r="Q14" s="12">
        <v>10.656000000000001</v>
      </c>
      <c r="R14" s="13">
        <v>0</v>
      </c>
      <c r="S14" s="13">
        <v>5860.8</v>
      </c>
      <c r="T14" s="13">
        <v>6880.7923200000005</v>
      </c>
    </row>
    <row r="15" spans="13:25" x14ac:dyDescent="0.25">
      <c r="M15" s="11" t="s">
        <v>30</v>
      </c>
      <c r="N15" s="12">
        <v>0</v>
      </c>
      <c r="O15" s="12">
        <v>650</v>
      </c>
      <c r="P15" s="12">
        <v>2050</v>
      </c>
      <c r="Q15" s="12">
        <v>16.712</v>
      </c>
      <c r="R15" s="13">
        <v>0</v>
      </c>
      <c r="S15" s="13">
        <v>10862.8</v>
      </c>
      <c r="T15" s="13">
        <v>34259.599999999999</v>
      </c>
    </row>
    <row r="16" spans="13:25" x14ac:dyDescent="0.25">
      <c r="M16" s="11" t="s">
        <v>31</v>
      </c>
      <c r="N16" s="12">
        <v>-150</v>
      </c>
      <c r="O16" s="12">
        <v>100</v>
      </c>
      <c r="P16" s="12">
        <v>100</v>
      </c>
      <c r="Q16" s="12">
        <v>2.4060000000000001</v>
      </c>
      <c r="R16" s="13">
        <v>-360.90000000000003</v>
      </c>
      <c r="S16" s="13">
        <v>240.60000000000002</v>
      </c>
      <c r="T16" s="13">
        <v>240.60000000000002</v>
      </c>
    </row>
    <row r="17" spans="13:25" x14ac:dyDescent="0.25">
      <c r="M17" s="11" t="s">
        <v>32</v>
      </c>
      <c r="N17" s="12">
        <v>0</v>
      </c>
      <c r="O17" s="12">
        <v>1021.56</v>
      </c>
      <c r="P17" s="12">
        <v>1950</v>
      </c>
      <c r="Q17" s="12">
        <v>3.76</v>
      </c>
      <c r="R17" s="13">
        <v>0</v>
      </c>
      <c r="S17" s="13">
        <v>3841.0655999999994</v>
      </c>
      <c r="T17" s="13">
        <v>7332</v>
      </c>
    </row>
    <row r="18" spans="13:25" x14ac:dyDescent="0.25">
      <c r="M18" s="11" t="s">
        <v>33</v>
      </c>
      <c r="N18" s="12">
        <v>0</v>
      </c>
      <c r="O18" s="12">
        <v>0</v>
      </c>
      <c r="P18" s="12">
        <v>0</v>
      </c>
      <c r="Q18" s="12">
        <v>3.46</v>
      </c>
      <c r="R18" s="13">
        <v>0</v>
      </c>
      <c r="S18" s="13">
        <v>0</v>
      </c>
      <c r="T18" s="13">
        <v>0</v>
      </c>
    </row>
    <row r="19" spans="13:25" x14ac:dyDescent="0.25">
      <c r="M19" s="11" t="s">
        <v>34</v>
      </c>
      <c r="N19" s="14"/>
      <c r="O19" s="14"/>
      <c r="P19" s="14"/>
      <c r="Q19" s="11">
        <v>303.46499999999997</v>
      </c>
      <c r="R19" s="13">
        <v>839.09999999999991</v>
      </c>
      <c r="S19" s="13">
        <v>39811.477800000001</v>
      </c>
      <c r="T19" s="13">
        <v>446600.71602999995</v>
      </c>
    </row>
    <row r="20" spans="13:25" x14ac:dyDescent="0.25">
      <c r="M20" s="11" t="s">
        <v>35</v>
      </c>
      <c r="N20" s="15">
        <v>2.7650635163857444</v>
      </c>
      <c r="O20" s="15">
        <v>131.18968513667147</v>
      </c>
      <c r="P20" s="15">
        <v>1471.6712504901718</v>
      </c>
      <c r="Q20" s="11"/>
      <c r="R20" s="11"/>
      <c r="S20" s="11"/>
      <c r="T20" s="11"/>
    </row>
    <row r="21" spans="13:25" x14ac:dyDescent="0.25">
      <c r="M21" s="11"/>
      <c r="N21" s="55" t="s">
        <v>36</v>
      </c>
      <c r="O21" s="55"/>
      <c r="P21" s="55"/>
      <c r="Q21" s="11"/>
      <c r="R21" s="11"/>
      <c r="S21" s="11"/>
      <c r="T21" s="11"/>
      <c r="X21" s="1" t="s">
        <v>37</v>
      </c>
      <c r="Y21" s="1">
        <f>Q3+Q4+Q9+Q10+Q11+Q12+Q13/2+Q16+Q17+Q18</f>
        <v>223.25849999999997</v>
      </c>
    </row>
    <row r="23" spans="13:25" x14ac:dyDescent="0.25">
      <c r="X23" s="1" t="s">
        <v>38</v>
      </c>
      <c r="Y23" s="1">
        <f>Q5+Q6+Q7+Q8+Q15+Q14+Q13/2</f>
        <v>80.206500000000005</v>
      </c>
    </row>
    <row r="24" spans="13:25" x14ac:dyDescent="0.25">
      <c r="M24" s="16" t="s">
        <v>39</v>
      </c>
      <c r="N24" s="16">
        <v>2.7650635163857444</v>
      </c>
      <c r="O24" s="16">
        <v>289.18968513667147</v>
      </c>
      <c r="P24" s="16">
        <v>1471.6712504901718</v>
      </c>
      <c r="Q24" s="11"/>
      <c r="R24" s="11"/>
      <c r="S24" s="11"/>
      <c r="T24" s="11"/>
    </row>
    <row r="25" spans="13:25" x14ac:dyDescent="0.25">
      <c r="Y25" s="1">
        <f>Y21+Y23</f>
        <v>303.46499999999997</v>
      </c>
    </row>
    <row r="26" spans="13:25" x14ac:dyDescent="0.25">
      <c r="Q26" s="1" t="s">
        <v>40</v>
      </c>
      <c r="R26" s="1" t="s">
        <v>41</v>
      </c>
    </row>
    <row r="27" spans="13:25" x14ac:dyDescent="0.25">
      <c r="P27" s="1">
        <f>P24-P7</f>
        <v>-789.88874950982813</v>
      </c>
      <c r="R27" s="1">
        <f>P24-P5</f>
        <v>813.13625049017185</v>
      </c>
    </row>
    <row r="33" spans="18:18" x14ac:dyDescent="0.25">
      <c r="R33" s="1">
        <f>P8-P5</f>
        <v>1603.0250000000001</v>
      </c>
    </row>
  </sheetData>
  <mergeCells count="1">
    <mergeCell ref="N21:P21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EED0-5736-49C6-9232-0B62B62F612B}">
  <dimension ref="G1:U37"/>
  <sheetViews>
    <sheetView zoomScale="85" zoomScaleNormal="85" workbookViewId="0">
      <selection activeCell="I17" sqref="I17"/>
    </sheetView>
  </sheetViews>
  <sheetFormatPr defaultRowHeight="15.75" x14ac:dyDescent="0.25"/>
  <cols>
    <col min="1" max="6" width="9.140625" style="2"/>
    <col min="7" max="7" width="33.7109375" style="2" bestFit="1" customWidth="1"/>
    <col min="8" max="8" width="14.140625" style="2" bestFit="1" customWidth="1"/>
    <col min="9" max="9" width="14.28515625" style="2" bestFit="1" customWidth="1"/>
    <col min="10" max="10" width="13.7109375" style="2" bestFit="1" customWidth="1"/>
    <col min="11" max="11" width="18.5703125" style="2" customWidth="1"/>
    <col min="12" max="12" width="7.140625" style="2" customWidth="1"/>
    <col min="13" max="13" width="52.42578125" style="2" bestFit="1" customWidth="1"/>
    <col min="14" max="14" width="15.5703125" style="2" customWidth="1"/>
    <col min="15" max="15" width="26.140625" style="2" bestFit="1" customWidth="1"/>
    <col min="16" max="16" width="10.85546875" style="2" bestFit="1" customWidth="1"/>
    <col min="17" max="17" width="5.140625" style="2" bestFit="1" customWidth="1"/>
    <col min="18" max="18" width="14.28515625" style="2" bestFit="1" customWidth="1"/>
    <col min="19" max="19" width="9.140625" style="2"/>
    <col min="20" max="20" width="26.140625" style="2" bestFit="1" customWidth="1"/>
    <col min="21" max="21" width="14.28515625" style="2" bestFit="1" customWidth="1"/>
    <col min="22" max="16384" width="9.140625" style="2"/>
  </cols>
  <sheetData>
    <row r="1" spans="7:21" x14ac:dyDescent="0.25">
      <c r="G1" s="56" t="s">
        <v>839</v>
      </c>
      <c r="H1" s="56"/>
      <c r="I1" s="56"/>
      <c r="J1" s="56"/>
      <c r="K1" s="56"/>
      <c r="O1" s="51"/>
      <c r="P1" s="51"/>
    </row>
    <row r="3" spans="7:21" x14ac:dyDescent="0.25">
      <c r="G3" s="41" t="s">
        <v>840</v>
      </c>
      <c r="H3" s="41" t="s">
        <v>841</v>
      </c>
      <c r="I3" s="41">
        <f>COFM!Q19</f>
        <v>303.46499999999997</v>
      </c>
      <c r="J3" s="41" t="s">
        <v>47</v>
      </c>
      <c r="K3" s="1"/>
      <c r="M3" s="1" t="s">
        <v>37</v>
      </c>
      <c r="N3" s="1">
        <f>COFM!Y21</f>
        <v>223.25849999999997</v>
      </c>
      <c r="P3" s="1" t="s">
        <v>89</v>
      </c>
      <c r="Q3" s="1" t="s">
        <v>90</v>
      </c>
      <c r="R3" s="1">
        <v>0.49274886512052413</v>
      </c>
      <c r="T3" s="50" t="s">
        <v>951</v>
      </c>
      <c r="U3" s="50">
        <f>R4*N3</f>
        <v>113.24812749648946</v>
      </c>
    </row>
    <row r="4" spans="7:21" x14ac:dyDescent="0.25">
      <c r="G4" s="41" t="s">
        <v>842</v>
      </c>
      <c r="H4" s="41" t="s">
        <v>843</v>
      </c>
      <c r="I4" s="41">
        <f>N3*R3/2</f>
        <v>55.005186251755262</v>
      </c>
      <c r="J4" s="41" t="s">
        <v>47</v>
      </c>
      <c r="K4" s="1"/>
      <c r="M4" s="1" t="s">
        <v>38</v>
      </c>
      <c r="N4" s="1">
        <f>COFM!Y23</f>
        <v>80.206500000000005</v>
      </c>
      <c r="P4" s="1" t="s">
        <v>95</v>
      </c>
      <c r="Q4" s="1" t="s">
        <v>96</v>
      </c>
      <c r="R4" s="1">
        <v>0.50725113487947593</v>
      </c>
      <c r="T4" s="50" t="s">
        <v>950</v>
      </c>
      <c r="U4" s="50">
        <f>N3*'Springs and Dampers'!R3</f>
        <v>110.01037250351052</v>
      </c>
    </row>
    <row r="5" spans="7:21" x14ac:dyDescent="0.25">
      <c r="G5" s="41" t="s">
        <v>844</v>
      </c>
      <c r="H5" s="41" t="s">
        <v>845</v>
      </c>
      <c r="I5" s="41">
        <f>N3*R4/2</f>
        <v>56.62406374824473</v>
      </c>
      <c r="J5" s="41" t="s">
        <v>47</v>
      </c>
      <c r="K5" s="1"/>
    </row>
    <row r="6" spans="7:21" x14ac:dyDescent="0.25">
      <c r="G6" s="41" t="s">
        <v>846</v>
      </c>
      <c r="H6" s="41" t="s">
        <v>847</v>
      </c>
      <c r="I6" s="41">
        <f>N4*R3/2</f>
        <v>19.76083092514466</v>
      </c>
      <c r="J6" s="41" t="s">
        <v>47</v>
      </c>
      <c r="K6" s="1"/>
      <c r="M6" s="1" t="s">
        <v>848</v>
      </c>
      <c r="N6" s="1">
        <v>530.45000000000005</v>
      </c>
    </row>
    <row r="7" spans="7:21" x14ac:dyDescent="0.25">
      <c r="G7" s="41" t="s">
        <v>849</v>
      </c>
      <c r="H7" s="41" t="s">
        <v>850</v>
      </c>
      <c r="I7" s="41">
        <f>N4*R4/2</f>
        <v>20.342419074855343</v>
      </c>
      <c r="J7" s="41" t="s">
        <v>47</v>
      </c>
      <c r="K7" s="1"/>
      <c r="M7" s="1" t="s">
        <v>851</v>
      </c>
      <c r="N7" s="1">
        <v>332.18</v>
      </c>
    </row>
    <row r="8" spans="7:21" x14ac:dyDescent="0.25">
      <c r="G8" s="41" t="s">
        <v>852</v>
      </c>
      <c r="H8" s="41" t="s">
        <v>853</v>
      </c>
      <c r="I8" s="41">
        <v>1.2450000000000001</v>
      </c>
      <c r="J8" s="41"/>
      <c r="K8" s="1"/>
      <c r="M8" s="1" t="s">
        <v>375</v>
      </c>
      <c r="N8" s="1">
        <v>255.82</v>
      </c>
    </row>
    <row r="9" spans="7:21" x14ac:dyDescent="0.25">
      <c r="G9" s="41" t="s">
        <v>854</v>
      </c>
      <c r="H9" s="41" t="s">
        <v>571</v>
      </c>
      <c r="I9" s="41">
        <f>147.281668235*1000</f>
        <v>147281.66823500002</v>
      </c>
      <c r="J9" s="41" t="s">
        <v>855</v>
      </c>
      <c r="K9" s="1">
        <f>I9/1000</f>
        <v>147.28166823500001</v>
      </c>
      <c r="M9" s="1" t="s">
        <v>54</v>
      </c>
      <c r="N9" s="1">
        <v>313.05</v>
      </c>
    </row>
    <row r="10" spans="7:21" x14ac:dyDescent="0.25">
      <c r="M10" s="1" t="s">
        <v>856</v>
      </c>
      <c r="N10" s="1">
        <v>1470</v>
      </c>
    </row>
    <row r="11" spans="7:21" x14ac:dyDescent="0.25">
      <c r="G11" s="1" t="s">
        <v>857</v>
      </c>
      <c r="H11" s="1" t="s">
        <v>858</v>
      </c>
      <c r="I11" s="1">
        <v>3.75</v>
      </c>
      <c r="J11" s="1" t="s">
        <v>859</v>
      </c>
      <c r="K11" s="1"/>
      <c r="M11" s="1" t="s">
        <v>389</v>
      </c>
      <c r="N11" s="1">
        <v>1500</v>
      </c>
    </row>
    <row r="12" spans="7:21" x14ac:dyDescent="0.25">
      <c r="G12" s="1" t="s">
        <v>860</v>
      </c>
      <c r="H12" s="1" t="s">
        <v>861</v>
      </c>
      <c r="I12" s="1">
        <f>4*(3.14^2)*(I11^2)*I4*(1/I8)</f>
        <v>24502.822335894853</v>
      </c>
      <c r="J12" s="1" t="s">
        <v>855</v>
      </c>
      <c r="K12" s="1">
        <f>I12/1000</f>
        <v>24.502822335894852</v>
      </c>
    </row>
    <row r="13" spans="7:21" x14ac:dyDescent="0.25">
      <c r="G13" s="1" t="s">
        <v>862</v>
      </c>
      <c r="H13" s="1" t="s">
        <v>863</v>
      </c>
      <c r="I13" s="1">
        <f>4*(3.14^2)*(I11^2)*I5*(1/I8)</f>
        <v>25223.973746936459</v>
      </c>
      <c r="J13" s="1" t="s">
        <v>855</v>
      </c>
      <c r="K13" s="1"/>
    </row>
    <row r="14" spans="7:21" x14ac:dyDescent="0.25">
      <c r="G14" s="1" t="s">
        <v>864</v>
      </c>
      <c r="H14" s="1" t="s">
        <v>717</v>
      </c>
      <c r="I14" s="1">
        <f>I11*I11*I6</f>
        <v>277.88668488484677</v>
      </c>
      <c r="J14" s="1" t="s">
        <v>865</v>
      </c>
      <c r="K14" s="1"/>
    </row>
    <row r="15" spans="7:21" x14ac:dyDescent="0.25">
      <c r="G15" s="1" t="s">
        <v>866</v>
      </c>
      <c r="H15" s="1" t="s">
        <v>867</v>
      </c>
      <c r="I15" s="1">
        <f>I12*I8</f>
        <v>30506.013808189095</v>
      </c>
      <c r="J15" s="1" t="s">
        <v>855</v>
      </c>
      <c r="K15" s="1">
        <f>I15/1000</f>
        <v>30.506013808189095</v>
      </c>
      <c r="M15" s="75" t="s">
        <v>868</v>
      </c>
      <c r="N15" s="75"/>
    </row>
    <row r="16" spans="7:21" x14ac:dyDescent="0.25">
      <c r="G16" s="1" t="s">
        <v>869</v>
      </c>
      <c r="H16" s="1" t="s">
        <v>870</v>
      </c>
      <c r="I16" s="1">
        <f>2*SQRT((I15*I9)/(I9+I15)*(I4+I4))</f>
        <v>3334.7482861045446</v>
      </c>
      <c r="J16" s="1" t="s">
        <v>871</v>
      </c>
      <c r="K16" s="1">
        <f>2*SQRT((K15*K9*I3)/(K9+K15))</f>
        <v>175.14612972139088</v>
      </c>
    </row>
    <row r="17" spans="7:15" x14ac:dyDescent="0.25">
      <c r="G17" s="1" t="s">
        <v>872</v>
      </c>
      <c r="H17" s="1" t="s">
        <v>873</v>
      </c>
      <c r="I17" s="1">
        <f>I16*0.25</f>
        <v>833.68707152613615</v>
      </c>
      <c r="J17" s="1" t="s">
        <v>871</v>
      </c>
      <c r="K17" s="1">
        <f>I17/1000</f>
        <v>0.83368707152613619</v>
      </c>
    </row>
    <row r="19" spans="7:15" x14ac:dyDescent="0.25">
      <c r="G19" s="1" t="s">
        <v>874</v>
      </c>
      <c r="H19" s="1" t="s">
        <v>875</v>
      </c>
      <c r="I19" s="1">
        <v>1366.56</v>
      </c>
      <c r="J19" s="1" t="s">
        <v>876</v>
      </c>
      <c r="K19" s="1"/>
    </row>
    <row r="20" spans="7:15" x14ac:dyDescent="0.25">
      <c r="G20" s="1" t="s">
        <v>877</v>
      </c>
      <c r="H20" s="1" t="s">
        <v>878</v>
      </c>
      <c r="I20" s="1">
        <v>0</v>
      </c>
      <c r="J20" s="1" t="s">
        <v>75</v>
      </c>
      <c r="K20" s="1"/>
    </row>
    <row r="21" spans="7:15" x14ac:dyDescent="0.25">
      <c r="G21" s="1" t="s">
        <v>879</v>
      </c>
      <c r="H21" s="1" t="s">
        <v>880</v>
      </c>
      <c r="I21" s="1">
        <f>I19/2</f>
        <v>683.28</v>
      </c>
      <c r="J21" s="1" t="s">
        <v>75</v>
      </c>
      <c r="K21" s="1"/>
    </row>
    <row r="22" spans="7:15" x14ac:dyDescent="0.25">
      <c r="G22" s="1" t="s">
        <v>881</v>
      </c>
      <c r="H22" s="1" t="s">
        <v>882</v>
      </c>
      <c r="I22" s="1">
        <f>I19/2</f>
        <v>683.28</v>
      </c>
      <c r="J22" s="1" t="s">
        <v>75</v>
      </c>
      <c r="K22" s="1"/>
    </row>
    <row r="23" spans="7:15" x14ac:dyDescent="0.25">
      <c r="G23" s="1" t="s">
        <v>883</v>
      </c>
      <c r="H23" s="1" t="s">
        <v>884</v>
      </c>
      <c r="I23" s="1">
        <f>I19/I12</f>
        <v>5.5771534448833225E-2</v>
      </c>
      <c r="J23" s="1" t="s">
        <v>8</v>
      </c>
      <c r="K23" s="1"/>
    </row>
    <row r="24" spans="7:15" x14ac:dyDescent="0.25">
      <c r="G24" s="1" t="s">
        <v>420</v>
      </c>
      <c r="H24" s="1" t="s">
        <v>273</v>
      </c>
      <c r="I24" s="1">
        <f>N31/N32</f>
        <v>5.416666666666667</v>
      </c>
      <c r="J24" s="56" t="s">
        <v>885</v>
      </c>
      <c r="K24" s="56"/>
    </row>
    <row r="25" spans="7:15" x14ac:dyDescent="0.25">
      <c r="G25" s="1" t="s">
        <v>886</v>
      </c>
      <c r="H25" s="1" t="s">
        <v>887</v>
      </c>
      <c r="I25" s="1">
        <f>1.15*I19</f>
        <v>1571.5439999999999</v>
      </c>
      <c r="J25" s="1" t="s">
        <v>75</v>
      </c>
      <c r="K25" s="1"/>
    </row>
    <row r="26" spans="7:15" x14ac:dyDescent="0.25">
      <c r="G26" s="1" t="s">
        <v>888</v>
      </c>
      <c r="H26" s="1" t="s">
        <v>889</v>
      </c>
      <c r="I26" s="23">
        <f>((N35*(N32)^4))/((I12*8*(N31^3)))</f>
        <v>5.0075139577830203</v>
      </c>
      <c r="J26" s="1">
        <v>5</v>
      </c>
      <c r="K26" s="1">
        <f>J26+2</f>
        <v>7</v>
      </c>
    </row>
    <row r="27" spans="7:15" x14ac:dyDescent="0.25">
      <c r="G27" s="1" t="s">
        <v>952</v>
      </c>
      <c r="H27" s="1" t="s">
        <v>890</v>
      </c>
      <c r="I27" s="1">
        <f>I25/I12</f>
        <v>6.4137264616158207E-2</v>
      </c>
      <c r="J27" s="1"/>
      <c r="K27" s="1"/>
    </row>
    <row r="28" spans="7:15" x14ac:dyDescent="0.25">
      <c r="G28" s="1" t="s">
        <v>891</v>
      </c>
      <c r="H28" s="1" t="s">
        <v>892</v>
      </c>
      <c r="I28" s="1">
        <f>K26*N32</f>
        <v>4.2000000000000003E-2</v>
      </c>
      <c r="J28" s="1" t="s">
        <v>8</v>
      </c>
      <c r="K28" s="50"/>
    </row>
    <row r="29" spans="7:15" x14ac:dyDescent="0.25">
      <c r="G29" s="1" t="s">
        <v>893</v>
      </c>
      <c r="H29" s="1" t="s">
        <v>894</v>
      </c>
      <c r="I29" s="1">
        <f>I27+I28</f>
        <v>0.10613726461615822</v>
      </c>
      <c r="J29" s="1" t="s">
        <v>8</v>
      </c>
      <c r="K29" s="50"/>
    </row>
    <row r="30" spans="7:15" x14ac:dyDescent="0.25">
      <c r="G30" s="1" t="s">
        <v>953</v>
      </c>
      <c r="H30" s="1" t="s">
        <v>954</v>
      </c>
      <c r="I30" s="1">
        <f>I29-I28</f>
        <v>6.4137264616158207E-2</v>
      </c>
      <c r="J30" s="50" t="s">
        <v>8</v>
      </c>
      <c r="K30" s="50"/>
    </row>
    <row r="31" spans="7:15" x14ac:dyDescent="0.25">
      <c r="G31" s="1"/>
      <c r="H31" s="1"/>
      <c r="I31" s="1">
        <f>K16*(37^4)</f>
        <v>328252045.62477165</v>
      </c>
      <c r="J31" s="1"/>
      <c r="K31" s="1"/>
      <c r="M31" s="1" t="s">
        <v>397</v>
      </c>
      <c r="N31" s="1">
        <v>3.2500000000000001E-2</v>
      </c>
      <c r="O31" s="1" t="s">
        <v>8</v>
      </c>
    </row>
    <row r="32" spans="7:15" x14ac:dyDescent="0.25">
      <c r="G32" s="50"/>
      <c r="H32" s="50"/>
      <c r="I32" s="1">
        <f>(I31)/((8*3.14*271.569))</f>
        <v>48118.005015929084</v>
      </c>
      <c r="J32" s="1">
        <f>(37^2)-SQRT(I32)</f>
        <v>1149.6418339429117</v>
      </c>
      <c r="K32" s="1">
        <f>SQRT(J32/3)</f>
        <v>19.575851058067368</v>
      </c>
      <c r="M32" s="1" t="s">
        <v>389</v>
      </c>
      <c r="N32" s="1">
        <v>6.0000000000000001E-3</v>
      </c>
      <c r="O32" s="1" t="s">
        <v>8</v>
      </c>
    </row>
    <row r="34" spans="13:15" x14ac:dyDescent="0.25">
      <c r="M34" s="41" t="s">
        <v>895</v>
      </c>
      <c r="N34" s="42">
        <v>68900000000</v>
      </c>
      <c r="O34" s="41" t="s">
        <v>409</v>
      </c>
    </row>
    <row r="35" spans="13:15" x14ac:dyDescent="0.25">
      <c r="M35" s="41" t="s">
        <v>896</v>
      </c>
      <c r="N35" s="42">
        <v>26000000000</v>
      </c>
      <c r="O35" s="41" t="s">
        <v>409</v>
      </c>
    </row>
    <row r="36" spans="13:15" x14ac:dyDescent="0.25">
      <c r="M36" s="41" t="s">
        <v>897</v>
      </c>
      <c r="N36" s="42">
        <f>(2911*10^6)/(N32^0.478)</f>
        <v>33580403304.150169</v>
      </c>
      <c r="O36" s="41" t="s">
        <v>409</v>
      </c>
    </row>
    <row r="37" spans="13:15" x14ac:dyDescent="0.25">
      <c r="M37" s="41" t="s">
        <v>897</v>
      </c>
      <c r="N37" s="42">
        <f>0.45*N36</f>
        <v>15111181486.867577</v>
      </c>
      <c r="O37" s="41" t="s">
        <v>409</v>
      </c>
    </row>
  </sheetData>
  <mergeCells count="3">
    <mergeCell ref="G1:K1"/>
    <mergeCell ref="M15:N15"/>
    <mergeCell ref="J24:K24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96AF-BBF6-46DA-83A0-6D32C4F03402}">
  <dimension ref="B1:I44"/>
  <sheetViews>
    <sheetView topLeftCell="A9" workbookViewId="0">
      <selection activeCell="F35" sqref="F35"/>
    </sheetView>
  </sheetViews>
  <sheetFormatPr defaultRowHeight="15" x14ac:dyDescent="0.25"/>
  <cols>
    <col min="1" max="1" width="11.140625" customWidth="1"/>
    <col min="2" max="2" width="38.42578125" customWidth="1"/>
    <col min="3" max="3" width="31.85546875" customWidth="1"/>
    <col min="4" max="4" width="11.42578125" customWidth="1"/>
    <col min="6" max="6" width="31.42578125" customWidth="1"/>
  </cols>
  <sheetData>
    <row r="1" spans="2:7" x14ac:dyDescent="0.25">
      <c r="B1" t="s">
        <v>898</v>
      </c>
      <c r="C1">
        <f>COFM!Q19</f>
        <v>303.46499999999997</v>
      </c>
      <c r="D1" t="s">
        <v>47</v>
      </c>
    </row>
    <row r="2" spans="2:7" x14ac:dyDescent="0.25">
      <c r="B2" t="s">
        <v>223</v>
      </c>
      <c r="C2">
        <v>9.81</v>
      </c>
      <c r="D2" t="s">
        <v>57</v>
      </c>
    </row>
    <row r="3" spans="2:7" x14ac:dyDescent="0.25">
      <c r="B3" t="s">
        <v>899</v>
      </c>
      <c r="C3">
        <f>'Kinematic Models'!O24</f>
        <v>0.50725113487947593</v>
      </c>
    </row>
    <row r="4" spans="2:7" x14ac:dyDescent="0.25">
      <c r="B4" t="s">
        <v>900</v>
      </c>
      <c r="C4">
        <f>'Kinematic Models'!I26</f>
        <v>0.9</v>
      </c>
    </row>
    <row r="5" spans="2:7" ht="15.75" x14ac:dyDescent="0.25">
      <c r="B5" t="s">
        <v>901</v>
      </c>
      <c r="C5" s="1">
        <f>'Kinematic Models'!C66</f>
        <v>1802.7868970438481</v>
      </c>
      <c r="D5" t="s">
        <v>75</v>
      </c>
    </row>
    <row r="6" spans="2:7" x14ac:dyDescent="0.25">
      <c r="B6" t="s">
        <v>902</v>
      </c>
      <c r="C6">
        <f>C5*C4</f>
        <v>1622.5082073394633</v>
      </c>
      <c r="D6" t="s">
        <v>75</v>
      </c>
    </row>
    <row r="7" spans="2:7" x14ac:dyDescent="0.25">
      <c r="B7" t="s">
        <v>903</v>
      </c>
      <c r="C7">
        <v>0.25527</v>
      </c>
      <c r="D7" t="s">
        <v>8</v>
      </c>
    </row>
    <row r="8" spans="2:7" x14ac:dyDescent="0.25">
      <c r="B8" t="s">
        <v>904</v>
      </c>
      <c r="C8">
        <f>C6*C7</f>
        <v>414.17767008754481</v>
      </c>
      <c r="D8" t="s">
        <v>70</v>
      </c>
    </row>
    <row r="9" spans="2:7" x14ac:dyDescent="0.25">
      <c r="B9" t="s">
        <v>905</v>
      </c>
      <c r="C9">
        <f>0.75*140</f>
        <v>105</v>
      </c>
      <c r="D9" t="s">
        <v>70</v>
      </c>
    </row>
    <row r="10" spans="2:7" x14ac:dyDescent="0.25">
      <c r="B10" t="s">
        <v>906</v>
      </c>
      <c r="C10">
        <f>C8/C9</f>
        <v>3.9445492389289982</v>
      </c>
      <c r="D10" t="s">
        <v>907</v>
      </c>
      <c r="E10">
        <v>4</v>
      </c>
      <c r="G10" t="s">
        <v>908</v>
      </c>
    </row>
    <row r="11" spans="2:7" x14ac:dyDescent="0.25">
      <c r="B11" t="s">
        <v>909</v>
      </c>
      <c r="C11">
        <f>C12*E10</f>
        <v>44</v>
      </c>
      <c r="F11" t="s">
        <v>910</v>
      </c>
      <c r="G11" t="s">
        <v>911</v>
      </c>
    </row>
    <row r="12" spans="2:7" x14ac:dyDescent="0.25">
      <c r="B12" t="s">
        <v>909</v>
      </c>
      <c r="C12">
        <v>11</v>
      </c>
      <c r="F12" t="s">
        <v>912</v>
      </c>
    </row>
    <row r="13" spans="2:7" x14ac:dyDescent="0.25">
      <c r="B13" t="s">
        <v>913</v>
      </c>
      <c r="C13">
        <v>12.7</v>
      </c>
      <c r="D13" t="s">
        <v>621</v>
      </c>
      <c r="E13" t="s">
        <v>621</v>
      </c>
      <c r="F13">
        <f>C13/25.4</f>
        <v>0.5</v>
      </c>
      <c r="G13" t="s">
        <v>914</v>
      </c>
    </row>
    <row r="14" spans="2:7" x14ac:dyDescent="0.25">
      <c r="B14" t="s">
        <v>915</v>
      </c>
      <c r="C14">
        <f>(F13/(SIN(3.14159/C11)))/2</f>
        <v>3.5043884664196123</v>
      </c>
      <c r="D14" t="s">
        <v>914</v>
      </c>
      <c r="E14">
        <f>C14*25.4</f>
        <v>89.011467047058147</v>
      </c>
      <c r="F14" t="s">
        <v>621</v>
      </c>
      <c r="G14" t="s">
        <v>916</v>
      </c>
    </row>
    <row r="15" spans="2:7" x14ac:dyDescent="0.25">
      <c r="B15" t="s">
        <v>917</v>
      </c>
      <c r="C15">
        <f>(F13/(SIN(3.14159/C12)))/2</f>
        <v>0.8873671122574498</v>
      </c>
      <c r="D15" t="s">
        <v>914</v>
      </c>
      <c r="E15">
        <f>C15*25.4</f>
        <v>22.539124651339222</v>
      </c>
      <c r="F15" t="s">
        <v>621</v>
      </c>
      <c r="G15" t="s">
        <v>918</v>
      </c>
    </row>
    <row r="16" spans="2:7" x14ac:dyDescent="0.25">
      <c r="B16" t="s">
        <v>919</v>
      </c>
      <c r="C16">
        <f>C8/(10^-3*(E14))</f>
        <v>4653.0821682624264</v>
      </c>
      <c r="D16" t="s">
        <v>75</v>
      </c>
    </row>
    <row r="17" spans="2:9" x14ac:dyDescent="0.25">
      <c r="B17" t="s">
        <v>920</v>
      </c>
      <c r="C17">
        <v>12.75</v>
      </c>
      <c r="D17" t="s">
        <v>621</v>
      </c>
    </row>
    <row r="18" spans="2:9" x14ac:dyDescent="0.25">
      <c r="B18" t="s">
        <v>921</v>
      </c>
      <c r="C18" t="s">
        <v>922</v>
      </c>
    </row>
    <row r="19" spans="2:9" x14ac:dyDescent="0.25">
      <c r="B19" t="s">
        <v>923</v>
      </c>
      <c r="C19" t="s">
        <v>924</v>
      </c>
      <c r="D19" t="s">
        <v>925</v>
      </c>
    </row>
    <row r="20" spans="2:9" x14ac:dyDescent="0.25">
      <c r="B20" t="s">
        <v>926</v>
      </c>
      <c r="C20" t="s">
        <v>927</v>
      </c>
    </row>
    <row r="21" spans="2:9" x14ac:dyDescent="0.25">
      <c r="B21" t="s">
        <v>928</v>
      </c>
      <c r="C21">
        <v>503</v>
      </c>
      <c r="D21" t="s">
        <v>360</v>
      </c>
    </row>
    <row r="22" spans="2:9" x14ac:dyDescent="0.25">
      <c r="B22" t="s">
        <v>929</v>
      </c>
      <c r="C22">
        <v>310</v>
      </c>
      <c r="D22" t="s">
        <v>360</v>
      </c>
    </row>
    <row r="23" spans="2:9" x14ac:dyDescent="0.25">
      <c r="B23" t="s">
        <v>930</v>
      </c>
      <c r="C23">
        <v>435</v>
      </c>
      <c r="D23" t="s">
        <v>360</v>
      </c>
    </row>
    <row r="26" spans="2:9" x14ac:dyDescent="0.25">
      <c r="B26" s="78" t="s">
        <v>931</v>
      </c>
      <c r="C26" s="78"/>
      <c r="F26" s="79" t="s">
        <v>932</v>
      </c>
      <c r="G26" s="79"/>
    </row>
    <row r="27" spans="2:9" x14ac:dyDescent="0.25">
      <c r="B27" t="s">
        <v>933</v>
      </c>
      <c r="C27">
        <f>PI()*(C17*2)^4/32</f>
        <v>41510.75344073891</v>
      </c>
      <c r="D27" t="s">
        <v>934</v>
      </c>
      <c r="F27" t="s">
        <v>935</v>
      </c>
      <c r="G27">
        <f>3/16*(25.4)</f>
        <v>4.7624999999999993</v>
      </c>
      <c r="H27" t="s">
        <v>621</v>
      </c>
      <c r="I27" t="s">
        <v>936</v>
      </c>
    </row>
    <row r="28" spans="2:9" x14ac:dyDescent="0.25">
      <c r="B28" t="s">
        <v>937</v>
      </c>
      <c r="C28">
        <f>C8*C17*1000/C27</f>
        <v>127.21439279956844</v>
      </c>
      <c r="F28" t="s">
        <v>938</v>
      </c>
      <c r="G28">
        <f>C16</f>
        <v>4653.0821682624264</v>
      </c>
      <c r="H28" t="s">
        <v>75</v>
      </c>
    </row>
    <row r="29" spans="2:9" x14ac:dyDescent="0.25">
      <c r="B29" t="s">
        <v>939</v>
      </c>
      <c r="C29">
        <f>C23/C28</f>
        <v>3.4194244096684923</v>
      </c>
      <c r="F29" t="s">
        <v>940</v>
      </c>
      <c r="G29">
        <f>PI()*(G27/2)^2</f>
        <v>17.813934812021401</v>
      </c>
    </row>
    <row r="30" spans="2:9" x14ac:dyDescent="0.25">
      <c r="F30" t="s">
        <v>941</v>
      </c>
      <c r="G30">
        <f>G28/G29</f>
        <v>261.20462533198344</v>
      </c>
      <c r="H30" t="s">
        <v>360</v>
      </c>
    </row>
    <row r="31" spans="2:9" x14ac:dyDescent="0.25">
      <c r="B31" s="80" t="s">
        <v>942</v>
      </c>
      <c r="C31" s="80"/>
      <c r="F31" t="s">
        <v>943</v>
      </c>
      <c r="G31">
        <f>C22/G30</f>
        <v>1.1868089992893467</v>
      </c>
    </row>
    <row r="32" spans="2:9" x14ac:dyDescent="0.25">
      <c r="B32" t="s">
        <v>944</v>
      </c>
      <c r="C32">
        <f>PI()*(C17^4)/4</f>
        <v>20755.376720369455</v>
      </c>
      <c r="D32" t="s">
        <v>934</v>
      </c>
    </row>
    <row r="33" spans="2:8" x14ac:dyDescent="0.25">
      <c r="B33" t="s">
        <v>945</v>
      </c>
      <c r="C33">
        <f>C8*C17*1000/C32</f>
        <v>254.42878559913689</v>
      </c>
      <c r="D33" t="s">
        <v>360</v>
      </c>
      <c r="F33" s="76"/>
      <c r="G33" s="76"/>
    </row>
    <row r="34" spans="2:8" x14ac:dyDescent="0.25">
      <c r="B34" t="s">
        <v>946</v>
      </c>
      <c r="C34">
        <f>C23/C33</f>
        <v>1.7097122048342461</v>
      </c>
    </row>
    <row r="36" spans="2:8" x14ac:dyDescent="0.25">
      <c r="B36" s="81" t="s">
        <v>947</v>
      </c>
      <c r="C36" s="81"/>
    </row>
    <row r="37" spans="2:8" x14ac:dyDescent="0.25">
      <c r="B37" t="s">
        <v>944</v>
      </c>
      <c r="C37">
        <f>(PI()/4)*(E14^4-C17^4)</f>
        <v>49282286.741507702</v>
      </c>
      <c r="D37" t="s">
        <v>934</v>
      </c>
      <c r="H37" s="76"/>
    </row>
    <row r="38" spans="2:8" x14ac:dyDescent="0.25">
      <c r="B38" t="s">
        <v>945</v>
      </c>
      <c r="C38">
        <f>(C8*E14*1000)/C37</f>
        <v>0.74806922466879333</v>
      </c>
      <c r="D38" t="s">
        <v>360</v>
      </c>
      <c r="H38" s="76"/>
    </row>
    <row r="39" spans="2:8" x14ac:dyDescent="0.25">
      <c r="B39" t="s">
        <v>424</v>
      </c>
      <c r="C39">
        <f>C21/C38</f>
        <v>672.39766509937976</v>
      </c>
    </row>
    <row r="41" spans="2:8" x14ac:dyDescent="0.25">
      <c r="B41" s="77" t="s">
        <v>948</v>
      </c>
      <c r="C41" s="77"/>
    </row>
    <row r="42" spans="2:8" x14ac:dyDescent="0.25">
      <c r="B42" t="s">
        <v>944</v>
      </c>
      <c r="C42">
        <f>(PI()/4)*(E15^4-C17^4)</f>
        <v>181937.30236261213</v>
      </c>
      <c r="D42" t="s">
        <v>934</v>
      </c>
    </row>
    <row r="43" spans="2:8" x14ac:dyDescent="0.25">
      <c r="B43" t="s">
        <v>945</v>
      </c>
      <c r="C43">
        <f>(C9*E15*1000)/C42</f>
        <v>13.007822242377896</v>
      </c>
      <c r="D43" t="s">
        <v>360</v>
      </c>
    </row>
    <row r="44" spans="2:8" x14ac:dyDescent="0.25">
      <c r="B44" t="s">
        <v>424</v>
      </c>
      <c r="C44">
        <f>C21/C43</f>
        <v>38.669040107366122</v>
      </c>
    </row>
  </sheetData>
  <mergeCells count="7">
    <mergeCell ref="H37:H38"/>
    <mergeCell ref="B41:C41"/>
    <mergeCell ref="B26:C26"/>
    <mergeCell ref="F26:G26"/>
    <mergeCell ref="B31:C31"/>
    <mergeCell ref="F33:G33"/>
    <mergeCell ref="B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8BAB-0136-4AC3-B0D4-3AA9D9235D87}">
  <dimension ref="A1:W112"/>
  <sheetViews>
    <sheetView topLeftCell="A12" zoomScale="70" zoomScaleNormal="70" workbookViewId="0">
      <selection activeCell="R43" sqref="R43"/>
    </sheetView>
  </sheetViews>
  <sheetFormatPr defaultRowHeight="15.75" x14ac:dyDescent="0.25"/>
  <cols>
    <col min="1" max="1" width="35.140625" style="2" bestFit="1" customWidth="1"/>
    <col min="2" max="2" width="7.85546875" style="2" bestFit="1" customWidth="1"/>
    <col min="3" max="3" width="14.28515625" style="2" bestFit="1" customWidth="1"/>
    <col min="4" max="4" width="6.85546875" style="2" bestFit="1" customWidth="1"/>
    <col min="5" max="6" width="9.140625" style="2"/>
    <col min="7" max="7" width="56" style="2" bestFit="1" customWidth="1"/>
    <col min="8" max="8" width="12.85546875" style="2" bestFit="1" customWidth="1"/>
    <col min="9" max="9" width="14.28515625" style="2" bestFit="1" customWidth="1"/>
    <col min="10" max="10" width="8.140625" style="2" bestFit="1" customWidth="1"/>
    <col min="11" max="11" width="13.7109375" style="2" bestFit="1" customWidth="1"/>
    <col min="12" max="12" width="9.140625" style="2"/>
    <col min="13" max="13" width="44.140625" style="2" bestFit="1" customWidth="1"/>
    <col min="14" max="14" width="22.28515625" style="2" bestFit="1" customWidth="1"/>
    <col min="15" max="15" width="20" style="2" bestFit="1" customWidth="1"/>
    <col min="16" max="16" width="14.28515625" style="2" bestFit="1" customWidth="1"/>
    <col min="17" max="17" width="16.42578125" style="2" bestFit="1" customWidth="1"/>
    <col min="18" max="18" width="14.28515625" style="2" bestFit="1" customWidth="1"/>
    <col min="19" max="19" width="11.85546875" style="2" customWidth="1"/>
    <col min="20" max="20" width="9.140625" style="2" bestFit="1" customWidth="1"/>
    <col min="21" max="21" width="14.28515625" style="2" bestFit="1" customWidth="1"/>
    <col min="22" max="22" width="8.140625" style="2" bestFit="1" customWidth="1"/>
    <col min="23" max="23" width="3" style="2" bestFit="1" customWidth="1"/>
    <col min="24" max="16384" width="9.140625" style="2"/>
  </cols>
  <sheetData>
    <row r="1" spans="1:23" x14ac:dyDescent="0.25">
      <c r="A1" s="56" t="s">
        <v>42</v>
      </c>
      <c r="B1" s="56"/>
      <c r="C1" s="56"/>
      <c r="D1" s="56"/>
      <c r="E1" s="56"/>
      <c r="G1" s="56" t="s">
        <v>43</v>
      </c>
      <c r="H1" s="56"/>
      <c r="I1" s="56"/>
      <c r="J1" s="56"/>
      <c r="K1" s="56"/>
      <c r="M1" s="56" t="s">
        <v>44</v>
      </c>
      <c r="N1" s="56"/>
      <c r="O1" s="56"/>
      <c r="P1" s="56"/>
      <c r="Q1" s="56"/>
      <c r="R1" s="56"/>
      <c r="T1" s="22">
        <v>1</v>
      </c>
      <c r="U1" s="22" t="s">
        <v>45</v>
      </c>
      <c r="V1" s="22">
        <v>2.5399999999999999E-2</v>
      </c>
      <c r="W1" s="22" t="s">
        <v>8</v>
      </c>
    </row>
    <row r="2" spans="1:23" x14ac:dyDescent="0.25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R2" s="1"/>
    </row>
    <row r="3" spans="1:23" x14ac:dyDescent="0.25">
      <c r="A3" s="1"/>
      <c r="B3" s="1"/>
      <c r="C3" s="1"/>
      <c r="D3" s="1"/>
      <c r="E3" s="1"/>
      <c r="G3" s="1"/>
      <c r="H3" s="1"/>
      <c r="I3" s="1"/>
      <c r="J3" s="1"/>
      <c r="K3" s="1"/>
      <c r="M3" s="1"/>
      <c r="N3" s="1"/>
      <c r="O3" s="1"/>
      <c r="P3" s="1"/>
      <c r="Q3" s="1"/>
      <c r="R3" s="1"/>
    </row>
    <row r="4" spans="1:23" x14ac:dyDescent="0.25">
      <c r="A4" s="1"/>
      <c r="B4" s="1"/>
      <c r="C4" s="1"/>
      <c r="D4" s="1"/>
      <c r="E4" s="1"/>
      <c r="G4" s="1"/>
      <c r="H4" s="1"/>
      <c r="I4" s="1"/>
      <c r="J4" s="1"/>
      <c r="K4" s="1"/>
      <c r="M4" s="1"/>
      <c r="N4" s="1"/>
      <c r="O4" s="1"/>
      <c r="P4" s="1"/>
      <c r="Q4" s="1"/>
      <c r="R4" s="1"/>
    </row>
    <row r="5" spans="1:23" x14ac:dyDescent="0.25">
      <c r="A5" s="1"/>
      <c r="B5" s="1"/>
      <c r="C5" s="1"/>
      <c r="D5" s="1"/>
      <c r="E5" s="1"/>
      <c r="G5" s="1"/>
      <c r="H5" s="1"/>
      <c r="I5" s="1"/>
      <c r="J5" s="1"/>
      <c r="K5" s="1"/>
      <c r="M5" s="1"/>
      <c r="N5" s="1"/>
      <c r="O5" s="1"/>
      <c r="P5" s="1"/>
      <c r="Q5" s="1"/>
      <c r="R5" s="1"/>
    </row>
    <row r="6" spans="1:23" x14ac:dyDescent="0.25">
      <c r="A6" s="1"/>
      <c r="B6" s="1"/>
      <c r="C6" s="1"/>
      <c r="D6" s="1"/>
      <c r="E6" s="1"/>
      <c r="G6" s="1"/>
      <c r="H6" s="1"/>
      <c r="I6" s="1"/>
      <c r="J6" s="1"/>
      <c r="K6" s="1"/>
      <c r="M6" s="1"/>
      <c r="N6" s="1"/>
      <c r="O6" s="1"/>
      <c r="P6" s="1"/>
      <c r="Q6" s="1"/>
      <c r="R6" s="1"/>
    </row>
    <row r="7" spans="1:23" x14ac:dyDescent="0.25">
      <c r="A7" s="1"/>
      <c r="B7" s="1"/>
      <c r="C7" s="1"/>
      <c r="D7" s="1"/>
      <c r="E7" s="1"/>
      <c r="G7" s="1"/>
      <c r="H7" s="1"/>
      <c r="I7" s="1"/>
      <c r="J7" s="1"/>
      <c r="K7" s="1"/>
      <c r="M7" s="1"/>
      <c r="N7" s="1"/>
      <c r="O7" s="1"/>
      <c r="P7" s="1"/>
      <c r="Q7" s="1"/>
      <c r="R7" s="1"/>
    </row>
    <row r="8" spans="1:23" x14ac:dyDescent="0.25">
      <c r="A8" s="1"/>
      <c r="B8" s="1"/>
      <c r="C8" s="1"/>
      <c r="D8" s="1"/>
      <c r="E8" s="1"/>
      <c r="G8" s="1"/>
      <c r="H8" s="1"/>
      <c r="I8" s="1"/>
      <c r="J8" s="1"/>
      <c r="K8" s="1"/>
      <c r="M8" s="1"/>
      <c r="N8" s="1"/>
      <c r="O8" s="1"/>
      <c r="P8" s="1"/>
      <c r="Q8" s="1"/>
      <c r="R8" s="1"/>
    </row>
    <row r="9" spans="1:23" x14ac:dyDescent="0.25">
      <c r="A9" s="1"/>
      <c r="B9" s="1"/>
      <c r="C9" s="1"/>
      <c r="D9" s="1"/>
      <c r="E9" s="1"/>
      <c r="G9" s="1"/>
      <c r="H9" s="1"/>
      <c r="I9" s="1"/>
      <c r="J9" s="1"/>
      <c r="K9" s="1"/>
      <c r="M9" s="1"/>
      <c r="N9" s="1"/>
      <c r="O9" s="1"/>
      <c r="P9" s="1"/>
      <c r="Q9" s="1"/>
      <c r="R9" s="1"/>
    </row>
    <row r="10" spans="1:23" x14ac:dyDescent="0.25">
      <c r="A10" s="1"/>
      <c r="B10" s="1"/>
      <c r="C10" s="1"/>
      <c r="D10" s="1"/>
      <c r="E10" s="1"/>
      <c r="G10" s="1"/>
      <c r="H10" s="1"/>
      <c r="I10" s="1"/>
      <c r="J10" s="1"/>
      <c r="K10" s="1"/>
      <c r="M10" s="1"/>
      <c r="N10" s="1"/>
      <c r="O10" s="1"/>
      <c r="P10" s="1"/>
      <c r="Q10" s="1"/>
      <c r="R10" s="1"/>
    </row>
    <row r="11" spans="1:23" x14ac:dyDescent="0.25">
      <c r="A11" s="1"/>
      <c r="B11" s="1"/>
      <c r="C11" s="1"/>
      <c r="D11" s="1"/>
      <c r="E11" s="1"/>
      <c r="G11" s="1"/>
      <c r="H11" s="1"/>
      <c r="I11" s="1"/>
      <c r="J11" s="1"/>
      <c r="K11" s="1"/>
      <c r="M11" s="1"/>
      <c r="N11" s="1"/>
      <c r="O11" s="1"/>
      <c r="P11" s="1"/>
      <c r="Q11" s="1"/>
      <c r="R11" s="1"/>
    </row>
    <row r="12" spans="1:23" x14ac:dyDescent="0.25">
      <c r="A12" s="1"/>
      <c r="B12" s="1"/>
      <c r="C12" s="1"/>
      <c r="D12" s="1"/>
      <c r="E12" s="1"/>
      <c r="G12" s="1"/>
      <c r="H12" s="1"/>
      <c r="I12" s="1"/>
      <c r="J12" s="1"/>
      <c r="K12" s="1"/>
      <c r="M12" s="1"/>
      <c r="N12" s="1"/>
      <c r="O12" s="1"/>
      <c r="P12" s="1"/>
      <c r="Q12" s="1"/>
      <c r="R12" s="1"/>
    </row>
    <row r="13" spans="1:23" x14ac:dyDescent="0.25">
      <c r="A13" s="1" t="s">
        <v>46</v>
      </c>
      <c r="B13" s="3" t="s">
        <v>14</v>
      </c>
      <c r="C13" s="3">
        <f>U16</f>
        <v>0.28918968513667148</v>
      </c>
      <c r="D13" s="1" t="s">
        <v>8</v>
      </c>
      <c r="E13" s="1"/>
      <c r="G13" s="1" t="s">
        <v>46</v>
      </c>
      <c r="H13" s="1" t="s">
        <v>14</v>
      </c>
      <c r="I13" s="1">
        <f>U16</f>
        <v>0.28918968513667148</v>
      </c>
      <c r="J13" s="1" t="s">
        <v>8</v>
      </c>
      <c r="K13" s="1"/>
      <c r="M13" s="1" t="s">
        <v>46</v>
      </c>
      <c r="N13" s="1" t="s">
        <v>14</v>
      </c>
      <c r="O13" s="1">
        <f>U16</f>
        <v>0.28918968513667148</v>
      </c>
      <c r="P13" s="1" t="s">
        <v>8</v>
      </c>
      <c r="Q13" s="1">
        <f>SQRT((O43^2)+(O32^2))</f>
        <v>2235.52905326156</v>
      </c>
      <c r="R13" s="1"/>
      <c r="T13" s="22" t="s">
        <v>8</v>
      </c>
      <c r="U13" s="22">
        <v>303.46499999999997</v>
      </c>
      <c r="V13" s="21" t="s">
        <v>47</v>
      </c>
    </row>
    <row r="14" spans="1:23" x14ac:dyDescent="0.25">
      <c r="A14" s="1" t="s">
        <v>48</v>
      </c>
      <c r="B14" s="3" t="s">
        <v>12</v>
      </c>
      <c r="C14" s="3">
        <f>U15</f>
        <v>0.8131362504901718</v>
      </c>
      <c r="D14" s="1" t="s">
        <v>8</v>
      </c>
      <c r="E14" s="1"/>
      <c r="G14" s="1" t="s">
        <v>48</v>
      </c>
      <c r="H14" s="1" t="s">
        <v>12</v>
      </c>
      <c r="I14" s="1">
        <f>U15</f>
        <v>0.8131362504901718</v>
      </c>
      <c r="J14" s="1" t="s">
        <v>8</v>
      </c>
      <c r="K14" s="1"/>
      <c r="M14" s="1" t="s">
        <v>48</v>
      </c>
      <c r="N14" s="1" t="s">
        <v>12</v>
      </c>
      <c r="O14" s="1">
        <f>U15</f>
        <v>0.8131362504901718</v>
      </c>
      <c r="P14" s="1" t="s">
        <v>8</v>
      </c>
      <c r="Q14" s="1"/>
      <c r="R14" s="1"/>
      <c r="T14" s="22" t="s">
        <v>10</v>
      </c>
      <c r="U14" s="22">
        <v>0.78988874950982813</v>
      </c>
      <c r="V14" s="21" t="s">
        <v>8</v>
      </c>
    </row>
    <row r="15" spans="1:23" x14ac:dyDescent="0.25">
      <c r="A15" s="1" t="s">
        <v>49</v>
      </c>
      <c r="B15" s="3" t="s">
        <v>10</v>
      </c>
      <c r="C15" s="3">
        <f>U14</f>
        <v>0.78988874950982813</v>
      </c>
      <c r="D15" s="1" t="s">
        <v>8</v>
      </c>
      <c r="E15" s="1"/>
      <c r="G15" s="1" t="s">
        <v>49</v>
      </c>
      <c r="H15" s="1" t="s">
        <v>10</v>
      </c>
      <c r="I15" s="1">
        <f>U14</f>
        <v>0.78988874950982813</v>
      </c>
      <c r="J15" s="1" t="s">
        <v>8</v>
      </c>
      <c r="K15" s="1"/>
      <c r="M15" s="1" t="s">
        <v>49</v>
      </c>
      <c r="N15" s="1" t="s">
        <v>10</v>
      </c>
      <c r="O15" s="1">
        <f>U14</f>
        <v>0.78988874950982813</v>
      </c>
      <c r="P15" s="1" t="s">
        <v>8</v>
      </c>
      <c r="Q15" s="1"/>
      <c r="R15" s="1"/>
      <c r="T15" s="22" t="s">
        <v>12</v>
      </c>
      <c r="U15" s="22">
        <v>0.8131362504901718</v>
      </c>
      <c r="V15" s="21" t="s">
        <v>8</v>
      </c>
    </row>
    <row r="16" spans="1:23" x14ac:dyDescent="0.25">
      <c r="A16" s="1" t="s">
        <v>50</v>
      </c>
      <c r="B16" s="3" t="s">
        <v>8</v>
      </c>
      <c r="C16" s="3">
        <f>U13</f>
        <v>303.46499999999997</v>
      </c>
      <c r="D16" s="1" t="s">
        <v>47</v>
      </c>
      <c r="E16" s="1"/>
      <c r="G16" s="1" t="s">
        <v>51</v>
      </c>
      <c r="H16" s="1" t="s">
        <v>52</v>
      </c>
      <c r="I16" s="1">
        <f>U18</f>
        <v>0.81988874950982815</v>
      </c>
      <c r="J16" s="1" t="s">
        <v>8</v>
      </c>
      <c r="K16" s="1"/>
      <c r="M16" s="1" t="s">
        <v>53</v>
      </c>
      <c r="N16" s="1" t="s">
        <v>54</v>
      </c>
      <c r="O16" s="1">
        <f>U21</f>
        <v>0.49723493648361428</v>
      </c>
      <c r="P16" s="1" t="s">
        <v>8</v>
      </c>
      <c r="Q16" s="1"/>
      <c r="R16" s="1"/>
      <c r="T16" s="22" t="s">
        <v>14</v>
      </c>
      <c r="U16" s="22">
        <v>0.28918968513667148</v>
      </c>
      <c r="V16" s="21" t="s">
        <v>8</v>
      </c>
    </row>
    <row r="17" spans="1:22" x14ac:dyDescent="0.25">
      <c r="A17" s="1" t="s">
        <v>55</v>
      </c>
      <c r="B17" s="1" t="s">
        <v>56</v>
      </c>
      <c r="C17" s="1">
        <v>9.81</v>
      </c>
      <c r="D17" s="1" t="s">
        <v>57</v>
      </c>
      <c r="E17" s="1"/>
      <c r="G17" s="1" t="s">
        <v>58</v>
      </c>
      <c r="H17" s="1" t="s">
        <v>59</v>
      </c>
      <c r="I17" s="1">
        <f>U17</f>
        <v>0.86313625049017184</v>
      </c>
      <c r="J17" s="1" t="s">
        <v>8</v>
      </c>
      <c r="K17" s="1"/>
      <c r="M17" s="1" t="s">
        <v>60</v>
      </c>
      <c r="N17" s="1" t="s">
        <v>54</v>
      </c>
      <c r="O17" s="1">
        <f>U22</f>
        <v>0.50276506351638572</v>
      </c>
      <c r="P17" s="1" t="s">
        <v>8</v>
      </c>
      <c r="Q17" s="1"/>
      <c r="R17" s="1"/>
      <c r="T17" s="22" t="s">
        <v>16</v>
      </c>
      <c r="U17" s="22">
        <v>0.86313625049017184</v>
      </c>
      <c r="V17" s="21" t="s">
        <v>8</v>
      </c>
    </row>
    <row r="18" spans="1:22" x14ac:dyDescent="0.25">
      <c r="A18" s="1" t="s">
        <v>61</v>
      </c>
      <c r="B18" s="1" t="s">
        <v>62</v>
      </c>
      <c r="C18" s="1">
        <f>(20.1*0.0254)/2</f>
        <v>0.25527</v>
      </c>
      <c r="D18" s="1" t="s">
        <v>8</v>
      </c>
      <c r="E18" s="1"/>
      <c r="G18" s="1" t="s">
        <v>50</v>
      </c>
      <c r="H18" s="1" t="s">
        <v>8</v>
      </c>
      <c r="I18" s="1">
        <f>COFM!Q19</f>
        <v>303.46499999999997</v>
      </c>
      <c r="J18" s="1" t="s">
        <v>8</v>
      </c>
      <c r="K18" s="1"/>
      <c r="M18" s="1" t="s">
        <v>50</v>
      </c>
      <c r="N18" s="1" t="s">
        <v>8</v>
      </c>
      <c r="O18" s="1">
        <f>U13</f>
        <v>303.46499999999997</v>
      </c>
      <c r="P18" s="1" t="s">
        <v>47</v>
      </c>
      <c r="Q18" s="1"/>
      <c r="R18" s="1"/>
      <c r="T18" s="22" t="s">
        <v>18</v>
      </c>
      <c r="U18" s="22">
        <v>0.81988874950982815</v>
      </c>
      <c r="V18" s="21" t="s">
        <v>8</v>
      </c>
    </row>
    <row r="19" spans="1:22" x14ac:dyDescent="0.25">
      <c r="A19" s="1" t="s">
        <v>63</v>
      </c>
      <c r="B19" s="1" t="s">
        <v>64</v>
      </c>
      <c r="C19" s="1">
        <v>70.56</v>
      </c>
      <c r="D19" s="1" t="s">
        <v>65</v>
      </c>
      <c r="E19" s="1"/>
      <c r="G19" s="1" t="s">
        <v>66</v>
      </c>
      <c r="H19" s="1" t="s">
        <v>67</v>
      </c>
      <c r="I19" s="1">
        <v>0.92</v>
      </c>
      <c r="J19" s="1"/>
      <c r="K19" s="1"/>
      <c r="M19" s="1" t="s">
        <v>55</v>
      </c>
      <c r="N19" s="1" t="s">
        <v>56</v>
      </c>
      <c r="O19" s="1">
        <v>9.81</v>
      </c>
      <c r="P19" s="1" t="s">
        <v>57</v>
      </c>
      <c r="Q19" s="1"/>
      <c r="R19" s="1"/>
      <c r="T19" s="22" t="s">
        <v>20</v>
      </c>
      <c r="U19" s="22">
        <f>COFM!W8</f>
        <v>0.18918968513667148</v>
      </c>
      <c r="V19" s="21" t="s">
        <v>8</v>
      </c>
    </row>
    <row r="20" spans="1:22" x14ac:dyDescent="0.25">
      <c r="A20" s="1" t="s">
        <v>68</v>
      </c>
      <c r="B20" s="1" t="s">
        <v>69</v>
      </c>
      <c r="C20" s="1">
        <f>(((C19-62)/(109-62))*(230-120))+120</f>
        <v>140.03404255319148</v>
      </c>
      <c r="D20" s="1" t="s">
        <v>70</v>
      </c>
      <c r="E20" s="1"/>
      <c r="G20" s="1" t="s">
        <v>55</v>
      </c>
      <c r="H20" s="1" t="s">
        <v>56</v>
      </c>
      <c r="I20" s="1">
        <v>9.81</v>
      </c>
      <c r="J20" s="1" t="s">
        <v>57</v>
      </c>
      <c r="K20" s="1"/>
      <c r="M20" s="1" t="s">
        <v>61</v>
      </c>
      <c r="N20" s="1" t="s">
        <v>62</v>
      </c>
      <c r="O20" s="1">
        <f>(20.1*0.0254)/2</f>
        <v>0.25527</v>
      </c>
      <c r="P20" s="1" t="s">
        <v>8</v>
      </c>
      <c r="Q20" s="1"/>
      <c r="R20" s="1"/>
      <c r="T20" s="22" t="s">
        <v>22</v>
      </c>
      <c r="U20" s="22">
        <v>0.99581031486332838</v>
      </c>
      <c r="V20" s="21" t="s">
        <v>8</v>
      </c>
    </row>
    <row r="21" spans="1:22" x14ac:dyDescent="0.25">
      <c r="A21" s="1" t="s">
        <v>71</v>
      </c>
      <c r="B21" s="1" t="s">
        <v>72</v>
      </c>
      <c r="C21" s="1">
        <v>14</v>
      </c>
      <c r="D21" s="1"/>
      <c r="E21" s="1"/>
      <c r="G21" s="1" t="s">
        <v>61</v>
      </c>
      <c r="H21" s="1" t="s">
        <v>62</v>
      </c>
      <c r="I21" s="1">
        <f>(20.1*0.0254)/2</f>
        <v>0.25527</v>
      </c>
      <c r="J21" s="1" t="s">
        <v>8</v>
      </c>
      <c r="K21" s="1"/>
      <c r="M21" s="1" t="s">
        <v>73</v>
      </c>
      <c r="N21" s="1" t="s">
        <v>74</v>
      </c>
      <c r="O21" s="1">
        <f>(O18*O19)*((O15)/(O15+O14))</f>
        <v>1466.9092570107766</v>
      </c>
      <c r="P21" s="1" t="s">
        <v>75</v>
      </c>
      <c r="Q21" s="1" t="s">
        <v>76</v>
      </c>
      <c r="R21" s="1"/>
      <c r="T21" s="22" t="s">
        <v>77</v>
      </c>
      <c r="U21" s="22">
        <v>0.49723493648361428</v>
      </c>
      <c r="V21" s="21" t="s">
        <v>8</v>
      </c>
    </row>
    <row r="22" spans="1:22" x14ac:dyDescent="0.25">
      <c r="A22" s="1" t="s">
        <v>78</v>
      </c>
      <c r="B22" s="1" t="s">
        <v>79</v>
      </c>
      <c r="C22" s="1">
        <v>35</v>
      </c>
      <c r="D22" s="1"/>
      <c r="E22" s="1"/>
      <c r="G22" s="4" t="s">
        <v>80</v>
      </c>
      <c r="H22" s="4" t="s">
        <v>81</v>
      </c>
      <c r="I22" s="4">
        <f>(1/2)*(1.225)*2.34*(1.542)*(I56^2)</f>
        <v>1880.0955468749996</v>
      </c>
      <c r="J22" s="4" t="s">
        <v>75</v>
      </c>
      <c r="K22" s="1"/>
      <c r="M22" s="1" t="s">
        <v>82</v>
      </c>
      <c r="N22" s="1" t="s">
        <v>83</v>
      </c>
      <c r="O22" s="1">
        <f>(O18*O19)*((O14)/(O15+O14))</f>
        <v>1510.0823929892235</v>
      </c>
      <c r="P22" s="1" t="s">
        <v>75</v>
      </c>
      <c r="Q22" s="1" t="s">
        <v>76</v>
      </c>
      <c r="R22" s="1"/>
      <c r="T22" s="22" t="s">
        <v>84</v>
      </c>
      <c r="U22" s="22">
        <v>0.50276506351638572</v>
      </c>
      <c r="V22" s="21" t="s">
        <v>8</v>
      </c>
    </row>
    <row r="23" spans="1:22" x14ac:dyDescent="0.25">
      <c r="A23" s="1" t="s">
        <v>85</v>
      </c>
      <c r="B23" s="1" t="s">
        <v>86</v>
      </c>
      <c r="C23" s="1">
        <v>1</v>
      </c>
      <c r="D23" s="1">
        <v>1</v>
      </c>
      <c r="E23" s="1"/>
      <c r="G23" s="1" t="s">
        <v>87</v>
      </c>
      <c r="H23" s="1" t="s">
        <v>88</v>
      </c>
      <c r="I23" s="1">
        <f>I59</f>
        <v>232.88241059027777</v>
      </c>
      <c r="J23" s="1" t="s">
        <v>75</v>
      </c>
      <c r="K23" s="1"/>
      <c r="M23" s="1" t="s">
        <v>89</v>
      </c>
      <c r="N23" s="1" t="s">
        <v>90</v>
      </c>
      <c r="O23" s="1">
        <f>O15/(O14+O15)</f>
        <v>0.49274886512052413</v>
      </c>
      <c r="P23" s="1">
        <f>O18*O19*O23</f>
        <v>1466.9092570107766</v>
      </c>
      <c r="Q23" s="1"/>
      <c r="R23" s="1"/>
    </row>
    <row r="24" spans="1:22" x14ac:dyDescent="0.25">
      <c r="A24" s="1" t="s">
        <v>91</v>
      </c>
      <c r="B24" s="1" t="s">
        <v>92</v>
      </c>
      <c r="C24" s="1">
        <v>0.92</v>
      </c>
      <c r="D24" s="1"/>
      <c r="E24" s="1"/>
      <c r="G24" s="1" t="s">
        <v>93</v>
      </c>
      <c r="H24" s="1" t="s">
        <v>94</v>
      </c>
      <c r="I24" s="1">
        <f>U19</f>
        <v>0.18918968513667148</v>
      </c>
      <c r="J24" s="1" t="s">
        <v>8</v>
      </c>
      <c r="K24" s="1">
        <f>I22-I23</f>
        <v>1647.2131362847219</v>
      </c>
      <c r="M24" s="1" t="s">
        <v>95</v>
      </c>
      <c r="N24" s="1" t="s">
        <v>96</v>
      </c>
      <c r="O24" s="1">
        <f>O14/(O14+O15)</f>
        <v>0.50725113487947593</v>
      </c>
      <c r="P24" s="1">
        <f>O18*O19*O24</f>
        <v>1510.0823929892235</v>
      </c>
      <c r="Q24" s="1"/>
      <c r="R24" s="1"/>
    </row>
    <row r="25" spans="1:22" x14ac:dyDescent="0.25">
      <c r="A25" s="1" t="s">
        <v>97</v>
      </c>
      <c r="B25" s="1" t="s">
        <v>98</v>
      </c>
      <c r="C25" s="1">
        <v>0.9</v>
      </c>
      <c r="D25" s="1"/>
      <c r="E25" s="1"/>
      <c r="G25" s="1" t="s">
        <v>99</v>
      </c>
      <c r="H25" s="1" t="s">
        <v>100</v>
      </c>
      <c r="I25" s="1">
        <f>U20</f>
        <v>0.99581031486332838</v>
      </c>
      <c r="J25" s="1" t="s">
        <v>8</v>
      </c>
      <c r="K25" s="1"/>
      <c r="M25" s="1" t="s">
        <v>101</v>
      </c>
      <c r="N25" s="1" t="s">
        <v>102</v>
      </c>
      <c r="O25" s="1">
        <f>0.5*O57*O56*O55</f>
        <v>2.2089249</v>
      </c>
      <c r="P25" s="1"/>
      <c r="Q25" s="1"/>
      <c r="R25" s="1"/>
    </row>
    <row r="26" spans="1:22" x14ac:dyDescent="0.25">
      <c r="A26" s="1"/>
      <c r="B26" s="1"/>
      <c r="C26" s="1"/>
      <c r="D26" s="1"/>
      <c r="E26" s="1"/>
      <c r="G26" s="1" t="s">
        <v>97</v>
      </c>
      <c r="H26" s="1" t="s">
        <v>98</v>
      </c>
      <c r="I26" s="1">
        <v>0.9</v>
      </c>
      <c r="J26" s="1"/>
      <c r="K26" s="1"/>
      <c r="M26" s="4" t="s">
        <v>103</v>
      </c>
      <c r="N26" s="4" t="s">
        <v>104</v>
      </c>
      <c r="O26" s="4">
        <f>((O21+(O25*O23*(O63^2)))*O16-(O13*P63)*(O23))/(2*O16)</f>
        <v>354.34293872271559</v>
      </c>
      <c r="P26" s="4" t="s">
        <v>75</v>
      </c>
      <c r="Q26" s="61" t="s">
        <v>105</v>
      </c>
      <c r="R26" s="1"/>
    </row>
    <row r="27" spans="1:22" x14ac:dyDescent="0.25">
      <c r="A27" s="1"/>
      <c r="B27" s="1"/>
      <c r="C27" s="1"/>
      <c r="D27" s="1"/>
      <c r="E27" s="1"/>
      <c r="G27" s="56" t="s">
        <v>106</v>
      </c>
      <c r="H27" s="56"/>
      <c r="I27" s="56"/>
      <c r="J27" s="56"/>
      <c r="K27" s="1"/>
      <c r="M27" s="4" t="s">
        <v>107</v>
      </c>
      <c r="N27" s="4" t="s">
        <v>108</v>
      </c>
      <c r="O27" s="4">
        <f>((O21+(O25*O23*(O63^2)))*O16+(O13*P63)*(O23))/(2*O16)</f>
        <v>1122.1762012909326</v>
      </c>
      <c r="P27" s="4" t="s">
        <v>75</v>
      </c>
      <c r="Q27" s="61"/>
      <c r="R27" s="1"/>
    </row>
    <row r="28" spans="1:22" x14ac:dyDescent="0.25">
      <c r="A28" s="56" t="s">
        <v>109</v>
      </c>
      <c r="B28" s="56"/>
      <c r="C28" s="56"/>
      <c r="D28" s="1"/>
      <c r="E28" s="1"/>
      <c r="G28" s="4" t="s">
        <v>110</v>
      </c>
      <c r="H28" s="4" t="s">
        <v>111</v>
      </c>
      <c r="I28" s="4">
        <f>I18*I20+I22-I23</f>
        <v>4624.2047862847221</v>
      </c>
      <c r="J28" s="4" t="s">
        <v>75</v>
      </c>
      <c r="K28" s="1"/>
      <c r="M28" s="4" t="s">
        <v>112</v>
      </c>
      <c r="N28" s="4" t="s">
        <v>113</v>
      </c>
      <c r="O28" s="4">
        <f>((O22+(O25*O24*(O63^2)))*O16-(O13*P63)*(O24))/(2*O16)</f>
        <v>364.77173368966015</v>
      </c>
      <c r="P28" s="4" t="s">
        <v>75</v>
      </c>
      <c r="Q28" s="61"/>
      <c r="R28" s="1"/>
    </row>
    <row r="29" spans="1:22" x14ac:dyDescent="0.25">
      <c r="A29" s="4" t="s">
        <v>114</v>
      </c>
      <c r="B29" s="4" t="s">
        <v>115</v>
      </c>
      <c r="C29" s="4">
        <f>C20*(C22/C21)*C24*(C23/D23)</f>
        <v>322.07829787234044</v>
      </c>
      <c r="D29" s="4" t="s">
        <v>70</v>
      </c>
      <c r="E29" s="1"/>
      <c r="G29" s="4" t="s">
        <v>116</v>
      </c>
      <c r="H29" s="4" t="s">
        <v>117</v>
      </c>
      <c r="I29" s="4">
        <f>I28*I26</f>
        <v>4161.7843076562503</v>
      </c>
      <c r="J29" s="4" t="s">
        <v>75</v>
      </c>
      <c r="K29" s="1"/>
      <c r="M29" s="4" t="s">
        <v>118</v>
      </c>
      <c r="N29" s="4" t="s">
        <v>119</v>
      </c>
      <c r="O29" s="4">
        <f>((O22+(O25*O24*(O63^2)))*O16+(O13*P63)*(O24))/(2*O16)</f>
        <v>1155.2033742387921</v>
      </c>
      <c r="P29" s="4" t="s">
        <v>75</v>
      </c>
      <c r="Q29" s="61"/>
      <c r="R29" s="1"/>
    </row>
    <row r="30" spans="1:22" x14ac:dyDescent="0.25">
      <c r="A30" s="4" t="s">
        <v>120</v>
      </c>
      <c r="B30" s="4" t="s">
        <v>121</v>
      </c>
      <c r="C30" s="4">
        <f>C29/C18</f>
        <v>1261.7162137044716</v>
      </c>
      <c r="D30" s="4" t="s">
        <v>75</v>
      </c>
      <c r="E30" s="1"/>
      <c r="G30" s="1" t="s">
        <v>122</v>
      </c>
      <c r="H30" s="1"/>
      <c r="I30" s="1"/>
      <c r="J30" s="1"/>
      <c r="K30" s="1"/>
      <c r="M30" s="61" t="s">
        <v>123</v>
      </c>
      <c r="N30" s="61"/>
      <c r="O30" s="4">
        <f>SUM(O26:O29)*I26</f>
        <v>2696.8448231478906</v>
      </c>
      <c r="P30" s="4" t="s">
        <v>75</v>
      </c>
      <c r="Q30" s="61"/>
      <c r="R30" s="1"/>
    </row>
    <row r="31" spans="1:22" x14ac:dyDescent="0.25">
      <c r="A31" s="56" t="s">
        <v>124</v>
      </c>
      <c r="B31" s="56"/>
      <c r="C31" s="56"/>
      <c r="D31" s="56"/>
      <c r="E31" s="1"/>
      <c r="G31" s="4" t="s">
        <v>125</v>
      </c>
      <c r="H31" s="4" t="s">
        <v>126</v>
      </c>
      <c r="I31" s="4">
        <f>I29/I18</f>
        <v>13.714215173599099</v>
      </c>
      <c r="J31" s="4" t="s">
        <v>57</v>
      </c>
      <c r="K31" s="1"/>
      <c r="M31" s="6" t="s">
        <v>103</v>
      </c>
      <c r="N31" s="6" t="s">
        <v>104</v>
      </c>
      <c r="O31" s="6">
        <f>((O21+(O25*O23*(O112^2)))*O16-(O13*P112)*(O23))/(2*O16)</f>
        <v>519.80197812393715</v>
      </c>
      <c r="P31" s="6" t="s">
        <v>75</v>
      </c>
      <c r="Q31" s="57" t="s">
        <v>127</v>
      </c>
      <c r="R31" s="1"/>
    </row>
    <row r="32" spans="1:22" x14ac:dyDescent="0.25">
      <c r="A32" s="4" t="s">
        <v>128</v>
      </c>
      <c r="B32" s="4" t="s">
        <v>129</v>
      </c>
      <c r="C32" s="4">
        <f>C16*C17*C25</f>
        <v>2679.2924849999999</v>
      </c>
      <c r="D32" s="4" t="s">
        <v>75</v>
      </c>
      <c r="E32" s="1"/>
      <c r="G32" s="1" t="s">
        <v>130</v>
      </c>
      <c r="H32" s="1" t="s">
        <v>131</v>
      </c>
      <c r="I32" s="1">
        <f>I31/I20</f>
        <v>1.397983198124271</v>
      </c>
      <c r="J32" s="1" t="s">
        <v>56</v>
      </c>
      <c r="K32" s="1"/>
      <c r="M32" s="6" t="s">
        <v>107</v>
      </c>
      <c r="N32" s="6" t="s">
        <v>108</v>
      </c>
      <c r="O32" s="19">
        <f>((O21+(O25*O23*(O112^2)))*O16+(O13*P112)*(O23))/(2*O16)</f>
        <v>1661.6556590547873</v>
      </c>
      <c r="P32" s="6" t="s">
        <v>75</v>
      </c>
      <c r="Q32" s="58"/>
      <c r="R32" s="1"/>
    </row>
    <row r="33" spans="1:18" x14ac:dyDescent="0.25">
      <c r="A33" s="56" t="s">
        <v>132</v>
      </c>
      <c r="B33" s="56"/>
      <c r="C33" s="56"/>
      <c r="D33" s="1"/>
      <c r="E33" s="1"/>
      <c r="G33" s="1" t="s">
        <v>133</v>
      </c>
      <c r="H33" s="1" t="s">
        <v>134</v>
      </c>
      <c r="I33" s="1">
        <f>(105/3.6)/I31</f>
        <v>2.1267470502296555</v>
      </c>
      <c r="J33" s="1" t="s">
        <v>135</v>
      </c>
      <c r="K33" s="1"/>
      <c r="M33" s="6" t="s">
        <v>112</v>
      </c>
      <c r="N33" s="6" t="s">
        <v>113</v>
      </c>
      <c r="O33" s="6">
        <f>((O22+(O25*O24*(O112^2)))*O16-(O13*P112)*(O24))/(2*O16)</f>
        <v>535.1004578193623</v>
      </c>
      <c r="P33" s="6" t="s">
        <v>75</v>
      </c>
      <c r="Q33" s="58"/>
      <c r="R33" s="1"/>
    </row>
    <row r="34" spans="1:18" x14ac:dyDescent="0.25">
      <c r="A34" s="1" t="s">
        <v>136</v>
      </c>
      <c r="B34" s="1"/>
      <c r="C34" s="1"/>
      <c r="D34" s="1"/>
      <c r="E34" s="1"/>
      <c r="G34" s="1" t="s">
        <v>137</v>
      </c>
      <c r="H34" s="1" t="s">
        <v>138</v>
      </c>
      <c r="I34" s="1">
        <f>((-105/3.6)^2)/(2*I31)</f>
        <v>31.015061149182472</v>
      </c>
      <c r="J34" s="1" t="s">
        <v>8</v>
      </c>
      <c r="K34" s="1"/>
      <c r="M34" s="6" t="s">
        <v>118</v>
      </c>
      <c r="N34" s="6" t="s">
        <v>119</v>
      </c>
      <c r="O34" s="19">
        <f>((O22+(O25*O24*(O112^2)))*O16+(O13*P112)*(O24))/(2*O16)</f>
        <v>1710.560446706012</v>
      </c>
      <c r="P34" s="6" t="s">
        <v>75</v>
      </c>
      <c r="Q34" s="58"/>
      <c r="R34" s="1"/>
    </row>
    <row r="35" spans="1:18" x14ac:dyDescent="0.25">
      <c r="A35" s="4" t="s">
        <v>139</v>
      </c>
      <c r="B35" s="4" t="s">
        <v>140</v>
      </c>
      <c r="C35" s="4">
        <f>C30/C16</f>
        <v>4.1576992855995636</v>
      </c>
      <c r="D35" s="4" t="s">
        <v>57</v>
      </c>
      <c r="E35" s="1"/>
      <c r="G35" s="1"/>
      <c r="H35" s="1"/>
      <c r="I35" s="1"/>
      <c r="J35" s="1"/>
      <c r="K35" s="1"/>
      <c r="M35" s="58" t="s">
        <v>123</v>
      </c>
      <c r="N35" s="58"/>
      <c r="O35" s="6">
        <f>SUM(O31:O34)*I26</f>
        <v>3984.4066875336889</v>
      </c>
      <c r="P35" s="6" t="s">
        <v>75</v>
      </c>
      <c r="Q35" s="58"/>
      <c r="R35" s="1"/>
    </row>
    <row r="36" spans="1:18" x14ac:dyDescent="0.25">
      <c r="A36" s="59" t="s">
        <v>141</v>
      </c>
      <c r="B36" s="59"/>
      <c r="C36" s="59"/>
      <c r="D36" s="59"/>
      <c r="E36" s="1"/>
      <c r="G36" s="56" t="s">
        <v>142</v>
      </c>
      <c r="H36" s="56"/>
      <c r="I36" s="56"/>
      <c r="J36" s="56"/>
      <c r="K36" s="56"/>
      <c r="M36" s="1"/>
      <c r="N36" s="1">
        <f>O34+O32</f>
        <v>3372.2161057607991</v>
      </c>
      <c r="O36" s="1">
        <f>O31+O33</f>
        <v>1054.9024359432995</v>
      </c>
      <c r="P36" s="53">
        <f>O36/N36</f>
        <v>0.3128217180806403</v>
      </c>
      <c r="Q36" s="52">
        <f>1-P36</f>
        <v>0.6871782819193597</v>
      </c>
      <c r="R36" s="52" t="s">
        <v>949</v>
      </c>
    </row>
    <row r="37" spans="1:18" x14ac:dyDescent="0.25">
      <c r="M37" s="38" t="s">
        <v>143</v>
      </c>
      <c r="N37" s="38" t="s">
        <v>144</v>
      </c>
      <c r="O37" s="38">
        <f>P112*P36</f>
        <v>1246.4089455262813</v>
      </c>
      <c r="P37" s="38" t="s">
        <v>75</v>
      </c>
      <c r="Q37" s="60" t="s">
        <v>145</v>
      </c>
      <c r="R37" s="1"/>
    </row>
    <row r="38" spans="1:18" x14ac:dyDescent="0.25">
      <c r="A38" s="1"/>
      <c r="B38" s="1"/>
      <c r="C38" s="1"/>
      <c r="D38" s="1"/>
      <c r="E38" s="1"/>
      <c r="G38" s="1"/>
      <c r="H38" s="1"/>
      <c r="I38" s="1"/>
      <c r="J38" s="1"/>
      <c r="K38" s="1"/>
      <c r="M38" s="38" t="s">
        <v>146</v>
      </c>
      <c r="N38" s="38" t="s">
        <v>147</v>
      </c>
      <c r="O38" s="38">
        <f>P112*Q36</f>
        <v>2737.9977420074069</v>
      </c>
      <c r="P38" s="38" t="s">
        <v>75</v>
      </c>
      <c r="Q38" s="60"/>
      <c r="R38" s="1"/>
    </row>
    <row r="39" spans="1:18" x14ac:dyDescent="0.25">
      <c r="A39" s="56" t="s">
        <v>148</v>
      </c>
      <c r="B39" s="56"/>
      <c r="C39" s="56"/>
      <c r="D39" s="56"/>
      <c r="E39" s="56"/>
      <c r="G39" s="56" t="s">
        <v>149</v>
      </c>
      <c r="H39" s="56"/>
      <c r="I39" s="56"/>
      <c r="J39" s="56"/>
      <c r="K39" s="56"/>
      <c r="M39" s="18" t="s">
        <v>150</v>
      </c>
      <c r="N39" s="18" t="s">
        <v>151</v>
      </c>
      <c r="O39" s="18">
        <f>O37*(O23)</f>
        <v>614.16659338414433</v>
      </c>
      <c r="P39" s="18" t="s">
        <v>75</v>
      </c>
      <c r="Q39" s="1"/>
      <c r="R39" s="1"/>
    </row>
    <row r="40" spans="1:18" x14ac:dyDescent="0.25">
      <c r="A40" s="1" t="s">
        <v>152</v>
      </c>
      <c r="B40" s="1"/>
      <c r="C40" s="1"/>
      <c r="D40" s="1"/>
      <c r="E40" s="1"/>
      <c r="G40" s="1"/>
      <c r="H40" s="1"/>
      <c r="I40" s="1"/>
      <c r="J40" s="1"/>
      <c r="K40" s="1"/>
      <c r="M40" s="18" t="s">
        <v>153</v>
      </c>
      <c r="N40" s="18" t="s">
        <v>154</v>
      </c>
      <c r="O40" s="18">
        <f>O37*O24</f>
        <v>632.24235214213707</v>
      </c>
      <c r="P40" s="18" t="s">
        <v>75</v>
      </c>
      <c r="Q40" s="1"/>
      <c r="R40" s="1"/>
    </row>
    <row r="41" spans="1:18" x14ac:dyDescent="0.25">
      <c r="A41" s="1"/>
      <c r="B41" s="1"/>
      <c r="C41" s="1"/>
      <c r="D41" s="1"/>
      <c r="E41" s="1"/>
      <c r="G41" s="1" t="s">
        <v>46</v>
      </c>
      <c r="H41" s="1" t="s">
        <v>14</v>
      </c>
      <c r="I41" s="1">
        <f>U16</f>
        <v>0.28918968513667148</v>
      </c>
      <c r="J41" s="1" t="s">
        <v>8</v>
      </c>
      <c r="K41" s="1"/>
      <c r="M41" s="6" t="s">
        <v>155</v>
      </c>
      <c r="N41" s="6" t="s">
        <v>156</v>
      </c>
      <c r="O41" s="19">
        <f>O38*O23</f>
        <v>1349.1452800767074</v>
      </c>
      <c r="P41" s="6" t="s">
        <v>75</v>
      </c>
      <c r="Q41" s="57" t="s">
        <v>127</v>
      </c>
      <c r="R41" s="1"/>
    </row>
    <row r="42" spans="1:18" x14ac:dyDescent="0.25">
      <c r="A42" s="1" t="s">
        <v>46</v>
      </c>
      <c r="B42" s="1" t="s">
        <v>14</v>
      </c>
      <c r="C42" s="1">
        <f>U16</f>
        <v>0.28918968513667148</v>
      </c>
      <c r="D42" s="1" t="s">
        <v>8</v>
      </c>
      <c r="E42" s="1"/>
      <c r="G42" s="1" t="s">
        <v>48</v>
      </c>
      <c r="H42" s="1" t="s">
        <v>12</v>
      </c>
      <c r="I42" s="1">
        <f>U15</f>
        <v>0.8131362504901718</v>
      </c>
      <c r="J42" s="1" t="s">
        <v>8</v>
      </c>
      <c r="K42" s="1"/>
      <c r="M42" s="6" t="s">
        <v>157</v>
      </c>
      <c r="N42" s="6" t="s">
        <v>158</v>
      </c>
      <c r="O42" s="19">
        <f>O38*O24</f>
        <v>1388.8524619306997</v>
      </c>
      <c r="P42" s="6" t="s">
        <v>75</v>
      </c>
      <c r="Q42" s="57"/>
      <c r="R42" s="1"/>
    </row>
    <row r="43" spans="1:18" x14ac:dyDescent="0.25">
      <c r="A43" s="1" t="s">
        <v>48</v>
      </c>
      <c r="B43" s="1" t="s">
        <v>12</v>
      </c>
      <c r="C43" s="1">
        <f>U15</f>
        <v>0.8131362504901718</v>
      </c>
      <c r="D43" s="1" t="s">
        <v>8</v>
      </c>
      <c r="E43" s="1"/>
      <c r="G43" s="1" t="s">
        <v>49</v>
      </c>
      <c r="H43" s="1" t="s">
        <v>10</v>
      </c>
      <c r="I43" s="1">
        <f>U14</f>
        <v>0.78988874950982813</v>
      </c>
      <c r="J43" s="1" t="s">
        <v>8</v>
      </c>
      <c r="K43" s="1"/>
      <c r="M43" s="6" t="s">
        <v>159</v>
      </c>
      <c r="N43" s="6" t="s">
        <v>160</v>
      </c>
      <c r="O43" s="19">
        <f>O32*I26</f>
        <v>1495.4900931493087</v>
      </c>
      <c r="P43" s="6" t="s">
        <v>75</v>
      </c>
      <c r="Q43" s="57" t="s">
        <v>127</v>
      </c>
      <c r="R43" s="1"/>
    </row>
    <row r="44" spans="1:18" x14ac:dyDescent="0.25">
      <c r="A44" s="1" t="s">
        <v>49</v>
      </c>
      <c r="B44" s="1" t="s">
        <v>10</v>
      </c>
      <c r="C44" s="1">
        <f>U14</f>
        <v>0.78988874950982813</v>
      </c>
      <c r="D44" s="1" t="s">
        <v>8</v>
      </c>
      <c r="E44" s="1"/>
      <c r="G44" s="1" t="s">
        <v>51</v>
      </c>
      <c r="H44" s="1" t="s">
        <v>52</v>
      </c>
      <c r="I44" s="1">
        <f>U18</f>
        <v>0.81988874950982815</v>
      </c>
      <c r="J44" s="1" t="s">
        <v>8</v>
      </c>
      <c r="K44" s="1"/>
      <c r="M44" s="6" t="s">
        <v>161</v>
      </c>
      <c r="N44" s="6" t="s">
        <v>162</v>
      </c>
      <c r="O44" s="19">
        <f>O34*I26</f>
        <v>1539.504402035411</v>
      </c>
      <c r="P44" s="6" t="s">
        <v>75</v>
      </c>
      <c r="Q44" s="57"/>
      <c r="R44" s="1"/>
    </row>
    <row r="45" spans="1:18" x14ac:dyDescent="0.25">
      <c r="A45" s="1" t="s">
        <v>50</v>
      </c>
      <c r="B45" s="1" t="s">
        <v>8</v>
      </c>
      <c r="C45" s="1">
        <f>U13</f>
        <v>303.46499999999997</v>
      </c>
      <c r="D45" s="1" t="s">
        <v>47</v>
      </c>
      <c r="E45" s="1"/>
      <c r="G45" s="1" t="s">
        <v>58</v>
      </c>
      <c r="H45" s="1" t="s">
        <v>59</v>
      </c>
      <c r="I45" s="1">
        <f>U17</f>
        <v>0.86313625049017184</v>
      </c>
      <c r="J45" s="1" t="s">
        <v>8</v>
      </c>
      <c r="K45" s="1"/>
      <c r="M45" s="6" t="s">
        <v>163</v>
      </c>
      <c r="N45" s="6" t="s">
        <v>164</v>
      </c>
      <c r="O45" s="19">
        <f>O31*O60</f>
        <v>467.82178031154342</v>
      </c>
      <c r="P45" s="6" t="s">
        <v>75</v>
      </c>
      <c r="Q45" s="57" t="s">
        <v>127</v>
      </c>
      <c r="R45" s="1"/>
    </row>
    <row r="46" spans="1:18" x14ac:dyDescent="0.25">
      <c r="A46" s="1" t="s">
        <v>55</v>
      </c>
      <c r="B46" s="1" t="s">
        <v>56</v>
      </c>
      <c r="C46" s="1">
        <v>9.81</v>
      </c>
      <c r="D46" s="1" t="s">
        <v>57</v>
      </c>
      <c r="E46" s="1"/>
      <c r="G46" s="1" t="s">
        <v>50</v>
      </c>
      <c r="H46" s="1" t="s">
        <v>8</v>
      </c>
      <c r="I46" s="1">
        <f>U13</f>
        <v>303.46499999999997</v>
      </c>
      <c r="J46" s="1" t="s">
        <v>47</v>
      </c>
      <c r="K46" s="1"/>
      <c r="M46" s="6" t="s">
        <v>165</v>
      </c>
      <c r="N46" s="6" t="s">
        <v>166</v>
      </c>
      <c r="O46" s="19">
        <f>O60*O33</f>
        <v>481.59041203742606</v>
      </c>
      <c r="P46" s="6" t="s">
        <v>75</v>
      </c>
      <c r="Q46" s="57"/>
      <c r="R46" s="1"/>
    </row>
    <row r="47" spans="1:18" x14ac:dyDescent="0.25">
      <c r="A47" s="4" t="s">
        <v>167</v>
      </c>
      <c r="B47" s="4" t="s">
        <v>168</v>
      </c>
      <c r="C47" s="4">
        <f>(1/2)*C45*C46*(((C44)/(C44+C43))-((C42/(C44+C43))*(C35/C46)))</f>
        <v>619.64626164491222</v>
      </c>
      <c r="D47" s="4" t="s">
        <v>75</v>
      </c>
      <c r="E47" s="1"/>
      <c r="G47" s="1" t="s">
        <v>55</v>
      </c>
      <c r="H47" s="1" t="s">
        <v>56</v>
      </c>
      <c r="I47" s="1">
        <v>9.81</v>
      </c>
      <c r="J47" s="1" t="s">
        <v>57</v>
      </c>
      <c r="K47" s="1"/>
      <c r="M47" s="56" t="s">
        <v>169</v>
      </c>
      <c r="N47" s="56"/>
      <c r="O47" s="56"/>
      <c r="P47" s="56"/>
      <c r="Q47" s="56"/>
      <c r="R47" s="56"/>
    </row>
    <row r="48" spans="1:18" x14ac:dyDescent="0.25">
      <c r="A48" s="4" t="s">
        <v>170</v>
      </c>
      <c r="B48" s="4" t="s">
        <v>171</v>
      </c>
      <c r="C48" s="4">
        <f>(1/2)*C45*C46*(((C43)/(C44+C43))+((C42/(C44+C43))*(C35/C46)))</f>
        <v>868.84956335508798</v>
      </c>
      <c r="D48" s="4" t="s">
        <v>75</v>
      </c>
      <c r="E48" s="1"/>
      <c r="G48" s="1" t="s">
        <v>125</v>
      </c>
      <c r="H48" s="1" t="s">
        <v>126</v>
      </c>
      <c r="I48" s="1">
        <f>I31</f>
        <v>13.714215173599099</v>
      </c>
      <c r="J48" s="1" t="s">
        <v>57</v>
      </c>
      <c r="K48" s="1"/>
    </row>
    <row r="49" spans="1:18" ht="47.25" x14ac:dyDescent="0.25">
      <c r="A49" s="4" t="s">
        <v>172</v>
      </c>
      <c r="B49" s="4" t="s">
        <v>173</v>
      </c>
      <c r="C49" s="4">
        <f>C47*2</f>
        <v>1239.2925232898244</v>
      </c>
      <c r="D49" s="4" t="s">
        <v>75</v>
      </c>
      <c r="E49" s="1"/>
      <c r="G49" s="1" t="s">
        <v>174</v>
      </c>
      <c r="H49" s="1" t="s">
        <v>175</v>
      </c>
      <c r="I49" s="1">
        <v>3.0739999999999998</v>
      </c>
      <c r="J49" s="59" t="s">
        <v>176</v>
      </c>
      <c r="K49" s="56"/>
      <c r="M49" s="6" t="s">
        <v>177</v>
      </c>
      <c r="N49" s="63">
        <f>SQRT((O43^2)+(O41^2)+(O32^2))</f>
        <v>2611.0884961505585</v>
      </c>
      <c r="O49" s="63"/>
      <c r="P49" s="63"/>
      <c r="Q49" s="63"/>
      <c r="R49" s="17" t="s">
        <v>127</v>
      </c>
    </row>
    <row r="50" spans="1:18" x14ac:dyDescent="0.25">
      <c r="A50" s="4" t="s">
        <v>178</v>
      </c>
      <c r="B50" s="4" t="s">
        <v>179</v>
      </c>
      <c r="C50" s="4">
        <f>C48*2</f>
        <v>1737.699126710176</v>
      </c>
      <c r="D50" s="4" t="s">
        <v>75</v>
      </c>
      <c r="E50" s="1"/>
      <c r="G50" s="1" t="s">
        <v>180</v>
      </c>
      <c r="H50" s="1" t="s">
        <v>181</v>
      </c>
      <c r="I50" s="1">
        <v>3.0739999999999998</v>
      </c>
      <c r="J50" s="56"/>
      <c r="K50" s="56"/>
      <c r="M50" s="56" t="s">
        <v>182</v>
      </c>
      <c r="N50" s="56"/>
      <c r="O50" s="56"/>
      <c r="P50" s="56"/>
      <c r="Q50" s="56"/>
      <c r="R50" s="56"/>
    </row>
    <row r="51" spans="1:18" x14ac:dyDescent="0.25">
      <c r="A51" s="1" t="s">
        <v>183</v>
      </c>
      <c r="B51" s="1" t="s">
        <v>129</v>
      </c>
      <c r="C51" s="1">
        <f>(C50+C49)*0.7</f>
        <v>2083.894155</v>
      </c>
      <c r="D51" s="1" t="s">
        <v>75</v>
      </c>
      <c r="E51" s="1"/>
      <c r="G51" s="1" t="s">
        <v>184</v>
      </c>
      <c r="H51" s="1" t="s">
        <v>185</v>
      </c>
      <c r="I51" s="1">
        <v>0.28999999999999998</v>
      </c>
      <c r="J51" s="1"/>
      <c r="K51" s="1"/>
    </row>
    <row r="52" spans="1:18" ht="47.25" x14ac:dyDescent="0.25">
      <c r="A52" s="1"/>
      <c r="B52" s="1"/>
      <c r="C52" s="1"/>
      <c r="D52" s="1"/>
      <c r="E52" s="1"/>
      <c r="G52" s="1" t="s">
        <v>186</v>
      </c>
      <c r="H52" s="1" t="s">
        <v>187</v>
      </c>
      <c r="I52" s="1">
        <v>0.53120000000000001</v>
      </c>
      <c r="J52" s="1" t="s">
        <v>188</v>
      </c>
      <c r="K52" s="1"/>
      <c r="M52" s="6" t="s">
        <v>189</v>
      </c>
      <c r="N52" s="63">
        <f>SQRT((O44^2)+(O42^2)+(O34^2))</f>
        <v>2687.936384428107</v>
      </c>
      <c r="O52" s="63"/>
      <c r="P52" s="63"/>
      <c r="Q52" s="63"/>
      <c r="R52" s="17" t="s">
        <v>127</v>
      </c>
    </row>
    <row r="53" spans="1:18" x14ac:dyDescent="0.25">
      <c r="G53" s="1" t="s">
        <v>190</v>
      </c>
      <c r="H53" s="1" t="s">
        <v>191</v>
      </c>
      <c r="I53" s="1">
        <v>0.64249999999999996</v>
      </c>
      <c r="J53" s="1" t="s">
        <v>188</v>
      </c>
      <c r="K53" s="1"/>
    </row>
    <row r="54" spans="1:18" x14ac:dyDescent="0.25">
      <c r="A54" s="56" t="s">
        <v>192</v>
      </c>
      <c r="B54" s="56"/>
      <c r="C54" s="56"/>
      <c r="D54" s="56"/>
      <c r="E54" s="56"/>
      <c r="G54" s="1" t="s">
        <v>193</v>
      </c>
      <c r="H54" s="1" t="s">
        <v>194</v>
      </c>
      <c r="I54" s="1">
        <v>1.5411999999999999</v>
      </c>
      <c r="J54" s="1" t="s">
        <v>188</v>
      </c>
      <c r="K54" s="1"/>
      <c r="M54" s="56" t="s">
        <v>195</v>
      </c>
      <c r="N54" s="56"/>
      <c r="O54" s="56"/>
      <c r="P54" s="56"/>
      <c r="Q54" s="56"/>
      <c r="R54" s="56"/>
    </row>
    <row r="55" spans="1:18" x14ac:dyDescent="0.25">
      <c r="A55" s="1"/>
      <c r="B55" s="1"/>
      <c r="C55" s="1"/>
      <c r="D55" s="1"/>
      <c r="E55" s="1"/>
      <c r="G55" s="1" t="s">
        <v>196</v>
      </c>
      <c r="H55" s="1" t="s">
        <v>197</v>
      </c>
      <c r="I55" s="1">
        <v>1.2250000000000001</v>
      </c>
      <c r="J55" s="1" t="s">
        <v>198</v>
      </c>
      <c r="K55" s="1"/>
      <c r="M55" s="1" t="s">
        <v>199</v>
      </c>
      <c r="N55" s="1" t="s">
        <v>200</v>
      </c>
      <c r="O55" s="1">
        <v>2.34</v>
      </c>
      <c r="P55" s="1"/>
      <c r="Q55" s="1" t="s">
        <v>201</v>
      </c>
      <c r="R55" s="1"/>
    </row>
    <row r="56" spans="1:18" x14ac:dyDescent="0.25">
      <c r="A56" s="1" t="s">
        <v>46</v>
      </c>
      <c r="B56" s="1" t="s">
        <v>14</v>
      </c>
      <c r="C56" s="1">
        <f>C42</f>
        <v>0.28918968513667148</v>
      </c>
      <c r="D56" s="1" t="s">
        <v>8</v>
      </c>
      <c r="E56" s="1"/>
      <c r="G56" s="1" t="s">
        <v>202</v>
      </c>
      <c r="H56" s="1" t="s">
        <v>203</v>
      </c>
      <c r="I56" s="1">
        <f>(105/3.6)</f>
        <v>29.166666666666664</v>
      </c>
      <c r="J56" s="1" t="s">
        <v>204</v>
      </c>
      <c r="K56" s="1"/>
      <c r="M56" s="1" t="s">
        <v>193</v>
      </c>
      <c r="N56" s="1" t="s">
        <v>194</v>
      </c>
      <c r="O56" s="1">
        <v>1.5411999999999999</v>
      </c>
      <c r="P56" s="1" t="s">
        <v>188</v>
      </c>
      <c r="Q56" s="1"/>
      <c r="R56" s="1"/>
    </row>
    <row r="57" spans="1:18" x14ac:dyDescent="0.25">
      <c r="A57" s="1" t="s">
        <v>48</v>
      </c>
      <c r="B57" s="1" t="s">
        <v>12</v>
      </c>
      <c r="C57" s="1">
        <f>C43</f>
        <v>0.8131362504901718</v>
      </c>
      <c r="D57" s="1" t="s">
        <v>8</v>
      </c>
      <c r="E57" s="1"/>
      <c r="G57" s="1" t="s">
        <v>205</v>
      </c>
      <c r="H57" s="1" t="s">
        <v>206</v>
      </c>
      <c r="I57" s="1">
        <f>((0.5)*$I$55*I52*I49*($I$56^2))</f>
        <v>850.82769722222224</v>
      </c>
      <c r="J57" s="1" t="s">
        <v>75</v>
      </c>
      <c r="K57" s="1" t="s">
        <v>207</v>
      </c>
      <c r="M57" s="1" t="s">
        <v>196</v>
      </c>
      <c r="N57" s="1" t="s">
        <v>197</v>
      </c>
      <c r="O57" s="1">
        <v>1.2250000000000001</v>
      </c>
      <c r="P57" s="1" t="s">
        <v>198</v>
      </c>
      <c r="Q57" s="1"/>
      <c r="R57" s="1"/>
    </row>
    <row r="58" spans="1:18" x14ac:dyDescent="0.25">
      <c r="A58" s="1" t="s">
        <v>49</v>
      </c>
      <c r="B58" s="1" t="s">
        <v>10</v>
      </c>
      <c r="C58" s="1">
        <f>C44</f>
        <v>0.78988874950982813</v>
      </c>
      <c r="D58" s="1" t="s">
        <v>8</v>
      </c>
      <c r="E58" s="1"/>
      <c r="G58" s="1" t="s">
        <v>208</v>
      </c>
      <c r="H58" s="1" t="s">
        <v>209</v>
      </c>
      <c r="I58" s="1">
        <f>((0.5)*$I$55*I53*I50*($I$56^2))</f>
        <v>1029.0978830295137</v>
      </c>
      <c r="J58" s="1" t="s">
        <v>75</v>
      </c>
      <c r="K58" s="1" t="s">
        <v>207</v>
      </c>
      <c r="M58" s="1" t="s">
        <v>210</v>
      </c>
      <c r="N58" s="1" t="s">
        <v>211</v>
      </c>
      <c r="O58" s="1" t="s">
        <v>212</v>
      </c>
      <c r="P58" s="1" t="s">
        <v>75</v>
      </c>
      <c r="Q58" s="1"/>
      <c r="R58" s="1"/>
    </row>
    <row r="59" spans="1:18" x14ac:dyDescent="0.25">
      <c r="A59" s="1" t="s">
        <v>50</v>
      </c>
      <c r="B59" s="1" t="s">
        <v>8</v>
      </c>
      <c r="C59" s="1">
        <f>C45</f>
        <v>303.46499999999997</v>
      </c>
      <c r="D59" s="1" t="s">
        <v>47</v>
      </c>
      <c r="E59" s="1"/>
      <c r="G59" s="1" t="s">
        <v>213</v>
      </c>
      <c r="H59" s="1" t="s">
        <v>214</v>
      </c>
      <c r="I59" s="1">
        <f>0.5*I51*I54*I55*I56^2</f>
        <v>232.88241059027777</v>
      </c>
      <c r="J59" s="1" t="s">
        <v>75</v>
      </c>
      <c r="K59" s="1" t="s">
        <v>215</v>
      </c>
      <c r="M59" s="1" t="s">
        <v>50</v>
      </c>
      <c r="N59" s="1" t="s">
        <v>8</v>
      </c>
      <c r="O59" s="1">
        <f>O18</f>
        <v>303.46499999999997</v>
      </c>
      <c r="P59" s="1" t="s">
        <v>47</v>
      </c>
      <c r="Q59" s="1"/>
      <c r="R59" s="1"/>
    </row>
    <row r="60" spans="1:18" x14ac:dyDescent="0.25">
      <c r="A60" s="1" t="s">
        <v>55</v>
      </c>
      <c r="B60" s="1" t="s">
        <v>56</v>
      </c>
      <c r="C60" s="1">
        <v>9.81</v>
      </c>
      <c r="D60" s="1" t="s">
        <v>57</v>
      </c>
      <c r="E60" s="1"/>
      <c r="G60" s="1" t="s">
        <v>216</v>
      </c>
      <c r="H60" s="1" t="s">
        <v>217</v>
      </c>
      <c r="I60" s="1">
        <f>0.5*I55*I63*I53*(I56^2)</f>
        <v>262.41191125760884</v>
      </c>
      <c r="J60" s="1" t="s">
        <v>75</v>
      </c>
      <c r="K60" s="1"/>
      <c r="M60" s="1" t="s">
        <v>218</v>
      </c>
      <c r="N60" s="1"/>
      <c r="O60" s="1">
        <v>0.9</v>
      </c>
      <c r="P60" s="1"/>
      <c r="Q60" s="1"/>
      <c r="R60" s="1"/>
    </row>
    <row r="61" spans="1:18" x14ac:dyDescent="0.25">
      <c r="A61" s="4" t="s">
        <v>219</v>
      </c>
      <c r="B61" s="4" t="s">
        <v>220</v>
      </c>
      <c r="C61" s="4">
        <f>((-C25*C57))/(C56*C25-C57-C58)*C60</f>
        <v>5.3466073759394437</v>
      </c>
      <c r="D61" s="4" t="s">
        <v>57</v>
      </c>
      <c r="E61" s="1"/>
      <c r="G61" s="1" t="s">
        <v>221</v>
      </c>
      <c r="H61" s="1" t="s">
        <v>222</v>
      </c>
      <c r="I61" s="1">
        <f>0.5*I55*I63*I52*(I56^2)</f>
        <v>216.95440818683554</v>
      </c>
      <c r="J61" s="1" t="s">
        <v>75</v>
      </c>
      <c r="K61" s="1"/>
      <c r="M61" s="1" t="s">
        <v>223</v>
      </c>
      <c r="N61" s="1"/>
      <c r="O61" s="1">
        <v>9.81</v>
      </c>
      <c r="P61" s="1"/>
      <c r="Q61" s="1"/>
      <c r="R61" s="1"/>
    </row>
    <row r="62" spans="1:18" x14ac:dyDescent="0.25">
      <c r="A62" s="4" t="s">
        <v>224</v>
      </c>
      <c r="B62" s="4" t="s">
        <v>225</v>
      </c>
      <c r="C62" s="4">
        <f>(C58/C56)*C60</f>
        <v>26.794899787069916</v>
      </c>
      <c r="D62" s="4" t="s">
        <v>57</v>
      </c>
      <c r="E62" s="1"/>
      <c r="G62" s="1" t="s">
        <v>226</v>
      </c>
      <c r="H62" s="1" t="s">
        <v>227</v>
      </c>
      <c r="I62" s="1">
        <f>0.5*I19*I54*I56^2</f>
        <v>603.10152777777773</v>
      </c>
      <c r="J62" s="1" t="s">
        <v>75</v>
      </c>
      <c r="K62" s="1"/>
      <c r="M62" s="1"/>
      <c r="N62" s="5" t="s">
        <v>228</v>
      </c>
      <c r="O62" s="5" t="s">
        <v>229</v>
      </c>
      <c r="P62" s="5" t="s">
        <v>230</v>
      </c>
      <c r="Q62" s="5" t="s">
        <v>231</v>
      </c>
      <c r="R62" s="1"/>
    </row>
    <row r="63" spans="1:18" x14ac:dyDescent="0.25">
      <c r="A63" s="4" t="s">
        <v>167</v>
      </c>
      <c r="B63" s="4" t="s">
        <v>168</v>
      </c>
      <c r="C63" s="4">
        <f>(1/2)*C45*C46*(((C44)/(C44+C43))-((C42/(C44+C43))*(C61/C46)))</f>
        <v>587.10237647807594</v>
      </c>
      <c r="D63" s="4" t="s">
        <v>75</v>
      </c>
      <c r="E63" s="1"/>
      <c r="G63" s="1"/>
      <c r="H63" s="1" t="s">
        <v>232</v>
      </c>
      <c r="I63" s="1">
        <f>I19/(I53+I52)</f>
        <v>0.78384595722927497</v>
      </c>
      <c r="J63" s="1"/>
      <c r="K63" s="1"/>
      <c r="M63" s="1"/>
      <c r="N63" s="5">
        <v>1</v>
      </c>
      <c r="O63" s="5">
        <f>SQRT(($O$60*$O$61*N63))</f>
        <v>2.9713633234594523</v>
      </c>
      <c r="P63" s="5">
        <f t="shared" ref="P63:P94" si="0">($O$59*(O63^2))/N63</f>
        <v>2679.2924850000004</v>
      </c>
      <c r="Q63" s="5">
        <f>$O$59*$O$60*$O$61+((1/2)*$O$57*$O$55*$O$56*O63^2)*$O$60</f>
        <v>2696.8448231478901</v>
      </c>
      <c r="R63" s="1"/>
    </row>
    <row r="64" spans="1:18" x14ac:dyDescent="0.25">
      <c r="A64" s="4" t="s">
        <v>170</v>
      </c>
      <c r="B64" s="4" t="s">
        <v>171</v>
      </c>
      <c r="C64" s="20">
        <f>(1/2)*C45*C46*(((C43)/(C44+C43))+((C42/(C44+C43))*(C61/C46)))</f>
        <v>901.39344852192403</v>
      </c>
      <c r="D64" s="4" t="s">
        <v>75</v>
      </c>
      <c r="E64" s="1"/>
      <c r="G64" s="4" t="s">
        <v>167</v>
      </c>
      <c r="H64" s="4" t="s">
        <v>168</v>
      </c>
      <c r="I64" s="7">
        <f>(((I46*I47)-I59+I57+I58)*(I43)+(I46*I48*I41)+I58*I44-I57*I45)/((2*I42)+(2*I43))</f>
        <v>1548.7542998321446</v>
      </c>
      <c r="J64" s="4" t="s">
        <v>75</v>
      </c>
      <c r="K64" s="59" t="s">
        <v>233</v>
      </c>
      <c r="M64" s="1"/>
      <c r="N64" s="5">
        <f>N63+1</f>
        <v>2</v>
      </c>
      <c r="O64" s="5">
        <f t="shared" ref="O64:O95" si="1">SQRT(($O$60*$O$59*$O$61)/(($O$59/N64)-((1/2)*$O$57*$O$55*$O$56*$O$60)))</f>
        <v>4.2299445078286526</v>
      </c>
      <c r="P64" s="5">
        <f t="shared" si="0"/>
        <v>2714.8632168058211</v>
      </c>
      <c r="Q64" s="5">
        <f t="shared" ref="Q64:Q94" si="2">$O$59*$O$60*$O$61+((1/2)*$O$57*$O$55*$O$56*O64^2)*$O$60</f>
        <v>2714.8632168058216</v>
      </c>
      <c r="R64" s="1"/>
    </row>
    <row r="65" spans="1:18" x14ac:dyDescent="0.25">
      <c r="A65" s="4" t="s">
        <v>172</v>
      </c>
      <c r="B65" s="4" t="s">
        <v>173</v>
      </c>
      <c r="C65" s="4">
        <f>C63*2</f>
        <v>1174.2047529561519</v>
      </c>
      <c r="D65" s="4" t="s">
        <v>75</v>
      </c>
      <c r="E65" s="1"/>
      <c r="G65" s="4" t="s">
        <v>170</v>
      </c>
      <c r="H65" s="4" t="s">
        <v>171</v>
      </c>
      <c r="I65" s="4">
        <f>(((I46*I47)-I59+I57+I58)*(I42)-(I46*I48*I41)-I58*I44+I57*I45)/((2*I42)+(2*I43))</f>
        <v>763.26310999858435</v>
      </c>
      <c r="J65" s="4" t="s">
        <v>75</v>
      </c>
      <c r="K65" s="56"/>
      <c r="M65" s="1"/>
      <c r="N65" s="5">
        <f t="shared" ref="N65:N112" si="3">N64+1</f>
        <v>3</v>
      </c>
      <c r="O65" s="5">
        <f t="shared" si="1"/>
        <v>5.1978835589423067</v>
      </c>
      <c r="P65" s="5">
        <f t="shared" si="0"/>
        <v>2733.0051317159068</v>
      </c>
      <c r="Q65" s="5">
        <f t="shared" si="2"/>
        <v>2733.0051317159068</v>
      </c>
      <c r="R65" s="1"/>
    </row>
    <row r="66" spans="1:18" x14ac:dyDescent="0.25">
      <c r="A66" s="4" t="s">
        <v>178</v>
      </c>
      <c r="B66" s="4" t="s">
        <v>179</v>
      </c>
      <c r="C66" s="7">
        <f>C64*2</f>
        <v>1802.7868970438481</v>
      </c>
      <c r="D66" s="4" t="s">
        <v>75</v>
      </c>
      <c r="E66" s="1"/>
      <c r="G66" s="4" t="s">
        <v>172</v>
      </c>
      <c r="H66" s="4" t="s">
        <v>173</v>
      </c>
      <c r="I66" s="7">
        <f>I64*2</f>
        <v>3097.5085996642892</v>
      </c>
      <c r="J66" s="4" t="s">
        <v>75</v>
      </c>
      <c r="K66" s="56"/>
      <c r="M66" s="1"/>
      <c r="N66" s="5">
        <f>N65+1</f>
        <v>4</v>
      </c>
      <c r="O66" s="5">
        <f t="shared" si="1"/>
        <v>6.0221540179385329</v>
      </c>
      <c r="P66" s="5">
        <f t="shared" si="0"/>
        <v>2751.3911423554041</v>
      </c>
      <c r="Q66" s="5">
        <f t="shared" si="2"/>
        <v>2751.3911423554046</v>
      </c>
      <c r="R66" s="1"/>
    </row>
    <row r="67" spans="1:18" x14ac:dyDescent="0.25">
      <c r="A67" s="4" t="s">
        <v>234</v>
      </c>
      <c r="B67" s="4" t="s">
        <v>129</v>
      </c>
      <c r="C67" s="4">
        <f>(C65+C66)*0.7</f>
        <v>2083.894155</v>
      </c>
      <c r="D67" s="4" t="s">
        <v>75</v>
      </c>
      <c r="E67" s="1"/>
      <c r="G67" s="4" t="s">
        <v>178</v>
      </c>
      <c r="H67" s="4" t="s">
        <v>179</v>
      </c>
      <c r="I67" s="4">
        <f>I65*2</f>
        <v>1526.5262199971687</v>
      </c>
      <c r="J67" s="4" t="s">
        <v>75</v>
      </c>
      <c r="K67" s="56"/>
      <c r="M67" s="1"/>
      <c r="N67" s="5">
        <f t="shared" si="3"/>
        <v>5</v>
      </c>
      <c r="O67" s="5">
        <f t="shared" si="1"/>
        <v>6.7557354828699108</v>
      </c>
      <c r="P67" s="5">
        <f t="shared" si="0"/>
        <v>2770.0262084772062</v>
      </c>
      <c r="Q67" s="5">
        <f t="shared" si="2"/>
        <v>2770.0262084772066</v>
      </c>
      <c r="R67" s="1"/>
    </row>
    <row r="68" spans="1:18" x14ac:dyDescent="0.25">
      <c r="A68" s="4" t="s">
        <v>235</v>
      </c>
      <c r="B68" s="4" t="s">
        <v>236</v>
      </c>
      <c r="C68" s="4">
        <f>C64*2*C25</f>
        <v>1622.5082073394633</v>
      </c>
      <c r="D68" s="4" t="s">
        <v>75</v>
      </c>
      <c r="E68" s="1"/>
      <c r="G68" s="4" t="s">
        <v>237</v>
      </c>
      <c r="H68" s="4" t="s">
        <v>238</v>
      </c>
      <c r="I68" s="4">
        <f>SUM(I66:I67)</f>
        <v>4624.0348196614577</v>
      </c>
      <c r="J68" s="4" t="s">
        <v>75</v>
      </c>
      <c r="K68" s="56"/>
      <c r="M68" s="1"/>
      <c r="N68" s="5">
        <f t="shared" si="3"/>
        <v>6</v>
      </c>
      <c r="O68" s="5">
        <f t="shared" si="1"/>
        <v>7.42572724001755</v>
      </c>
      <c r="P68" s="5">
        <f t="shared" si="0"/>
        <v>2788.9154251193454</v>
      </c>
      <c r="Q68" s="5">
        <f t="shared" si="2"/>
        <v>2788.9154251193454</v>
      </c>
      <c r="R68" s="1"/>
    </row>
    <row r="69" spans="1:18" x14ac:dyDescent="0.25">
      <c r="A69" s="1"/>
      <c r="B69" s="1"/>
      <c r="C69" s="1"/>
      <c r="D69" s="1"/>
      <c r="E69" s="1"/>
      <c r="G69" s="4" t="s">
        <v>183</v>
      </c>
      <c r="H69" s="4" t="s">
        <v>129</v>
      </c>
      <c r="I69" s="4">
        <f>I68*I26</f>
        <v>4161.6313376953121</v>
      </c>
      <c r="J69" s="4" t="s">
        <v>75</v>
      </c>
      <c r="K69" s="56"/>
      <c r="M69" s="1"/>
      <c r="N69" s="5">
        <f t="shared" si="3"/>
        <v>7</v>
      </c>
      <c r="O69" s="5">
        <f t="shared" si="1"/>
        <v>8.0481899606174423</v>
      </c>
      <c r="P69" s="5">
        <f t="shared" si="0"/>
        <v>2808.0640272493115</v>
      </c>
      <c r="Q69" s="5">
        <f t="shared" si="2"/>
        <v>2808.0640272493115</v>
      </c>
      <c r="R69" s="1"/>
    </row>
    <row r="70" spans="1:18" x14ac:dyDescent="0.25">
      <c r="G70" s="10" t="s">
        <v>167</v>
      </c>
      <c r="H70" s="10" t="s">
        <v>168</v>
      </c>
      <c r="I70" s="20">
        <f>(((I46*I47-I59+I57+I58)*I43+((I46*I48+I60+I61)*I41)+I58*I45+I60*I24+I61*I25-I57*I45))/((2*I42)+2*I43)</f>
        <v>1688.7473664046902</v>
      </c>
      <c r="J70" s="10" t="s">
        <v>75</v>
      </c>
      <c r="K70" s="59" t="s">
        <v>239</v>
      </c>
      <c r="M70" s="1"/>
      <c r="N70" s="5">
        <f t="shared" si="3"/>
        <v>8</v>
      </c>
      <c r="O70" s="5">
        <f t="shared" si="1"/>
        <v>8.6335669205204102</v>
      </c>
      <c r="P70" s="5">
        <f t="shared" si="0"/>
        <v>2827.47739460102</v>
      </c>
      <c r="Q70" s="5">
        <f t="shared" si="2"/>
        <v>2827.47739460102</v>
      </c>
      <c r="R70" s="1"/>
    </row>
    <row r="71" spans="1:18" x14ac:dyDescent="0.25">
      <c r="A71" s="62" t="s">
        <v>240</v>
      </c>
      <c r="B71" s="62"/>
      <c r="C71" s="62"/>
      <c r="D71" s="62"/>
      <c r="E71" s="62"/>
      <c r="G71" s="10" t="s">
        <v>170</v>
      </c>
      <c r="H71" s="10" t="s">
        <v>171</v>
      </c>
      <c r="I71" s="10">
        <f>(((I46*I47)-I59+I57+I58)*I42+((((-I46*I48)-I60-I61))*I41)-I58*I44-I60*I24-I61*I25+I57*I45)/((2*I42)+(2*I43))</f>
        <v>637.15189545741282</v>
      </c>
      <c r="J71" s="10" t="s">
        <v>75</v>
      </c>
      <c r="K71" s="56"/>
      <c r="M71" s="1"/>
      <c r="N71" s="5">
        <f t="shared" si="3"/>
        <v>9</v>
      </c>
      <c r="O71" s="5">
        <f t="shared" si="1"/>
        <v>9.1890997841452347</v>
      </c>
      <c r="P71" s="5">
        <f t="shared" si="0"/>
        <v>2847.1610567138127</v>
      </c>
      <c r="Q71" s="5">
        <f t="shared" si="2"/>
        <v>2847.1610567138127</v>
      </c>
      <c r="R71" s="1"/>
    </row>
    <row r="72" spans="1:18" x14ac:dyDescent="0.25">
      <c r="A72" s="4" t="s">
        <v>172</v>
      </c>
      <c r="B72" s="4" t="s">
        <v>173</v>
      </c>
      <c r="C72" s="4">
        <f>C59*C60*((C44/(C43+C44)))</f>
        <v>1466.9092570107766</v>
      </c>
      <c r="D72" s="4" t="s">
        <v>75</v>
      </c>
      <c r="E72" s="1"/>
      <c r="G72" s="10" t="s">
        <v>172</v>
      </c>
      <c r="H72" s="10" t="s">
        <v>173</v>
      </c>
      <c r="I72" s="10">
        <f>I70*2</f>
        <v>3377.4947328093804</v>
      </c>
      <c r="J72" s="10" t="s">
        <v>75</v>
      </c>
      <c r="K72" s="56"/>
      <c r="M72" s="1"/>
      <c r="N72" s="5">
        <f t="shared" si="3"/>
        <v>10</v>
      </c>
      <c r="O72" s="5">
        <f t="shared" si="1"/>
        <v>9.7200541287472966</v>
      </c>
      <c r="P72" s="5">
        <f t="shared" si="0"/>
        <v>2867.1206981834125</v>
      </c>
      <c r="Q72" s="5">
        <f t="shared" si="2"/>
        <v>2867.1206981834134</v>
      </c>
      <c r="R72" s="1"/>
    </row>
    <row r="73" spans="1:18" x14ac:dyDescent="0.25">
      <c r="A73" s="4" t="s">
        <v>178</v>
      </c>
      <c r="B73" s="4" t="s">
        <v>179</v>
      </c>
      <c r="C73" s="7">
        <f>C59*C60*((C43/(C43+C44)))</f>
        <v>1510.0823929892235</v>
      </c>
      <c r="D73" s="4" t="s">
        <v>75</v>
      </c>
      <c r="E73" s="1"/>
      <c r="G73" s="10" t="s">
        <v>178</v>
      </c>
      <c r="H73" s="10" t="s">
        <v>179</v>
      </c>
      <c r="I73" s="10">
        <f>I71*2</f>
        <v>1274.3037909148256</v>
      </c>
      <c r="J73" s="10" t="s">
        <v>75</v>
      </c>
      <c r="K73" s="56"/>
      <c r="M73" s="1"/>
      <c r="N73" s="5">
        <f t="shared" si="3"/>
        <v>11</v>
      </c>
      <c r="O73" s="5">
        <f t="shared" si="1"/>
        <v>10.230401272459265</v>
      </c>
      <c r="P73" s="5">
        <f t="shared" si="0"/>
        <v>2887.3621641353066</v>
      </c>
      <c r="Q73" s="5">
        <f t="shared" si="2"/>
        <v>2887.362164135307</v>
      </c>
      <c r="R73" s="1"/>
    </row>
    <row r="74" spans="1:18" x14ac:dyDescent="0.25">
      <c r="A74" s="4" t="s">
        <v>172</v>
      </c>
      <c r="B74" s="4" t="s">
        <v>168</v>
      </c>
      <c r="C74" s="4">
        <f>C72/2</f>
        <v>733.45462850538831</v>
      </c>
      <c r="D74" s="4" t="s">
        <v>75</v>
      </c>
      <c r="E74" s="1"/>
      <c r="G74" s="10" t="s">
        <v>237</v>
      </c>
      <c r="H74" s="10" t="s">
        <v>238</v>
      </c>
      <c r="I74" s="10">
        <f>I73+I72</f>
        <v>4651.7985237242065</v>
      </c>
      <c r="J74" s="10" t="s">
        <v>75</v>
      </c>
      <c r="K74" s="56"/>
      <c r="M74" s="1"/>
      <c r="N74" s="5">
        <f t="shared" si="3"/>
        <v>12</v>
      </c>
      <c r="O74" s="5">
        <f t="shared" si="1"/>
        <v>10.723224907040061</v>
      </c>
      <c r="P74" s="5">
        <f t="shared" si="0"/>
        <v>2907.8914659316192</v>
      </c>
      <c r="Q74" s="5">
        <f t="shared" si="2"/>
        <v>2907.8914659316183</v>
      </c>
      <c r="R74" s="1"/>
    </row>
    <row r="75" spans="1:18" x14ac:dyDescent="0.25">
      <c r="A75" s="4" t="s">
        <v>178</v>
      </c>
      <c r="B75" s="4" t="s">
        <v>171</v>
      </c>
      <c r="C75" s="4">
        <f>C73/2</f>
        <v>755.04119649461177</v>
      </c>
      <c r="D75" s="4" t="s">
        <v>75</v>
      </c>
      <c r="E75" s="1"/>
      <c r="G75" s="10" t="s">
        <v>183</v>
      </c>
      <c r="H75" s="10" t="s">
        <v>129</v>
      </c>
      <c r="I75" s="10">
        <f>I74*I26</f>
        <v>4186.6186713517864</v>
      </c>
      <c r="J75" s="10" t="s">
        <v>75</v>
      </c>
      <c r="K75" s="56"/>
      <c r="M75" s="1"/>
      <c r="N75" s="5">
        <f t="shared" si="3"/>
        <v>13</v>
      </c>
      <c r="O75" s="5">
        <f t="shared" si="1"/>
        <v>11.200977157703784</v>
      </c>
      <c r="P75" s="5">
        <f t="shared" si="0"/>
        <v>2928.7147871231869</v>
      </c>
      <c r="Q75" s="5">
        <f t="shared" si="2"/>
        <v>2928.7147871231869</v>
      </c>
      <c r="R75" s="1"/>
    </row>
    <row r="76" spans="1:18" x14ac:dyDescent="0.25">
      <c r="A76" s="1"/>
      <c r="B76" s="1"/>
      <c r="C76" s="1"/>
      <c r="D76" s="1"/>
      <c r="E76" s="1"/>
      <c r="M76" s="1"/>
      <c r="N76" s="5">
        <f t="shared" si="3"/>
        <v>14</v>
      </c>
      <c r="O76" s="5">
        <f t="shared" si="1"/>
        <v>11.665647044220849</v>
      </c>
      <c r="P76" s="5">
        <f t="shared" si="0"/>
        <v>2949.8384896592261</v>
      </c>
      <c r="Q76" s="5">
        <f t="shared" si="2"/>
        <v>2949.8384896592256</v>
      </c>
      <c r="R76" s="1"/>
    </row>
    <row r="77" spans="1:18" x14ac:dyDescent="0.25">
      <c r="A77" s="1"/>
      <c r="B77" s="1"/>
      <c r="C77" s="1"/>
      <c r="D77" s="1"/>
      <c r="E77" s="1"/>
      <c r="M77" s="1"/>
      <c r="N77" s="5">
        <f t="shared" si="3"/>
        <v>15</v>
      </c>
      <c r="O77" s="5">
        <f t="shared" si="1"/>
        <v>12.118875382851627</v>
      </c>
      <c r="P77" s="5">
        <f t="shared" si="0"/>
        <v>2971.2691203676582</v>
      </c>
      <c r="Q77" s="5">
        <f t="shared" si="2"/>
        <v>2971.2691203676582</v>
      </c>
      <c r="R77" s="1"/>
    </row>
    <row r="78" spans="1:18" x14ac:dyDescent="0.25">
      <c r="A78" s="1"/>
      <c r="B78" s="1"/>
      <c r="C78" s="1"/>
      <c r="D78" s="1"/>
      <c r="E78" s="1"/>
      <c r="M78" s="1"/>
      <c r="N78" s="5">
        <f t="shared" si="3"/>
        <v>16</v>
      </c>
      <c r="O78" s="5">
        <f t="shared" si="1"/>
        <v>12.562035565925887</v>
      </c>
      <c r="P78" s="5">
        <f t="shared" si="0"/>
        <v>2993.0134177200025</v>
      </c>
      <c r="Q78" s="5">
        <f t="shared" si="2"/>
        <v>2993.013417720003</v>
      </c>
      <c r="R78" s="1"/>
    </row>
    <row r="79" spans="1:18" x14ac:dyDescent="0.25">
      <c r="A79" s="1"/>
      <c r="B79" s="1"/>
      <c r="C79" s="1"/>
      <c r="D79" s="1"/>
      <c r="E79" s="1"/>
      <c r="M79" s="1"/>
      <c r="N79" s="5">
        <f t="shared" si="3"/>
        <v>17</v>
      </c>
      <c r="O79" s="5">
        <f t="shared" si="1"/>
        <v>12.996291835509183</v>
      </c>
      <c r="P79" s="5">
        <f t="shared" si="0"/>
        <v>3015.0783188954847</v>
      </c>
      <c r="Q79" s="5">
        <f t="shared" si="2"/>
        <v>3015.0783188954842</v>
      </c>
      <c r="R79" s="1"/>
    </row>
    <row r="80" spans="1:18" x14ac:dyDescent="0.25">
      <c r="A80" s="1"/>
      <c r="B80" s="1"/>
      <c r="C80" s="1"/>
      <c r="D80" s="1"/>
      <c r="E80" s="1"/>
      <c r="M80" s="1"/>
      <c r="N80" s="5">
        <f t="shared" si="3"/>
        <v>18</v>
      </c>
      <c r="O80" s="5">
        <f t="shared" si="1"/>
        <v>13.42264226674404</v>
      </c>
      <c r="P80" s="5">
        <f t="shared" si="0"/>
        <v>3037.4709671599321</v>
      </c>
      <c r="Q80" s="5">
        <f t="shared" si="2"/>
        <v>3037.4709671599321</v>
      </c>
      <c r="R80" s="1"/>
    </row>
    <row r="81" spans="1:18" x14ac:dyDescent="0.25">
      <c r="A81" s="1"/>
      <c r="B81" s="1"/>
      <c r="C81" s="1"/>
      <c r="D81" s="1"/>
      <c r="E81" s="1"/>
      <c r="M81" s="1"/>
      <c r="N81" s="5">
        <f t="shared" si="3"/>
        <v>19</v>
      </c>
      <c r="O81" s="5">
        <f t="shared" si="1"/>
        <v>13.841951093569048</v>
      </c>
      <c r="P81" s="5">
        <f t="shared" si="0"/>
        <v>3060.1987195759561</v>
      </c>
      <c r="Q81" s="5">
        <f t="shared" si="2"/>
        <v>3060.1987195759561</v>
      </c>
      <c r="R81" s="1"/>
    </row>
    <row r="82" spans="1:18" x14ac:dyDescent="0.25">
      <c r="A82" s="1"/>
      <c r="B82" s="1"/>
      <c r="C82" s="1"/>
      <c r="D82" s="1"/>
      <c r="E82" s="1"/>
      <c r="M82" s="1"/>
      <c r="N82" s="5">
        <f t="shared" si="3"/>
        <v>20</v>
      </c>
      <c r="O82" s="5">
        <f t="shared" si="1"/>
        <v>14.254973437788324</v>
      </c>
      <c r="P82" s="5">
        <f t="shared" si="0"/>
        <v>3083.2691550618724</v>
      </c>
      <c r="Q82" s="5">
        <f t="shared" si="2"/>
        <v>3083.2691550618733</v>
      </c>
      <c r="R82" s="1"/>
    </row>
    <row r="83" spans="1:18" x14ac:dyDescent="0.25">
      <c r="M83" s="1"/>
      <c r="N83" s="5">
        <f t="shared" si="3"/>
        <v>21</v>
      </c>
      <c r="O83" s="5">
        <f t="shared" si="1"/>
        <v>14.662374515472125</v>
      </c>
      <c r="P83" s="5">
        <f t="shared" si="0"/>
        <v>3106.6900828179378</v>
      </c>
      <c r="Q83" s="5">
        <f t="shared" si="2"/>
        <v>3106.6900828179378</v>
      </c>
      <c r="R83" s="1"/>
    </row>
    <row r="84" spans="1:18" x14ac:dyDescent="0.25">
      <c r="M84" s="1"/>
      <c r="N84" s="5">
        <f t="shared" si="3"/>
        <v>22</v>
      </c>
      <c r="O84" s="5">
        <f t="shared" si="1"/>
        <v>15.064744757507011</v>
      </c>
      <c r="P84" s="5">
        <f t="shared" si="0"/>
        <v>3130.4695511395503</v>
      </c>
      <c r="Q84" s="5">
        <f t="shared" si="2"/>
        <v>3130.4695511395503</v>
      </c>
      <c r="R84" s="1"/>
    </row>
    <row r="85" spans="1:18" x14ac:dyDescent="0.25">
      <c r="M85" s="1"/>
      <c r="N85" s="5">
        <f t="shared" si="3"/>
        <v>23</v>
      </c>
      <c r="O85" s="5">
        <f t="shared" si="1"/>
        <v>15.462611859595746</v>
      </c>
      <c r="P85" s="5">
        <f t="shared" si="0"/>
        <v>3154.6158566383428</v>
      </c>
      <c r="Q85" s="5">
        <f t="shared" si="2"/>
        <v>3154.6158566383424</v>
      </c>
      <c r="R85" s="1"/>
    </row>
    <row r="86" spans="1:18" x14ac:dyDescent="0.25">
      <c r="M86" s="1"/>
      <c r="N86" s="5">
        <f t="shared" si="3"/>
        <v>24</v>
      </c>
      <c r="O86" s="5">
        <f t="shared" si="1"/>
        <v>15.85645049199216</v>
      </c>
      <c r="P86" s="5">
        <f t="shared" si="0"/>
        <v>3179.1375538933262</v>
      </c>
      <c r="Q86" s="5">
        <f t="shared" si="2"/>
        <v>3179.1375538933262</v>
      </c>
      <c r="R86" s="1"/>
    </row>
    <row r="87" spans="1:18" x14ac:dyDescent="0.25">
      <c r="M87" s="1"/>
      <c r="N87" s="5">
        <f t="shared" si="3"/>
        <v>25</v>
      </c>
      <c r="O87" s="5">
        <f t="shared" si="1"/>
        <v>16.246690202723357</v>
      </c>
      <c r="P87" s="5">
        <f t="shared" si="0"/>
        <v>3204.0434655557019</v>
      </c>
      <c r="Q87" s="5">
        <f t="shared" si="2"/>
        <v>3204.0434655557028</v>
      </c>
      <c r="R87" s="1"/>
    </row>
    <row r="88" spans="1:18" x14ac:dyDescent="0.25">
      <c r="M88" s="1"/>
      <c r="N88" s="5">
        <f t="shared" si="3"/>
        <v>26</v>
      </c>
      <c r="O88" s="5">
        <f t="shared" si="1"/>
        <v>16.633721910110047</v>
      </c>
      <c r="P88" s="5">
        <f t="shared" si="0"/>
        <v>3229.3426929323909</v>
      </c>
      <c r="Q88" s="5">
        <f t="shared" si="2"/>
        <v>3229.3426929323909</v>
      </c>
      <c r="R88" s="1"/>
    </row>
    <row r="89" spans="1:18" x14ac:dyDescent="0.25">
      <c r="M89" s="1"/>
      <c r="N89" s="5">
        <f t="shared" si="3"/>
        <v>27</v>
      </c>
      <c r="O89" s="5">
        <f t="shared" si="1"/>
        <v>17.017903282008884</v>
      </c>
      <c r="P89" s="5">
        <f t="shared" si="0"/>
        <v>3255.044627074959</v>
      </c>
      <c r="Q89" s="5">
        <f t="shared" si="2"/>
        <v>3255.0446270749585</v>
      </c>
      <c r="R89" s="1"/>
    </row>
    <row r="90" spans="1:18" x14ac:dyDescent="0.25">
      <c r="M90" s="1"/>
      <c r="N90" s="5">
        <f t="shared" si="3"/>
        <v>28</v>
      </c>
      <c r="O90" s="5">
        <f t="shared" si="1"/>
        <v>17.399563227990026</v>
      </c>
      <c r="P90" s="5">
        <f t="shared" si="0"/>
        <v>3281.158960402332</v>
      </c>
      <c r="Q90" s="5">
        <f t="shared" si="2"/>
        <v>3281.1589604023325</v>
      </c>
      <c r="R90" s="1"/>
    </row>
    <row r="91" spans="1:18" x14ac:dyDescent="0.25">
      <c r="M91" s="1"/>
      <c r="N91" s="5">
        <f t="shared" si="3"/>
        <v>29</v>
      </c>
      <c r="O91" s="5">
        <f t="shared" si="1"/>
        <v>17.779005678425193</v>
      </c>
      <c r="P91" s="5">
        <f t="shared" si="0"/>
        <v>3307.6956988875086</v>
      </c>
      <c r="Q91" s="5">
        <f t="shared" si="2"/>
        <v>3307.6956988875095</v>
      </c>
      <c r="R91" s="1"/>
    </row>
    <row r="92" spans="1:18" x14ac:dyDescent="0.25">
      <c r="M92" s="1"/>
      <c r="N92" s="5">
        <f>N91+1</f>
        <v>30</v>
      </c>
      <c r="O92" s="5">
        <f t="shared" si="1"/>
        <v>18.156512785666038</v>
      </c>
      <c r="P92" s="5">
        <f t="shared" si="0"/>
        <v>3334.665174840457</v>
      </c>
      <c r="Q92" s="5">
        <f t="shared" si="2"/>
        <v>3334.665174840457</v>
      </c>
      <c r="R92" s="1"/>
    </row>
    <row r="93" spans="1:18" x14ac:dyDescent="0.25">
      <c r="M93" s="1"/>
      <c r="N93" s="5">
        <f t="shared" si="3"/>
        <v>31</v>
      </c>
      <c r="O93" s="5">
        <f t="shared" si="1"/>
        <v>18.532347653350577</v>
      </c>
      <c r="P93" s="5">
        <f t="shared" si="0"/>
        <v>3362.0780603215089</v>
      </c>
      <c r="Q93" s="5">
        <f t="shared" si="2"/>
        <v>3362.0780603215098</v>
      </c>
      <c r="R93" s="1"/>
    </row>
    <row r="94" spans="1:18" x14ac:dyDescent="0.25">
      <c r="M94" s="1"/>
      <c r="N94" s="5">
        <f t="shared" si="3"/>
        <v>32</v>
      </c>
      <c r="O94" s="5">
        <f t="shared" si="1"/>
        <v>18.906756677753275</v>
      </c>
      <c r="P94" s="5">
        <f t="shared" si="0"/>
        <v>3389.9453812218467</v>
      </c>
      <c r="Q94" s="5">
        <f t="shared" si="2"/>
        <v>3389.9453812218467</v>
      </c>
      <c r="R94" s="1"/>
    </row>
    <row r="95" spans="1:18" x14ac:dyDescent="0.25">
      <c r="M95" s="1"/>
      <c r="N95" s="5">
        <f t="shared" si="3"/>
        <v>33</v>
      </c>
      <c r="O95" s="5">
        <f t="shared" si="1"/>
        <v>19.279971568136229</v>
      </c>
      <c r="P95" s="5">
        <f t="shared" ref="P95:P112" si="4">($O$59*(O95^2))/N95</f>
        <v>3418.2785320500761</v>
      </c>
      <c r="Q95" s="5">
        <f t="shared" ref="Q95:Q111" si="5">$O$59*$O$60*$O$61+((1/2)*$O$57*$O$55*$O$56*O95^2)*$O$60</f>
        <v>3418.2785320500766</v>
      </c>
      <c r="R95" s="1"/>
    </row>
    <row r="96" spans="1:18" x14ac:dyDescent="0.25">
      <c r="M96" s="1"/>
      <c r="N96" s="5">
        <f t="shared" si="3"/>
        <v>34</v>
      </c>
      <c r="O96" s="5">
        <f t="shared" ref="O96:O112" si="6">SQRT(($O$60*$O$59*$O$61)/(($O$59/N96)-((1/2)*$O$57*$O$55*$O$56*$O$60)))</f>
        <v>19.652211099941134</v>
      </c>
      <c r="P96" s="5">
        <f t="shared" si="4"/>
        <v>3447.0892914665897</v>
      </c>
      <c r="Q96" s="5">
        <f t="shared" si="5"/>
        <v>3447.0892914665892</v>
      </c>
      <c r="R96" s="1"/>
    </row>
    <row r="97" spans="13:18" x14ac:dyDescent="0.25">
      <c r="M97" s="1"/>
      <c r="N97" s="5">
        <f t="shared" si="3"/>
        <v>35</v>
      </c>
      <c r="O97" s="5">
        <f t="shared" si="6"/>
        <v>20.023682644428124</v>
      </c>
      <c r="P97" s="5">
        <f t="shared" si="4"/>
        <v>3476.3898386101641</v>
      </c>
      <c r="Q97" s="5">
        <f t="shared" si="5"/>
        <v>3476.3898386101646</v>
      </c>
      <c r="R97" s="1"/>
    </row>
    <row r="98" spans="13:18" x14ac:dyDescent="0.25">
      <c r="M98" s="1"/>
      <c r="N98" s="5">
        <f t="shared" si="3"/>
        <v>36</v>
      </c>
      <c r="O98" s="5">
        <f t="shared" si="6"/>
        <v>20.394583510321194</v>
      </c>
      <c r="P98" s="5">
        <f t="shared" si="4"/>
        <v>3506.1927702643911</v>
      </c>
      <c r="Q98" s="5">
        <f t="shared" si="5"/>
        <v>3506.1927702643916</v>
      </c>
      <c r="R98" s="1"/>
    </row>
    <row r="99" spans="13:18" x14ac:dyDescent="0.25">
      <c r="M99" s="1"/>
      <c r="N99" s="5">
        <f t="shared" si="3"/>
        <v>37</v>
      </c>
      <c r="O99" s="5">
        <f t="shared" si="6"/>
        <v>20.765102126645957</v>
      </c>
      <c r="P99" s="5">
        <f t="shared" si="4"/>
        <v>3536.511118914716</v>
      </c>
      <c r="Q99" s="5">
        <f t="shared" si="5"/>
        <v>3536.511118914716</v>
      </c>
      <c r="R99" s="1"/>
    </row>
    <row r="100" spans="13:18" x14ac:dyDescent="0.25">
      <c r="M100" s="1"/>
      <c r="N100" s="5">
        <f t="shared" si="3"/>
        <v>38</v>
      </c>
      <c r="O100" s="5">
        <f t="shared" si="6"/>
        <v>21.135419090862008</v>
      </c>
      <c r="P100" s="5">
        <f t="shared" si="4"/>
        <v>3567.3583717505121</v>
      </c>
      <c r="Q100" s="5">
        <f t="shared" si="5"/>
        <v>3567.3583717505117</v>
      </c>
      <c r="R100" s="1"/>
    </row>
    <row r="101" spans="13:18" x14ac:dyDescent="0.25">
      <c r="M101" s="1"/>
      <c r="N101" s="5">
        <f t="shared" si="3"/>
        <v>39</v>
      </c>
      <c r="O101" s="5">
        <f t="shared" si="6"/>
        <v>21.50570810231109</v>
      </c>
      <c r="P101" s="5">
        <f t="shared" si="4"/>
        <v>3598.7484906703744</v>
      </c>
      <c r="Q101" s="5">
        <f t="shared" si="5"/>
        <v>3598.7484906703744</v>
      </c>
      <c r="R101" s="1"/>
    </row>
    <row r="102" spans="13:18" x14ac:dyDescent="0.25">
      <c r="M102" s="1"/>
      <c r="N102" s="5">
        <f t="shared" si="3"/>
        <v>40</v>
      </c>
      <c r="O102" s="5">
        <f t="shared" si="6"/>
        <v>21.876136797706387</v>
      </c>
      <c r="P102" s="5">
        <f t="shared" si="4"/>
        <v>3630.6959333529799</v>
      </c>
      <c r="Q102" s="5">
        <f t="shared" si="5"/>
        <v>3630.6959333529794</v>
      </c>
      <c r="R102" s="1"/>
    </row>
    <row r="103" spans="13:18" x14ac:dyDescent="0.25">
      <c r="M103" s="1"/>
      <c r="N103" s="5">
        <f t="shared" si="3"/>
        <v>41</v>
      </c>
      <c r="O103" s="5">
        <f t="shared" si="6"/>
        <v>22.246867502711545</v>
      </c>
      <c r="P103" s="5">
        <f t="shared" si="4"/>
        <v>3663.2156754603216</v>
      </c>
      <c r="Q103" s="5">
        <f t="shared" si="5"/>
        <v>3663.215675460322</v>
      </c>
      <c r="R103" s="1"/>
    </row>
    <row r="104" spans="13:18" x14ac:dyDescent="0.25">
      <c r="M104" s="1"/>
      <c r="N104" s="5">
        <f t="shared" si="3"/>
        <v>42</v>
      </c>
      <c r="O104" s="5">
        <f t="shared" si="6"/>
        <v>22.618057911472288</v>
      </c>
      <c r="P104" s="5">
        <f t="shared" si="4"/>
        <v>3696.323234044969</v>
      </c>
      <c r="Q104" s="5">
        <f t="shared" si="5"/>
        <v>3696.3232340449686</v>
      </c>
      <c r="R104" s="1"/>
    </row>
    <row r="105" spans="13:18" x14ac:dyDescent="0.25">
      <c r="M105" s="1"/>
      <c r="N105" s="5">
        <f t="shared" si="3"/>
        <v>43</v>
      </c>
      <c r="O105" s="5">
        <f t="shared" si="6"/>
        <v>22.989861704170409</v>
      </c>
      <c r="P105" s="5">
        <f t="shared" si="4"/>
        <v>3730.0346922381914</v>
      </c>
      <c r="Q105" s="5">
        <f t="shared" si="5"/>
        <v>3730.0346922381909</v>
      </c>
      <c r="R105" s="1"/>
    </row>
    <row r="106" spans="13:18" x14ac:dyDescent="0.25">
      <c r="M106" s="1"/>
      <c r="N106" s="5">
        <f t="shared" si="3"/>
        <v>44</v>
      </c>
      <c r="O106" s="5">
        <f t="shared" si="6"/>
        <v>23.362429111192014</v>
      </c>
      <c r="P106" s="5">
        <f t="shared" si="4"/>
        <v>3764.3667253015142</v>
      </c>
      <c r="Q106" s="5">
        <f t="shared" si="5"/>
        <v>3764.3667253015137</v>
      </c>
      <c r="R106" s="1"/>
    </row>
    <row r="107" spans="13:18" x14ac:dyDescent="0.25">
      <c r="M107" s="1"/>
      <c r="N107" s="5">
        <f t="shared" si="3"/>
        <v>45</v>
      </c>
      <c r="O107" s="5">
        <f t="shared" si="6"/>
        <v>23.735907431278626</v>
      </c>
      <c r="P107" s="5">
        <f t="shared" si="4"/>
        <v>3799.3366281303252</v>
      </c>
      <c r="Q107" s="5">
        <f t="shared" si="5"/>
        <v>3799.3366281303252</v>
      </c>
      <c r="R107" s="1"/>
    </row>
    <row r="108" spans="13:18" x14ac:dyDescent="0.25">
      <c r="M108" s="1"/>
      <c r="N108" s="5">
        <f t="shared" si="3"/>
        <v>46</v>
      </c>
      <c r="O108" s="5">
        <f t="shared" si="6"/>
        <v>24.110441510013874</v>
      </c>
      <c r="P108" s="5">
        <f t="shared" si="4"/>
        <v>3834.9623443048708</v>
      </c>
      <c r="Q108" s="5">
        <f t="shared" si="5"/>
        <v>3834.9623443048704</v>
      </c>
      <c r="R108" s="1"/>
    </row>
    <row r="109" spans="13:18" x14ac:dyDescent="0.25">
      <c r="M109" s="1"/>
      <c r="N109" s="5">
        <f t="shared" si="3"/>
        <v>47</v>
      </c>
      <c r="O109" s="5">
        <f t="shared" si="6"/>
        <v>24.486174184151494</v>
      </c>
      <c r="P109" s="5">
        <f t="shared" si="4"/>
        <v>3871.2624967911497</v>
      </c>
      <c r="Q109" s="5">
        <f t="shared" si="5"/>
        <v>3871.2624967911497</v>
      </c>
      <c r="R109" s="1"/>
    </row>
    <row r="110" spans="13:18" x14ac:dyDescent="0.25">
      <c r="M110" s="1"/>
      <c r="N110" s="5">
        <f t="shared" si="3"/>
        <v>48</v>
      </c>
      <c r="O110" s="5">
        <f t="shared" si="6"/>
        <v>24.863246696582632</v>
      </c>
      <c r="P110" s="5">
        <f t="shared" si="4"/>
        <v>3908.2564204020987</v>
      </c>
      <c r="Q110" s="5">
        <f t="shared" si="5"/>
        <v>3908.2564204020987</v>
      </c>
      <c r="R110" s="1"/>
    </row>
    <row r="111" spans="13:18" x14ac:dyDescent="0.25">
      <c r="M111" s="1"/>
      <c r="N111" s="5">
        <f t="shared" si="3"/>
        <v>49</v>
      </c>
      <c r="O111" s="5">
        <f t="shared" si="6"/>
        <v>25.24179908614726</v>
      </c>
      <c r="P111" s="5">
        <f t="shared" si="4"/>
        <v>3945.9641961379116</v>
      </c>
      <c r="Q111" s="5">
        <f t="shared" si="5"/>
        <v>3945.964196137912</v>
      </c>
      <c r="R111" s="1"/>
    </row>
    <row r="112" spans="13:18" x14ac:dyDescent="0.25">
      <c r="M112" s="1"/>
      <c r="N112" s="5">
        <f t="shared" si="3"/>
        <v>50</v>
      </c>
      <c r="O112" s="5">
        <f t="shared" si="6"/>
        <v>25.621970555996935</v>
      </c>
      <c r="P112" s="5">
        <f t="shared" si="4"/>
        <v>3984.4066875336885</v>
      </c>
      <c r="Q112" s="5">
        <f>$O$59*$O$60*$O$61+((1/2)*$O$57*$O$55*$O$56*O112^2)*$O$60</f>
        <v>3984.4066875336885</v>
      </c>
      <c r="R112" s="1"/>
    </row>
  </sheetData>
  <mergeCells count="29">
    <mergeCell ref="M54:R54"/>
    <mergeCell ref="M35:N35"/>
    <mergeCell ref="M30:N30"/>
    <mergeCell ref="Q26:Q30"/>
    <mergeCell ref="A71:E71"/>
    <mergeCell ref="K64:K69"/>
    <mergeCell ref="K70:K75"/>
    <mergeCell ref="Q41:Q42"/>
    <mergeCell ref="Q43:Q44"/>
    <mergeCell ref="N49:Q49"/>
    <mergeCell ref="N52:Q52"/>
    <mergeCell ref="M47:R47"/>
    <mergeCell ref="M50:R50"/>
    <mergeCell ref="A54:E54"/>
    <mergeCell ref="J49:K50"/>
    <mergeCell ref="Q45:Q46"/>
    <mergeCell ref="G1:K1"/>
    <mergeCell ref="A1:E1"/>
    <mergeCell ref="Q31:Q35"/>
    <mergeCell ref="A33:C33"/>
    <mergeCell ref="A39:E39"/>
    <mergeCell ref="A36:D36"/>
    <mergeCell ref="G27:J27"/>
    <mergeCell ref="G36:K36"/>
    <mergeCell ref="G39:K39"/>
    <mergeCell ref="A28:C28"/>
    <mergeCell ref="A31:D31"/>
    <mergeCell ref="M1:R1"/>
    <mergeCell ref="Q37:Q3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6232-B672-49E0-A6D5-441E1B615A5D}">
  <dimension ref="H1:Q91"/>
  <sheetViews>
    <sheetView tabSelected="1" zoomScale="55" zoomScaleNormal="55" workbookViewId="0">
      <selection activeCell="L56" sqref="L56:L57"/>
    </sheetView>
  </sheetViews>
  <sheetFormatPr defaultRowHeight="15.75" x14ac:dyDescent="0.25"/>
  <cols>
    <col min="1" max="7" width="9.140625" style="2"/>
    <col min="8" max="8" width="61.85546875" style="2" bestFit="1" customWidth="1"/>
    <col min="9" max="9" width="11.42578125" style="2" bestFit="1" customWidth="1"/>
    <col min="10" max="10" width="13.7109375" style="2" bestFit="1" customWidth="1"/>
    <col min="11" max="11" width="7.85546875" style="2" bestFit="1" customWidth="1"/>
    <col min="12" max="12" width="37.85546875" style="2" bestFit="1" customWidth="1"/>
    <col min="13" max="16" width="9.140625" style="2"/>
    <col min="17" max="17" width="95.5703125" style="2" bestFit="1" customWidth="1"/>
    <col min="18" max="16384" width="9.140625" style="2"/>
  </cols>
  <sheetData>
    <row r="1" spans="8:17" x14ac:dyDescent="0.25">
      <c r="H1" s="62" t="s">
        <v>241</v>
      </c>
      <c r="I1" s="62"/>
      <c r="J1" s="62"/>
      <c r="K1" s="62"/>
      <c r="L1" s="62"/>
    </row>
    <row r="4" spans="8:17" x14ac:dyDescent="0.25">
      <c r="H4" s="62" t="s">
        <v>242</v>
      </c>
      <c r="I4" s="62"/>
      <c r="J4" s="62"/>
      <c r="K4" s="62"/>
      <c r="L4" s="62"/>
      <c r="P4" s="33" t="s">
        <v>8</v>
      </c>
      <c r="Q4" s="33">
        <v>303.46499999999997</v>
      </c>
    </row>
    <row r="5" spans="8:17" x14ac:dyDescent="0.25">
      <c r="H5" s="1" t="s">
        <v>223</v>
      </c>
      <c r="I5" s="1" t="s">
        <v>56</v>
      </c>
      <c r="J5" s="1">
        <v>9.81</v>
      </c>
      <c r="K5" s="1" t="s">
        <v>57</v>
      </c>
      <c r="L5" s="1"/>
      <c r="P5" s="33" t="s">
        <v>10</v>
      </c>
      <c r="Q5" s="33">
        <v>0.78988874950982813</v>
      </c>
    </row>
    <row r="6" spans="8:17" x14ac:dyDescent="0.25">
      <c r="H6" s="1" t="s">
        <v>243</v>
      </c>
      <c r="I6" s="1" t="s">
        <v>244</v>
      </c>
      <c r="J6" s="1">
        <f>Q4</f>
        <v>303.46499999999997</v>
      </c>
      <c r="K6" s="1" t="s">
        <v>47</v>
      </c>
      <c r="L6" s="1"/>
      <c r="P6" s="33" t="s">
        <v>12</v>
      </c>
      <c r="Q6" s="33">
        <v>0.8131362504901718</v>
      </c>
    </row>
    <row r="7" spans="8:17" x14ac:dyDescent="0.25">
      <c r="H7" s="1" t="s">
        <v>245</v>
      </c>
      <c r="I7" s="1" t="s">
        <v>246</v>
      </c>
      <c r="J7" s="1">
        <f>20.1*0.0254/2</f>
        <v>0.25527</v>
      </c>
      <c r="K7" s="1" t="s">
        <v>8</v>
      </c>
      <c r="L7" s="1" t="s">
        <v>247</v>
      </c>
      <c r="P7" s="33" t="s">
        <v>14</v>
      </c>
      <c r="Q7" s="33">
        <v>0.28918968513667148</v>
      </c>
    </row>
    <row r="8" spans="8:17" x14ac:dyDescent="0.25">
      <c r="H8" s="1" t="s">
        <v>248</v>
      </c>
      <c r="I8" s="1" t="s">
        <v>249</v>
      </c>
      <c r="J8" s="1">
        <v>29.166699999999999</v>
      </c>
      <c r="K8" s="1" t="s">
        <v>204</v>
      </c>
      <c r="L8" s="1" t="s">
        <v>250</v>
      </c>
      <c r="P8" s="33" t="s">
        <v>16</v>
      </c>
      <c r="Q8" s="33">
        <v>0.86313625049017184</v>
      </c>
    </row>
    <row r="9" spans="8:17" x14ac:dyDescent="0.25">
      <c r="H9" s="1" t="s">
        <v>251</v>
      </c>
      <c r="I9" s="1" t="s">
        <v>252</v>
      </c>
      <c r="J9" s="1">
        <f>J8/J7</f>
        <v>114.25823637716927</v>
      </c>
      <c r="K9" s="1" t="s">
        <v>253</v>
      </c>
      <c r="L9" s="1"/>
      <c r="P9" s="33" t="s">
        <v>18</v>
      </c>
      <c r="Q9" s="33">
        <v>0.81988874950982815</v>
      </c>
    </row>
    <row r="10" spans="8:17" x14ac:dyDescent="0.25">
      <c r="H10" s="1" t="s">
        <v>254</v>
      </c>
      <c r="I10" s="1" t="s">
        <v>255</v>
      </c>
      <c r="J10" s="1">
        <v>0.9</v>
      </c>
      <c r="K10" s="1"/>
      <c r="L10" s="1"/>
      <c r="P10" s="33" t="s">
        <v>20</v>
      </c>
      <c r="Q10" s="33">
        <v>0.21918968513667147</v>
      </c>
    </row>
    <row r="11" spans="8:17" x14ac:dyDescent="0.25">
      <c r="H11" s="8" t="s">
        <v>256</v>
      </c>
      <c r="I11" s="8" t="s">
        <v>257</v>
      </c>
      <c r="J11" s="8">
        <f>'Kinematic Models'!I70</f>
        <v>1688.7473664046902</v>
      </c>
      <c r="K11" s="8" t="s">
        <v>75</v>
      </c>
      <c r="L11" s="9" t="s">
        <v>258</v>
      </c>
      <c r="P11" s="33" t="s">
        <v>22</v>
      </c>
      <c r="Q11" s="33">
        <v>0.99581031486332838</v>
      </c>
    </row>
    <row r="12" spans="8:17" x14ac:dyDescent="0.25">
      <c r="H12" s="8" t="s">
        <v>256</v>
      </c>
      <c r="I12" s="8" t="s">
        <v>259</v>
      </c>
      <c r="J12" s="8">
        <f>J11</f>
        <v>1688.7473664046902</v>
      </c>
      <c r="K12" s="8" t="s">
        <v>75</v>
      </c>
      <c r="L12" s="9" t="s">
        <v>258</v>
      </c>
      <c r="P12" s="33" t="s">
        <v>24</v>
      </c>
      <c r="Q12" s="33">
        <v>0.49723493648361428</v>
      </c>
    </row>
    <row r="13" spans="8:17" x14ac:dyDescent="0.25">
      <c r="H13" s="8" t="s">
        <v>260</v>
      </c>
      <c r="I13" s="8" t="s">
        <v>261</v>
      </c>
      <c r="J13" s="8">
        <f>'Kinematic Models'!I71</f>
        <v>637.15189545741282</v>
      </c>
      <c r="K13" s="8" t="s">
        <v>75</v>
      </c>
      <c r="L13" s="9" t="s">
        <v>258</v>
      </c>
      <c r="P13" s="33" t="s">
        <v>26</v>
      </c>
      <c r="Q13" s="33">
        <v>0.50276506351638572</v>
      </c>
    </row>
    <row r="14" spans="8:17" x14ac:dyDescent="0.25">
      <c r="H14" s="8" t="s">
        <v>260</v>
      </c>
      <c r="I14" s="8" t="s">
        <v>262</v>
      </c>
      <c r="J14" s="8">
        <f>J13</f>
        <v>637.15189545741282</v>
      </c>
      <c r="K14" s="8" t="s">
        <v>75</v>
      </c>
      <c r="L14" s="9" t="s">
        <v>258</v>
      </c>
    </row>
    <row r="16" spans="8:17" x14ac:dyDescent="0.25">
      <c r="H16" s="62" t="s">
        <v>263</v>
      </c>
      <c r="I16" s="62"/>
      <c r="J16" s="62"/>
      <c r="K16" s="62"/>
      <c r="L16" s="62"/>
    </row>
    <row r="17" spans="8:17" x14ac:dyDescent="0.25">
      <c r="H17" s="1"/>
      <c r="I17" s="1"/>
      <c r="J17" s="1"/>
      <c r="K17" s="1"/>
      <c r="L17" s="1"/>
    </row>
    <row r="18" spans="8:17" x14ac:dyDescent="0.25">
      <c r="H18" s="1"/>
      <c r="I18" s="1"/>
      <c r="J18" s="1"/>
      <c r="K18" s="1"/>
      <c r="L18" s="1"/>
    </row>
    <row r="19" spans="8:17" x14ac:dyDescent="0.25">
      <c r="H19" s="1"/>
      <c r="I19" s="1"/>
      <c r="J19" s="1"/>
      <c r="K19" s="1"/>
      <c r="L19" s="1"/>
    </row>
    <row r="20" spans="8:17" x14ac:dyDescent="0.25">
      <c r="H20" s="1"/>
      <c r="I20" s="1"/>
      <c r="J20" s="1"/>
      <c r="K20" s="1"/>
      <c r="L20" s="1"/>
      <c r="Q20" s="33" t="s">
        <v>264</v>
      </c>
    </row>
    <row r="21" spans="8:17" x14ac:dyDescent="0.25">
      <c r="H21" s="1"/>
      <c r="I21" s="1"/>
      <c r="J21" s="1"/>
      <c r="K21" s="1"/>
      <c r="L21" s="1"/>
    </row>
    <row r="22" spans="8:17" x14ac:dyDescent="0.25">
      <c r="H22" s="1"/>
      <c r="I22" s="1"/>
      <c r="J22" s="1"/>
      <c r="K22" s="1"/>
      <c r="L22" s="1"/>
    </row>
    <row r="23" spans="8:17" x14ac:dyDescent="0.25">
      <c r="H23" s="1"/>
      <c r="I23" s="1"/>
      <c r="J23" s="1"/>
      <c r="K23" s="1"/>
      <c r="L23" s="1"/>
    </row>
    <row r="24" spans="8:17" x14ac:dyDescent="0.25">
      <c r="H24" s="1"/>
      <c r="I24" s="1"/>
      <c r="J24" s="1"/>
      <c r="K24" s="1"/>
      <c r="L24" s="1"/>
    </row>
    <row r="25" spans="8:17" x14ac:dyDescent="0.25">
      <c r="H25" s="1"/>
      <c r="I25" s="1"/>
      <c r="J25" s="1"/>
      <c r="K25" s="1"/>
      <c r="L25" s="1"/>
    </row>
    <row r="26" spans="8:17" x14ac:dyDescent="0.25">
      <c r="H26" s="1"/>
      <c r="I26" s="1"/>
      <c r="J26" s="1"/>
      <c r="K26" s="1"/>
      <c r="L26" s="1"/>
    </row>
    <row r="27" spans="8:17" x14ac:dyDescent="0.25">
      <c r="H27" s="1"/>
      <c r="I27" s="1"/>
      <c r="J27" s="1"/>
      <c r="K27" s="1"/>
      <c r="L27" s="1"/>
    </row>
    <row r="28" spans="8:17" x14ac:dyDescent="0.25">
      <c r="H28" s="1"/>
      <c r="I28" s="1"/>
      <c r="J28" s="1"/>
      <c r="K28" s="1"/>
      <c r="L28" s="1"/>
    </row>
    <row r="29" spans="8:17" x14ac:dyDescent="0.25">
      <c r="H29" s="1" t="s">
        <v>265</v>
      </c>
      <c r="I29" s="1" t="s">
        <v>266</v>
      </c>
      <c r="J29" s="1" t="s">
        <v>267</v>
      </c>
      <c r="K29" s="1" t="s">
        <v>268</v>
      </c>
      <c r="L29" s="1" t="s">
        <v>269</v>
      </c>
    </row>
    <row r="30" spans="8:17" x14ac:dyDescent="0.25">
      <c r="H30" s="8" t="s">
        <v>270</v>
      </c>
      <c r="I30" s="8" t="s">
        <v>271</v>
      </c>
      <c r="J30" s="8">
        <v>0.125</v>
      </c>
      <c r="K30" s="8" t="s">
        <v>8</v>
      </c>
      <c r="L30" s="8"/>
    </row>
    <row r="31" spans="8:17" x14ac:dyDescent="0.25">
      <c r="H31" s="10" t="s">
        <v>272</v>
      </c>
      <c r="I31" s="10" t="s">
        <v>273</v>
      </c>
      <c r="J31" s="10">
        <v>3.5999999999999997E-2</v>
      </c>
      <c r="K31" s="10" t="s">
        <v>8</v>
      </c>
      <c r="L31" s="10" t="s">
        <v>274</v>
      </c>
    </row>
    <row r="32" spans="8:17" x14ac:dyDescent="0.25">
      <c r="H32" s="8" t="s">
        <v>275</v>
      </c>
      <c r="I32" s="8" t="s">
        <v>276</v>
      </c>
      <c r="J32" s="8">
        <v>300</v>
      </c>
      <c r="K32" s="8" t="s">
        <v>75</v>
      </c>
      <c r="L32" s="8"/>
    </row>
    <row r="33" spans="8:17" x14ac:dyDescent="0.25">
      <c r="H33" s="8" t="s">
        <v>277</v>
      </c>
      <c r="I33" s="8" t="s">
        <v>278</v>
      </c>
      <c r="J33" s="8">
        <f>J32*(J30/J31)</f>
        <v>1041.6666666666667</v>
      </c>
      <c r="K33" s="8" t="s">
        <v>75</v>
      </c>
      <c r="L33" s="8"/>
    </row>
    <row r="34" spans="8:17" x14ac:dyDescent="0.25">
      <c r="H34" s="10" t="s">
        <v>279</v>
      </c>
      <c r="I34" s="10" t="s">
        <v>280</v>
      </c>
      <c r="J34" s="10">
        <v>0.56999999999999995</v>
      </c>
      <c r="K34" s="10" t="s">
        <v>281</v>
      </c>
      <c r="L34" s="10" t="s">
        <v>274</v>
      </c>
    </row>
    <row r="35" spans="8:17" x14ac:dyDescent="0.25">
      <c r="H35" s="10" t="s">
        <v>282</v>
      </c>
      <c r="I35" s="10" t="s">
        <v>283</v>
      </c>
      <c r="J35" s="10">
        <f>1-J34</f>
        <v>0.43000000000000005</v>
      </c>
      <c r="K35" s="10" t="s">
        <v>281</v>
      </c>
      <c r="L35" s="10" t="s">
        <v>274</v>
      </c>
      <c r="Q35" s="25" t="s">
        <v>284</v>
      </c>
    </row>
    <row r="36" spans="8:17" x14ac:dyDescent="0.25">
      <c r="H36" s="10" t="s">
        <v>285</v>
      </c>
      <c r="I36" s="10" t="s">
        <v>286</v>
      </c>
      <c r="J36" s="10">
        <f>((5/8)*0.0254)/2</f>
        <v>7.9375000000000001E-3</v>
      </c>
      <c r="K36" s="10" t="s">
        <v>8</v>
      </c>
      <c r="L36" s="10" t="s">
        <v>287</v>
      </c>
      <c r="Q36" s="26" t="s">
        <v>288</v>
      </c>
    </row>
    <row r="37" spans="8:17" x14ac:dyDescent="0.25">
      <c r="H37" s="10" t="s">
        <v>289</v>
      </c>
      <c r="I37" s="10" t="s">
        <v>290</v>
      </c>
      <c r="J37" s="10">
        <f>((7/8)*0.0254)/2</f>
        <v>1.1112499999999999E-2</v>
      </c>
      <c r="K37" s="10" t="s">
        <v>8</v>
      </c>
      <c r="L37" s="10" t="s">
        <v>291</v>
      </c>
      <c r="Q37" s="26" t="s">
        <v>292</v>
      </c>
    </row>
    <row r="38" spans="8:17" x14ac:dyDescent="0.25">
      <c r="H38" s="1" t="s">
        <v>293</v>
      </c>
      <c r="I38" s="1" t="s">
        <v>294</v>
      </c>
      <c r="J38" s="1">
        <f>J34*J33</f>
        <v>593.75</v>
      </c>
      <c r="K38" s="1" t="s">
        <v>75</v>
      </c>
      <c r="L38" s="1"/>
    </row>
    <row r="39" spans="8:17" x14ac:dyDescent="0.25">
      <c r="H39" s="1" t="s">
        <v>295</v>
      </c>
      <c r="I39" s="1" t="s">
        <v>296</v>
      </c>
      <c r="J39" s="1">
        <f>J33*J35</f>
        <v>447.91666666666674</v>
      </c>
      <c r="K39" s="1" t="s">
        <v>75</v>
      </c>
      <c r="L39" s="1"/>
    </row>
    <row r="41" spans="8:17" x14ac:dyDescent="0.25">
      <c r="H41" s="62" t="s">
        <v>297</v>
      </c>
      <c r="I41" s="62"/>
      <c r="J41" s="62"/>
      <c r="K41" s="62"/>
      <c r="L41" s="62"/>
    </row>
    <row r="42" spans="8:17" x14ac:dyDescent="0.25">
      <c r="H42" s="10" t="s">
        <v>298</v>
      </c>
      <c r="I42" s="10" t="s">
        <v>299</v>
      </c>
      <c r="J42" s="10">
        <v>1.5875E-2</v>
      </c>
      <c r="K42" s="10" t="s">
        <v>8</v>
      </c>
      <c r="L42" s="64" t="s">
        <v>300</v>
      </c>
    </row>
    <row r="43" spans="8:17" x14ac:dyDescent="0.25">
      <c r="H43" s="10" t="s">
        <v>301</v>
      </c>
      <c r="I43" s="10" t="s">
        <v>302</v>
      </c>
      <c r="J43" s="10">
        <v>0.12534899999999999</v>
      </c>
      <c r="K43" s="10" t="s">
        <v>8</v>
      </c>
      <c r="L43" s="64"/>
    </row>
    <row r="44" spans="8:17" x14ac:dyDescent="0.25">
      <c r="H44" s="8" t="s">
        <v>303</v>
      </c>
      <c r="I44" s="8" t="s">
        <v>304</v>
      </c>
      <c r="J44" s="8">
        <v>0.37</v>
      </c>
      <c r="K44" s="8"/>
      <c r="L44" s="8" t="s">
        <v>305</v>
      </c>
    </row>
    <row r="45" spans="8:17" x14ac:dyDescent="0.25">
      <c r="H45" s="10" t="s">
        <v>306</v>
      </c>
      <c r="I45" s="10" t="s">
        <v>307</v>
      </c>
      <c r="J45" s="10">
        <v>1.2699999999999999E-2</v>
      </c>
      <c r="K45" s="10" t="s">
        <v>8</v>
      </c>
      <c r="L45" s="64" t="s">
        <v>300</v>
      </c>
    </row>
    <row r="46" spans="8:17" x14ac:dyDescent="0.25">
      <c r="H46" s="10" t="s">
        <v>308</v>
      </c>
      <c r="I46" s="10" t="s">
        <v>309</v>
      </c>
      <c r="J46" s="10">
        <v>0.13969999999999999</v>
      </c>
      <c r="K46" s="10" t="s">
        <v>8</v>
      </c>
      <c r="L46" s="64"/>
    </row>
    <row r="48" spans="8:17" x14ac:dyDescent="0.25">
      <c r="H48" s="62" t="s">
        <v>310</v>
      </c>
      <c r="I48" s="62"/>
      <c r="J48" s="62"/>
      <c r="K48" s="62"/>
      <c r="L48" s="62"/>
    </row>
    <row r="49" spans="8:17" x14ac:dyDescent="0.25">
      <c r="H49" s="10" t="s">
        <v>311</v>
      </c>
      <c r="I49" s="10" t="s">
        <v>312</v>
      </c>
      <c r="J49" s="10">
        <f>3.14*(J36^2)</f>
        <v>1.9783226562500002E-4</v>
      </c>
      <c r="K49" s="10" t="s">
        <v>188</v>
      </c>
      <c r="L49" s="10"/>
    </row>
    <row r="50" spans="8:17" x14ac:dyDescent="0.25">
      <c r="H50" s="10" t="s">
        <v>313</v>
      </c>
      <c r="I50" s="10" t="s">
        <v>314</v>
      </c>
      <c r="J50" s="10">
        <f>3.14*(J42^2)</f>
        <v>7.9132906250000009E-4</v>
      </c>
      <c r="K50" s="10" t="s">
        <v>188</v>
      </c>
      <c r="L50" s="10"/>
    </row>
    <row r="51" spans="8:17" x14ac:dyDescent="0.25">
      <c r="H51" s="8" t="s">
        <v>315</v>
      </c>
      <c r="I51" s="8" t="s">
        <v>316</v>
      </c>
      <c r="J51" s="8">
        <f>(J38/J49)*J50</f>
        <v>2375</v>
      </c>
      <c r="K51" s="8" t="s">
        <v>75</v>
      </c>
      <c r="L51" s="8"/>
      <c r="Q51" s="25" t="s">
        <v>317</v>
      </c>
    </row>
    <row r="52" spans="8:17" x14ac:dyDescent="0.25">
      <c r="H52" s="10" t="s">
        <v>318</v>
      </c>
      <c r="I52" s="10" t="s">
        <v>319</v>
      </c>
      <c r="J52" s="10">
        <v>4</v>
      </c>
      <c r="K52" s="10"/>
      <c r="L52" s="10"/>
      <c r="Q52" s="26" t="s">
        <v>320</v>
      </c>
    </row>
    <row r="53" spans="8:17" x14ac:dyDescent="0.25">
      <c r="H53" s="8" t="s">
        <v>321</v>
      </c>
      <c r="I53" s="8" t="s">
        <v>322</v>
      </c>
      <c r="J53" s="8">
        <f>J51*J52</f>
        <v>9500</v>
      </c>
      <c r="K53" s="8" t="s">
        <v>75</v>
      </c>
      <c r="L53" s="8"/>
      <c r="Q53" s="26" t="s">
        <v>323</v>
      </c>
    </row>
    <row r="54" spans="8:17" x14ac:dyDescent="0.25">
      <c r="H54" s="8" t="s">
        <v>324</v>
      </c>
      <c r="I54" s="8" t="s">
        <v>325</v>
      </c>
      <c r="J54" s="8">
        <f>J53*J44</f>
        <v>3515</v>
      </c>
      <c r="K54" s="8" t="s">
        <v>75</v>
      </c>
      <c r="L54" s="8"/>
    </row>
    <row r="55" spans="8:17" x14ac:dyDescent="0.25">
      <c r="H55" s="1" t="s">
        <v>326</v>
      </c>
      <c r="I55" s="1" t="s">
        <v>327</v>
      </c>
      <c r="J55" s="1">
        <f>J11*J10</f>
        <v>1519.8726297642213</v>
      </c>
      <c r="K55" s="1" t="s">
        <v>75</v>
      </c>
      <c r="L55" s="1"/>
    </row>
    <row r="56" spans="8:17" x14ac:dyDescent="0.25">
      <c r="H56" s="8" t="s">
        <v>328</v>
      </c>
      <c r="I56" s="8" t="s">
        <v>329</v>
      </c>
      <c r="J56" s="8">
        <f>J54*J43</f>
        <v>440.60173499999996</v>
      </c>
      <c r="K56" s="8" t="s">
        <v>330</v>
      </c>
      <c r="L56" s="64" t="s">
        <v>331</v>
      </c>
    </row>
    <row r="57" spans="8:17" x14ac:dyDescent="0.25">
      <c r="H57" s="8" t="s">
        <v>332</v>
      </c>
      <c r="I57" s="8" t="s">
        <v>333</v>
      </c>
      <c r="J57" s="8">
        <f>J55*J7</f>
        <v>387.97788619991275</v>
      </c>
      <c r="K57" s="8" t="s">
        <v>330</v>
      </c>
      <c r="L57" s="64"/>
    </row>
    <row r="59" spans="8:17" x14ac:dyDescent="0.25">
      <c r="H59" s="62" t="s">
        <v>334</v>
      </c>
      <c r="I59" s="62"/>
      <c r="J59" s="62"/>
      <c r="K59" s="62"/>
      <c r="L59" s="62"/>
    </row>
    <row r="60" spans="8:17" x14ac:dyDescent="0.25">
      <c r="H60" s="10" t="s">
        <v>335</v>
      </c>
      <c r="I60" s="10" t="s">
        <v>336</v>
      </c>
      <c r="J60" s="10">
        <v>1.5875E-2</v>
      </c>
      <c r="K60" s="10" t="s">
        <v>8</v>
      </c>
      <c r="L60" s="64" t="s">
        <v>300</v>
      </c>
    </row>
    <row r="61" spans="8:17" x14ac:dyDescent="0.25">
      <c r="H61" s="10" t="s">
        <v>337</v>
      </c>
      <c r="I61" s="10" t="s">
        <v>338</v>
      </c>
      <c r="J61" s="10">
        <v>0.12534899999999999</v>
      </c>
      <c r="K61" s="10" t="s">
        <v>8</v>
      </c>
      <c r="L61" s="64"/>
    </row>
    <row r="62" spans="8:17" x14ac:dyDescent="0.25">
      <c r="H62" s="8" t="s">
        <v>303</v>
      </c>
      <c r="I62" s="8" t="s">
        <v>304</v>
      </c>
      <c r="J62" s="8">
        <v>0.37</v>
      </c>
      <c r="K62" s="8"/>
      <c r="L62" s="8" t="s">
        <v>305</v>
      </c>
      <c r="Q62" s="25" t="s">
        <v>339</v>
      </c>
    </row>
    <row r="63" spans="8:17" x14ac:dyDescent="0.25">
      <c r="H63" s="10" t="s">
        <v>306</v>
      </c>
      <c r="I63" s="10" t="s">
        <v>340</v>
      </c>
      <c r="J63" s="10">
        <f>2*0.0254</f>
        <v>5.0799999999999998E-2</v>
      </c>
      <c r="K63" s="10" t="s">
        <v>8</v>
      </c>
      <c r="L63" s="64" t="s">
        <v>300</v>
      </c>
      <c r="Q63" s="26" t="s">
        <v>323</v>
      </c>
    </row>
    <row r="64" spans="8:17" x14ac:dyDescent="0.25">
      <c r="H64" s="10" t="s">
        <v>341</v>
      </c>
      <c r="I64" s="10" t="s">
        <v>342</v>
      </c>
      <c r="J64" s="10">
        <f>(11.5*0.0254)/2</f>
        <v>0.14604999999999999</v>
      </c>
      <c r="K64" s="10" t="s">
        <v>8</v>
      </c>
      <c r="L64" s="64"/>
      <c r="Q64" s="26" t="s">
        <v>343</v>
      </c>
    </row>
    <row r="66" spans="8:12" x14ac:dyDescent="0.25">
      <c r="H66" s="62" t="s">
        <v>344</v>
      </c>
      <c r="I66" s="62"/>
      <c r="J66" s="62"/>
      <c r="K66" s="62"/>
      <c r="L66" s="62"/>
    </row>
    <row r="67" spans="8:12" x14ac:dyDescent="0.25">
      <c r="H67" s="10" t="s">
        <v>311</v>
      </c>
      <c r="I67" s="10" t="s">
        <v>345</v>
      </c>
      <c r="J67" s="10">
        <f>3.14*(J37^2)</f>
        <v>3.87751240625E-4</v>
      </c>
      <c r="K67" s="10" t="s">
        <v>188</v>
      </c>
      <c r="L67" s="10"/>
    </row>
    <row r="68" spans="8:12" x14ac:dyDescent="0.25">
      <c r="H68" s="10" t="s">
        <v>313</v>
      </c>
      <c r="I68" s="10" t="s">
        <v>346</v>
      </c>
      <c r="J68" s="10">
        <f>3.14*(J60^2)</f>
        <v>7.9132906250000009E-4</v>
      </c>
      <c r="K68" s="10" t="s">
        <v>188</v>
      </c>
      <c r="L68" s="10"/>
    </row>
    <row r="69" spans="8:12" x14ac:dyDescent="0.25">
      <c r="H69" s="8" t="s">
        <v>315</v>
      </c>
      <c r="I69" s="8" t="s">
        <v>347</v>
      </c>
      <c r="J69" s="8">
        <f>(J39/J67)*J68</f>
        <v>914.1156462585036</v>
      </c>
      <c r="K69" s="8" t="s">
        <v>75</v>
      </c>
      <c r="L69" s="8"/>
    </row>
    <row r="70" spans="8:12" x14ac:dyDescent="0.25">
      <c r="H70" s="10" t="s">
        <v>318</v>
      </c>
      <c r="I70" s="10" t="s">
        <v>319</v>
      </c>
      <c r="J70" s="10">
        <v>4</v>
      </c>
      <c r="K70" s="10"/>
      <c r="L70" s="10"/>
    </row>
    <row r="71" spans="8:12" x14ac:dyDescent="0.25">
      <c r="H71" s="8" t="s">
        <v>321</v>
      </c>
      <c r="I71" s="8" t="s">
        <v>348</v>
      </c>
      <c r="J71" s="8">
        <f>J69*J70</f>
        <v>3656.4625850340144</v>
      </c>
      <c r="K71" s="8" t="s">
        <v>75</v>
      </c>
      <c r="L71" s="8"/>
    </row>
    <row r="72" spans="8:12" x14ac:dyDescent="0.25">
      <c r="H72" s="8" t="s">
        <v>324</v>
      </c>
      <c r="I72" s="8" t="s">
        <v>349</v>
      </c>
      <c r="J72" s="8">
        <f>J71*J62</f>
        <v>1352.8911564625853</v>
      </c>
      <c r="K72" s="8" t="s">
        <v>75</v>
      </c>
      <c r="L72" s="8"/>
    </row>
    <row r="73" spans="8:12" x14ac:dyDescent="0.25">
      <c r="H73" s="1" t="s">
        <v>326</v>
      </c>
      <c r="I73" s="1" t="s">
        <v>236</v>
      </c>
      <c r="J73" s="1">
        <f>J14*J10</f>
        <v>573.43670591167154</v>
      </c>
      <c r="K73" s="1" t="s">
        <v>75</v>
      </c>
      <c r="L73" s="1"/>
    </row>
    <row r="74" spans="8:12" x14ac:dyDescent="0.25">
      <c r="H74" s="8" t="s">
        <v>328</v>
      </c>
      <c r="I74" s="8" t="s">
        <v>350</v>
      </c>
      <c r="J74" s="8">
        <f>J72*J61</f>
        <v>169.58355357142858</v>
      </c>
      <c r="K74" s="8" t="s">
        <v>330</v>
      </c>
      <c r="L74" s="65" t="s">
        <v>331</v>
      </c>
    </row>
    <row r="75" spans="8:12" x14ac:dyDescent="0.25">
      <c r="H75" s="8" t="s">
        <v>332</v>
      </c>
      <c r="I75" s="8" t="s">
        <v>351</v>
      </c>
      <c r="J75" s="8">
        <f>J73*J7</f>
        <v>146.38118791807238</v>
      </c>
      <c r="K75" s="8" t="s">
        <v>330</v>
      </c>
      <c r="L75" s="65"/>
    </row>
    <row r="77" spans="8:12" x14ac:dyDescent="0.25">
      <c r="H77" s="62" t="s">
        <v>352</v>
      </c>
      <c r="I77" s="62"/>
      <c r="J77" s="62"/>
      <c r="K77" s="62"/>
      <c r="L77" s="62"/>
    </row>
    <row r="78" spans="8:12" x14ac:dyDescent="0.25">
      <c r="H78" s="8" t="s">
        <v>353</v>
      </c>
      <c r="I78" s="8" t="s">
        <v>354</v>
      </c>
      <c r="J78" s="8">
        <f>(3.65*0.00064516)</f>
        <v>2.3548340000000001E-3</v>
      </c>
      <c r="K78" s="8" t="s">
        <v>188</v>
      </c>
      <c r="L78" s="8" t="s">
        <v>355</v>
      </c>
    </row>
    <row r="79" spans="8:12" x14ac:dyDescent="0.25">
      <c r="H79" s="8" t="s">
        <v>356</v>
      </c>
      <c r="I79" s="8" t="s">
        <v>357</v>
      </c>
      <c r="J79" s="8">
        <f>J53</f>
        <v>9500</v>
      </c>
      <c r="K79" s="8" t="s">
        <v>75</v>
      </c>
      <c r="L79" s="8"/>
    </row>
    <row r="80" spans="8:12" x14ac:dyDescent="0.25">
      <c r="H80" s="8" t="s">
        <v>358</v>
      </c>
      <c r="I80" s="8" t="s">
        <v>359</v>
      </c>
      <c r="J80" s="8">
        <f>(J79/J78)/(1000000)</f>
        <v>4.034254643851753</v>
      </c>
      <c r="K80" s="8" t="s">
        <v>360</v>
      </c>
      <c r="L80" s="8"/>
    </row>
    <row r="81" spans="8:12" x14ac:dyDescent="0.25">
      <c r="H81" s="8" t="s">
        <v>361</v>
      </c>
      <c r="I81" s="8" t="s">
        <v>362</v>
      </c>
      <c r="J81" s="8">
        <v>276</v>
      </c>
      <c r="K81" s="8" t="s">
        <v>360</v>
      </c>
      <c r="L81" s="8"/>
    </row>
    <row r="82" spans="8:12" x14ac:dyDescent="0.25">
      <c r="H82" s="8" t="s">
        <v>363</v>
      </c>
      <c r="I82" s="8" t="s">
        <v>319</v>
      </c>
      <c r="J82" s="8">
        <f>J81/J80</f>
        <v>68.414124631578957</v>
      </c>
      <c r="K82" s="8"/>
      <c r="L82" s="8"/>
    </row>
    <row r="84" spans="8:12" x14ac:dyDescent="0.25">
      <c r="H84" s="62" t="s">
        <v>364</v>
      </c>
      <c r="I84" s="62"/>
      <c r="J84" s="62"/>
      <c r="K84" s="62"/>
      <c r="L84" s="62"/>
    </row>
    <row r="85" spans="8:12" x14ac:dyDescent="0.25">
      <c r="H85" s="1" t="s">
        <v>365</v>
      </c>
      <c r="I85" s="1" t="s">
        <v>366</v>
      </c>
      <c r="J85" s="1">
        <v>300</v>
      </c>
      <c r="K85" s="1" t="s">
        <v>75</v>
      </c>
      <c r="L85" s="1"/>
    </row>
    <row r="86" spans="8:12" x14ac:dyDescent="0.25">
      <c r="H86" s="1" t="s">
        <v>367</v>
      </c>
      <c r="I86" s="1" t="s">
        <v>368</v>
      </c>
      <c r="J86" s="1">
        <f>J85*(J88/J89)</f>
        <v>1041.6666666666667</v>
      </c>
      <c r="K86" s="1" t="s">
        <v>75</v>
      </c>
      <c r="L86" s="1"/>
    </row>
    <row r="87" spans="8:12" x14ac:dyDescent="0.25">
      <c r="H87" s="1" t="s">
        <v>369</v>
      </c>
      <c r="I87" s="1" t="s">
        <v>370</v>
      </c>
      <c r="J87" s="1">
        <f>(J86*COS(J90)*J89+J86*SIN(J90)*J91)-J85*J88</f>
        <v>4.9741473461162684</v>
      </c>
      <c r="K87" s="1" t="s">
        <v>70</v>
      </c>
      <c r="L87" s="1"/>
    </row>
    <row r="88" spans="8:12" x14ac:dyDescent="0.25">
      <c r="H88" s="18" t="s">
        <v>270</v>
      </c>
      <c r="I88" s="18" t="s">
        <v>271</v>
      </c>
      <c r="J88" s="18">
        <f>'Brake System Pedal to Wheel'!J30</f>
        <v>0.125</v>
      </c>
      <c r="K88" s="18" t="s">
        <v>8</v>
      </c>
      <c r="L88" s="1"/>
    </row>
    <row r="89" spans="8:12" x14ac:dyDescent="0.25">
      <c r="H89" s="10" t="s">
        <v>272</v>
      </c>
      <c r="I89" s="10" t="s">
        <v>273</v>
      </c>
      <c r="J89" s="10">
        <f>'Brake System Pedal to Wheel'!J31</f>
        <v>3.5999999999999997E-2</v>
      </c>
      <c r="K89" s="10" t="s">
        <v>8</v>
      </c>
      <c r="L89" s="1"/>
    </row>
    <row r="90" spans="8:12" x14ac:dyDescent="0.25">
      <c r="H90" s="1" t="s">
        <v>371</v>
      </c>
      <c r="I90" s="1" t="s">
        <v>372</v>
      </c>
      <c r="J90" s="1">
        <f>21*3.14/180</f>
        <v>0.36633333333333334</v>
      </c>
      <c r="K90" s="1" t="s">
        <v>373</v>
      </c>
      <c r="L90" s="1"/>
    </row>
    <row r="91" spans="8:12" x14ac:dyDescent="0.25">
      <c r="H91" s="1" t="s">
        <v>374</v>
      </c>
      <c r="I91" s="1" t="s">
        <v>375</v>
      </c>
      <c r="J91" s="1">
        <v>0.02</v>
      </c>
      <c r="K91" s="1" t="s">
        <v>8</v>
      </c>
      <c r="L91" s="1"/>
    </row>
  </sheetData>
  <mergeCells count="15">
    <mergeCell ref="H84:L84"/>
    <mergeCell ref="H77:L77"/>
    <mergeCell ref="L56:L57"/>
    <mergeCell ref="H59:L59"/>
    <mergeCell ref="L60:L61"/>
    <mergeCell ref="H66:L66"/>
    <mergeCell ref="L74:L75"/>
    <mergeCell ref="H48:L48"/>
    <mergeCell ref="L63:L64"/>
    <mergeCell ref="H1:L1"/>
    <mergeCell ref="H4:L4"/>
    <mergeCell ref="H16:L16"/>
    <mergeCell ref="H41:L41"/>
    <mergeCell ref="L42:L43"/>
    <mergeCell ref="L45:L46"/>
  </mergeCells>
  <hyperlinks>
    <hyperlink ref="Q36" r:id="rId1" xr:uid="{2858A011-A4A0-436C-B614-B926D03385B3}"/>
    <hyperlink ref="Q37" r:id="rId2" xr:uid="{2020C1AC-DB8A-418A-AE68-BF02E4D6541D}"/>
    <hyperlink ref="Q52" r:id="rId3" xr:uid="{73D9AAFF-9547-4D74-8F44-6F083F33E14E}"/>
    <hyperlink ref="Q53" r:id="rId4" xr:uid="{804B9FA7-7FB6-4C9E-824D-D6458A6B3ADF}"/>
  </hyperlinks>
  <pageMargins left="0.7" right="0.7" top="0.75" bottom="0.75" header="0.3" footer="0.3"/>
  <pageSetup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69DB-1B55-4294-B411-C340681E9047}">
  <dimension ref="H1:Q71"/>
  <sheetViews>
    <sheetView zoomScale="85" zoomScaleNormal="85" workbookViewId="0">
      <selection activeCell="L17" sqref="L17"/>
    </sheetView>
  </sheetViews>
  <sheetFormatPr defaultRowHeight="15.75" x14ac:dyDescent="0.25"/>
  <cols>
    <col min="1" max="7" width="9.140625" style="2"/>
    <col min="8" max="8" width="61.85546875" style="2" bestFit="1" customWidth="1"/>
    <col min="9" max="9" width="11.42578125" style="2" bestFit="1" customWidth="1"/>
    <col min="10" max="10" width="14" style="2" bestFit="1" customWidth="1"/>
    <col min="11" max="11" width="7.85546875" style="2" bestFit="1" customWidth="1"/>
    <col min="12" max="12" width="37.85546875" style="2" bestFit="1" customWidth="1"/>
    <col min="13" max="16384" width="9.140625" style="2"/>
  </cols>
  <sheetData>
    <row r="1" spans="8:17" x14ac:dyDescent="0.25">
      <c r="H1" s="62" t="s">
        <v>241</v>
      </c>
      <c r="I1" s="62"/>
      <c r="J1" s="62"/>
      <c r="K1" s="62"/>
      <c r="L1" s="62"/>
    </row>
    <row r="4" spans="8:17" x14ac:dyDescent="0.25">
      <c r="H4" s="62" t="s">
        <v>242</v>
      </c>
      <c r="I4" s="62"/>
      <c r="J4" s="62"/>
      <c r="K4" s="62"/>
      <c r="L4" s="62"/>
      <c r="P4" s="1" t="s">
        <v>8</v>
      </c>
      <c r="Q4" s="1">
        <v>303.46499999999997</v>
      </c>
    </row>
    <row r="5" spans="8:17" x14ac:dyDescent="0.25">
      <c r="H5" s="1" t="s">
        <v>223</v>
      </c>
      <c r="I5" s="1" t="s">
        <v>56</v>
      </c>
      <c r="J5" s="1">
        <v>9.81</v>
      </c>
      <c r="K5" s="1" t="s">
        <v>57</v>
      </c>
      <c r="L5" s="1"/>
      <c r="P5" s="1" t="s">
        <v>10</v>
      </c>
      <c r="Q5" s="1">
        <v>0.78988874950982813</v>
      </c>
    </row>
    <row r="6" spans="8:17" x14ac:dyDescent="0.25">
      <c r="H6" s="1" t="s">
        <v>243</v>
      </c>
      <c r="I6" s="1" t="s">
        <v>244</v>
      </c>
      <c r="J6" s="1">
        <f>Q4</f>
        <v>303.46499999999997</v>
      </c>
      <c r="K6" s="1" t="s">
        <v>47</v>
      </c>
      <c r="L6" s="1"/>
      <c r="P6" s="1" t="s">
        <v>12</v>
      </c>
      <c r="Q6" s="1">
        <v>0.8131362504901718</v>
      </c>
    </row>
    <row r="7" spans="8:17" x14ac:dyDescent="0.25">
      <c r="H7" s="1" t="s">
        <v>245</v>
      </c>
      <c r="I7" s="1" t="s">
        <v>246</v>
      </c>
      <c r="J7" s="1">
        <f>20.1*0.0254/2</f>
        <v>0.25527</v>
      </c>
      <c r="K7" s="1" t="s">
        <v>8</v>
      </c>
      <c r="L7" s="1" t="s">
        <v>247</v>
      </c>
      <c r="P7" s="1" t="s">
        <v>14</v>
      </c>
      <c r="Q7" s="1">
        <v>0.28918968513667148</v>
      </c>
    </row>
    <row r="8" spans="8:17" x14ac:dyDescent="0.25">
      <c r="H8" s="1" t="s">
        <v>248</v>
      </c>
      <c r="I8" s="1" t="s">
        <v>249</v>
      </c>
      <c r="J8" s="1">
        <v>29.166699999999999</v>
      </c>
      <c r="K8" s="1" t="s">
        <v>204</v>
      </c>
      <c r="L8" s="1" t="s">
        <v>250</v>
      </c>
      <c r="P8" s="1" t="s">
        <v>16</v>
      </c>
      <c r="Q8" s="1">
        <v>0.86313625049017184</v>
      </c>
    </row>
    <row r="9" spans="8:17" x14ac:dyDescent="0.25">
      <c r="H9" s="1" t="s">
        <v>251</v>
      </c>
      <c r="I9" s="1" t="s">
        <v>252</v>
      </c>
      <c r="J9" s="1">
        <f>J8/J7</f>
        <v>114.25823637716927</v>
      </c>
      <c r="K9" s="1" t="s">
        <v>253</v>
      </c>
      <c r="L9" s="1"/>
      <c r="P9" s="1" t="s">
        <v>18</v>
      </c>
      <c r="Q9" s="1">
        <v>0.81988874950982815</v>
      </c>
    </row>
    <row r="10" spans="8:17" x14ac:dyDescent="0.25">
      <c r="H10" s="1" t="s">
        <v>254</v>
      </c>
      <c r="I10" s="1" t="s">
        <v>255</v>
      </c>
      <c r="J10" s="1">
        <v>0.9</v>
      </c>
      <c r="K10" s="1"/>
      <c r="L10" s="1"/>
      <c r="P10" s="1" t="s">
        <v>20</v>
      </c>
      <c r="Q10" s="1">
        <v>0.21918968513667147</v>
      </c>
    </row>
    <row r="11" spans="8:17" x14ac:dyDescent="0.25">
      <c r="H11" s="8" t="s">
        <v>256</v>
      </c>
      <c r="I11" s="8" t="s">
        <v>257</v>
      </c>
      <c r="J11" s="8">
        <f>'Kinematic Models'!I70</f>
        <v>1688.7473664046902</v>
      </c>
      <c r="K11" s="8" t="s">
        <v>75</v>
      </c>
      <c r="L11" s="9" t="s">
        <v>258</v>
      </c>
      <c r="P11" s="1" t="s">
        <v>22</v>
      </c>
      <c r="Q11" s="1">
        <v>0.99581031486332838</v>
      </c>
    </row>
    <row r="12" spans="8:17" x14ac:dyDescent="0.25">
      <c r="H12" s="8" t="s">
        <v>256</v>
      </c>
      <c r="I12" s="8" t="s">
        <v>259</v>
      </c>
      <c r="J12" s="8">
        <f>J11</f>
        <v>1688.7473664046902</v>
      </c>
      <c r="K12" s="8" t="s">
        <v>75</v>
      </c>
      <c r="L12" s="9" t="s">
        <v>258</v>
      </c>
      <c r="P12" s="1" t="s">
        <v>24</v>
      </c>
      <c r="Q12" s="1">
        <v>0.49723493648361428</v>
      </c>
    </row>
    <row r="13" spans="8:17" x14ac:dyDescent="0.25">
      <c r="H13" s="8" t="s">
        <v>260</v>
      </c>
      <c r="I13" s="8" t="s">
        <v>261</v>
      </c>
      <c r="J13" s="8">
        <f>'Kinematic Models'!I71</f>
        <v>637.15189545741282</v>
      </c>
      <c r="K13" s="8" t="s">
        <v>75</v>
      </c>
      <c r="L13" s="9" t="s">
        <v>258</v>
      </c>
      <c r="P13" s="1" t="s">
        <v>26</v>
      </c>
      <c r="Q13" s="1">
        <v>0.50276506351638572</v>
      </c>
    </row>
    <row r="14" spans="8:17" x14ac:dyDescent="0.25">
      <c r="H14" s="8" t="s">
        <v>260</v>
      </c>
      <c r="I14" s="8" t="s">
        <v>262</v>
      </c>
      <c r="J14" s="8">
        <f>J13</f>
        <v>637.15189545741282</v>
      </c>
      <c r="K14" s="8" t="s">
        <v>75</v>
      </c>
      <c r="L14" s="9" t="s">
        <v>258</v>
      </c>
    </row>
    <row r="16" spans="8:17" x14ac:dyDescent="0.25">
      <c r="H16" s="62" t="s">
        <v>376</v>
      </c>
      <c r="I16" s="62"/>
      <c r="J16" s="62"/>
      <c r="K16" s="62"/>
      <c r="L16" s="62"/>
    </row>
    <row r="17" spans="8:14" x14ac:dyDescent="0.25">
      <c r="H17" s="1"/>
      <c r="I17" s="1"/>
      <c r="J17" s="1"/>
      <c r="K17" s="1"/>
      <c r="L17" s="1"/>
    </row>
    <row r="18" spans="8:14" x14ac:dyDescent="0.25">
      <c r="H18" s="1"/>
      <c r="I18" s="1"/>
      <c r="J18" s="1"/>
      <c r="K18" s="1"/>
      <c r="L18" s="1"/>
    </row>
    <row r="19" spans="8:14" x14ac:dyDescent="0.25">
      <c r="H19" s="1"/>
      <c r="I19" s="1"/>
      <c r="J19" s="1"/>
      <c r="K19" s="1"/>
      <c r="L19" s="1"/>
    </row>
    <row r="20" spans="8:14" x14ac:dyDescent="0.25">
      <c r="H20" s="1"/>
      <c r="I20" s="1"/>
      <c r="J20" s="1"/>
      <c r="K20" s="1"/>
      <c r="L20" s="1"/>
      <c r="N20" s="2" t="s">
        <v>377</v>
      </c>
    </row>
    <row r="21" spans="8:14" x14ac:dyDescent="0.25">
      <c r="H21" s="1"/>
      <c r="I21" s="1"/>
      <c r="J21" s="1"/>
      <c r="K21" s="1"/>
      <c r="L21" s="1"/>
    </row>
    <row r="22" spans="8:14" x14ac:dyDescent="0.25">
      <c r="H22" s="1"/>
      <c r="I22" s="1"/>
      <c r="J22" s="1"/>
      <c r="K22" s="1"/>
      <c r="L22" s="1"/>
    </row>
    <row r="23" spans="8:14" x14ac:dyDescent="0.25">
      <c r="H23" s="1"/>
      <c r="I23" s="1"/>
      <c r="J23" s="1"/>
      <c r="K23" s="1"/>
      <c r="L23" s="1"/>
    </row>
    <row r="24" spans="8:14" x14ac:dyDescent="0.25">
      <c r="H24" s="1"/>
      <c r="I24" s="1"/>
      <c r="J24" s="1"/>
      <c r="K24" s="1"/>
      <c r="L24" s="1"/>
    </row>
    <row r="25" spans="8:14" x14ac:dyDescent="0.25">
      <c r="H25" s="1"/>
      <c r="I25" s="1"/>
      <c r="J25" s="1"/>
      <c r="K25" s="1"/>
      <c r="L25" s="1"/>
    </row>
    <row r="26" spans="8:14" x14ac:dyDescent="0.25">
      <c r="H26" s="1"/>
      <c r="I26" s="1"/>
      <c r="J26" s="1"/>
      <c r="K26" s="1"/>
      <c r="L26" s="1"/>
    </row>
    <row r="27" spans="8:14" x14ac:dyDescent="0.25">
      <c r="H27" s="1"/>
      <c r="I27" s="1"/>
      <c r="J27" s="1"/>
      <c r="K27" s="1"/>
      <c r="L27" s="1"/>
    </row>
    <row r="28" spans="8:14" x14ac:dyDescent="0.25">
      <c r="H28" s="1"/>
      <c r="I28" s="1"/>
      <c r="J28" s="1"/>
      <c r="K28" s="1"/>
      <c r="L28" s="1"/>
    </row>
    <row r="29" spans="8:14" x14ac:dyDescent="0.25">
      <c r="H29" s="1" t="s">
        <v>265</v>
      </c>
      <c r="I29" s="1" t="s">
        <v>266</v>
      </c>
      <c r="J29" s="1" t="s">
        <v>267</v>
      </c>
      <c r="K29" s="1" t="s">
        <v>268</v>
      </c>
      <c r="L29" s="1" t="s">
        <v>269</v>
      </c>
    </row>
    <row r="31" spans="8:14" x14ac:dyDescent="0.25">
      <c r="H31" s="62" t="s">
        <v>378</v>
      </c>
      <c r="I31" s="62"/>
      <c r="J31" s="62"/>
      <c r="K31" s="62"/>
      <c r="L31" s="62"/>
    </row>
    <row r="32" spans="8:14" x14ac:dyDescent="0.25">
      <c r="H32" s="1" t="s">
        <v>379</v>
      </c>
      <c r="I32" s="1" t="s">
        <v>380</v>
      </c>
      <c r="J32" s="1">
        <v>45</v>
      </c>
      <c r="K32" s="1" t="s">
        <v>75</v>
      </c>
      <c r="L32" s="1"/>
    </row>
    <row r="33" spans="8:15" x14ac:dyDescent="0.25">
      <c r="H33" s="1" t="s">
        <v>381</v>
      </c>
      <c r="I33" s="1" t="s">
        <v>368</v>
      </c>
      <c r="J33" s="1">
        <v>10</v>
      </c>
      <c r="K33" s="1" t="s">
        <v>75</v>
      </c>
      <c r="L33" s="1" t="s">
        <v>382</v>
      </c>
    </row>
    <row r="34" spans="8:15" x14ac:dyDescent="0.25">
      <c r="H34" s="1" t="s">
        <v>365</v>
      </c>
      <c r="I34" s="1" t="s">
        <v>383</v>
      </c>
      <c r="J34" s="1">
        <v>300</v>
      </c>
      <c r="K34" s="1" t="s">
        <v>75</v>
      </c>
      <c r="L34" s="1"/>
    </row>
    <row r="35" spans="8:15" x14ac:dyDescent="0.25">
      <c r="H35" s="1" t="s">
        <v>369</v>
      </c>
      <c r="I35" s="1" t="s">
        <v>370</v>
      </c>
      <c r="J35" s="1">
        <f>J32*J36-(J33*COS(J38)*J37+J33*SIN(J38)*J39)</f>
        <v>5.2172481854772839</v>
      </c>
      <c r="K35" s="1" t="s">
        <v>70</v>
      </c>
      <c r="L35" s="1"/>
    </row>
    <row r="36" spans="8:15" x14ac:dyDescent="0.25">
      <c r="H36" s="18" t="s">
        <v>270</v>
      </c>
      <c r="I36" s="18" t="s">
        <v>271</v>
      </c>
      <c r="J36" s="18">
        <f>'Brake System Pedal to Wheel'!J88</f>
        <v>0.125</v>
      </c>
      <c r="K36" s="18" t="s">
        <v>8</v>
      </c>
      <c r="L36" s="1"/>
    </row>
    <row r="37" spans="8:15" x14ac:dyDescent="0.25">
      <c r="H37" s="10" t="s">
        <v>272</v>
      </c>
      <c r="I37" s="10" t="s">
        <v>273</v>
      </c>
      <c r="J37" s="10">
        <f>'Brake System Pedal to Wheel'!J89</f>
        <v>3.5999999999999997E-2</v>
      </c>
      <c r="K37" s="10" t="s">
        <v>8</v>
      </c>
      <c r="L37" s="1"/>
    </row>
    <row r="38" spans="8:15" x14ac:dyDescent="0.25">
      <c r="H38" s="1" t="s">
        <v>371</v>
      </c>
      <c r="I38" s="1" t="s">
        <v>372</v>
      </c>
      <c r="J38" s="1">
        <f>21*3.14/180</f>
        <v>0.36633333333333334</v>
      </c>
      <c r="K38" s="1" t="s">
        <v>373</v>
      </c>
      <c r="L38" s="1"/>
    </row>
    <row r="39" spans="8:15" x14ac:dyDescent="0.25">
      <c r="H39" s="1" t="s">
        <v>374</v>
      </c>
      <c r="I39" s="1" t="s">
        <v>375</v>
      </c>
      <c r="J39" s="1">
        <v>0.02</v>
      </c>
      <c r="K39" s="1" t="s">
        <v>8</v>
      </c>
      <c r="L39" s="1"/>
      <c r="O39" s="2" t="s">
        <v>384</v>
      </c>
    </row>
    <row r="40" spans="8:15" x14ac:dyDescent="0.25">
      <c r="H40" s="1" t="s">
        <v>385</v>
      </c>
      <c r="I40" s="1" t="s">
        <v>386</v>
      </c>
      <c r="J40" s="1">
        <f>(J34*J36-(J33*COS(J38)*J37+J33*SIN(J38)*J39))/J39</f>
        <v>1854.6124092738639</v>
      </c>
      <c r="K40" s="1" t="s">
        <v>75</v>
      </c>
      <c r="L40" s="1"/>
    </row>
    <row r="42" spans="8:15" x14ac:dyDescent="0.25">
      <c r="H42" s="62" t="s">
        <v>387</v>
      </c>
      <c r="I42" s="62"/>
      <c r="J42" s="62"/>
      <c r="K42" s="62"/>
      <c r="L42" s="62"/>
    </row>
    <row r="43" spans="8:15" x14ac:dyDescent="0.25">
      <c r="H43" s="1" t="s">
        <v>388</v>
      </c>
      <c r="I43" s="1" t="s">
        <v>389</v>
      </c>
      <c r="J43" s="1">
        <v>8.9999999999999993E-3</v>
      </c>
      <c r="K43" s="1" t="s">
        <v>8</v>
      </c>
      <c r="L43" s="59" t="s">
        <v>390</v>
      </c>
    </row>
    <row r="44" spans="8:15" x14ac:dyDescent="0.25">
      <c r="H44" s="1" t="s">
        <v>391</v>
      </c>
      <c r="I44" s="1" t="s">
        <v>392</v>
      </c>
      <c r="J44" s="1">
        <v>180</v>
      </c>
      <c r="K44" s="1" t="s">
        <v>393</v>
      </c>
      <c r="L44" s="56"/>
    </row>
    <row r="45" spans="8:15" x14ac:dyDescent="0.25">
      <c r="H45" s="1" t="s">
        <v>394</v>
      </c>
      <c r="I45" s="1" t="s">
        <v>395</v>
      </c>
      <c r="J45" s="1">
        <v>0.02</v>
      </c>
      <c r="K45" s="1" t="s">
        <v>8</v>
      </c>
      <c r="L45" s="56"/>
    </row>
    <row r="46" spans="8:15" x14ac:dyDescent="0.25">
      <c r="H46" s="1" t="s">
        <v>396</v>
      </c>
      <c r="I46" s="1" t="s">
        <v>397</v>
      </c>
      <c r="J46" s="1">
        <f>J45+J43</f>
        <v>2.8999999999999998E-2</v>
      </c>
      <c r="K46" s="1" t="s">
        <v>8</v>
      </c>
      <c r="L46" s="56"/>
    </row>
    <row r="47" spans="8:15" x14ac:dyDescent="0.25">
      <c r="H47" s="1" t="s">
        <v>398</v>
      </c>
      <c r="I47" s="1" t="s">
        <v>399</v>
      </c>
      <c r="J47" s="1">
        <v>0.02</v>
      </c>
      <c r="K47" s="1" t="s">
        <v>8</v>
      </c>
      <c r="L47" s="56"/>
    </row>
    <row r="48" spans="8:15" x14ac:dyDescent="0.25">
      <c r="H48" s="1" t="s">
        <v>400</v>
      </c>
      <c r="I48" s="1" t="s">
        <v>401</v>
      </c>
      <c r="J48" s="1">
        <v>0.03</v>
      </c>
      <c r="K48" s="1" t="s">
        <v>8</v>
      </c>
      <c r="L48" s="56"/>
    </row>
    <row r="49" spans="8:12" x14ac:dyDescent="0.25">
      <c r="H49" s="1" t="s">
        <v>402</v>
      </c>
      <c r="I49" s="1" t="s">
        <v>386</v>
      </c>
      <c r="J49" s="1">
        <f>J40</f>
        <v>1854.6124092738639</v>
      </c>
      <c r="K49" s="1" t="s">
        <v>75</v>
      </c>
      <c r="L49" s="56"/>
    </row>
    <row r="50" spans="8:12" x14ac:dyDescent="0.25">
      <c r="H50" s="1" t="s">
        <v>403</v>
      </c>
      <c r="I50" s="1" t="s">
        <v>404</v>
      </c>
      <c r="J50" s="1"/>
      <c r="K50" s="1" t="s">
        <v>75</v>
      </c>
      <c r="L50" s="56"/>
    </row>
    <row r="51" spans="8:12" x14ac:dyDescent="0.25">
      <c r="H51" s="1" t="s">
        <v>405</v>
      </c>
      <c r="I51" s="1" t="s">
        <v>406</v>
      </c>
      <c r="J51" s="1">
        <f>64*J35*J46*((J54+((J47+J48)/(3*3.14*J46))))/(((J43^4)*J52))</f>
        <v>4.1236176799024742E-2</v>
      </c>
      <c r="K51" s="1" t="s">
        <v>373</v>
      </c>
      <c r="L51" s="56"/>
    </row>
    <row r="52" spans="8:12" x14ac:dyDescent="0.25">
      <c r="H52" s="1" t="s">
        <v>407</v>
      </c>
      <c r="I52" s="1" t="s">
        <v>408</v>
      </c>
      <c r="J52" s="1">
        <f>203.4*10^9</f>
        <v>203400000000</v>
      </c>
      <c r="K52" s="1" t="s">
        <v>409</v>
      </c>
      <c r="L52" s="56"/>
    </row>
    <row r="53" spans="8:12" x14ac:dyDescent="0.25">
      <c r="H53" s="1" t="s">
        <v>410</v>
      </c>
      <c r="I53" s="1" t="s">
        <v>411</v>
      </c>
      <c r="J53" s="1">
        <f>J35/J51</f>
        <v>126.52114212490899</v>
      </c>
      <c r="K53" s="1" t="s">
        <v>412</v>
      </c>
      <c r="L53" s="56"/>
    </row>
    <row r="54" spans="8:12" x14ac:dyDescent="0.25">
      <c r="H54" s="1" t="s">
        <v>413</v>
      </c>
      <c r="I54" s="1" t="s">
        <v>414</v>
      </c>
      <c r="J54" s="1">
        <f>(J44/360)+5</f>
        <v>5.5</v>
      </c>
      <c r="K54" s="1" t="s">
        <v>415</v>
      </c>
      <c r="L54" s="56"/>
    </row>
    <row r="55" spans="8:12" x14ac:dyDescent="0.25">
      <c r="H55" s="1" t="s">
        <v>416</v>
      </c>
      <c r="I55" s="1" t="s">
        <v>417</v>
      </c>
      <c r="J55" s="1">
        <f>((2005)/((7)^0.168))*10^6</f>
        <v>1445898829.7834253</v>
      </c>
      <c r="K55" s="1" t="s">
        <v>409</v>
      </c>
      <c r="L55" s="56"/>
    </row>
    <row r="56" spans="8:12" x14ac:dyDescent="0.25">
      <c r="H56" s="1" t="s">
        <v>418</v>
      </c>
      <c r="I56" s="1" t="s">
        <v>419</v>
      </c>
      <c r="J56" s="1">
        <f>J55*0.87</f>
        <v>1257931981.9115801</v>
      </c>
      <c r="K56" s="1" t="s">
        <v>409</v>
      </c>
      <c r="L56" s="56"/>
    </row>
    <row r="57" spans="8:12" x14ac:dyDescent="0.25">
      <c r="H57" s="1" t="s">
        <v>420</v>
      </c>
      <c r="I57" s="1" t="s">
        <v>273</v>
      </c>
      <c r="J57" s="1">
        <f>J46/J43</f>
        <v>3.2222222222222223</v>
      </c>
      <c r="K57" s="1"/>
      <c r="L57" s="56"/>
    </row>
    <row r="58" spans="8:12" x14ac:dyDescent="0.25">
      <c r="H58" s="1" t="s">
        <v>421</v>
      </c>
      <c r="I58" s="1" t="s">
        <v>422</v>
      </c>
      <c r="J58" s="1">
        <f>((4*J57^2)-J57-1)/(4*J57*(J57-1))</f>
        <v>1.3025862068965517</v>
      </c>
      <c r="K58" s="1"/>
      <c r="L58" s="56"/>
    </row>
    <row r="59" spans="8:12" x14ac:dyDescent="0.25">
      <c r="H59" s="1" t="s">
        <v>423</v>
      </c>
      <c r="I59" s="1" t="s">
        <v>359</v>
      </c>
      <c r="J59" s="1">
        <f>(32*J40*J47*J58)/(3.14*(J43^3))</f>
        <v>675433246.75367343</v>
      </c>
      <c r="K59" s="1" t="s">
        <v>409</v>
      </c>
      <c r="L59" s="56"/>
    </row>
    <row r="60" spans="8:12" x14ac:dyDescent="0.25">
      <c r="H60" s="1" t="s">
        <v>424</v>
      </c>
      <c r="I60" s="1" t="s">
        <v>319</v>
      </c>
      <c r="J60" s="1">
        <f>J56/J59</f>
        <v>1.8624075553839898</v>
      </c>
      <c r="K60" s="1"/>
      <c r="L60" s="56"/>
    </row>
    <row r="62" spans="8:12" x14ac:dyDescent="0.25">
      <c r="H62" s="62" t="s">
        <v>425</v>
      </c>
      <c r="I62" s="62"/>
      <c r="J62" s="62"/>
      <c r="K62" s="62"/>
      <c r="L62" s="62"/>
    </row>
    <row r="63" spans="8:12" x14ac:dyDescent="0.25">
      <c r="H63" s="1" t="s">
        <v>426</v>
      </c>
      <c r="I63" s="1" t="s">
        <v>427</v>
      </c>
      <c r="J63" s="1">
        <f>J40*0.02</f>
        <v>37.092248185477281</v>
      </c>
      <c r="K63" s="1" t="s">
        <v>70</v>
      </c>
      <c r="L63" s="1"/>
    </row>
    <row r="64" spans="8:12" x14ac:dyDescent="0.25">
      <c r="H64" s="1" t="s">
        <v>428</v>
      </c>
      <c r="I64" s="1" t="s">
        <v>429</v>
      </c>
      <c r="J64" s="1">
        <f>J35</f>
        <v>5.2172481854772839</v>
      </c>
      <c r="K64" s="1" t="s">
        <v>70</v>
      </c>
      <c r="L64" s="1"/>
    </row>
    <row r="65" spans="8:12" x14ac:dyDescent="0.25">
      <c r="H65" s="1" t="s">
        <v>430</v>
      </c>
      <c r="I65" s="1" t="s">
        <v>431</v>
      </c>
      <c r="J65" s="1">
        <f>(J63-J64)/2</f>
        <v>15.937499999999998</v>
      </c>
      <c r="K65" s="1" t="s">
        <v>70</v>
      </c>
      <c r="L65" s="1"/>
    </row>
    <row r="66" spans="8:12" x14ac:dyDescent="0.25">
      <c r="H66" s="1" t="s">
        <v>432</v>
      </c>
      <c r="I66" s="1" t="s">
        <v>433</v>
      </c>
      <c r="J66" s="1">
        <f>(32*J65*J58)/(3.14*(J43^3))</f>
        <v>290214745.57995045</v>
      </c>
      <c r="K66" s="1" t="s">
        <v>409</v>
      </c>
      <c r="L66" s="1">
        <f>J66/(1*10^6)</f>
        <v>290.21474557995043</v>
      </c>
    </row>
    <row r="67" spans="8:12" x14ac:dyDescent="0.25">
      <c r="H67" s="1" t="s">
        <v>434</v>
      </c>
      <c r="I67" s="1" t="s">
        <v>435</v>
      </c>
      <c r="J67" s="1">
        <f>(J63+J64)/2</f>
        <v>21.154748185477281</v>
      </c>
      <c r="K67" s="1" t="s">
        <v>70</v>
      </c>
      <c r="L67" s="1"/>
    </row>
    <row r="68" spans="8:12" x14ac:dyDescent="0.25">
      <c r="H68" s="1" t="s">
        <v>436</v>
      </c>
      <c r="I68" s="1" t="s">
        <v>437</v>
      </c>
      <c r="J68" s="1">
        <f>(32*J67*J58)/(3.14*(J43^3))</f>
        <v>385218501.17372292</v>
      </c>
      <c r="K68" s="1" t="s">
        <v>409</v>
      </c>
      <c r="L68" s="1">
        <f>J68/(1*10^6)</f>
        <v>385.21850117372293</v>
      </c>
    </row>
    <row r="69" spans="8:12" x14ac:dyDescent="0.25">
      <c r="H69" s="1" t="s">
        <v>438</v>
      </c>
      <c r="I69" s="1" t="s">
        <v>439</v>
      </c>
      <c r="J69" s="1">
        <f>0.64*J55</f>
        <v>925375251.06139219</v>
      </c>
      <c r="K69" s="1" t="s">
        <v>409</v>
      </c>
      <c r="L69" s="1">
        <f>J69/(1*10^6)</f>
        <v>925.37525106139219</v>
      </c>
    </row>
    <row r="70" spans="8:12" x14ac:dyDescent="0.25">
      <c r="H70" s="1" t="s">
        <v>440</v>
      </c>
      <c r="I70" s="1" t="s">
        <v>441</v>
      </c>
      <c r="J70" s="1">
        <f>(J69/2)/((1-((J69/2)/J55)^2))</f>
        <v>515471953.57697874</v>
      </c>
      <c r="K70" s="1" t="s">
        <v>409</v>
      </c>
      <c r="L70" s="1">
        <f>J70/(1*10^6)</f>
        <v>515.47195357697876</v>
      </c>
    </row>
    <row r="71" spans="8:12" x14ac:dyDescent="0.25">
      <c r="H71" s="1" t="s">
        <v>424</v>
      </c>
      <c r="I71" s="1" t="s">
        <v>442</v>
      </c>
      <c r="J71" s="1">
        <f>((0.5)*(J66/J70)*(J55/J68)^2*((-1)+SQRT((1+((2*J68*J70)/(J55*J66))))))</f>
        <v>1.5671099051738195</v>
      </c>
      <c r="K71" s="1"/>
      <c r="L71" s="1"/>
    </row>
  </sheetData>
  <mergeCells count="7">
    <mergeCell ref="H31:L31"/>
    <mergeCell ref="H42:L42"/>
    <mergeCell ref="L43:L60"/>
    <mergeCell ref="H62:L62"/>
    <mergeCell ref="H1:L1"/>
    <mergeCell ref="H4:L4"/>
    <mergeCell ref="H16:L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4F31-B251-49EA-92F7-D62722B2BF1A}">
  <dimension ref="L8:O18"/>
  <sheetViews>
    <sheetView workbookViewId="0">
      <selection activeCell="M10" sqref="M8:O18"/>
    </sheetView>
  </sheetViews>
  <sheetFormatPr defaultRowHeight="15" x14ac:dyDescent="0.25"/>
  <cols>
    <col min="13" max="13" width="18.140625" bestFit="1" customWidth="1"/>
    <col min="14" max="14" width="24.7109375" customWidth="1"/>
    <col min="15" max="15" width="23.5703125" bestFit="1" customWidth="1"/>
  </cols>
  <sheetData>
    <row r="8" spans="12:15" ht="15.75" x14ac:dyDescent="0.25">
      <c r="L8" s="54"/>
      <c r="M8" s="41" t="s">
        <v>960</v>
      </c>
      <c r="N8" s="41" t="s">
        <v>0</v>
      </c>
      <c r="O8" s="41" t="s">
        <v>961</v>
      </c>
    </row>
    <row r="9" spans="12:15" ht="15.75" x14ac:dyDescent="0.25">
      <c r="L9" s="54"/>
      <c r="M9" s="41" t="s">
        <v>955</v>
      </c>
      <c r="N9" s="41" t="s">
        <v>956</v>
      </c>
      <c r="O9" s="41" t="s">
        <v>962</v>
      </c>
    </row>
    <row r="10" spans="12:15" ht="15.75" x14ac:dyDescent="0.25">
      <c r="L10" s="54"/>
      <c r="M10" s="41" t="s">
        <v>955</v>
      </c>
      <c r="N10" s="41" t="s">
        <v>957</v>
      </c>
      <c r="O10" s="41" t="s">
        <v>963</v>
      </c>
    </row>
    <row r="11" spans="12:15" ht="15.75" x14ac:dyDescent="0.25">
      <c r="L11" s="54"/>
      <c r="M11" s="41" t="s">
        <v>958</v>
      </c>
      <c r="N11" s="41" t="s">
        <v>394</v>
      </c>
      <c r="O11" s="41" t="s">
        <v>964</v>
      </c>
    </row>
    <row r="12" spans="12:15" ht="15.75" x14ac:dyDescent="0.25">
      <c r="L12" s="54"/>
      <c r="M12" s="41" t="s">
        <v>967</v>
      </c>
      <c r="N12" s="41" t="s">
        <v>969</v>
      </c>
      <c r="O12" s="41" t="s">
        <v>974</v>
      </c>
    </row>
    <row r="13" spans="12:15" ht="15.75" x14ac:dyDescent="0.25">
      <c r="M13" s="41" t="s">
        <v>967</v>
      </c>
      <c r="N13" s="41" t="s">
        <v>970</v>
      </c>
      <c r="O13" s="41" t="s">
        <v>975</v>
      </c>
    </row>
    <row r="14" spans="12:15" ht="15.75" x14ac:dyDescent="0.25">
      <c r="M14" s="41" t="s">
        <v>968</v>
      </c>
      <c r="N14" s="41" t="s">
        <v>972</v>
      </c>
      <c r="O14" s="41" t="s">
        <v>976</v>
      </c>
    </row>
    <row r="15" spans="12:15" ht="15.75" x14ac:dyDescent="0.25">
      <c r="M15" s="41" t="s">
        <v>968</v>
      </c>
      <c r="N15" s="41" t="s">
        <v>971</v>
      </c>
      <c r="O15" s="41" t="s">
        <v>977</v>
      </c>
    </row>
    <row r="16" spans="12:15" ht="15.75" x14ac:dyDescent="0.25">
      <c r="M16" s="41" t="s">
        <v>968</v>
      </c>
      <c r="N16" s="41" t="s">
        <v>973</v>
      </c>
      <c r="O16" s="41" t="s">
        <v>978</v>
      </c>
    </row>
    <row r="17" spans="13:15" ht="15.75" x14ac:dyDescent="0.25">
      <c r="M17" s="41" t="s">
        <v>959</v>
      </c>
      <c r="N17" s="41" t="s">
        <v>582</v>
      </c>
      <c r="O17" s="41" t="s">
        <v>966</v>
      </c>
    </row>
    <row r="18" spans="13:15" ht="15.75" x14ac:dyDescent="0.25">
      <c r="M18" s="41" t="s">
        <v>959</v>
      </c>
      <c r="N18" s="41" t="s">
        <v>965</v>
      </c>
      <c r="O18" s="41" t="s">
        <v>964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ED1-42BD-4A23-878E-67153B491EA7}">
  <dimension ref="H1:X164"/>
  <sheetViews>
    <sheetView topLeftCell="F121" zoomScale="70" zoomScaleNormal="70" workbookViewId="0">
      <selection activeCell="L157" sqref="L157"/>
    </sheetView>
  </sheetViews>
  <sheetFormatPr defaultRowHeight="15.75" x14ac:dyDescent="0.25"/>
  <cols>
    <col min="1" max="7" width="9.140625" style="2"/>
    <col min="8" max="8" width="60" style="2" bestFit="1" customWidth="1"/>
    <col min="9" max="9" width="15.28515625" style="2" bestFit="1" customWidth="1"/>
    <col min="10" max="10" width="14.85546875" style="2" bestFit="1" customWidth="1"/>
    <col min="11" max="11" width="12.42578125" style="2" bestFit="1" customWidth="1"/>
    <col min="12" max="12" width="37.42578125" style="2" bestFit="1" customWidth="1"/>
    <col min="13" max="15" width="9.140625" style="2"/>
    <col min="16" max="16" width="84" style="2" bestFit="1" customWidth="1"/>
    <col min="17" max="17" width="14.28515625" style="2" bestFit="1" customWidth="1"/>
    <col min="18" max="19" width="9.140625" style="2"/>
    <col min="20" max="20" width="37.5703125" style="2" bestFit="1" customWidth="1"/>
    <col min="21" max="21" width="105.85546875" style="25" bestFit="1" customWidth="1"/>
    <col min="22" max="16384" width="9.140625" style="2"/>
  </cols>
  <sheetData>
    <row r="1" spans="8:17" x14ac:dyDescent="0.25">
      <c r="H1" s="62" t="s">
        <v>241</v>
      </c>
      <c r="I1" s="62"/>
      <c r="J1" s="62"/>
      <c r="K1" s="62"/>
      <c r="L1" s="62"/>
    </row>
    <row r="2" spans="8:17" x14ac:dyDescent="0.25">
      <c r="P2" s="56" t="s">
        <v>443</v>
      </c>
      <c r="Q2" s="56"/>
    </row>
    <row r="3" spans="8:17" x14ac:dyDescent="0.25">
      <c r="H3" s="62" t="s">
        <v>242</v>
      </c>
      <c r="I3" s="62"/>
      <c r="J3" s="62"/>
      <c r="K3" s="62"/>
      <c r="L3" s="62"/>
    </row>
    <row r="4" spans="8:17" x14ac:dyDescent="0.25">
      <c r="H4" s="1" t="s">
        <v>223</v>
      </c>
      <c r="I4" s="1" t="s">
        <v>56</v>
      </c>
      <c r="J4" s="1">
        <v>9.81</v>
      </c>
      <c r="K4" s="1" t="s">
        <v>57</v>
      </c>
      <c r="L4" s="1"/>
      <c r="P4" s="1" t="s">
        <v>8</v>
      </c>
      <c r="Q4" s="1">
        <v>303.46499999999997</v>
      </c>
    </row>
    <row r="5" spans="8:17" x14ac:dyDescent="0.25">
      <c r="H5" s="1" t="s">
        <v>243</v>
      </c>
      <c r="I5" s="1" t="s">
        <v>244</v>
      </c>
      <c r="J5" s="1">
        <f>Q4</f>
        <v>303.46499999999997</v>
      </c>
      <c r="K5" s="1" t="s">
        <v>47</v>
      </c>
      <c r="L5" s="1"/>
      <c r="P5" s="1" t="s">
        <v>10</v>
      </c>
      <c r="Q5" s="1">
        <v>0.78988874950982813</v>
      </c>
    </row>
    <row r="6" spans="8:17" x14ac:dyDescent="0.25">
      <c r="H6" s="1" t="s">
        <v>245</v>
      </c>
      <c r="I6" s="1" t="s">
        <v>246</v>
      </c>
      <c r="J6" s="1">
        <f>20.1*0.0254/2</f>
        <v>0.25527</v>
      </c>
      <c r="K6" s="1" t="s">
        <v>8</v>
      </c>
      <c r="L6" s="1"/>
      <c r="P6" s="1" t="s">
        <v>12</v>
      </c>
      <c r="Q6" s="1">
        <v>0.8131362504901718</v>
      </c>
    </row>
    <row r="7" spans="8:17" x14ac:dyDescent="0.25">
      <c r="P7" s="1" t="s">
        <v>14</v>
      </c>
      <c r="Q7" s="1">
        <v>0.28918968513667148</v>
      </c>
    </row>
    <row r="8" spans="8:17" x14ac:dyDescent="0.25">
      <c r="H8" s="62" t="s">
        <v>444</v>
      </c>
      <c r="I8" s="62"/>
      <c r="J8" s="62"/>
      <c r="K8" s="62"/>
      <c r="L8" s="62"/>
      <c r="P8" s="1" t="s">
        <v>16</v>
      </c>
      <c r="Q8" s="1">
        <v>0.86313625049017184</v>
      </c>
    </row>
    <row r="9" spans="8:17" x14ac:dyDescent="0.25">
      <c r="H9" s="1" t="s">
        <v>445</v>
      </c>
      <c r="I9" s="1" t="s">
        <v>446</v>
      </c>
      <c r="J9" s="1">
        <v>0.2</v>
      </c>
      <c r="K9" s="1" t="s">
        <v>8</v>
      </c>
      <c r="L9" s="1"/>
      <c r="P9" s="1" t="s">
        <v>18</v>
      </c>
      <c r="Q9" s="1">
        <v>0.81988874950982815</v>
      </c>
    </row>
    <row r="10" spans="8:17" x14ac:dyDescent="0.25">
      <c r="H10" s="1" t="s">
        <v>447</v>
      </c>
      <c r="I10" s="1" t="s">
        <v>448</v>
      </c>
      <c r="J10" s="1">
        <f>(23.5*(2*3.14))/180</f>
        <v>0.819888888888889</v>
      </c>
      <c r="K10" s="1" t="s">
        <v>373</v>
      </c>
      <c r="L10" s="1"/>
      <c r="P10" s="1" t="s">
        <v>20</v>
      </c>
      <c r="Q10" s="1">
        <v>0.21918968513667147</v>
      </c>
    </row>
    <row r="11" spans="8:17" x14ac:dyDescent="0.25">
      <c r="J11" s="2" t="s">
        <v>449</v>
      </c>
      <c r="P11" s="1" t="s">
        <v>22</v>
      </c>
      <c r="Q11" s="1">
        <v>0.99581031486332838</v>
      </c>
    </row>
    <row r="12" spans="8:17" x14ac:dyDescent="0.25">
      <c r="H12" s="62" t="s">
        <v>450</v>
      </c>
      <c r="I12" s="62"/>
      <c r="J12" s="62"/>
      <c r="K12" s="62"/>
      <c r="L12" s="62"/>
      <c r="P12" s="1" t="s">
        <v>24</v>
      </c>
      <c r="Q12" s="1">
        <v>0.49723493648361428</v>
      </c>
    </row>
    <row r="13" spans="8:17" x14ac:dyDescent="0.25">
      <c r="H13" s="1" t="s">
        <v>451</v>
      </c>
      <c r="I13" s="1" t="s">
        <v>446</v>
      </c>
      <c r="J13" s="1">
        <v>0.42</v>
      </c>
      <c r="K13" s="1" t="s">
        <v>8</v>
      </c>
      <c r="L13" s="1"/>
      <c r="P13" s="1" t="s">
        <v>26</v>
      </c>
      <c r="Q13" s="1">
        <v>0.50276506351638572</v>
      </c>
    </row>
    <row r="14" spans="8:17" x14ac:dyDescent="0.25">
      <c r="H14" s="1" t="s">
        <v>447</v>
      </c>
      <c r="I14" s="1" t="s">
        <v>448</v>
      </c>
      <c r="J14" s="1">
        <f>(8.91*(2*3.14))/180</f>
        <v>0.31086000000000003</v>
      </c>
      <c r="K14" s="1" t="s">
        <v>452</v>
      </c>
      <c r="L14" s="1"/>
    </row>
    <row r="16" spans="8:17" x14ac:dyDescent="0.25">
      <c r="H16" s="62" t="s">
        <v>453</v>
      </c>
      <c r="I16" s="62"/>
      <c r="J16" s="62"/>
      <c r="K16" s="62"/>
      <c r="L16" s="62"/>
    </row>
    <row r="17" spans="8:21" x14ac:dyDescent="0.25">
      <c r="H17" s="1" t="s">
        <v>454</v>
      </c>
      <c r="I17" s="1" t="s">
        <v>455</v>
      </c>
      <c r="J17" s="1">
        <f>R22</f>
        <v>0.23876</v>
      </c>
      <c r="K17" s="1" t="s">
        <v>8</v>
      </c>
      <c r="L17" s="1"/>
      <c r="Q17" s="34"/>
    </row>
    <row r="18" spans="8:21" x14ac:dyDescent="0.25">
      <c r="H18" s="1" t="s">
        <v>456</v>
      </c>
      <c r="I18" s="1" t="s">
        <v>457</v>
      </c>
      <c r="J18" s="1">
        <f>J6</f>
        <v>0.25527</v>
      </c>
      <c r="K18" s="1" t="s">
        <v>8</v>
      </c>
      <c r="L18" s="1"/>
    </row>
    <row r="19" spans="8:21" x14ac:dyDescent="0.25">
      <c r="H19" s="1" t="s">
        <v>458</v>
      </c>
      <c r="I19" s="1" t="s">
        <v>459</v>
      </c>
      <c r="J19" s="1">
        <v>0.9</v>
      </c>
      <c r="K19" s="1"/>
      <c r="L19" s="1"/>
      <c r="T19" s="25"/>
    </row>
    <row r="20" spans="8:21" x14ac:dyDescent="0.25">
      <c r="H20" s="1" t="s">
        <v>460</v>
      </c>
      <c r="I20" s="1" t="s">
        <v>319</v>
      </c>
      <c r="J20" s="1">
        <v>1.3</v>
      </c>
      <c r="K20" s="1"/>
      <c r="L20" s="1"/>
      <c r="P20" s="56" t="s">
        <v>461</v>
      </c>
      <c r="Q20" s="56"/>
      <c r="R20" s="56"/>
      <c r="S20" s="56"/>
    </row>
    <row r="21" spans="8:21" x14ac:dyDescent="0.25">
      <c r="H21" s="10" t="s">
        <v>462</v>
      </c>
      <c r="I21" s="10" t="s">
        <v>463</v>
      </c>
      <c r="J21" s="10">
        <f>Q45*3.14/180</f>
        <v>0.73266666666666669</v>
      </c>
      <c r="K21" s="10" t="s">
        <v>373</v>
      </c>
      <c r="L21" s="10">
        <f>J21*180/3.14</f>
        <v>42</v>
      </c>
    </row>
    <row r="22" spans="8:21" x14ac:dyDescent="0.25">
      <c r="H22" s="1" t="s">
        <v>464</v>
      </c>
      <c r="I22" s="1" t="s">
        <v>465</v>
      </c>
      <c r="J22" s="1">
        <v>0.08</v>
      </c>
      <c r="K22" s="1" t="s">
        <v>8</v>
      </c>
      <c r="L22" s="1"/>
      <c r="P22" s="1" t="s">
        <v>466</v>
      </c>
      <c r="Q22" s="1" t="s">
        <v>467</v>
      </c>
      <c r="R22" s="1">
        <v>0.23876</v>
      </c>
      <c r="S22" s="1" t="s">
        <v>8</v>
      </c>
      <c r="T22" s="68" t="s">
        <v>468</v>
      </c>
    </row>
    <row r="23" spans="8:21" x14ac:dyDescent="0.25">
      <c r="H23" s="10" t="s">
        <v>469</v>
      </c>
      <c r="I23" s="10" t="s">
        <v>470</v>
      </c>
      <c r="J23" s="10">
        <f>18.31*(3.14/180)</f>
        <v>0.31940777777777779</v>
      </c>
      <c r="K23" s="10" t="s">
        <v>373</v>
      </c>
      <c r="L23" s="1">
        <f>J23*180/3.14</f>
        <v>18.309999999999999</v>
      </c>
      <c r="P23" s="1" t="s">
        <v>456</v>
      </c>
      <c r="Q23" s="1" t="s">
        <v>471</v>
      </c>
      <c r="R23" s="1">
        <v>0.25527</v>
      </c>
      <c r="S23" s="1" t="s">
        <v>8</v>
      </c>
      <c r="T23" s="70"/>
    </row>
    <row r="24" spans="8:21" x14ac:dyDescent="0.25">
      <c r="H24" s="10" t="s">
        <v>472</v>
      </c>
      <c r="I24" s="10" t="s">
        <v>473</v>
      </c>
      <c r="J24" s="10">
        <v>3.2000000000000002E-3</v>
      </c>
      <c r="K24" s="10" t="s">
        <v>8</v>
      </c>
      <c r="L24" s="1" t="s">
        <v>474</v>
      </c>
      <c r="P24" s="1" t="s">
        <v>475</v>
      </c>
      <c r="Q24" s="1" t="s">
        <v>476</v>
      </c>
      <c r="R24" s="1">
        <v>1.2538</v>
      </c>
      <c r="S24" s="1" t="s">
        <v>8</v>
      </c>
      <c r="T24" s="70"/>
    </row>
    <row r="25" spans="8:21" x14ac:dyDescent="0.25">
      <c r="H25" s="4" t="s">
        <v>477</v>
      </c>
      <c r="I25" s="4" t="s">
        <v>478</v>
      </c>
      <c r="J25" s="4">
        <f>((2/3)*J19*J27*J26)</f>
        <v>44.007277710323301</v>
      </c>
      <c r="K25" s="4" t="s">
        <v>330</v>
      </c>
      <c r="L25" s="1"/>
      <c r="P25" s="1" t="s">
        <v>479</v>
      </c>
      <c r="Q25" s="1" t="s">
        <v>480</v>
      </c>
      <c r="R25" s="1">
        <f>R45</f>
        <v>0.7326666666666668</v>
      </c>
      <c r="S25" s="1" t="s">
        <v>373</v>
      </c>
      <c r="T25" s="70"/>
      <c r="U25" s="39">
        <f>R25*180/3.14</f>
        <v>42.000000000000007</v>
      </c>
    </row>
    <row r="26" spans="8:21" x14ac:dyDescent="0.25">
      <c r="H26" s="1" t="s">
        <v>481</v>
      </c>
      <c r="I26" s="1" t="s">
        <v>482</v>
      </c>
      <c r="J26" s="1">
        <f>0.1</f>
        <v>0.1</v>
      </c>
      <c r="K26" s="1" t="s">
        <v>8</v>
      </c>
      <c r="L26" s="1"/>
      <c r="P26" s="1" t="s">
        <v>483</v>
      </c>
      <c r="Q26" s="1" t="s">
        <v>484</v>
      </c>
      <c r="R26" s="1">
        <f>ATAN(R28/(R30+(R24/2)))</f>
        <v>0.48587226111030085</v>
      </c>
      <c r="S26" s="1" t="s">
        <v>373</v>
      </c>
      <c r="T26" s="70"/>
      <c r="U26" s="39">
        <f>R26*180/3.14</f>
        <v>27.852549999953553</v>
      </c>
    </row>
    <row r="27" spans="8:21" x14ac:dyDescent="0.25">
      <c r="H27" s="1" t="s">
        <v>485</v>
      </c>
      <c r="I27" s="1" t="s">
        <v>486</v>
      </c>
      <c r="J27" s="1">
        <f>'Kinematic Models'!C74</f>
        <v>733.45462850538831</v>
      </c>
      <c r="K27" s="1" t="s">
        <v>75</v>
      </c>
      <c r="L27" s="1"/>
      <c r="P27" s="1" t="s">
        <v>487</v>
      </c>
      <c r="Q27" s="1" t="s">
        <v>375</v>
      </c>
      <c r="R27" s="1">
        <f>Q5</f>
        <v>0.78988874950982813</v>
      </c>
      <c r="S27" s="1" t="s">
        <v>8</v>
      </c>
      <c r="T27" s="70"/>
    </row>
    <row r="28" spans="8:21" x14ac:dyDescent="0.25">
      <c r="H28" s="1" t="s">
        <v>488</v>
      </c>
      <c r="I28" s="1" t="s">
        <v>489</v>
      </c>
      <c r="J28" s="1">
        <f>(J25)/((J22*COS(J21-J23)))</f>
        <v>600.65603991069406</v>
      </c>
      <c r="K28" s="1" t="s">
        <v>75</v>
      </c>
      <c r="L28" s="1"/>
      <c r="P28" s="1" t="s">
        <v>490</v>
      </c>
      <c r="Q28" s="1" t="s">
        <v>271</v>
      </c>
      <c r="R28" s="1">
        <f>Q5+Q6</f>
        <v>1.6030249999999999</v>
      </c>
      <c r="S28" s="1" t="s">
        <v>8</v>
      </c>
      <c r="T28" s="70"/>
    </row>
    <row r="29" spans="8:21" x14ac:dyDescent="0.25">
      <c r="H29" s="4" t="s">
        <v>491</v>
      </c>
      <c r="I29" s="4" t="s">
        <v>492</v>
      </c>
      <c r="J29" s="4">
        <f>J28</f>
        <v>600.65603991069406</v>
      </c>
      <c r="K29" s="4" t="s">
        <v>75</v>
      </c>
      <c r="L29" s="1"/>
      <c r="P29" s="1" t="s">
        <v>493</v>
      </c>
      <c r="Q29" s="1" t="s">
        <v>494</v>
      </c>
      <c r="R29" s="1">
        <f>SQRT((R27^2)+(R28^2)*((_xlfn.COT(R26)+_xlfn.COT(R25))/2)^2)</f>
        <v>2.5347853880628248</v>
      </c>
      <c r="S29" s="1" t="s">
        <v>8</v>
      </c>
      <c r="T29" s="70"/>
    </row>
    <row r="30" spans="8:21" x14ac:dyDescent="0.25">
      <c r="H30" s="4" t="s">
        <v>495</v>
      </c>
      <c r="I30" s="4" t="s">
        <v>496</v>
      </c>
      <c r="J30" s="4">
        <f>((4/3)*(J29/((3.14*J24^2)/(4))))</f>
        <v>99631110.653976575</v>
      </c>
      <c r="K30" s="4" t="s">
        <v>409</v>
      </c>
      <c r="L30" s="1"/>
      <c r="P30" s="1" t="s">
        <v>497</v>
      </c>
      <c r="Q30" s="1" t="s">
        <v>498</v>
      </c>
      <c r="R30" s="1">
        <f>((R28)/TAN(R25))+(R24/2)</f>
        <v>2.4085706813242176</v>
      </c>
      <c r="S30" s="1" t="s">
        <v>8</v>
      </c>
      <c r="T30" s="70"/>
    </row>
    <row r="31" spans="8:21" x14ac:dyDescent="0.25">
      <c r="H31" s="4" t="s">
        <v>499</v>
      </c>
      <c r="I31" s="4" t="s">
        <v>500</v>
      </c>
      <c r="J31" s="4">
        <f>0.58*240000000</f>
        <v>139200000</v>
      </c>
      <c r="K31" s="4" t="s">
        <v>409</v>
      </c>
      <c r="L31" s="1"/>
      <c r="T31" s="70"/>
    </row>
    <row r="32" spans="8:21" x14ac:dyDescent="0.25">
      <c r="H32" s="4" t="s">
        <v>501</v>
      </c>
      <c r="I32" s="4" t="s">
        <v>502</v>
      </c>
      <c r="J32" s="4">
        <f>J31/J30</f>
        <v>1.3971539520767564</v>
      </c>
      <c r="K32" s="4"/>
      <c r="L32" s="1"/>
      <c r="P32" s="62" t="s">
        <v>503</v>
      </c>
      <c r="Q32" s="56"/>
      <c r="R32" s="56"/>
      <c r="S32" s="56"/>
      <c r="T32" s="70"/>
    </row>
    <row r="33" spans="8:22" x14ac:dyDescent="0.25">
      <c r="T33" s="70"/>
    </row>
    <row r="34" spans="8:22" x14ac:dyDescent="0.25">
      <c r="H34" s="62" t="s">
        <v>504</v>
      </c>
      <c r="I34" s="62"/>
      <c r="J34" s="62"/>
      <c r="K34" s="62"/>
      <c r="L34" s="62"/>
      <c r="P34" s="1" t="s">
        <v>505</v>
      </c>
      <c r="Q34" s="1"/>
      <c r="R34" s="1">
        <v>0.13850000000000001</v>
      </c>
      <c r="S34" s="1" t="s">
        <v>8</v>
      </c>
      <c r="T34" s="70"/>
    </row>
    <row r="35" spans="8:22" x14ac:dyDescent="0.25">
      <c r="H35" s="1" t="s">
        <v>506</v>
      </c>
      <c r="I35" s="1" t="s">
        <v>507</v>
      </c>
      <c r="J35" s="1">
        <f>R81</f>
        <v>0.14976232258553995</v>
      </c>
      <c r="K35" s="1" t="s">
        <v>373</v>
      </c>
      <c r="L35" s="1"/>
      <c r="P35" s="1" t="s">
        <v>508</v>
      </c>
      <c r="Q35" s="1"/>
      <c r="R35" s="1">
        <v>0.27318999999999999</v>
      </c>
      <c r="S35" s="1" t="s">
        <v>8</v>
      </c>
      <c r="T35" s="70"/>
    </row>
    <row r="36" spans="8:22" x14ac:dyDescent="0.25">
      <c r="H36" s="1" t="s">
        <v>509</v>
      </c>
      <c r="I36" s="1" t="s">
        <v>510</v>
      </c>
      <c r="J36" s="1">
        <f>J37/((COS(J35)))</f>
        <v>607.45555228168485</v>
      </c>
      <c r="K36" s="1" t="s">
        <v>75</v>
      </c>
      <c r="L36" s="1"/>
      <c r="P36" s="1" t="s">
        <v>511</v>
      </c>
      <c r="Q36" s="1"/>
      <c r="R36" s="1">
        <v>0.24548</v>
      </c>
      <c r="S36" s="1" t="s">
        <v>8</v>
      </c>
      <c r="T36" s="70"/>
    </row>
    <row r="37" spans="8:22" x14ac:dyDescent="0.25">
      <c r="H37" s="4" t="s">
        <v>512</v>
      </c>
      <c r="I37" s="4" t="s">
        <v>513</v>
      </c>
      <c r="J37" s="4">
        <f>J29</f>
        <v>600.65603991069406</v>
      </c>
      <c r="K37" s="4" t="s">
        <v>75</v>
      </c>
      <c r="L37" s="1"/>
      <c r="T37" s="70"/>
    </row>
    <row r="38" spans="8:22" x14ac:dyDescent="0.25">
      <c r="H38" s="10" t="s">
        <v>514</v>
      </c>
      <c r="I38" s="10" t="s">
        <v>515</v>
      </c>
      <c r="J38" s="10">
        <v>20.100000000000001</v>
      </c>
      <c r="K38" s="10" t="s">
        <v>516</v>
      </c>
      <c r="L38" s="1"/>
      <c r="P38" s="1" t="s">
        <v>517</v>
      </c>
      <c r="Q38" s="1"/>
      <c r="R38" s="1">
        <v>0.25073000000000001</v>
      </c>
      <c r="S38" s="1" t="s">
        <v>8</v>
      </c>
      <c r="T38" s="70"/>
    </row>
    <row r="39" spans="8:22" x14ac:dyDescent="0.25">
      <c r="H39" s="4" t="s">
        <v>518</v>
      </c>
      <c r="I39" s="4" t="s">
        <v>519</v>
      </c>
      <c r="J39" s="4">
        <f>(J36/J38)*10^6</f>
        <v>30221669.26774551</v>
      </c>
      <c r="K39" s="4" t="s">
        <v>409</v>
      </c>
      <c r="L39" s="1"/>
      <c r="P39" s="1" t="s">
        <v>520</v>
      </c>
      <c r="Q39" s="1"/>
      <c r="R39" s="1">
        <v>0.24548</v>
      </c>
      <c r="S39" s="1" t="s">
        <v>8</v>
      </c>
      <c r="T39" s="70"/>
      <c r="U39" s="68" t="s">
        <v>521</v>
      </c>
      <c r="V39" s="68"/>
    </row>
    <row r="40" spans="8:22" x14ac:dyDescent="0.25">
      <c r="H40" s="4" t="s">
        <v>522</v>
      </c>
      <c r="I40" s="4" t="s">
        <v>362</v>
      </c>
      <c r="J40" s="4">
        <f>220000000</f>
        <v>220000000</v>
      </c>
      <c r="K40" s="4" t="s">
        <v>409</v>
      </c>
      <c r="L40" s="1">
        <f>220000000</f>
        <v>220000000</v>
      </c>
      <c r="P40" s="1" t="s">
        <v>523</v>
      </c>
      <c r="Q40" s="1"/>
      <c r="R40" s="1">
        <v>0.42625000000000002</v>
      </c>
      <c r="S40" s="1" t="s">
        <v>8</v>
      </c>
      <c r="T40" s="70"/>
      <c r="U40" s="25">
        <v>0.28245999999999999</v>
      </c>
      <c r="V40" s="25" t="s">
        <v>8</v>
      </c>
    </row>
    <row r="41" spans="8:22" x14ac:dyDescent="0.25">
      <c r="H41" s="4" t="s">
        <v>424</v>
      </c>
      <c r="I41" s="4" t="s">
        <v>319</v>
      </c>
      <c r="J41" s="4">
        <f>J40/J39</f>
        <v>7.2795449533556376</v>
      </c>
      <c r="K41" s="4" t="s">
        <v>409</v>
      </c>
      <c r="L41" s="1"/>
      <c r="P41" s="1" t="s">
        <v>524</v>
      </c>
      <c r="Q41" s="1"/>
      <c r="R41" s="1">
        <v>0.21418000000000001</v>
      </c>
      <c r="S41" s="1" t="s">
        <v>8</v>
      </c>
      <c r="T41" s="70"/>
    </row>
    <row r="42" spans="8:22" x14ac:dyDescent="0.25">
      <c r="P42" s="1" t="s">
        <v>525</v>
      </c>
      <c r="Q42" s="1"/>
      <c r="R42" s="1">
        <v>8.43E-2</v>
      </c>
      <c r="S42" s="1" t="s">
        <v>8</v>
      </c>
      <c r="T42" s="70"/>
    </row>
    <row r="43" spans="8:22" x14ac:dyDescent="0.25">
      <c r="H43" s="62" t="s">
        <v>526</v>
      </c>
      <c r="I43" s="62"/>
      <c r="J43" s="62"/>
      <c r="K43" s="62"/>
      <c r="L43" s="62"/>
      <c r="P43" s="1" t="s">
        <v>527</v>
      </c>
      <c r="Q43" s="1"/>
      <c r="R43" s="1">
        <f>R41-R42</f>
        <v>0.12988</v>
      </c>
      <c r="S43" s="1" t="s">
        <v>8</v>
      </c>
      <c r="T43" s="70"/>
    </row>
    <row r="44" spans="8:22" x14ac:dyDescent="0.25">
      <c r="H44" s="10" t="s">
        <v>528</v>
      </c>
      <c r="I44" s="10" t="s">
        <v>529</v>
      </c>
      <c r="J44" s="10">
        <v>8.5000000000000006E-3</v>
      </c>
      <c r="K44" s="10" t="s">
        <v>8</v>
      </c>
      <c r="L44" s="1"/>
      <c r="P44" s="1" t="s">
        <v>530</v>
      </c>
      <c r="Q44" s="1">
        <v>42</v>
      </c>
      <c r="R44" s="1">
        <f>ASIN((R43/J18))</f>
        <v>0.53378403895446758</v>
      </c>
      <c r="S44" s="1" t="s">
        <v>373</v>
      </c>
      <c r="T44" s="70"/>
    </row>
    <row r="45" spans="8:22" x14ac:dyDescent="0.25">
      <c r="H45" s="10" t="s">
        <v>531</v>
      </c>
      <c r="I45" s="10" t="s">
        <v>532</v>
      </c>
      <c r="J45" s="10">
        <v>6.0000000000000001E-3</v>
      </c>
      <c r="K45" s="10" t="s">
        <v>8</v>
      </c>
      <c r="L45" s="1"/>
      <c r="P45" s="1" t="s">
        <v>530</v>
      </c>
      <c r="Q45" s="1">
        <v>42</v>
      </c>
      <c r="R45" s="1">
        <f>Q45*(3.14/180)</f>
        <v>0.7326666666666668</v>
      </c>
      <c r="S45" s="1" t="s">
        <v>373</v>
      </c>
      <c r="T45" s="70"/>
    </row>
    <row r="46" spans="8:22" x14ac:dyDescent="0.25">
      <c r="H46" s="1" t="s">
        <v>533</v>
      </c>
      <c r="I46" s="1" t="s">
        <v>534</v>
      </c>
      <c r="J46" s="1">
        <f>J36</f>
        <v>607.45555228168485</v>
      </c>
      <c r="K46" s="1" t="s">
        <v>75</v>
      </c>
      <c r="L46" s="1"/>
    </row>
    <row r="47" spans="8:22" x14ac:dyDescent="0.25">
      <c r="H47" s="1" t="s">
        <v>535</v>
      </c>
      <c r="I47" s="1" t="s">
        <v>507</v>
      </c>
      <c r="J47" s="1">
        <f>J35</f>
        <v>0.14976232258553995</v>
      </c>
      <c r="K47" s="1" t="s">
        <v>536</v>
      </c>
      <c r="L47" s="1"/>
    </row>
    <row r="48" spans="8:22" x14ac:dyDescent="0.25">
      <c r="H48" s="1" t="s">
        <v>537</v>
      </c>
      <c r="I48" s="1" t="s">
        <v>538</v>
      </c>
      <c r="J48" s="1">
        <f>R77</f>
        <v>0.2949</v>
      </c>
      <c r="K48" s="1" t="s">
        <v>8</v>
      </c>
      <c r="L48" s="1"/>
      <c r="P48" s="62" t="s">
        <v>539</v>
      </c>
      <c r="Q48" s="62"/>
      <c r="R48" s="62"/>
      <c r="S48" s="62"/>
    </row>
    <row r="49" spans="8:12" x14ac:dyDescent="0.25">
      <c r="H49" s="4" t="s">
        <v>518</v>
      </c>
      <c r="I49" s="4" t="s">
        <v>519</v>
      </c>
      <c r="J49" s="4">
        <f>J46/((3.14/4)*((J44^2-J45^2)))</f>
        <v>21346999.421275984</v>
      </c>
      <c r="K49" s="4" t="s">
        <v>409</v>
      </c>
      <c r="L49" s="1"/>
    </row>
    <row r="50" spans="8:12" x14ac:dyDescent="0.25">
      <c r="H50" s="4" t="s">
        <v>424</v>
      </c>
      <c r="I50" s="4" t="s">
        <v>319</v>
      </c>
      <c r="J50" s="4">
        <f>J40/J49</f>
        <v>10.305898063628177</v>
      </c>
      <c r="K50" s="4"/>
      <c r="L50" s="1"/>
    </row>
    <row r="52" spans="8:12" x14ac:dyDescent="0.25">
      <c r="H52" s="62" t="s">
        <v>540</v>
      </c>
      <c r="I52" s="62"/>
      <c r="J52" s="62"/>
      <c r="K52" s="62"/>
      <c r="L52" s="62"/>
    </row>
    <row r="53" spans="8:12" x14ac:dyDescent="0.25">
      <c r="H53" s="4" t="s">
        <v>541</v>
      </c>
      <c r="I53" s="4" t="s">
        <v>542</v>
      </c>
      <c r="J53" s="4">
        <f>((3.14^2)*(J54)*(J55))/((J48))</f>
        <v>2639.0885978840824</v>
      </c>
      <c r="K53" s="4" t="s">
        <v>75</v>
      </c>
      <c r="L53" s="1"/>
    </row>
    <row r="54" spans="8:12" x14ac:dyDescent="0.25">
      <c r="H54" s="1" t="s">
        <v>407</v>
      </c>
      <c r="I54" s="1" t="s">
        <v>543</v>
      </c>
      <c r="J54" s="23">
        <f>205*10^9</f>
        <v>205000000000</v>
      </c>
      <c r="K54" s="1" t="s">
        <v>409</v>
      </c>
      <c r="L54" s="1"/>
    </row>
    <row r="55" spans="8:12" x14ac:dyDescent="0.25">
      <c r="H55" s="1" t="s">
        <v>544</v>
      </c>
      <c r="I55" s="1" t="s">
        <v>545</v>
      </c>
      <c r="J55" s="1">
        <f>((3.14/2)*(((J44/2)^4)-(J45/2)^4))</f>
        <v>3.8504863281250014E-10</v>
      </c>
      <c r="K55" s="1" t="s">
        <v>546</v>
      </c>
      <c r="L55" s="1"/>
    </row>
    <row r="56" spans="8:12" x14ac:dyDescent="0.25">
      <c r="H56" s="4" t="s">
        <v>424</v>
      </c>
      <c r="I56" s="4" t="s">
        <v>547</v>
      </c>
      <c r="J56" s="4">
        <f>J53/J46</f>
        <v>4.3444966269076151</v>
      </c>
      <c r="K56" s="4"/>
      <c r="L56" s="1"/>
    </row>
    <row r="58" spans="8:12" x14ac:dyDescent="0.25">
      <c r="H58" s="62" t="s">
        <v>548</v>
      </c>
      <c r="I58" s="62"/>
      <c r="J58" s="62"/>
      <c r="K58" s="62"/>
      <c r="L58" s="62"/>
    </row>
    <row r="59" spans="8:12" x14ac:dyDescent="0.25">
      <c r="H59" s="4" t="s">
        <v>549</v>
      </c>
      <c r="I59" s="4" t="s">
        <v>550</v>
      </c>
      <c r="J59" s="4">
        <f>J46</f>
        <v>607.45555228168485</v>
      </c>
      <c r="K59" s="4" t="s">
        <v>75</v>
      </c>
      <c r="L59" s="1"/>
    </row>
    <row r="60" spans="8:12" x14ac:dyDescent="0.25">
      <c r="H60" s="4" t="s">
        <v>551</v>
      </c>
      <c r="I60" s="4" t="s">
        <v>552</v>
      </c>
      <c r="J60" s="4">
        <f>J59</f>
        <v>607.45555228168485</v>
      </c>
      <c r="K60" s="4" t="s">
        <v>75</v>
      </c>
      <c r="L60" s="1"/>
    </row>
    <row r="61" spans="8:12" x14ac:dyDescent="0.25">
      <c r="H61" s="4" t="s">
        <v>553</v>
      </c>
      <c r="I61" s="4" t="s">
        <v>554</v>
      </c>
      <c r="J61" s="4">
        <f>(2*0.58*J63)*(3.14/4)*(J64^2)</f>
        <v>7211.9519999999993</v>
      </c>
      <c r="K61" s="4" t="s">
        <v>75</v>
      </c>
      <c r="L61" s="1"/>
    </row>
    <row r="62" spans="8:12" x14ac:dyDescent="0.25">
      <c r="H62" s="1" t="s">
        <v>555</v>
      </c>
      <c r="I62" s="1" t="s">
        <v>500</v>
      </c>
      <c r="J62" s="23">
        <f>0.58*J63</f>
        <v>127599999.99999999</v>
      </c>
      <c r="K62" s="1" t="s">
        <v>409</v>
      </c>
      <c r="L62" s="1"/>
    </row>
    <row r="63" spans="8:12" x14ac:dyDescent="0.25">
      <c r="H63" s="1" t="s">
        <v>418</v>
      </c>
      <c r="I63" s="1" t="s">
        <v>362</v>
      </c>
      <c r="J63" s="23">
        <v>220000000</v>
      </c>
      <c r="K63" s="1" t="s">
        <v>409</v>
      </c>
      <c r="L63" s="1"/>
    </row>
    <row r="64" spans="8:12" x14ac:dyDescent="0.25">
      <c r="H64" s="1" t="s">
        <v>556</v>
      </c>
      <c r="I64" s="1" t="s">
        <v>557</v>
      </c>
      <c r="J64" s="1">
        <v>6.0000000000000001E-3</v>
      </c>
      <c r="K64" s="1" t="s">
        <v>8</v>
      </c>
      <c r="L64" s="1"/>
    </row>
    <row r="65" spans="8:19" x14ac:dyDescent="0.25">
      <c r="H65" s="4" t="s">
        <v>558</v>
      </c>
      <c r="I65" s="4" t="s">
        <v>496</v>
      </c>
      <c r="J65" s="4">
        <f>(4/3)*((J61/((3.14*(J64/4)^2))))</f>
        <v>1361066666.6666665</v>
      </c>
      <c r="K65" s="4" t="s">
        <v>409</v>
      </c>
      <c r="L65" s="1"/>
    </row>
    <row r="66" spans="8:19" x14ac:dyDescent="0.25">
      <c r="H66" s="4" t="s">
        <v>559</v>
      </c>
      <c r="I66" s="4" t="s">
        <v>560</v>
      </c>
      <c r="J66" s="4">
        <f>((4/3))*((J60/((3.14*(J64/4)^2))))</f>
        <v>114641293.188334</v>
      </c>
      <c r="K66" s="4" t="s">
        <v>409</v>
      </c>
      <c r="L66" s="1"/>
    </row>
    <row r="67" spans="8:19" x14ac:dyDescent="0.25">
      <c r="H67" s="4" t="s">
        <v>424</v>
      </c>
      <c r="I67" s="4" t="s">
        <v>319</v>
      </c>
      <c r="J67" s="4">
        <f>J65/J66</f>
        <v>11.872394569299658</v>
      </c>
      <c r="K67" s="4"/>
      <c r="L67" s="1"/>
    </row>
    <row r="69" spans="8:19" x14ac:dyDescent="0.25">
      <c r="H69" s="62" t="s">
        <v>561</v>
      </c>
      <c r="I69" s="62"/>
      <c r="J69" s="62"/>
      <c r="K69" s="62"/>
      <c r="L69" s="62"/>
    </row>
    <row r="70" spans="8:19" x14ac:dyDescent="0.25">
      <c r="H70" s="1" t="s">
        <v>562</v>
      </c>
      <c r="I70" s="1" t="s">
        <v>563</v>
      </c>
      <c r="J70" s="1">
        <f>R79</f>
        <v>4.3999999999999997E-2</v>
      </c>
      <c r="K70" s="1" t="s">
        <v>8</v>
      </c>
      <c r="L70" s="59" t="s">
        <v>564</v>
      </c>
    </row>
    <row r="71" spans="8:19" x14ac:dyDescent="0.25">
      <c r="H71" s="10" t="s">
        <v>565</v>
      </c>
      <c r="I71" s="10" t="s">
        <v>566</v>
      </c>
      <c r="J71" s="10">
        <f>R78</f>
        <v>0.4572</v>
      </c>
      <c r="K71" s="10" t="s">
        <v>8</v>
      </c>
      <c r="L71" s="56"/>
    </row>
    <row r="72" spans="8:19" x14ac:dyDescent="0.25">
      <c r="H72" s="10" t="s">
        <v>567</v>
      </c>
      <c r="I72" s="10" t="s">
        <v>568</v>
      </c>
      <c r="J72" s="10">
        <f>1.5*0.0254</f>
        <v>3.8099999999999995E-2</v>
      </c>
      <c r="K72" s="10" t="s">
        <v>8</v>
      </c>
      <c r="L72" s="56"/>
    </row>
    <row r="73" spans="8:19" x14ac:dyDescent="0.25">
      <c r="H73" s="10" t="s">
        <v>569</v>
      </c>
      <c r="I73" s="10" t="s">
        <v>557</v>
      </c>
      <c r="J73" s="10">
        <f>J64</f>
        <v>6.0000000000000001E-3</v>
      </c>
      <c r="K73" s="10" t="s">
        <v>8</v>
      </c>
      <c r="L73" s="56"/>
    </row>
    <row r="74" spans="8:19" x14ac:dyDescent="0.25">
      <c r="H74" s="1" t="s">
        <v>570</v>
      </c>
      <c r="I74" s="1" t="s">
        <v>571</v>
      </c>
      <c r="J74" s="1">
        <v>2.8</v>
      </c>
      <c r="K74" s="1"/>
      <c r="L74" s="1"/>
    </row>
    <row r="75" spans="8:19" x14ac:dyDescent="0.25">
      <c r="H75" s="4" t="s">
        <v>572</v>
      </c>
      <c r="I75" s="4" t="s">
        <v>573</v>
      </c>
      <c r="J75" s="4">
        <f>J60*COS((J77))</f>
        <v>526.15254360032225</v>
      </c>
      <c r="K75" s="4" t="s">
        <v>75</v>
      </c>
      <c r="L75" s="1"/>
    </row>
    <row r="76" spans="8:19" x14ac:dyDescent="0.25">
      <c r="H76" s="4" t="s">
        <v>574</v>
      </c>
      <c r="I76" s="4" t="s">
        <v>575</v>
      </c>
      <c r="J76" s="4">
        <f>J60*SIN((J77))</f>
        <v>303.58812371494008</v>
      </c>
      <c r="K76" s="4" t="s">
        <v>75</v>
      </c>
      <c r="L76" s="1"/>
    </row>
    <row r="77" spans="8:19" x14ac:dyDescent="0.25">
      <c r="H77" s="4" t="s">
        <v>576</v>
      </c>
      <c r="I77" s="4" t="s">
        <v>577</v>
      </c>
      <c r="J77" s="4">
        <f>30*3.14/180</f>
        <v>0.52333333333333332</v>
      </c>
      <c r="K77" s="4" t="s">
        <v>578</v>
      </c>
      <c r="L77" s="1">
        <f>J77*180/3.14</f>
        <v>30</v>
      </c>
      <c r="P77" s="1" t="s">
        <v>537</v>
      </c>
      <c r="Q77" s="1" t="s">
        <v>579</v>
      </c>
      <c r="R77" s="1">
        <v>0.2949</v>
      </c>
      <c r="S77" s="1" t="s">
        <v>8</v>
      </c>
    </row>
    <row r="78" spans="8:19" x14ac:dyDescent="0.25">
      <c r="H78" s="4" t="s">
        <v>580</v>
      </c>
      <c r="I78" s="4" t="s">
        <v>581</v>
      </c>
      <c r="J78" s="4">
        <f>J75*2</f>
        <v>1052.3050872006445</v>
      </c>
      <c r="K78" s="4" t="s">
        <v>75</v>
      </c>
      <c r="L78" s="1"/>
      <c r="P78" s="1" t="s">
        <v>582</v>
      </c>
      <c r="Q78" s="1" t="s">
        <v>566</v>
      </c>
      <c r="R78" s="1">
        <v>0.4572</v>
      </c>
      <c r="S78" s="1" t="s">
        <v>8</v>
      </c>
    </row>
    <row r="79" spans="8:19" x14ac:dyDescent="0.25">
      <c r="H79" s="4" t="s">
        <v>583</v>
      </c>
      <c r="I79" s="4" t="s">
        <v>584</v>
      </c>
      <c r="J79" s="4">
        <f>J74*((J75)/(2*(0.02-J73)*(J72/3)))</f>
        <v>4142933.4141757656</v>
      </c>
      <c r="K79" s="4" t="s">
        <v>409</v>
      </c>
      <c r="L79" s="1"/>
      <c r="P79" s="1" t="s">
        <v>585</v>
      </c>
      <c r="Q79" s="1" t="s">
        <v>563</v>
      </c>
      <c r="R79" s="1">
        <v>4.3999999999999997E-2</v>
      </c>
      <c r="S79" s="1" t="s">
        <v>8</v>
      </c>
    </row>
    <row r="80" spans="8:19" x14ac:dyDescent="0.25">
      <c r="H80" s="4" t="s">
        <v>424</v>
      </c>
      <c r="I80" s="4" t="s">
        <v>319</v>
      </c>
      <c r="J80" s="4">
        <f>(J40)/J79</f>
        <v>53.102470642475652</v>
      </c>
      <c r="K80" s="4"/>
      <c r="L80" s="1" t="s">
        <v>586</v>
      </c>
      <c r="P80" s="1" t="s">
        <v>567</v>
      </c>
      <c r="Q80" s="1" t="s">
        <v>568</v>
      </c>
      <c r="R80" s="1">
        <v>2.6499999999999999E-2</v>
      </c>
      <c r="S80" s="1" t="s">
        <v>8</v>
      </c>
    </row>
    <row r="81" spans="8:24" x14ac:dyDescent="0.25">
      <c r="P81" s="1" t="s">
        <v>587</v>
      </c>
      <c r="Q81" s="1" t="s">
        <v>588</v>
      </c>
      <c r="R81" s="1">
        <f>ASIN(R79/R77)</f>
        <v>0.14976232258553995</v>
      </c>
      <c r="S81" s="1" t="s">
        <v>373</v>
      </c>
    </row>
    <row r="82" spans="8:24" x14ac:dyDescent="0.25">
      <c r="H82" s="62" t="s">
        <v>589</v>
      </c>
      <c r="I82" s="62"/>
      <c r="J82" s="62"/>
      <c r="K82" s="62"/>
      <c r="L82" s="62"/>
      <c r="P82" s="1" t="s">
        <v>587</v>
      </c>
      <c r="Q82" s="1" t="s">
        <v>588</v>
      </c>
      <c r="R82" s="1">
        <f>R81*180/3.14</f>
        <v>8.5851012947124818</v>
      </c>
      <c r="S82" s="1" t="s">
        <v>452</v>
      </c>
    </row>
    <row r="83" spans="8:24" x14ac:dyDescent="0.25">
      <c r="H83" s="1" t="s">
        <v>590</v>
      </c>
      <c r="I83" s="1" t="s">
        <v>591</v>
      </c>
      <c r="J83" s="1">
        <f>(2*(J84)*SIN(0.5*J85))/J86</f>
        <v>1.0295517634916297E-2</v>
      </c>
      <c r="K83" s="1" t="s">
        <v>8</v>
      </c>
      <c r="L83" s="1"/>
    </row>
    <row r="84" spans="8:24" x14ac:dyDescent="0.25">
      <c r="H84" s="1" t="s">
        <v>592</v>
      </c>
      <c r="I84" s="1" t="s">
        <v>593</v>
      </c>
      <c r="J84" s="1">
        <f>R77</f>
        <v>0.2949</v>
      </c>
      <c r="K84" s="1" t="s">
        <v>8</v>
      </c>
      <c r="L84" s="1"/>
    </row>
    <row r="85" spans="8:24" x14ac:dyDescent="0.25">
      <c r="H85" s="1" t="s">
        <v>594</v>
      </c>
      <c r="I85" s="1" t="s">
        <v>595</v>
      </c>
      <c r="J85" s="1">
        <f>R81</f>
        <v>0.14976232258553995</v>
      </c>
      <c r="K85" s="1" t="s">
        <v>373</v>
      </c>
      <c r="L85" s="1"/>
    </row>
    <row r="86" spans="8:24" x14ac:dyDescent="0.25">
      <c r="H86" s="1" t="s">
        <v>596</v>
      </c>
      <c r="I86" s="1" t="s">
        <v>597</v>
      </c>
      <c r="J86" s="1">
        <f>R101</f>
        <v>4.2857142857142847</v>
      </c>
      <c r="K86" s="1"/>
      <c r="L86" s="1"/>
      <c r="P86" s="62" t="s">
        <v>598</v>
      </c>
      <c r="Q86" s="62"/>
      <c r="R86" s="62"/>
      <c r="S86" s="62"/>
      <c r="U86" s="25" t="s">
        <v>599</v>
      </c>
    </row>
    <row r="87" spans="8:24" x14ac:dyDescent="0.25">
      <c r="H87" s="1" t="s">
        <v>600</v>
      </c>
      <c r="I87" s="1" t="s">
        <v>601</v>
      </c>
      <c r="J87" s="1">
        <f>R92/1000</f>
        <v>8.8899999999999993E-2</v>
      </c>
      <c r="K87" s="1" t="s">
        <v>8</v>
      </c>
      <c r="L87" s="1"/>
    </row>
    <row r="88" spans="8:24" x14ac:dyDescent="0.25">
      <c r="H88" s="1" t="s">
        <v>602</v>
      </c>
      <c r="I88" s="1" t="s">
        <v>476</v>
      </c>
      <c r="J88" s="1">
        <f>(J90*J87)/2</f>
        <v>46.774961126068646</v>
      </c>
      <c r="K88" s="1" t="s">
        <v>330</v>
      </c>
      <c r="L88" s="1"/>
      <c r="P88" s="1" t="s">
        <v>603</v>
      </c>
      <c r="Q88" s="1" t="s">
        <v>389</v>
      </c>
      <c r="R88" s="1">
        <v>3.5</v>
      </c>
      <c r="S88" s="1" t="s">
        <v>604</v>
      </c>
      <c r="U88" s="27" t="s">
        <v>605</v>
      </c>
    </row>
    <row r="89" spans="8:24" x14ac:dyDescent="0.25">
      <c r="H89" s="1" t="s">
        <v>606</v>
      </c>
      <c r="I89" s="1" t="s">
        <v>577</v>
      </c>
      <c r="J89" s="1">
        <f>(20*3.14)/180</f>
        <v>0.34888888888888892</v>
      </c>
      <c r="K89" s="1" t="s">
        <v>373</v>
      </c>
      <c r="L89" s="1"/>
      <c r="P89" s="1" t="s">
        <v>607</v>
      </c>
      <c r="Q89" s="1" t="s">
        <v>608</v>
      </c>
      <c r="R89" s="1">
        <v>28</v>
      </c>
      <c r="S89" s="1" t="s">
        <v>609</v>
      </c>
      <c r="U89" s="27" t="s">
        <v>610</v>
      </c>
    </row>
    <row r="90" spans="8:24" x14ac:dyDescent="0.25">
      <c r="H90" s="4" t="s">
        <v>611</v>
      </c>
      <c r="I90" s="4" t="s">
        <v>612</v>
      </c>
      <c r="J90" s="4">
        <f>J78</f>
        <v>1052.3050872006445</v>
      </c>
      <c r="K90" s="4" t="s">
        <v>75</v>
      </c>
      <c r="L90" s="1"/>
      <c r="P90" s="1" t="s">
        <v>613</v>
      </c>
      <c r="Q90" s="1" t="s">
        <v>614</v>
      </c>
      <c r="R90" s="1">
        <v>8</v>
      </c>
      <c r="S90" s="1" t="s">
        <v>615</v>
      </c>
    </row>
    <row r="91" spans="8:24" x14ac:dyDescent="0.25">
      <c r="H91" s="4" t="s">
        <v>616</v>
      </c>
      <c r="I91" s="4" t="s">
        <v>617</v>
      </c>
      <c r="J91" s="4">
        <f>J90*TAN(J89)</f>
        <v>382.79685615216317</v>
      </c>
      <c r="K91" s="4" t="s">
        <v>75</v>
      </c>
      <c r="L91" s="1"/>
      <c r="P91" s="1" t="s">
        <v>618</v>
      </c>
      <c r="Q91" s="1" t="s">
        <v>54</v>
      </c>
      <c r="R91" s="1">
        <v>1.5</v>
      </c>
      <c r="S91" s="1" t="s">
        <v>604</v>
      </c>
    </row>
    <row r="92" spans="8:24" x14ac:dyDescent="0.25">
      <c r="H92" s="4" t="s">
        <v>619</v>
      </c>
      <c r="I92" s="4" t="s">
        <v>573</v>
      </c>
      <c r="J92" s="4">
        <f>J90</f>
        <v>1052.3050872006445</v>
      </c>
      <c r="K92" s="4" t="s">
        <v>75</v>
      </c>
      <c r="L92" s="1"/>
      <c r="P92" s="1" t="s">
        <v>600</v>
      </c>
      <c r="Q92" s="1" t="s">
        <v>620</v>
      </c>
      <c r="R92" s="1">
        <f>3.5*25.4</f>
        <v>88.899999999999991</v>
      </c>
      <c r="S92" s="1" t="s">
        <v>621</v>
      </c>
    </row>
    <row r="93" spans="8:24" x14ac:dyDescent="0.25">
      <c r="H93" s="4" t="s">
        <v>622</v>
      </c>
      <c r="I93" s="4" t="s">
        <v>575</v>
      </c>
      <c r="J93" s="4">
        <f>J91</f>
        <v>382.79685615216317</v>
      </c>
      <c r="K93" s="4" t="s">
        <v>75</v>
      </c>
      <c r="L93" s="1"/>
      <c r="U93" s="28" t="s">
        <v>623</v>
      </c>
      <c r="V93" s="29"/>
      <c r="W93" s="29"/>
      <c r="X93" s="29"/>
    </row>
    <row r="94" spans="8:24" x14ac:dyDescent="0.25">
      <c r="H94" s="1" t="s">
        <v>624</v>
      </c>
      <c r="I94" s="1" t="s">
        <v>625</v>
      </c>
      <c r="J94" s="1">
        <f>R90</f>
        <v>8</v>
      </c>
      <c r="K94" s="1" t="s">
        <v>626</v>
      </c>
      <c r="L94" s="1">
        <f>J92*0.224809</f>
        <v>236.5676543484897</v>
      </c>
      <c r="V94" s="25"/>
      <c r="W94" s="25"/>
      <c r="X94" s="25"/>
    </row>
    <row r="95" spans="8:24" x14ac:dyDescent="0.25">
      <c r="H95" s="1" t="s">
        <v>627</v>
      </c>
      <c r="I95" s="1" t="s">
        <v>54</v>
      </c>
      <c r="J95" s="1">
        <f>R91</f>
        <v>1.5</v>
      </c>
      <c r="K95" s="1" t="s">
        <v>604</v>
      </c>
      <c r="L95" s="1" t="s">
        <v>628</v>
      </c>
      <c r="P95" s="62" t="s">
        <v>629</v>
      </c>
      <c r="Q95" s="62"/>
      <c r="R95" s="62"/>
      <c r="S95" s="62"/>
      <c r="U95" s="26" t="s">
        <v>630</v>
      </c>
      <c r="V95" s="25"/>
      <c r="W95" s="25"/>
      <c r="X95" s="25"/>
    </row>
    <row r="96" spans="8:24" x14ac:dyDescent="0.25">
      <c r="H96" s="1" t="s">
        <v>631</v>
      </c>
      <c r="I96" s="1" t="s">
        <v>632</v>
      </c>
      <c r="J96" s="1">
        <v>0.33</v>
      </c>
      <c r="K96" s="1"/>
      <c r="L96" s="1"/>
      <c r="P96" s="1" t="s">
        <v>633</v>
      </c>
      <c r="Q96" s="1" t="s">
        <v>634</v>
      </c>
      <c r="R96" s="1">
        <f>R78</f>
        <v>0.4572</v>
      </c>
      <c r="S96" s="1" t="s">
        <v>8</v>
      </c>
      <c r="U96" s="26" t="s">
        <v>635</v>
      </c>
      <c r="V96" s="25"/>
      <c r="W96" s="25"/>
      <c r="X96" s="25"/>
    </row>
    <row r="97" spans="8:21" x14ac:dyDescent="0.25">
      <c r="H97" s="1" t="s">
        <v>636</v>
      </c>
      <c r="I97" s="1" t="s">
        <v>637</v>
      </c>
      <c r="J97" s="1">
        <v>1</v>
      </c>
      <c r="K97" s="1"/>
      <c r="L97" s="1"/>
      <c r="P97" s="1" t="s">
        <v>638</v>
      </c>
      <c r="Q97" s="1" t="s">
        <v>639</v>
      </c>
      <c r="R97" s="1">
        <v>1.25</v>
      </c>
      <c r="S97" s="1" t="s">
        <v>604</v>
      </c>
    </row>
    <row r="98" spans="8:21" x14ac:dyDescent="0.25">
      <c r="H98" s="1" t="s">
        <v>640</v>
      </c>
      <c r="I98" s="1" t="s">
        <v>641</v>
      </c>
      <c r="J98" s="1">
        <v>2.25</v>
      </c>
      <c r="K98" s="43" t="s">
        <v>642</v>
      </c>
      <c r="L98" s="44"/>
      <c r="P98" s="1" t="s">
        <v>613</v>
      </c>
      <c r="Q98" s="1" t="s">
        <v>614</v>
      </c>
      <c r="R98" s="1">
        <v>10</v>
      </c>
      <c r="S98" s="1" t="s">
        <v>615</v>
      </c>
    </row>
    <row r="99" spans="8:21" x14ac:dyDescent="0.25">
      <c r="H99" s="1" t="s">
        <v>643</v>
      </c>
      <c r="I99" s="1" t="s">
        <v>644</v>
      </c>
      <c r="J99" s="1">
        <v>1.5</v>
      </c>
      <c r="K99" s="1"/>
      <c r="L99" s="1"/>
      <c r="P99" s="1" t="s">
        <v>645</v>
      </c>
      <c r="Q99" s="1" t="s">
        <v>646</v>
      </c>
      <c r="R99" s="1">
        <f>R92*3.14*(0.5)/1000</f>
        <v>0.13957299999999997</v>
      </c>
      <c r="S99" s="1" t="s">
        <v>8</v>
      </c>
    </row>
    <row r="100" spans="8:21" x14ac:dyDescent="0.25">
      <c r="H100" s="4" t="s">
        <v>423</v>
      </c>
      <c r="I100" s="4" t="s">
        <v>647</v>
      </c>
      <c r="J100" s="4">
        <f>((L94*J94*J97*J98*J99)/(J95*J96))</f>
        <v>12903.690237190349</v>
      </c>
      <c r="K100" s="4" t="s">
        <v>648</v>
      </c>
      <c r="L100" s="1">
        <f>J100/145</f>
        <v>88.990967153036891</v>
      </c>
      <c r="P100" s="1" t="s">
        <v>649</v>
      </c>
      <c r="Q100" s="1" t="s">
        <v>650</v>
      </c>
      <c r="R100" s="1">
        <f>(((R99*1000)/3.14)/R92)*R89</f>
        <v>13.999999999999998</v>
      </c>
      <c r="S100" s="1" t="s">
        <v>651</v>
      </c>
    </row>
    <row r="101" spans="8:21" x14ac:dyDescent="0.25">
      <c r="H101" s="4" t="s">
        <v>652</v>
      </c>
      <c r="I101" s="4" t="s">
        <v>652</v>
      </c>
      <c r="J101" s="4">
        <f>(220000000*1*1*0.79*0.897*1*1.4)/10^6</f>
        <v>218.25803999999999</v>
      </c>
      <c r="K101" s="4" t="s">
        <v>360</v>
      </c>
      <c r="L101" s="1"/>
      <c r="P101" s="4" t="s">
        <v>596</v>
      </c>
      <c r="Q101" s="4" t="s">
        <v>653</v>
      </c>
      <c r="R101" s="4">
        <f>(3.14)/R45</f>
        <v>4.2857142857142847</v>
      </c>
      <c r="S101" s="4"/>
    </row>
    <row r="102" spans="8:21" x14ac:dyDescent="0.25">
      <c r="H102" s="4" t="s">
        <v>424</v>
      </c>
      <c r="I102" s="4" t="s">
        <v>319</v>
      </c>
      <c r="J102" s="4">
        <f>J101/L100</f>
        <v>2.4525864476184847</v>
      </c>
      <c r="K102" s="4"/>
      <c r="L102" s="1"/>
      <c r="P102" s="4" t="s">
        <v>654</v>
      </c>
      <c r="Q102" s="4" t="s">
        <v>655</v>
      </c>
      <c r="R102" s="4">
        <v>0.13500000000000001</v>
      </c>
      <c r="S102" s="4" t="s">
        <v>8</v>
      </c>
    </row>
    <row r="103" spans="8:21" x14ac:dyDescent="0.25">
      <c r="P103" s="4" t="s">
        <v>656</v>
      </c>
      <c r="Q103" s="4" t="s">
        <v>657</v>
      </c>
      <c r="R103" s="4">
        <f>((2/3)*3.14*R102)/R101</f>
        <v>6.5940000000000026E-2</v>
      </c>
      <c r="S103" s="4" t="s">
        <v>8</v>
      </c>
      <c r="T103" s="71" t="s">
        <v>658</v>
      </c>
      <c r="U103" s="71"/>
    </row>
    <row r="104" spans="8:21" x14ac:dyDescent="0.25">
      <c r="P104" s="4" t="s">
        <v>659</v>
      </c>
      <c r="Q104" s="4" t="s">
        <v>660</v>
      </c>
      <c r="R104" s="4">
        <f>(2/3)*3.14*(R92/1000)</f>
        <v>0.18609733333333331</v>
      </c>
      <c r="S104" s="4" t="s">
        <v>8</v>
      </c>
      <c r="T104" s="49">
        <f>R103*2</f>
        <v>0.13188000000000005</v>
      </c>
    </row>
    <row r="105" spans="8:21" x14ac:dyDescent="0.25">
      <c r="H105" s="72" t="s">
        <v>661</v>
      </c>
      <c r="I105" s="72"/>
      <c r="J105" s="72"/>
      <c r="K105" s="72"/>
      <c r="L105" s="72"/>
      <c r="T105" s="2" t="s">
        <v>449</v>
      </c>
    </row>
    <row r="106" spans="8:21" x14ac:dyDescent="0.25">
      <c r="H106" s="56" t="s">
        <v>662</v>
      </c>
      <c r="I106" s="56"/>
      <c r="J106" s="1">
        <f>((L94/((R91*COS(J89))))*(1/((R88/2)*SIN(J89))))</f>
        <v>280.52514878570912</v>
      </c>
      <c r="K106" s="1" t="s">
        <v>281</v>
      </c>
      <c r="L106" s="1"/>
      <c r="P106" s="62" t="s">
        <v>663</v>
      </c>
      <c r="Q106" s="62"/>
      <c r="R106" s="62"/>
      <c r="S106" s="62"/>
    </row>
    <row r="107" spans="8:21" x14ac:dyDescent="0.25">
      <c r="H107" s="56"/>
      <c r="I107" s="56"/>
      <c r="J107" s="1">
        <f>SQRT(J106)</f>
        <v>16.748885001268267</v>
      </c>
      <c r="K107" s="1" t="s">
        <v>281</v>
      </c>
      <c r="L107" s="1"/>
    </row>
    <row r="108" spans="8:21" x14ac:dyDescent="0.25">
      <c r="H108" s="56" t="s">
        <v>664</v>
      </c>
      <c r="I108" s="56"/>
      <c r="J108" s="1">
        <f>J107*2300</f>
        <v>38522.435502917011</v>
      </c>
      <c r="K108" s="1" t="s">
        <v>648</v>
      </c>
      <c r="L108" s="1"/>
    </row>
    <row r="109" spans="8:21" x14ac:dyDescent="0.25">
      <c r="H109" s="56"/>
      <c r="I109" s="56"/>
      <c r="J109" s="1">
        <f>J108/145</f>
        <v>265.67196898563458</v>
      </c>
      <c r="K109" s="1" t="s">
        <v>665</v>
      </c>
      <c r="L109" s="1"/>
    </row>
    <row r="110" spans="8:21" x14ac:dyDescent="0.25">
      <c r="H110" s="4" t="s">
        <v>666</v>
      </c>
      <c r="I110" s="4" t="s">
        <v>667</v>
      </c>
      <c r="J110" s="4">
        <v>390.255</v>
      </c>
      <c r="K110" s="4" t="s">
        <v>360</v>
      </c>
      <c r="L110" s="1"/>
    </row>
    <row r="111" spans="8:21" x14ac:dyDescent="0.25">
      <c r="H111" s="4" t="s">
        <v>424</v>
      </c>
      <c r="I111" s="4" t="s">
        <v>319</v>
      </c>
      <c r="J111" s="4">
        <f>J110/J109</f>
        <v>1.4689355504460535</v>
      </c>
      <c r="K111" s="4"/>
      <c r="L111" s="1" t="s">
        <v>668</v>
      </c>
    </row>
    <row r="113" spans="8:12" x14ac:dyDescent="0.25">
      <c r="H113" s="62" t="s">
        <v>669</v>
      </c>
      <c r="I113" s="62"/>
      <c r="J113" s="62"/>
      <c r="K113" s="62"/>
      <c r="L113" s="62"/>
    </row>
    <row r="114" spans="8:12" x14ac:dyDescent="0.25">
      <c r="H114" s="10" t="s">
        <v>670</v>
      </c>
      <c r="I114" s="10" t="s">
        <v>671</v>
      </c>
      <c r="J114" s="10">
        <f>0.004</f>
        <v>4.0000000000000001E-3</v>
      </c>
      <c r="K114" s="10" t="s">
        <v>8</v>
      </c>
      <c r="L114" s="56" t="s">
        <v>672</v>
      </c>
    </row>
    <row r="115" spans="8:12" x14ac:dyDescent="0.25">
      <c r="H115" s="10" t="s">
        <v>673</v>
      </c>
      <c r="I115" s="10" t="s">
        <v>674</v>
      </c>
      <c r="J115" s="10">
        <f>0.004</f>
        <v>4.0000000000000001E-3</v>
      </c>
      <c r="K115" s="10" t="s">
        <v>8</v>
      </c>
      <c r="L115" s="56"/>
    </row>
    <row r="116" spans="8:12" x14ac:dyDescent="0.25">
      <c r="H116" s="10" t="s">
        <v>675</v>
      </c>
      <c r="I116" s="10" t="s">
        <v>676</v>
      </c>
      <c r="J116" s="10">
        <v>0.03</v>
      </c>
      <c r="K116" s="10" t="s">
        <v>8</v>
      </c>
      <c r="L116" s="56"/>
    </row>
    <row r="117" spans="8:12" x14ac:dyDescent="0.25">
      <c r="H117" s="1" t="s">
        <v>677</v>
      </c>
      <c r="I117" s="1" t="s">
        <v>678</v>
      </c>
      <c r="J117" s="1">
        <v>2.5399999999999999E-2</v>
      </c>
      <c r="K117" s="1" t="s">
        <v>8</v>
      </c>
      <c r="L117" s="1" t="s">
        <v>679</v>
      </c>
    </row>
    <row r="118" spans="8:12" x14ac:dyDescent="0.25">
      <c r="H118" s="1"/>
      <c r="I118" s="1" t="s">
        <v>680</v>
      </c>
      <c r="J118" s="1">
        <f>((J117/2)+(J115/2))</f>
        <v>1.47E-2</v>
      </c>
      <c r="K118" s="1" t="s">
        <v>8</v>
      </c>
      <c r="L118" s="1"/>
    </row>
    <row r="119" spans="8:12" x14ac:dyDescent="0.25">
      <c r="H119" s="4" t="s">
        <v>681</v>
      </c>
      <c r="I119" s="4" t="s">
        <v>682</v>
      </c>
      <c r="J119" s="4">
        <f>J120</f>
        <v>3181.9701446305203</v>
      </c>
      <c r="K119" s="4" t="s">
        <v>75</v>
      </c>
      <c r="L119" s="69" t="s">
        <v>683</v>
      </c>
    </row>
    <row r="120" spans="8:12" x14ac:dyDescent="0.25">
      <c r="H120" s="4" t="s">
        <v>684</v>
      </c>
      <c r="I120" s="4" t="s">
        <v>685</v>
      </c>
      <c r="J120" s="4">
        <f>J121/((J117/2)+(J114/2))</f>
        <v>3181.9701446305203</v>
      </c>
      <c r="K120" s="4" t="s">
        <v>75</v>
      </c>
      <c r="L120" s="69"/>
    </row>
    <row r="121" spans="8:12" x14ac:dyDescent="0.25">
      <c r="H121" s="4" t="s">
        <v>686</v>
      </c>
      <c r="I121" s="4" t="s">
        <v>476</v>
      </c>
      <c r="J121" s="4">
        <f>J88</f>
        <v>46.774961126068646</v>
      </c>
      <c r="K121" s="4" t="s">
        <v>330</v>
      </c>
      <c r="L121" s="1"/>
    </row>
    <row r="122" spans="8:12" x14ac:dyDescent="0.25">
      <c r="H122" s="4" t="s">
        <v>558</v>
      </c>
      <c r="I122" s="4" t="s">
        <v>687</v>
      </c>
      <c r="J122" s="4">
        <f>(3/2)*((J120)/(J116*J114))</f>
        <v>39774626.807881504</v>
      </c>
      <c r="K122" s="4" t="s">
        <v>409</v>
      </c>
      <c r="L122" s="1"/>
    </row>
    <row r="123" spans="8:12" x14ac:dyDescent="0.25">
      <c r="H123" s="4" t="s">
        <v>499</v>
      </c>
      <c r="I123" s="4" t="s">
        <v>500</v>
      </c>
      <c r="J123" s="40">
        <f>220000000*0.58</f>
        <v>127599999.99999999</v>
      </c>
      <c r="K123" s="4" t="s">
        <v>409</v>
      </c>
      <c r="L123" s="1" t="s">
        <v>688</v>
      </c>
    </row>
    <row r="124" spans="8:12" x14ac:dyDescent="0.25">
      <c r="H124" s="4" t="s">
        <v>424</v>
      </c>
      <c r="I124" s="4" t="s">
        <v>319</v>
      </c>
      <c r="J124" s="4">
        <f>J123/J122</f>
        <v>3.2080753545804614</v>
      </c>
      <c r="K124" s="4"/>
      <c r="L124" s="1"/>
    </row>
    <row r="126" spans="8:12" x14ac:dyDescent="0.25">
      <c r="H126" s="62" t="s">
        <v>689</v>
      </c>
      <c r="I126" s="62"/>
      <c r="J126" s="62"/>
      <c r="K126" s="62"/>
      <c r="L126" s="62"/>
    </row>
    <row r="127" spans="8:12" x14ac:dyDescent="0.25">
      <c r="H127" s="1" t="s">
        <v>690</v>
      </c>
      <c r="I127" s="1" t="s">
        <v>691</v>
      </c>
      <c r="J127" s="1">
        <f>R152</f>
        <v>4.7600000000000003E-3</v>
      </c>
      <c r="K127" s="1" t="s">
        <v>8</v>
      </c>
      <c r="L127" s="1" t="s">
        <v>692</v>
      </c>
    </row>
    <row r="128" spans="8:12" x14ac:dyDescent="0.25">
      <c r="H128" s="1" t="s">
        <v>693</v>
      </c>
      <c r="I128" s="1" t="s">
        <v>694</v>
      </c>
      <c r="J128" s="1">
        <f>R153</f>
        <v>6.3500000000000001E-2</v>
      </c>
      <c r="K128" s="1" t="s">
        <v>8</v>
      </c>
      <c r="L128" s="1"/>
    </row>
    <row r="129" spans="8:19" x14ac:dyDescent="0.25">
      <c r="H129" s="1" t="s">
        <v>695</v>
      </c>
      <c r="I129" s="1" t="s">
        <v>696</v>
      </c>
      <c r="J129" s="1">
        <v>2.4E-2</v>
      </c>
      <c r="K129" s="1" t="s">
        <v>8</v>
      </c>
      <c r="L129" s="1">
        <f>0.25/1000</f>
        <v>2.5000000000000001E-4</v>
      </c>
    </row>
    <row r="130" spans="8:19" x14ac:dyDescent="0.25">
      <c r="H130" s="1" t="s">
        <v>697</v>
      </c>
      <c r="I130" s="1" t="s">
        <v>698</v>
      </c>
      <c r="J130" s="1">
        <v>2.5399999999999999E-2</v>
      </c>
      <c r="K130" s="1" t="s">
        <v>8</v>
      </c>
      <c r="L130" s="1"/>
    </row>
    <row r="131" spans="8:19" x14ac:dyDescent="0.25">
      <c r="H131" s="1" t="s">
        <v>699</v>
      </c>
      <c r="I131" s="1" t="s">
        <v>700</v>
      </c>
      <c r="J131" s="1">
        <f>(J132*(J129+(J114/2)))/((J128+(J127/2)))</f>
        <v>1255.7866387430713</v>
      </c>
      <c r="K131" s="1" t="s">
        <v>75</v>
      </c>
      <c r="L131" s="1"/>
    </row>
    <row r="132" spans="8:19" x14ac:dyDescent="0.25">
      <c r="H132" s="1" t="s">
        <v>701</v>
      </c>
      <c r="I132" s="1" t="s">
        <v>702</v>
      </c>
      <c r="J132" s="1">
        <f>J119</f>
        <v>3181.9701446305203</v>
      </c>
      <c r="K132" s="1" t="s">
        <v>75</v>
      </c>
      <c r="L132" s="1"/>
    </row>
    <row r="133" spans="8:19" x14ac:dyDescent="0.25">
      <c r="H133" s="1" t="s">
        <v>703</v>
      </c>
      <c r="I133" s="1" t="s">
        <v>704</v>
      </c>
      <c r="J133" s="1">
        <f>20*(3.14/180)</f>
        <v>0.34888888888888892</v>
      </c>
      <c r="K133" s="1" t="s">
        <v>373</v>
      </c>
      <c r="L133" s="1"/>
    </row>
    <row r="134" spans="8:19" x14ac:dyDescent="0.25">
      <c r="H134" s="1" t="s">
        <v>705</v>
      </c>
      <c r="I134" s="1" t="s">
        <v>706</v>
      </c>
      <c r="J134" s="1">
        <f>J131*TAN(J133)</f>
        <v>456.81730817013727</v>
      </c>
      <c r="K134" s="1" t="s">
        <v>75</v>
      </c>
      <c r="L134" s="1"/>
    </row>
    <row r="135" spans="8:19" x14ac:dyDescent="0.25">
      <c r="H135" s="1" t="s">
        <v>707</v>
      </c>
      <c r="I135" s="1" t="s">
        <v>575</v>
      </c>
      <c r="J135" s="1">
        <f>J91</f>
        <v>382.79685615216317</v>
      </c>
      <c r="K135" s="1" t="s">
        <v>75</v>
      </c>
      <c r="L135" s="1"/>
    </row>
    <row r="136" spans="8:19" x14ac:dyDescent="0.25">
      <c r="H136" s="4" t="s">
        <v>708</v>
      </c>
      <c r="I136" s="4" t="s">
        <v>709</v>
      </c>
      <c r="J136" s="4">
        <f>J135-J137</f>
        <v>278.39771356520959</v>
      </c>
      <c r="K136" s="4" t="s">
        <v>75</v>
      </c>
      <c r="L136" s="67" t="s">
        <v>710</v>
      </c>
    </row>
    <row r="137" spans="8:19" x14ac:dyDescent="0.25">
      <c r="H137" s="4" t="s">
        <v>711</v>
      </c>
      <c r="I137" s="4" t="s">
        <v>712</v>
      </c>
      <c r="J137" s="4">
        <f>((J135*(((R91*0.0254)/2)+(R145/2))))/(((R91*0.0254)/2)+((R148*0.0254)-(R91*0.0254)+(R145/2)))</f>
        <v>104.39914258695357</v>
      </c>
      <c r="K137" s="4" t="s">
        <v>75</v>
      </c>
      <c r="L137" s="61"/>
    </row>
    <row r="138" spans="8:19" ht="15.75" customHeight="1" x14ac:dyDescent="0.25">
      <c r="H138" s="1" t="s">
        <v>707</v>
      </c>
      <c r="I138" s="1" t="s">
        <v>575</v>
      </c>
      <c r="J138" s="1">
        <f>J92</f>
        <v>1052.3050872006445</v>
      </c>
      <c r="K138" s="1" t="s">
        <v>75</v>
      </c>
      <c r="L138" s="1"/>
    </row>
    <row r="139" spans="8:19" x14ac:dyDescent="0.25">
      <c r="H139" s="4" t="s">
        <v>708</v>
      </c>
      <c r="I139" s="4" t="s">
        <v>713</v>
      </c>
      <c r="J139" s="4">
        <f>J138-J140</f>
        <v>765.31279069137781</v>
      </c>
      <c r="K139" s="4" t="s">
        <v>75</v>
      </c>
      <c r="L139" s="67" t="s">
        <v>710</v>
      </c>
    </row>
    <row r="140" spans="8:19" x14ac:dyDescent="0.25">
      <c r="H140" s="4" t="s">
        <v>711</v>
      </c>
      <c r="I140" s="4" t="s">
        <v>714</v>
      </c>
      <c r="J140" s="4">
        <f>((J138*(((R91*0.0254)/2)+(R145/2))))/(((R91*0.0254)/2)+((R148*0.0254)-(R91*0.0254)+(R145/2)))</f>
        <v>286.99229650926662</v>
      </c>
      <c r="K140" s="4" t="s">
        <v>75</v>
      </c>
      <c r="L140" s="67"/>
      <c r="P140" s="62" t="s">
        <v>715</v>
      </c>
      <c r="Q140" s="62"/>
      <c r="R140" s="62"/>
      <c r="S140" s="62"/>
    </row>
    <row r="141" spans="8:19" x14ac:dyDescent="0.25">
      <c r="H141" s="1" t="s">
        <v>716</v>
      </c>
      <c r="I141" s="1" t="s">
        <v>717</v>
      </c>
      <c r="J141" s="1">
        <v>1</v>
      </c>
      <c r="K141" s="1"/>
      <c r="L141" s="1"/>
    </row>
    <row r="142" spans="8:19" x14ac:dyDescent="0.25">
      <c r="H142" s="1" t="s">
        <v>718</v>
      </c>
      <c r="I142" s="1" t="s">
        <v>719</v>
      </c>
      <c r="J142" s="1">
        <f>10*10^6</f>
        <v>10000000</v>
      </c>
      <c r="K142" s="1"/>
      <c r="L142" s="1"/>
      <c r="P142" s="1" t="s">
        <v>720</v>
      </c>
      <c r="Q142" s="1" t="s">
        <v>721</v>
      </c>
      <c r="R142" s="1">
        <f>7/8*0.0254</f>
        <v>2.2224999999999998E-2</v>
      </c>
      <c r="S142" s="1" t="s">
        <v>8</v>
      </c>
    </row>
    <row r="143" spans="8:19" x14ac:dyDescent="0.25">
      <c r="H143" s="1" t="s">
        <v>722</v>
      </c>
      <c r="I143" s="1" t="s">
        <v>723</v>
      </c>
      <c r="J143" s="1">
        <f>J139</f>
        <v>765.31279069137781</v>
      </c>
      <c r="K143" s="1" t="s">
        <v>75</v>
      </c>
      <c r="L143" s="1"/>
      <c r="P143" s="1" t="s">
        <v>724</v>
      </c>
      <c r="Q143" s="56" t="s">
        <v>725</v>
      </c>
      <c r="R143" s="56"/>
      <c r="S143" s="56"/>
    </row>
    <row r="144" spans="8:19" x14ac:dyDescent="0.25">
      <c r="H144" s="1" t="s">
        <v>726</v>
      </c>
      <c r="I144" s="1" t="s">
        <v>273</v>
      </c>
      <c r="J144" s="1">
        <f>Q144</f>
        <v>10011.91923</v>
      </c>
      <c r="K144" s="1" t="s">
        <v>75</v>
      </c>
      <c r="L144" s="1" t="s">
        <v>727</v>
      </c>
      <c r="P144" s="1" t="s">
        <v>728</v>
      </c>
      <c r="Q144" s="1">
        <f>1020.583*9.81</f>
        <v>10011.91923</v>
      </c>
      <c r="R144" s="1">
        <v>2250</v>
      </c>
      <c r="S144" s="1" t="s">
        <v>729</v>
      </c>
    </row>
    <row r="145" spans="8:21" x14ac:dyDescent="0.25">
      <c r="H145" s="1" t="s">
        <v>730</v>
      </c>
      <c r="I145" s="1" t="s">
        <v>731</v>
      </c>
      <c r="J145" s="1">
        <v>1.75</v>
      </c>
      <c r="K145" s="1"/>
      <c r="L145" s="1"/>
      <c r="P145" s="1" t="s">
        <v>732</v>
      </c>
      <c r="Q145" s="1" t="s">
        <v>733</v>
      </c>
      <c r="R145" s="1">
        <f>3/8*0.0254</f>
        <v>9.5249999999999987E-3</v>
      </c>
      <c r="S145" s="1" t="s">
        <v>8</v>
      </c>
    </row>
    <row r="146" spans="8:21" x14ac:dyDescent="0.25">
      <c r="H146" s="1" t="s">
        <v>734</v>
      </c>
      <c r="I146" s="1" t="s">
        <v>271</v>
      </c>
      <c r="J146" s="1">
        <f>(J141*J142*((J144/(J145*J143)))^(3.33))</f>
        <v>8113761827.3713322</v>
      </c>
      <c r="K146" s="1" t="s">
        <v>735</v>
      </c>
      <c r="L146" s="1"/>
    </row>
    <row r="147" spans="8:21" x14ac:dyDescent="0.25">
      <c r="H147" s="4" t="s">
        <v>734</v>
      </c>
      <c r="I147" s="4" t="s">
        <v>271</v>
      </c>
      <c r="J147" s="4">
        <f>J146/100000000</f>
        <v>81.137618273713315</v>
      </c>
      <c r="K147" s="4" t="s">
        <v>736</v>
      </c>
      <c r="L147" s="4"/>
      <c r="P147" s="66" t="s">
        <v>737</v>
      </c>
      <c r="Q147" s="66"/>
      <c r="R147" s="66"/>
      <c r="S147" s="66"/>
    </row>
    <row r="148" spans="8:21" x14ac:dyDescent="0.25">
      <c r="P148" s="18" t="s">
        <v>738</v>
      </c>
      <c r="Q148" s="18" t="s">
        <v>739</v>
      </c>
      <c r="R148" s="18">
        <v>4</v>
      </c>
      <c r="S148" s="18" t="s">
        <v>604</v>
      </c>
    </row>
    <row r="149" spans="8:21" x14ac:dyDescent="0.25">
      <c r="H149" s="62" t="s">
        <v>740</v>
      </c>
      <c r="I149" s="62"/>
      <c r="J149" s="62"/>
      <c r="K149" s="62"/>
      <c r="L149" s="62"/>
    </row>
    <row r="150" spans="8:21" x14ac:dyDescent="0.25">
      <c r="H150" s="1" t="s">
        <v>558</v>
      </c>
      <c r="I150" s="1" t="s">
        <v>496</v>
      </c>
      <c r="J150" s="1">
        <f>(2/3)*((J131)/(3.14*(R156)^2))</f>
        <v>1514094.9296464846</v>
      </c>
      <c r="K150" s="1" t="s">
        <v>409</v>
      </c>
      <c r="L150" s="59" t="s">
        <v>741</v>
      </c>
      <c r="P150" s="62" t="s">
        <v>742</v>
      </c>
      <c r="Q150" s="62"/>
      <c r="R150" s="62"/>
      <c r="S150" s="62"/>
    </row>
    <row r="151" spans="8:21" x14ac:dyDescent="0.25">
      <c r="H151" s="1" t="s">
        <v>499</v>
      </c>
      <c r="I151" s="1" t="s">
        <v>500</v>
      </c>
      <c r="J151" s="1">
        <f>(0.58*220000000)</f>
        <v>127599999.99999999</v>
      </c>
      <c r="K151" s="1" t="s">
        <v>409</v>
      </c>
      <c r="L151" s="56"/>
    </row>
    <row r="152" spans="8:21" x14ac:dyDescent="0.25">
      <c r="H152" s="1" t="s">
        <v>424</v>
      </c>
      <c r="I152" s="1" t="s">
        <v>319</v>
      </c>
      <c r="J152" s="1">
        <f>J151/(J150)</f>
        <v>84.274768709378364</v>
      </c>
      <c r="K152" s="1"/>
      <c r="L152" s="56"/>
      <c r="P152" s="1" t="s">
        <v>690</v>
      </c>
      <c r="Q152" s="1" t="s">
        <v>691</v>
      </c>
      <c r="R152" s="1">
        <v>4.7600000000000003E-3</v>
      </c>
      <c r="S152" s="1" t="s">
        <v>8</v>
      </c>
      <c r="U152" s="25" t="s">
        <v>743</v>
      </c>
    </row>
    <row r="153" spans="8:21" x14ac:dyDescent="0.25">
      <c r="P153" s="1" t="s">
        <v>744</v>
      </c>
      <c r="Q153" s="1" t="s">
        <v>745</v>
      </c>
      <c r="R153" s="1">
        <f>2.5*0.0254</f>
        <v>6.3500000000000001E-2</v>
      </c>
      <c r="S153" s="1" t="s">
        <v>8</v>
      </c>
      <c r="U153" s="25" t="s">
        <v>746</v>
      </c>
    </row>
    <row r="154" spans="8:21" x14ac:dyDescent="0.25">
      <c r="H154" s="62" t="s">
        <v>747</v>
      </c>
      <c r="I154" s="62"/>
      <c r="J154" s="62"/>
      <c r="K154" s="62"/>
      <c r="L154" s="62"/>
      <c r="P154" s="1" t="s">
        <v>748</v>
      </c>
      <c r="Q154" s="1" t="s">
        <v>749</v>
      </c>
      <c r="R154" s="1">
        <v>45</v>
      </c>
      <c r="S154" s="1" t="s">
        <v>393</v>
      </c>
    </row>
    <row r="155" spans="8:21" x14ac:dyDescent="0.25">
      <c r="H155" s="24" t="s">
        <v>750</v>
      </c>
      <c r="I155" s="1" t="s">
        <v>751</v>
      </c>
      <c r="J155" s="1">
        <f>(J131*((J127)+(J128/2)))/((J130)-(J114/2))</f>
        <v>1959.349153013228</v>
      </c>
      <c r="K155" s="1" t="s">
        <v>75</v>
      </c>
      <c r="L155" s="1"/>
      <c r="P155" s="1" t="s">
        <v>752</v>
      </c>
      <c r="Q155" s="1" t="s">
        <v>753</v>
      </c>
      <c r="R155" s="1">
        <v>11600</v>
      </c>
      <c r="S155" s="1" t="s">
        <v>729</v>
      </c>
    </row>
    <row r="156" spans="8:21" x14ac:dyDescent="0.25">
      <c r="H156" s="1" t="s">
        <v>754</v>
      </c>
      <c r="I156" s="1" t="s">
        <v>755</v>
      </c>
      <c r="J156" s="1">
        <f>J155*((J130/2)+(J114/2))</f>
        <v>28.802432549294451</v>
      </c>
      <c r="K156" s="1" t="s">
        <v>330</v>
      </c>
      <c r="L156" s="1"/>
      <c r="P156" s="1" t="s">
        <v>756</v>
      </c>
      <c r="Q156" s="1" t="s">
        <v>757</v>
      </c>
      <c r="R156" s="1">
        <v>1.3270000000000001E-2</v>
      </c>
      <c r="S156" s="1" t="s">
        <v>621</v>
      </c>
    </row>
    <row r="157" spans="8:21" x14ac:dyDescent="0.25">
      <c r="H157" s="1" t="s">
        <v>758</v>
      </c>
      <c r="I157" s="1" t="s">
        <v>759</v>
      </c>
      <c r="J157" s="1">
        <f>J156</f>
        <v>28.802432549294451</v>
      </c>
      <c r="K157" s="1" t="s">
        <v>330</v>
      </c>
      <c r="L157" s="1"/>
    </row>
    <row r="158" spans="8:21" x14ac:dyDescent="0.25">
      <c r="H158" s="4" t="s">
        <v>760</v>
      </c>
      <c r="I158" s="4" t="s">
        <v>761</v>
      </c>
      <c r="J158" s="4">
        <f>J157/((J159))</f>
        <v>288.02432549294451</v>
      </c>
      <c r="K158" s="4" t="s">
        <v>75</v>
      </c>
      <c r="L158" s="1"/>
    </row>
    <row r="159" spans="8:21" x14ac:dyDescent="0.25">
      <c r="H159" s="1" t="s">
        <v>762</v>
      </c>
      <c r="I159" s="1" t="s">
        <v>763</v>
      </c>
      <c r="J159" s="1">
        <v>0.1</v>
      </c>
      <c r="K159" s="1" t="s">
        <v>8</v>
      </c>
      <c r="L159" s="1"/>
    </row>
    <row r="160" spans="8:21" x14ac:dyDescent="0.25">
      <c r="H160" s="1" t="s">
        <v>544</v>
      </c>
      <c r="I160" s="1" t="s">
        <v>764</v>
      </c>
      <c r="J160" s="1">
        <f>(3.14)*(J130^4-J129^4)</f>
        <v>2.6519003638399982E-7</v>
      </c>
      <c r="K160" s="1" t="s">
        <v>546</v>
      </c>
      <c r="L160" s="1"/>
    </row>
    <row r="161" spans="8:12" x14ac:dyDescent="0.25">
      <c r="H161" s="1" t="s">
        <v>765</v>
      </c>
      <c r="I161" s="1" t="s">
        <v>766</v>
      </c>
      <c r="J161" s="1">
        <v>1.3</v>
      </c>
      <c r="K161" s="1"/>
      <c r="L161" s="1"/>
    </row>
    <row r="162" spans="8:12" x14ac:dyDescent="0.25">
      <c r="H162" s="4" t="s">
        <v>499</v>
      </c>
      <c r="I162" s="4" t="s">
        <v>500</v>
      </c>
      <c r="J162" s="4">
        <f>J151</f>
        <v>127599999.99999999</v>
      </c>
      <c r="K162" s="4" t="s">
        <v>409</v>
      </c>
      <c r="L162" s="1"/>
    </row>
    <row r="163" spans="8:12" x14ac:dyDescent="0.25">
      <c r="H163" s="4" t="s">
        <v>767</v>
      </c>
      <c r="I163" s="4" t="s">
        <v>496</v>
      </c>
      <c r="J163" s="4">
        <f>(16*J161*J157*(J130))/J160</f>
        <v>57381119.486740083</v>
      </c>
      <c r="K163" s="4" t="s">
        <v>409</v>
      </c>
      <c r="L163" s="1"/>
    </row>
    <row r="164" spans="8:12" x14ac:dyDescent="0.25">
      <c r="H164" s="4" t="s">
        <v>363</v>
      </c>
      <c r="I164" s="4" t="s">
        <v>319</v>
      </c>
      <c r="J164" s="4">
        <f>J162/J163</f>
        <v>2.2237279638555401</v>
      </c>
      <c r="K164" s="4"/>
      <c r="L164" s="1"/>
    </row>
  </sheetData>
  <mergeCells count="38">
    <mergeCell ref="P2:Q2"/>
    <mergeCell ref="P20:S20"/>
    <mergeCell ref="P86:S86"/>
    <mergeCell ref="P95:S95"/>
    <mergeCell ref="H34:L34"/>
    <mergeCell ref="H43:L43"/>
    <mergeCell ref="H52:L52"/>
    <mergeCell ref="H58:L58"/>
    <mergeCell ref="H8:L8"/>
    <mergeCell ref="H12:L12"/>
    <mergeCell ref="H82:L82"/>
    <mergeCell ref="H16:L16"/>
    <mergeCell ref="H69:L69"/>
    <mergeCell ref="P48:S48"/>
    <mergeCell ref="P32:S32"/>
    <mergeCell ref="L70:L73"/>
    <mergeCell ref="H1:L1"/>
    <mergeCell ref="H3:L3"/>
    <mergeCell ref="H106:I107"/>
    <mergeCell ref="H108:I109"/>
    <mergeCell ref="H105:L105"/>
    <mergeCell ref="L139:L140"/>
    <mergeCell ref="H149:L149"/>
    <mergeCell ref="H126:L126"/>
    <mergeCell ref="U39:V39"/>
    <mergeCell ref="L119:L120"/>
    <mergeCell ref="P106:S106"/>
    <mergeCell ref="P140:S140"/>
    <mergeCell ref="T22:T45"/>
    <mergeCell ref="H113:L113"/>
    <mergeCell ref="L136:L137"/>
    <mergeCell ref="T103:U103"/>
    <mergeCell ref="L114:L116"/>
    <mergeCell ref="L150:L152"/>
    <mergeCell ref="P150:S150"/>
    <mergeCell ref="P147:S147"/>
    <mergeCell ref="H154:L154"/>
    <mergeCell ref="Q143:S143"/>
  </mergeCells>
  <hyperlinks>
    <hyperlink ref="U89" r:id="rId1" xr:uid="{6D6CA9E4-AAF2-442B-A97B-EA2A873B97B2}"/>
    <hyperlink ref="U95" r:id="rId2" display="https://www.mcmaster.com/5174T5" xr:uid="{DD71D9FA-8482-4A0A-9085-2AC865306DE4}"/>
    <hyperlink ref="U96" r:id="rId3" xr:uid="{78F4B2EF-378C-4A11-8FE3-200D261B1E1C}"/>
  </hyperlinks>
  <pageMargins left="0.7" right="0.7" top="0.75" bottom="0.75" header="0.3" footer="0.3"/>
  <pageSetup orientation="portrait" horizontalDpi="0" verticalDpi="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D86-B152-4CB4-9D12-B7875021F451}">
  <dimension ref="H5:N31"/>
  <sheetViews>
    <sheetView zoomScaleNormal="100" workbookViewId="0">
      <selection activeCell="I25" sqref="I25"/>
    </sheetView>
  </sheetViews>
  <sheetFormatPr defaultRowHeight="15.75" x14ac:dyDescent="0.25"/>
  <cols>
    <col min="1" max="7" width="9.140625" style="30"/>
    <col min="8" max="8" width="36.42578125" style="30" bestFit="1" customWidth="1"/>
    <col min="9" max="9" width="7.85546875" style="30" bestFit="1" customWidth="1"/>
    <col min="10" max="10" width="9.140625" style="30"/>
    <col min="11" max="11" width="39.28515625" style="30" bestFit="1" customWidth="1"/>
    <col min="12" max="12" width="12.140625" style="30" customWidth="1"/>
    <col min="13" max="13" width="14" style="30" bestFit="1" customWidth="1"/>
    <col min="14" max="15" width="12.28515625" style="30" bestFit="1" customWidth="1"/>
    <col min="16" max="16384" width="9.140625" style="30"/>
  </cols>
  <sheetData>
    <row r="5" spans="8:14" ht="16.5" thickBot="1" x14ac:dyDescent="0.3">
      <c r="H5" s="73" t="s">
        <v>768</v>
      </c>
      <c r="I5" s="73"/>
      <c r="K5" s="45" t="s">
        <v>769</v>
      </c>
      <c r="M5" s="45" t="s">
        <v>770</v>
      </c>
      <c r="N5" s="45" t="s">
        <v>771</v>
      </c>
    </row>
    <row r="6" spans="8:14" ht="16.5" thickBot="1" x14ac:dyDescent="0.3">
      <c r="H6" s="46" t="s">
        <v>772</v>
      </c>
      <c r="I6" s="46">
        <v>15</v>
      </c>
      <c r="K6" s="45">
        <f>I10*K9</f>
        <v>12</v>
      </c>
      <c r="M6" s="45">
        <v>500</v>
      </c>
      <c r="N6" s="47">
        <v>200</v>
      </c>
    </row>
    <row r="7" spans="8:14" x14ac:dyDescent="0.25">
      <c r="H7" s="46" t="s">
        <v>773</v>
      </c>
      <c r="I7" s="46">
        <v>30</v>
      </c>
    </row>
    <row r="8" spans="8:14" ht="16.5" thickBot="1" x14ac:dyDescent="0.3">
      <c r="H8" s="46" t="s">
        <v>774</v>
      </c>
      <c r="I8" s="46">
        <v>3.6</v>
      </c>
      <c r="K8" s="45" t="s">
        <v>775</v>
      </c>
    </row>
    <row r="9" spans="8:14" ht="16.5" thickBot="1" x14ac:dyDescent="0.3">
      <c r="H9" s="46" t="s">
        <v>776</v>
      </c>
      <c r="I9" s="46">
        <v>4.2</v>
      </c>
      <c r="K9" s="47">
        <v>4</v>
      </c>
    </row>
    <row r="10" spans="8:14" x14ac:dyDescent="0.25">
      <c r="H10" s="46" t="s">
        <v>777</v>
      </c>
      <c r="I10" s="46">
        <v>3</v>
      </c>
    </row>
    <row r="11" spans="8:14" ht="16.5" thickBot="1" x14ac:dyDescent="0.3">
      <c r="H11" s="46" t="s">
        <v>778</v>
      </c>
      <c r="I11" s="46">
        <v>18.3</v>
      </c>
      <c r="K11" s="45" t="s">
        <v>779</v>
      </c>
    </row>
    <row r="12" spans="8:14" ht="16.5" thickBot="1" x14ac:dyDescent="0.3">
      <c r="H12" s="46" t="s">
        <v>780</v>
      </c>
      <c r="I12" s="46">
        <v>65</v>
      </c>
      <c r="K12" s="47">
        <f>I22/I8/5</f>
        <v>28</v>
      </c>
    </row>
    <row r="13" spans="8:14" x14ac:dyDescent="0.25">
      <c r="H13" s="46" t="s">
        <v>781</v>
      </c>
      <c r="I13" s="46">
        <v>48</v>
      </c>
    </row>
    <row r="14" spans="8:14" ht="16.5" thickBot="1" x14ac:dyDescent="0.3">
      <c r="H14"/>
      <c r="I14"/>
      <c r="K14" s="45" t="s">
        <v>782</v>
      </c>
    </row>
    <row r="15" spans="8:14" ht="16.5" thickBot="1" x14ac:dyDescent="0.3">
      <c r="H15" s="74" t="s">
        <v>783</v>
      </c>
      <c r="I15" s="74"/>
      <c r="K15" s="47">
        <f>I17*I22</f>
        <v>6048</v>
      </c>
    </row>
    <row r="16" spans="8:14" x14ac:dyDescent="0.25">
      <c r="H16" s="74"/>
      <c r="I16" s="74"/>
    </row>
    <row r="17" spans="8:9" x14ac:dyDescent="0.25">
      <c r="H17" s="41" t="s">
        <v>784</v>
      </c>
      <c r="I17" s="41">
        <f>K6</f>
        <v>12</v>
      </c>
    </row>
    <row r="18" spans="8:9" x14ac:dyDescent="0.25">
      <c r="H18" s="41" t="s">
        <v>785</v>
      </c>
      <c r="I18" s="41">
        <f>28*3.6</f>
        <v>100.8</v>
      </c>
    </row>
    <row r="19" spans="8:9" x14ac:dyDescent="0.25">
      <c r="H19" s="41" t="s">
        <v>786</v>
      </c>
      <c r="I19" s="41">
        <f>I18*I17</f>
        <v>1209.5999999999999</v>
      </c>
    </row>
    <row r="20" spans="8:9" x14ac:dyDescent="0.25">
      <c r="H20" s="41" t="s">
        <v>787</v>
      </c>
      <c r="I20" s="41">
        <f>28*4.2</f>
        <v>117.60000000000001</v>
      </c>
    </row>
    <row r="21" spans="8:9" x14ac:dyDescent="0.25">
      <c r="H21" s="41" t="s">
        <v>788</v>
      </c>
      <c r="I21" s="41">
        <f>I20*K6</f>
        <v>1411.2</v>
      </c>
    </row>
    <row r="22" spans="8:9" x14ac:dyDescent="0.25">
      <c r="H22" s="41" t="s">
        <v>789</v>
      </c>
      <c r="I22" s="41">
        <f>100.8*5</f>
        <v>504</v>
      </c>
    </row>
    <row r="23" spans="8:9" x14ac:dyDescent="0.25">
      <c r="H23" s="41" t="s">
        <v>790</v>
      </c>
      <c r="I23" s="41">
        <v>588</v>
      </c>
    </row>
    <row r="24" spans="8:9" x14ac:dyDescent="0.25">
      <c r="H24" s="41" t="s">
        <v>791</v>
      </c>
      <c r="I24" s="41">
        <f>I7*4</f>
        <v>120</v>
      </c>
    </row>
    <row r="25" spans="8:9" x14ac:dyDescent="0.25">
      <c r="H25" s="41" t="s">
        <v>792</v>
      </c>
      <c r="I25" s="41">
        <f>I23*I24</f>
        <v>70560</v>
      </c>
    </row>
    <row r="26" spans="8:9" x14ac:dyDescent="0.25">
      <c r="H26" s="41" t="s">
        <v>793</v>
      </c>
      <c r="I26" s="41">
        <f>I22*I17/1000</f>
        <v>6.048</v>
      </c>
    </row>
    <row r="27" spans="8:9" x14ac:dyDescent="0.25">
      <c r="H27" s="41" t="s">
        <v>794</v>
      </c>
      <c r="I27" s="48">
        <f>I11*28+3*29+100</f>
        <v>699.4</v>
      </c>
    </row>
    <row r="28" spans="8:9" x14ac:dyDescent="0.25">
      <c r="H28" s="41" t="s">
        <v>795</v>
      </c>
      <c r="I28" s="48">
        <f>65*5+9*5+10</f>
        <v>380</v>
      </c>
    </row>
    <row r="29" spans="8:9" x14ac:dyDescent="0.25">
      <c r="H29" s="41" t="s">
        <v>796</v>
      </c>
      <c r="I29" s="48">
        <f>I11*4+3*5+50</f>
        <v>138.19999999999999</v>
      </c>
    </row>
    <row r="30" spans="8:9" x14ac:dyDescent="0.25">
      <c r="H30" s="41" t="s">
        <v>797</v>
      </c>
      <c r="I30" s="48">
        <f>560*I13/1000</f>
        <v>26.88</v>
      </c>
    </row>
    <row r="31" spans="8:9" x14ac:dyDescent="0.25">
      <c r="H31" s="48" t="s">
        <v>798</v>
      </c>
      <c r="I31" s="48">
        <f>I30+1.5+1+1</f>
        <v>30.38</v>
      </c>
    </row>
  </sheetData>
  <mergeCells count="2">
    <mergeCell ref="H5:I5"/>
    <mergeCell ref="H15:I1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445D-191E-4428-8F96-1C9C7B2FBCBF}">
  <dimension ref="H1:P32"/>
  <sheetViews>
    <sheetView zoomScale="85" zoomScaleNormal="85" workbookViewId="0">
      <selection activeCell="L33" sqref="L33"/>
    </sheetView>
  </sheetViews>
  <sheetFormatPr defaultRowHeight="15.75" x14ac:dyDescent="0.25"/>
  <cols>
    <col min="1" max="7" width="9.140625" style="30"/>
    <col min="8" max="8" width="30.5703125" style="30" bestFit="1" customWidth="1"/>
    <col min="9" max="9" width="11.140625" style="30" customWidth="1"/>
    <col min="10" max="10" width="12.42578125" style="30" bestFit="1" customWidth="1"/>
    <col min="11" max="11" width="9.140625" style="30"/>
    <col min="12" max="12" width="36.28515625" style="30" bestFit="1" customWidth="1"/>
    <col min="13" max="15" width="9.140625" style="30"/>
    <col min="16" max="16" width="109.7109375" style="31" bestFit="1" customWidth="1"/>
    <col min="17" max="16384" width="9.140625" style="30"/>
  </cols>
  <sheetData>
    <row r="1" spans="8:12" x14ac:dyDescent="0.25">
      <c r="H1" s="62" t="s">
        <v>799</v>
      </c>
      <c r="I1" s="62"/>
      <c r="J1" s="62"/>
      <c r="K1" s="62"/>
      <c r="L1" s="62"/>
    </row>
    <row r="2" spans="8:12" x14ac:dyDescent="0.25">
      <c r="H2" s="1"/>
      <c r="I2" s="1"/>
      <c r="J2" s="1"/>
      <c r="K2" s="1"/>
      <c r="L2" s="1"/>
    </row>
    <row r="3" spans="8:12" x14ac:dyDescent="0.25">
      <c r="H3" s="1"/>
      <c r="I3" s="1"/>
      <c r="J3" s="1"/>
      <c r="K3" s="1"/>
      <c r="L3" s="1"/>
    </row>
    <row r="4" spans="8:12" x14ac:dyDescent="0.25">
      <c r="H4" s="1"/>
      <c r="I4" s="1"/>
      <c r="J4" s="1"/>
      <c r="K4" s="1"/>
      <c r="L4" s="1"/>
    </row>
    <row r="5" spans="8:12" x14ac:dyDescent="0.25">
      <c r="H5" s="1"/>
      <c r="I5" s="1"/>
      <c r="J5" s="1"/>
      <c r="K5" s="1"/>
      <c r="L5" s="1"/>
    </row>
    <row r="6" spans="8:12" x14ac:dyDescent="0.25">
      <c r="H6" s="1"/>
      <c r="I6" s="1"/>
      <c r="J6" s="1"/>
      <c r="K6" s="1"/>
      <c r="L6" s="1"/>
    </row>
    <row r="7" spans="8:12" x14ac:dyDescent="0.25">
      <c r="H7" s="1"/>
      <c r="I7" s="1"/>
      <c r="J7" s="1"/>
      <c r="K7" s="1"/>
      <c r="L7" s="1"/>
    </row>
    <row r="8" spans="8:12" x14ac:dyDescent="0.25">
      <c r="H8" s="1"/>
      <c r="I8" s="1"/>
      <c r="J8" s="1"/>
      <c r="K8" s="1"/>
      <c r="L8" s="1"/>
    </row>
    <row r="9" spans="8:12" x14ac:dyDescent="0.25">
      <c r="H9" s="1"/>
      <c r="I9" s="1"/>
      <c r="J9" s="1"/>
      <c r="K9" s="1"/>
      <c r="L9" s="1"/>
    </row>
    <row r="10" spans="8:12" x14ac:dyDescent="0.25">
      <c r="H10" s="1"/>
      <c r="I10" s="1"/>
      <c r="J10" s="1"/>
      <c r="K10" s="1"/>
      <c r="L10" s="1"/>
    </row>
    <row r="11" spans="8:12" x14ac:dyDescent="0.25">
      <c r="H11" s="1"/>
      <c r="I11" s="1"/>
      <c r="J11" s="1"/>
      <c r="K11" s="1"/>
      <c r="L11" s="1"/>
    </row>
    <row r="12" spans="8:12" x14ac:dyDescent="0.25">
      <c r="H12" s="1"/>
      <c r="I12" s="1"/>
      <c r="J12" s="1"/>
      <c r="K12" s="1"/>
      <c r="L12" s="1"/>
    </row>
    <row r="13" spans="8:12" x14ac:dyDescent="0.25">
      <c r="H13" s="1"/>
      <c r="I13" s="1"/>
      <c r="J13" s="1"/>
      <c r="K13" s="1"/>
      <c r="L13" s="1"/>
    </row>
    <row r="14" spans="8:12" x14ac:dyDescent="0.25">
      <c r="H14" s="1"/>
      <c r="I14" s="1"/>
      <c r="J14" s="1"/>
      <c r="K14" s="1"/>
      <c r="L14" s="1"/>
    </row>
    <row r="15" spans="8:12" x14ac:dyDescent="0.25">
      <c r="H15" s="1"/>
      <c r="I15" s="1"/>
      <c r="J15" s="1"/>
      <c r="K15" s="1"/>
      <c r="L15" s="1"/>
    </row>
    <row r="16" spans="8:12" x14ac:dyDescent="0.25">
      <c r="H16" s="1"/>
      <c r="I16" s="1"/>
      <c r="J16" s="1"/>
      <c r="K16" s="1"/>
      <c r="L16" s="1"/>
    </row>
    <row r="17" spans="8:16" x14ac:dyDescent="0.25">
      <c r="H17" s="1" t="s">
        <v>800</v>
      </c>
      <c r="I17" s="1" t="s">
        <v>8</v>
      </c>
      <c r="J17" s="1">
        <v>32</v>
      </c>
      <c r="K17" s="1" t="s">
        <v>47</v>
      </c>
      <c r="L17" s="1"/>
    </row>
    <row r="18" spans="8:16" x14ac:dyDescent="0.25">
      <c r="H18" s="1" t="s">
        <v>801</v>
      </c>
      <c r="I18" s="1" t="s">
        <v>56</v>
      </c>
      <c r="J18" s="1">
        <v>9.81</v>
      </c>
      <c r="K18" s="1" t="s">
        <v>57</v>
      </c>
      <c r="L18" s="1"/>
    </row>
    <row r="19" spans="8:16" x14ac:dyDescent="0.25">
      <c r="H19" s="1" t="s">
        <v>802</v>
      </c>
      <c r="I19" s="1" t="s">
        <v>803</v>
      </c>
      <c r="J19" s="1">
        <f>(J17*J18)/J20</f>
        <v>39.24</v>
      </c>
      <c r="K19" s="1" t="s">
        <v>75</v>
      </c>
      <c r="L19" s="1"/>
    </row>
    <row r="20" spans="8:16" x14ac:dyDescent="0.25">
      <c r="H20" s="1" t="s">
        <v>804</v>
      </c>
      <c r="I20" s="1" t="s">
        <v>75</v>
      </c>
      <c r="J20" s="1">
        <v>8</v>
      </c>
      <c r="K20" s="1"/>
      <c r="L20" s="1"/>
    </row>
    <row r="21" spans="8:16" x14ac:dyDescent="0.25">
      <c r="H21" s="1" t="s">
        <v>424</v>
      </c>
      <c r="I21" s="1" t="s">
        <v>319</v>
      </c>
      <c r="J21" s="1">
        <v>3</v>
      </c>
      <c r="K21" s="1"/>
      <c r="L21" s="1" t="s">
        <v>805</v>
      </c>
    </row>
    <row r="23" spans="8:16" x14ac:dyDescent="0.25">
      <c r="H23" s="56" t="s">
        <v>806</v>
      </c>
      <c r="I23" s="56"/>
      <c r="J23" s="56"/>
      <c r="K23" s="56"/>
      <c r="L23" s="56"/>
      <c r="P23" s="31" t="s">
        <v>807</v>
      </c>
    </row>
    <row r="24" spans="8:16" x14ac:dyDescent="0.25">
      <c r="H24" s="1" t="s">
        <v>808</v>
      </c>
      <c r="I24" s="1" t="s">
        <v>809</v>
      </c>
      <c r="J24" s="1">
        <v>0.08</v>
      </c>
      <c r="K24" s="1" t="s">
        <v>8</v>
      </c>
      <c r="L24" s="1"/>
    </row>
    <row r="25" spans="8:16" x14ac:dyDescent="0.25">
      <c r="H25" s="1" t="s">
        <v>810</v>
      </c>
      <c r="I25" s="1" t="s">
        <v>811</v>
      </c>
      <c r="J25" s="1">
        <v>0.02</v>
      </c>
      <c r="K25" s="1" t="s">
        <v>8</v>
      </c>
      <c r="L25" s="1" t="s">
        <v>812</v>
      </c>
      <c r="P25" s="32" t="s">
        <v>813</v>
      </c>
    </row>
    <row r="26" spans="8:16" x14ac:dyDescent="0.25">
      <c r="H26" s="1" t="s">
        <v>814</v>
      </c>
      <c r="I26" s="1" t="s">
        <v>815</v>
      </c>
      <c r="J26" s="1">
        <f>J27+J28+0.008</f>
        <v>3.7999999999999999E-2</v>
      </c>
      <c r="K26" s="1" t="s">
        <v>8</v>
      </c>
      <c r="L26" s="1"/>
    </row>
    <row r="27" spans="8:16" x14ac:dyDescent="0.25">
      <c r="H27" s="1" t="s">
        <v>816</v>
      </c>
      <c r="I27" s="1" t="s">
        <v>817</v>
      </c>
      <c r="J27" s="1">
        <v>0.02</v>
      </c>
      <c r="K27" s="1" t="s">
        <v>8</v>
      </c>
      <c r="L27" s="1"/>
    </row>
    <row r="28" spans="8:16" x14ac:dyDescent="0.25">
      <c r="H28" s="1" t="s">
        <v>818</v>
      </c>
      <c r="I28" s="1" t="s">
        <v>819</v>
      </c>
      <c r="J28" s="1">
        <v>0.01</v>
      </c>
      <c r="K28" s="1" t="s">
        <v>8</v>
      </c>
      <c r="L28" s="1"/>
    </row>
    <row r="29" spans="8:16" x14ac:dyDescent="0.25">
      <c r="H29" s="1" t="s">
        <v>820</v>
      </c>
      <c r="I29" s="1" t="s">
        <v>821</v>
      </c>
      <c r="J29" s="1">
        <f>J19*J21</f>
        <v>117.72</v>
      </c>
      <c r="K29" s="1" t="s">
        <v>75</v>
      </c>
      <c r="L29" s="1" t="s">
        <v>822</v>
      </c>
    </row>
    <row r="30" spans="8:16" x14ac:dyDescent="0.25">
      <c r="H30" s="1" t="s">
        <v>823</v>
      </c>
      <c r="I30" s="1" t="s">
        <v>824</v>
      </c>
      <c r="J30" s="1">
        <f>(J29*J24*J24)/(((3.14*(J25)^4))/32)</f>
        <v>47987770.700636946</v>
      </c>
      <c r="K30" s="1" t="s">
        <v>409</v>
      </c>
      <c r="L30" s="1"/>
    </row>
    <row r="31" spans="8:16" x14ac:dyDescent="0.25">
      <c r="H31" s="1" t="s">
        <v>825</v>
      </c>
      <c r="I31" s="1" t="s">
        <v>419</v>
      </c>
      <c r="J31" s="1">
        <f>220*10^6</f>
        <v>220000000</v>
      </c>
      <c r="K31" s="1" t="s">
        <v>409</v>
      </c>
      <c r="L31" s="1"/>
    </row>
    <row r="32" spans="8:16" x14ac:dyDescent="0.25">
      <c r="H32" s="1" t="s">
        <v>826</v>
      </c>
      <c r="I32" s="1" t="s">
        <v>319</v>
      </c>
      <c r="J32" s="1">
        <f>J31/J30</f>
        <v>4.584501359157322</v>
      </c>
      <c r="K32" s="1"/>
      <c r="L32" s="1" t="s">
        <v>827</v>
      </c>
    </row>
  </sheetData>
  <mergeCells count="2">
    <mergeCell ref="H1:L1"/>
    <mergeCell ref="H23:L23"/>
  </mergeCells>
  <hyperlinks>
    <hyperlink ref="P25" r:id="rId1" xr:uid="{A6378599-9736-417D-8DBF-1B533B0D8DDE}"/>
  </hyperlinks>
  <pageMargins left="0.7" right="0.7" top="0.75" bottom="0.75" header="0.3" footer="0.3"/>
  <pageSetup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F9B-F60E-4C25-B89C-912F6BA98EA6}">
  <dimension ref="H1:T36"/>
  <sheetViews>
    <sheetView topLeftCell="C13" zoomScaleNormal="100" workbookViewId="0">
      <selection activeCell="K37" sqref="K37"/>
    </sheetView>
  </sheetViews>
  <sheetFormatPr defaultRowHeight="15.75" x14ac:dyDescent="0.25"/>
  <cols>
    <col min="1" max="7" width="9.140625" style="2"/>
    <col min="8" max="8" width="34.85546875" style="2" bestFit="1" customWidth="1"/>
    <col min="9" max="9" width="11.85546875" style="2" bestFit="1" customWidth="1"/>
    <col min="10" max="10" width="13.7109375" style="2" bestFit="1" customWidth="1"/>
    <col min="11" max="11" width="7.5703125" style="2" bestFit="1" customWidth="1"/>
    <col min="12" max="12" width="20.7109375" style="2" bestFit="1" customWidth="1"/>
    <col min="13" max="15" width="9.140625" style="2"/>
    <col min="16" max="16" width="32" style="2" bestFit="1" customWidth="1"/>
    <col min="17" max="17" width="7" style="2" bestFit="1" customWidth="1"/>
    <col min="18" max="18" width="13.7109375" style="2" bestFit="1" customWidth="1"/>
    <col min="19" max="19" width="4.85546875" style="2" bestFit="1" customWidth="1"/>
    <col min="20" max="16384" width="9.140625" style="2"/>
  </cols>
  <sheetData>
    <row r="1" spans="8:19" x14ac:dyDescent="0.25">
      <c r="H1" s="56" t="s">
        <v>828</v>
      </c>
      <c r="I1" s="56"/>
      <c r="J1" s="56"/>
      <c r="K1" s="56"/>
      <c r="L1" s="56"/>
    </row>
    <row r="3" spans="8:19" x14ac:dyDescent="0.25">
      <c r="H3" s="56" t="s">
        <v>829</v>
      </c>
      <c r="I3" s="56"/>
      <c r="J3" s="56"/>
      <c r="K3" s="56"/>
      <c r="L3" s="56"/>
    </row>
    <row r="5" spans="8:19" x14ac:dyDescent="0.25">
      <c r="H5" s="1" t="s">
        <v>46</v>
      </c>
      <c r="I5" s="1" t="s">
        <v>14</v>
      </c>
      <c r="J5" s="1">
        <v>0.28918968513667148</v>
      </c>
      <c r="K5" s="1" t="s">
        <v>8</v>
      </c>
      <c r="L5" s="1"/>
      <c r="P5" s="35" t="s">
        <v>46</v>
      </c>
      <c r="Q5" s="35" t="s">
        <v>14</v>
      </c>
      <c r="R5" s="35">
        <v>0.28918968513667148</v>
      </c>
      <c r="S5" s="35" t="s">
        <v>8</v>
      </c>
    </row>
    <row r="6" spans="8:19" x14ac:dyDescent="0.25">
      <c r="H6" s="1" t="s">
        <v>48</v>
      </c>
      <c r="I6" s="1" t="s">
        <v>12</v>
      </c>
      <c r="J6" s="1">
        <v>0.8131362504901718</v>
      </c>
      <c r="K6" s="1" t="s">
        <v>8</v>
      </c>
      <c r="L6" s="1"/>
      <c r="P6" s="35" t="s">
        <v>48</v>
      </c>
      <c r="Q6" s="35" t="s">
        <v>12</v>
      </c>
      <c r="R6" s="35">
        <v>0.8131362504901718</v>
      </c>
      <c r="S6" s="35" t="s">
        <v>8</v>
      </c>
    </row>
    <row r="7" spans="8:19" x14ac:dyDescent="0.25">
      <c r="H7" s="1" t="s">
        <v>49</v>
      </c>
      <c r="I7" s="1" t="s">
        <v>10</v>
      </c>
      <c r="J7" s="1">
        <v>0.78988874950982813</v>
      </c>
      <c r="K7" s="1" t="s">
        <v>8</v>
      </c>
      <c r="L7" s="1"/>
      <c r="P7" s="35" t="s">
        <v>49</v>
      </c>
      <c r="Q7" s="35" t="s">
        <v>10</v>
      </c>
      <c r="R7" s="35">
        <v>0.78988874950982813</v>
      </c>
      <c r="S7" s="35" t="s">
        <v>8</v>
      </c>
    </row>
    <row r="8" spans="8:19" x14ac:dyDescent="0.25">
      <c r="H8" s="1" t="s">
        <v>51</v>
      </c>
      <c r="I8" s="1" t="s">
        <v>52</v>
      </c>
      <c r="J8" s="1">
        <v>0.81988874950982815</v>
      </c>
      <c r="K8" s="1" t="s">
        <v>8</v>
      </c>
      <c r="L8" s="1"/>
      <c r="P8" s="35" t="s">
        <v>51</v>
      </c>
      <c r="Q8" s="35" t="s">
        <v>52</v>
      </c>
      <c r="R8" s="35">
        <v>0.81988874950982815</v>
      </c>
      <c r="S8" s="35" t="s">
        <v>8</v>
      </c>
    </row>
    <row r="9" spans="8:19" x14ac:dyDescent="0.25">
      <c r="H9" s="1" t="s">
        <v>58</v>
      </c>
      <c r="I9" s="1" t="s">
        <v>59</v>
      </c>
      <c r="J9" s="1">
        <v>0.86313625049017184</v>
      </c>
      <c r="K9" s="1" t="s">
        <v>8</v>
      </c>
      <c r="L9" s="1"/>
      <c r="P9" s="35" t="s">
        <v>58</v>
      </c>
      <c r="Q9" s="35" t="s">
        <v>59</v>
      </c>
      <c r="R9" s="35">
        <v>0.86313625049017184</v>
      </c>
      <c r="S9" s="35" t="s">
        <v>8</v>
      </c>
    </row>
    <row r="10" spans="8:19" x14ac:dyDescent="0.25">
      <c r="H10" s="1" t="s">
        <v>50</v>
      </c>
      <c r="I10" s="1" t="s">
        <v>8</v>
      </c>
      <c r="J10" s="1">
        <v>303.46499999999997</v>
      </c>
      <c r="K10" s="1" t="s">
        <v>47</v>
      </c>
      <c r="L10" s="1"/>
      <c r="P10" s="35" t="s">
        <v>50</v>
      </c>
      <c r="Q10" s="35" t="s">
        <v>8</v>
      </c>
      <c r="R10" s="35">
        <v>303.46499999999997</v>
      </c>
      <c r="S10" s="35" t="s">
        <v>8</v>
      </c>
    </row>
    <row r="11" spans="8:19" x14ac:dyDescent="0.25">
      <c r="H11" s="1" t="s">
        <v>55</v>
      </c>
      <c r="I11" s="1" t="s">
        <v>56</v>
      </c>
      <c r="J11" s="1">
        <v>9.81</v>
      </c>
      <c r="K11" s="1" t="s">
        <v>57</v>
      </c>
      <c r="L11" s="1"/>
    </row>
    <row r="12" spans="8:19" x14ac:dyDescent="0.25">
      <c r="H12" s="1" t="s">
        <v>174</v>
      </c>
      <c r="I12" s="1" t="s">
        <v>175</v>
      </c>
      <c r="J12" s="1">
        <v>3.0739999999999998</v>
      </c>
      <c r="K12" s="1"/>
      <c r="L12" s="1"/>
      <c r="P12" s="35" t="s">
        <v>87</v>
      </c>
      <c r="Q12" s="35" t="s">
        <v>88</v>
      </c>
      <c r="R12" s="35">
        <v>232.88241059027777</v>
      </c>
      <c r="S12" s="35" t="s">
        <v>75</v>
      </c>
    </row>
    <row r="13" spans="8:19" x14ac:dyDescent="0.25">
      <c r="H13" s="1" t="s">
        <v>180</v>
      </c>
      <c r="I13" s="1" t="s">
        <v>181</v>
      </c>
      <c r="J13" s="1">
        <v>3.0739999999999998</v>
      </c>
      <c r="K13" s="1"/>
      <c r="L13" s="1"/>
      <c r="P13" s="35" t="s">
        <v>93</v>
      </c>
      <c r="Q13" s="35" t="s">
        <v>94</v>
      </c>
      <c r="R13" s="35">
        <v>0.18918968513667148</v>
      </c>
      <c r="S13" s="35" t="s">
        <v>8</v>
      </c>
    </row>
    <row r="14" spans="8:19" x14ac:dyDescent="0.25">
      <c r="H14" s="1" t="s">
        <v>184</v>
      </c>
      <c r="I14" s="1" t="s">
        <v>185</v>
      </c>
      <c r="J14" s="1">
        <v>0.28999999999999998</v>
      </c>
      <c r="K14" s="1"/>
      <c r="L14" s="1"/>
      <c r="P14" s="35" t="s">
        <v>99</v>
      </c>
      <c r="Q14" s="35" t="s">
        <v>100</v>
      </c>
      <c r="R14" s="35">
        <v>0.99581031486332838</v>
      </c>
      <c r="S14" s="35" t="s">
        <v>8</v>
      </c>
    </row>
    <row r="15" spans="8:19" ht="15.75" customHeight="1" x14ac:dyDescent="0.25">
      <c r="H15" s="1" t="s">
        <v>186</v>
      </c>
      <c r="I15" s="1" t="s">
        <v>187</v>
      </c>
      <c r="J15" s="1">
        <v>0.53120000000000001</v>
      </c>
      <c r="K15" s="1" t="s">
        <v>188</v>
      </c>
      <c r="L15" s="1"/>
      <c r="P15" s="35" t="s">
        <v>97</v>
      </c>
      <c r="Q15" s="35" t="s">
        <v>98</v>
      </c>
      <c r="R15" s="35">
        <v>0.9</v>
      </c>
      <c r="S15" s="35"/>
    </row>
    <row r="16" spans="8:19" x14ac:dyDescent="0.25">
      <c r="H16" s="1" t="s">
        <v>190</v>
      </c>
      <c r="I16" s="1" t="s">
        <v>191</v>
      </c>
      <c r="J16" s="1">
        <v>0.64249999999999996</v>
      </c>
      <c r="K16" s="1" t="s">
        <v>188</v>
      </c>
      <c r="L16" s="1"/>
    </row>
    <row r="17" spans="8:20" x14ac:dyDescent="0.25">
      <c r="H17" s="1" t="s">
        <v>193</v>
      </c>
      <c r="I17" s="1" t="s">
        <v>194</v>
      </c>
      <c r="J17" s="1">
        <v>1.5411999999999999</v>
      </c>
      <c r="K17" s="1" t="s">
        <v>188</v>
      </c>
      <c r="L17" s="1"/>
      <c r="P17" s="35" t="s">
        <v>174</v>
      </c>
      <c r="Q17" s="35" t="s">
        <v>175</v>
      </c>
      <c r="R17" s="35">
        <v>3.0739999999999998</v>
      </c>
      <c r="S17" s="36"/>
      <c r="T17" s="37"/>
    </row>
    <row r="18" spans="8:20" x14ac:dyDescent="0.25">
      <c r="H18" s="1" t="s">
        <v>196</v>
      </c>
      <c r="I18" s="1" t="s">
        <v>197</v>
      </c>
      <c r="J18" s="1">
        <v>1.2250000000000001</v>
      </c>
      <c r="K18" s="1" t="s">
        <v>198</v>
      </c>
      <c r="L18" s="1"/>
      <c r="P18" s="35" t="s">
        <v>180</v>
      </c>
      <c r="Q18" s="35" t="s">
        <v>181</v>
      </c>
      <c r="R18" s="35">
        <v>3.0739999999999998</v>
      </c>
      <c r="S18" s="37"/>
      <c r="T18" s="37"/>
    </row>
    <row r="19" spans="8:20" x14ac:dyDescent="0.25">
      <c r="H19" s="1" t="s">
        <v>202</v>
      </c>
      <c r="I19" s="1" t="s">
        <v>203</v>
      </c>
      <c r="J19" s="1">
        <v>29.166666666666664</v>
      </c>
      <c r="K19" s="1" t="s">
        <v>204</v>
      </c>
      <c r="L19" s="1"/>
      <c r="P19" s="35" t="s">
        <v>184</v>
      </c>
      <c r="Q19" s="35" t="s">
        <v>185</v>
      </c>
      <c r="R19" s="35">
        <v>0.28999999999999998</v>
      </c>
      <c r="S19" s="35"/>
      <c r="T19" s="35"/>
    </row>
    <row r="20" spans="8:20" x14ac:dyDescent="0.25">
      <c r="H20" s="1" t="s">
        <v>66</v>
      </c>
      <c r="I20" s="1" t="s">
        <v>67</v>
      </c>
      <c r="J20" s="24">
        <v>0.92</v>
      </c>
      <c r="K20" s="1"/>
      <c r="L20" s="1"/>
      <c r="P20" s="35" t="s">
        <v>186</v>
      </c>
      <c r="Q20" s="35" t="s">
        <v>187</v>
      </c>
      <c r="R20" s="35">
        <v>0.53120000000000001</v>
      </c>
      <c r="S20" s="35" t="s">
        <v>188</v>
      </c>
      <c r="T20" s="35"/>
    </row>
    <row r="21" spans="8:20" x14ac:dyDescent="0.25">
      <c r="H21" s="1" t="s">
        <v>830</v>
      </c>
      <c r="I21" s="1" t="s">
        <v>67</v>
      </c>
      <c r="J21" s="1">
        <f>J20*J17/((J15+J16))</f>
        <v>1.2080633892817587</v>
      </c>
      <c r="K21" s="1"/>
      <c r="L21" s="1"/>
      <c r="P21" s="35" t="s">
        <v>190</v>
      </c>
      <c r="Q21" s="35" t="s">
        <v>191</v>
      </c>
      <c r="R21" s="35">
        <v>0.64249999999999996</v>
      </c>
      <c r="S21" s="35" t="s">
        <v>188</v>
      </c>
      <c r="T21" s="35"/>
    </row>
    <row r="22" spans="8:20" x14ac:dyDescent="0.25">
      <c r="H22" s="1" t="s">
        <v>831</v>
      </c>
      <c r="I22" s="1" t="s">
        <v>67</v>
      </c>
      <c r="J22" s="1">
        <f>J21</f>
        <v>1.2080633892817587</v>
      </c>
      <c r="K22" s="1"/>
      <c r="L22" s="1"/>
      <c r="P22" s="35" t="s">
        <v>193</v>
      </c>
      <c r="Q22" s="35" t="s">
        <v>194</v>
      </c>
      <c r="R22" s="35">
        <v>1.5411999999999999</v>
      </c>
      <c r="S22" s="35" t="s">
        <v>188</v>
      </c>
      <c r="T22" s="35"/>
    </row>
    <row r="24" spans="8:20" x14ac:dyDescent="0.25">
      <c r="H24" s="56" t="s">
        <v>832</v>
      </c>
      <c r="I24" s="56"/>
      <c r="J24" s="56"/>
      <c r="K24" s="56"/>
      <c r="L24" s="56"/>
    </row>
    <row r="26" spans="8:20" x14ac:dyDescent="0.25">
      <c r="H26" s="1" t="s">
        <v>205</v>
      </c>
      <c r="I26" s="1" t="s">
        <v>206</v>
      </c>
      <c r="J26" s="1">
        <f>0.5*J18*J19*J19*J15*J12</f>
        <v>850.82769722222213</v>
      </c>
      <c r="K26" s="1" t="s">
        <v>75</v>
      </c>
      <c r="L26" s="1" t="s">
        <v>207</v>
      </c>
    </row>
    <row r="27" spans="8:20" x14ac:dyDescent="0.25">
      <c r="H27" s="1" t="s">
        <v>208</v>
      </c>
      <c r="I27" s="1" t="s">
        <v>209</v>
      </c>
      <c r="J27" s="1">
        <f>0.5*J18*J19*J19*J16*J13</f>
        <v>1029.0978830295137</v>
      </c>
      <c r="K27" s="1" t="s">
        <v>75</v>
      </c>
      <c r="L27" s="1" t="s">
        <v>207</v>
      </c>
    </row>
    <row r="28" spans="8:20" x14ac:dyDescent="0.25">
      <c r="H28" s="1" t="s">
        <v>213</v>
      </c>
      <c r="I28" s="1" t="s">
        <v>214</v>
      </c>
      <c r="J28" s="1">
        <f>J17*J14*0.5*J18*J19*J19</f>
        <v>232.88241059027774</v>
      </c>
      <c r="K28" s="1" t="s">
        <v>75</v>
      </c>
      <c r="L28" s="1" t="s">
        <v>215</v>
      </c>
    </row>
    <row r="29" spans="8:20" x14ac:dyDescent="0.25">
      <c r="H29" s="1" t="s">
        <v>833</v>
      </c>
      <c r="I29" s="1" t="s">
        <v>834</v>
      </c>
      <c r="J29" s="1">
        <f>J27-J28+J26</f>
        <v>1647.0431696614583</v>
      </c>
      <c r="K29" s="1" t="s">
        <v>75</v>
      </c>
      <c r="L29" s="1" t="s">
        <v>207</v>
      </c>
    </row>
    <row r="31" spans="8:20" x14ac:dyDescent="0.25">
      <c r="H31" s="56" t="s">
        <v>832</v>
      </c>
      <c r="I31" s="56"/>
      <c r="J31" s="56"/>
      <c r="K31" s="56"/>
      <c r="L31" s="56"/>
    </row>
    <row r="33" spans="8:12" x14ac:dyDescent="0.25">
      <c r="H33" s="1" t="s">
        <v>216</v>
      </c>
      <c r="I33" s="1" t="s">
        <v>217</v>
      </c>
      <c r="J33" s="1">
        <f>0.5*J18*J16*J21*J19*J19</f>
        <v>404.42923763022679</v>
      </c>
      <c r="K33" s="1" t="s">
        <v>75</v>
      </c>
      <c r="L33" s="1" t="s">
        <v>835</v>
      </c>
    </row>
    <row r="34" spans="8:12" x14ac:dyDescent="0.25">
      <c r="H34" s="1" t="s">
        <v>221</v>
      </c>
      <c r="I34" s="1" t="s">
        <v>222</v>
      </c>
      <c r="J34" s="1">
        <f>J15*0.5*J19*J19*J21*J18</f>
        <v>334.37013389755094</v>
      </c>
      <c r="K34" s="1" t="s">
        <v>75</v>
      </c>
      <c r="L34" s="1" t="s">
        <v>835</v>
      </c>
    </row>
    <row r="35" spans="8:12" x14ac:dyDescent="0.25">
      <c r="H35" s="1" t="s">
        <v>836</v>
      </c>
      <c r="I35" s="1" t="s">
        <v>227</v>
      </c>
      <c r="J35" s="1">
        <f>J33+J34</f>
        <v>738.79937152777779</v>
      </c>
      <c r="K35" s="1" t="s">
        <v>75</v>
      </c>
      <c r="L35" s="56" t="s">
        <v>837</v>
      </c>
    </row>
    <row r="36" spans="8:12" x14ac:dyDescent="0.25">
      <c r="H36" s="1" t="s">
        <v>838</v>
      </c>
      <c r="I36" s="1" t="s">
        <v>227</v>
      </c>
      <c r="J36" s="1">
        <f>J20*J19*J19*J18*0.5*J17</f>
        <v>738.79937152777768</v>
      </c>
      <c r="K36" s="1" t="s">
        <v>75</v>
      </c>
      <c r="L36" s="56"/>
    </row>
  </sheetData>
  <mergeCells count="5">
    <mergeCell ref="L35:L36"/>
    <mergeCell ref="H3:L3"/>
    <mergeCell ref="H1:L1"/>
    <mergeCell ref="H24:L24"/>
    <mergeCell ref="H31:L3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COFM</vt:lpstr>
      <vt:lpstr>Kinematic Models</vt:lpstr>
      <vt:lpstr>Brake System Pedal to Wheel</vt:lpstr>
      <vt:lpstr>Pedal Box Design</vt:lpstr>
      <vt:lpstr>Sheet1</vt:lpstr>
      <vt:lpstr>Steering</vt:lpstr>
      <vt:lpstr>Battery_Config</vt:lpstr>
      <vt:lpstr>Battery Mounts</vt:lpstr>
      <vt:lpstr>Aerodynamics Model</vt:lpstr>
      <vt:lpstr>Springs and Dampers</vt:lpstr>
      <vt:lpstr>Powertrain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abdelaziz al ghoul</dc:creator>
  <cp:keywords/>
  <dc:description/>
  <cp:lastModifiedBy>abdelaziz al ghoul</cp:lastModifiedBy>
  <cp:revision/>
  <dcterms:created xsi:type="dcterms:W3CDTF">2021-11-11T17:41:38Z</dcterms:created>
  <dcterms:modified xsi:type="dcterms:W3CDTF">2021-12-10T18:15:48Z</dcterms:modified>
  <cp:category/>
  <cp:contentStatus/>
</cp:coreProperties>
</file>