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Schule\Winter2019\AA236B\"/>
    </mc:Choice>
  </mc:AlternateContent>
  <xr:revisionPtr revIDLastSave="0" documentId="13_ncr:1_{72DEEA80-C47B-4BA9-9EFB-617AA1A68AE5}" xr6:coauthVersionLast="40" xr6:coauthVersionMax="40" xr10:uidLastSave="{00000000-0000-0000-0000-000000000000}"/>
  <bookViews>
    <workbookView xWindow="-96" yWindow="-96" windowWidth="23232" windowHeight="12552" xr2:uid="{596A927D-B359-4F34-A3C1-5FF2D783C974}"/>
  </bookViews>
  <sheets>
    <sheet name="M1_Launch" sheetId="1" r:id="rId1"/>
    <sheet name="M2_Hold" sheetId="17" r:id="rId2"/>
    <sheet name="M3_Deploy" sheetId="18" r:id="rId3"/>
    <sheet name="M4_Sleep" sheetId="19" r:id="rId4"/>
    <sheet name="M5_Detumble" sheetId="20" r:id="rId5"/>
    <sheet name="M6_Beacon" sheetId="21" r:id="rId6"/>
    <sheet name="M7_Listen" sheetId="22" r:id="rId7"/>
    <sheet name="M8_Uplink" sheetId="23" r:id="rId8"/>
    <sheet name="M9_Downlink" sheetId="24" r:id="rId9"/>
    <sheet name="M10_PayloadON" sheetId="25" r:id="rId10"/>
    <sheet name="M11_ProcessData" sheetId="26" r:id="rId11"/>
    <sheet name="Estimated Power" sheetId="4" r:id="rId12"/>
    <sheet name="Items" sheetId="2" r:id="rId13"/>
    <sheet name="Transceiver" sheetId="3" state="hidden" r:id="rId14"/>
    <sheet name="IMU" sheetId="6" state="hidden" r:id="rId15"/>
    <sheet name="Memory" sheetId="7" state="hidden" r:id="rId16"/>
    <sheet name="MCU" sheetId="8" state="hidden" r:id="rId17"/>
    <sheet name="GPS Receiver" sheetId="10" state="hidden" r:id="rId18"/>
    <sheet name="GPS Antenna" sheetId="11" state="hidden" r:id="rId19"/>
    <sheet name="SDR" sheetId="12" state="hidden" r:id="rId20"/>
    <sheet name="R Pi 3" sheetId="13" state="hidden" r:id="rId21"/>
    <sheet name="3.3V Reg" sheetId="9" state="hidden" r:id="rId22"/>
    <sheet name="Watchdog" sheetId="5" state="hidden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6" l="1"/>
  <c r="D14" i="26"/>
  <c r="G14" i="26" s="1"/>
  <c r="H14" i="25"/>
  <c r="D14" i="25"/>
  <c r="G14" i="25" s="1"/>
  <c r="H14" i="24"/>
  <c r="D14" i="24"/>
  <c r="G14" i="24" s="1"/>
  <c r="H14" i="23"/>
  <c r="D14" i="23"/>
  <c r="G14" i="23" s="1"/>
  <c r="H14" i="22"/>
  <c r="D14" i="22"/>
  <c r="G14" i="22" s="1"/>
  <c r="H14" i="21"/>
  <c r="D14" i="21"/>
  <c r="G14" i="21" s="1"/>
  <c r="H14" i="20"/>
  <c r="G14" i="20"/>
  <c r="D14" i="20"/>
  <c r="H14" i="19"/>
  <c r="G14" i="19"/>
  <c r="D14" i="19"/>
  <c r="H14" i="18"/>
  <c r="D14" i="18"/>
  <c r="G14" i="18" s="1"/>
  <c r="H14" i="17"/>
  <c r="G14" i="17"/>
  <c r="D14" i="17"/>
  <c r="H14" i="1"/>
  <c r="D14" i="1"/>
  <c r="G14" i="1" s="1"/>
  <c r="D74" i="4"/>
  <c r="D75" i="4"/>
  <c r="D73" i="4"/>
  <c r="H13" i="26"/>
  <c r="D13" i="26"/>
  <c r="G13" i="26" s="1"/>
  <c r="H13" i="25"/>
  <c r="D13" i="25"/>
  <c r="G13" i="25" s="1"/>
  <c r="H13" i="24"/>
  <c r="D13" i="24"/>
  <c r="G13" i="24" s="1"/>
  <c r="H13" i="23"/>
  <c r="D13" i="23"/>
  <c r="G13" i="23" s="1"/>
  <c r="H13" i="22"/>
  <c r="D13" i="22"/>
  <c r="G13" i="22" s="1"/>
  <c r="H13" i="21"/>
  <c r="D13" i="21"/>
  <c r="G13" i="21" s="1"/>
  <c r="H13" i="20"/>
  <c r="D13" i="20"/>
  <c r="G13" i="20" s="1"/>
  <c r="H13" i="19"/>
  <c r="D13" i="19"/>
  <c r="G13" i="19" s="1"/>
  <c r="H13" i="18"/>
  <c r="D13" i="18"/>
  <c r="G13" i="18" s="1"/>
  <c r="H13" i="17"/>
  <c r="D13" i="17"/>
  <c r="G13" i="17" s="1"/>
  <c r="H13" i="1"/>
  <c r="D13" i="1"/>
  <c r="G13" i="1" s="1"/>
  <c r="D69" i="4"/>
  <c r="C69" i="4"/>
  <c r="D68" i="4"/>
  <c r="H12" i="26"/>
  <c r="D12" i="26"/>
  <c r="G12" i="26" s="1"/>
  <c r="H11" i="26"/>
  <c r="D11" i="26"/>
  <c r="H10" i="26"/>
  <c r="D10" i="26"/>
  <c r="G10" i="26" s="1"/>
  <c r="H9" i="26"/>
  <c r="G9" i="26"/>
  <c r="D9" i="26"/>
  <c r="H8" i="26"/>
  <c r="D8" i="26"/>
  <c r="G8" i="26" s="1"/>
  <c r="H7" i="26"/>
  <c r="G7" i="26"/>
  <c r="D7" i="26"/>
  <c r="H6" i="26"/>
  <c r="D6" i="26"/>
  <c r="G6" i="26" s="1"/>
  <c r="H5" i="26"/>
  <c r="D5" i="26"/>
  <c r="G5" i="26" s="1"/>
  <c r="H4" i="26"/>
  <c r="D4" i="26"/>
  <c r="G4" i="26" s="1"/>
  <c r="H3" i="26"/>
  <c r="G3" i="26"/>
  <c r="D3" i="26"/>
  <c r="H12" i="25"/>
  <c r="D12" i="25"/>
  <c r="G12" i="25" s="1"/>
  <c r="H11" i="25"/>
  <c r="D11" i="25"/>
  <c r="G11" i="25" s="1"/>
  <c r="H10" i="25"/>
  <c r="D10" i="25"/>
  <c r="G10" i="25" s="1"/>
  <c r="H9" i="25"/>
  <c r="D9" i="25"/>
  <c r="G9" i="25" s="1"/>
  <c r="H8" i="25"/>
  <c r="D8" i="25"/>
  <c r="G8" i="25" s="1"/>
  <c r="H7" i="25"/>
  <c r="D7" i="25"/>
  <c r="G7" i="25" s="1"/>
  <c r="H6" i="25"/>
  <c r="D6" i="25"/>
  <c r="G6" i="25" s="1"/>
  <c r="H5" i="25"/>
  <c r="D5" i="25"/>
  <c r="G5" i="25" s="1"/>
  <c r="H4" i="25"/>
  <c r="D4" i="25"/>
  <c r="G4" i="25" s="1"/>
  <c r="H3" i="25"/>
  <c r="G3" i="25"/>
  <c r="D3" i="25"/>
  <c r="H12" i="24"/>
  <c r="D12" i="24"/>
  <c r="G12" i="24" s="1"/>
  <c r="H11" i="24"/>
  <c r="D11" i="24"/>
  <c r="G11" i="24" s="1"/>
  <c r="H10" i="24"/>
  <c r="D10" i="24"/>
  <c r="G10" i="24" s="1"/>
  <c r="H9" i="24"/>
  <c r="G9" i="24"/>
  <c r="D9" i="24"/>
  <c r="H8" i="24"/>
  <c r="D8" i="24"/>
  <c r="G8" i="24" s="1"/>
  <c r="H7" i="24"/>
  <c r="D7" i="24"/>
  <c r="G7" i="24" s="1"/>
  <c r="H6" i="24"/>
  <c r="D6" i="24"/>
  <c r="G6" i="24" s="1"/>
  <c r="H5" i="24"/>
  <c r="G5" i="24"/>
  <c r="D5" i="24"/>
  <c r="H4" i="24"/>
  <c r="D4" i="24"/>
  <c r="G4" i="24" s="1"/>
  <c r="H3" i="24"/>
  <c r="D3" i="24"/>
  <c r="H12" i="23"/>
  <c r="D12" i="23"/>
  <c r="G12" i="23" s="1"/>
  <c r="H11" i="23"/>
  <c r="D11" i="23"/>
  <c r="G11" i="23" s="1"/>
  <c r="H10" i="23"/>
  <c r="D10" i="23"/>
  <c r="G10" i="23" s="1"/>
  <c r="H9" i="23"/>
  <c r="G9" i="23"/>
  <c r="D9" i="23"/>
  <c r="H8" i="23"/>
  <c r="G8" i="23"/>
  <c r="D8" i="23"/>
  <c r="H7" i="23"/>
  <c r="G7" i="23"/>
  <c r="D7" i="23"/>
  <c r="H6" i="23"/>
  <c r="D6" i="23"/>
  <c r="G6" i="23" s="1"/>
  <c r="H5" i="23"/>
  <c r="G5" i="23"/>
  <c r="D5" i="23"/>
  <c r="H4" i="23"/>
  <c r="D4" i="23"/>
  <c r="G4" i="23" s="1"/>
  <c r="H3" i="23"/>
  <c r="D3" i="23"/>
  <c r="G3" i="23" s="1"/>
  <c r="H12" i="22"/>
  <c r="D12" i="22"/>
  <c r="G12" i="22" s="1"/>
  <c r="H11" i="22"/>
  <c r="D11" i="22"/>
  <c r="G11" i="22" s="1"/>
  <c r="H10" i="22"/>
  <c r="D10" i="22"/>
  <c r="G10" i="22" s="1"/>
  <c r="H9" i="22"/>
  <c r="D9" i="22"/>
  <c r="G9" i="22" s="1"/>
  <c r="H8" i="22"/>
  <c r="D8" i="22"/>
  <c r="G8" i="22" s="1"/>
  <c r="H7" i="22"/>
  <c r="D7" i="22"/>
  <c r="G7" i="22" s="1"/>
  <c r="H6" i="22"/>
  <c r="D6" i="22"/>
  <c r="G6" i="22" s="1"/>
  <c r="H5" i="22"/>
  <c r="G5" i="22"/>
  <c r="D5" i="22"/>
  <c r="H4" i="22"/>
  <c r="G4" i="22"/>
  <c r="D4" i="22"/>
  <c r="H3" i="22"/>
  <c r="D3" i="22"/>
  <c r="G23" i="20"/>
  <c r="H12" i="21"/>
  <c r="D12" i="21"/>
  <c r="G12" i="21" s="1"/>
  <c r="H11" i="21"/>
  <c r="G11" i="21"/>
  <c r="D11" i="21"/>
  <c r="H10" i="21"/>
  <c r="D10" i="21"/>
  <c r="G10" i="21" s="1"/>
  <c r="H9" i="21"/>
  <c r="D9" i="21"/>
  <c r="G9" i="21" s="1"/>
  <c r="H8" i="21"/>
  <c r="D8" i="21"/>
  <c r="G8" i="21" s="1"/>
  <c r="H7" i="21"/>
  <c r="D7" i="21"/>
  <c r="G7" i="21" s="1"/>
  <c r="H6" i="21"/>
  <c r="D6" i="21"/>
  <c r="G6" i="21" s="1"/>
  <c r="H5" i="21"/>
  <c r="D5" i="21"/>
  <c r="G5" i="21" s="1"/>
  <c r="H4" i="21"/>
  <c r="D4" i="21"/>
  <c r="G4" i="21" s="1"/>
  <c r="H3" i="21"/>
  <c r="G3" i="21"/>
  <c r="D3" i="21"/>
  <c r="H12" i="20"/>
  <c r="D12" i="20"/>
  <c r="G12" i="20" s="1"/>
  <c r="H11" i="20"/>
  <c r="G11" i="20"/>
  <c r="D11" i="20"/>
  <c r="H10" i="20"/>
  <c r="D10" i="20"/>
  <c r="G10" i="20" s="1"/>
  <c r="H9" i="20"/>
  <c r="D9" i="20"/>
  <c r="G9" i="20" s="1"/>
  <c r="H8" i="20"/>
  <c r="D8" i="20"/>
  <c r="G8" i="20" s="1"/>
  <c r="H7" i="20"/>
  <c r="D7" i="20"/>
  <c r="G7" i="20" s="1"/>
  <c r="H6" i="20"/>
  <c r="D6" i="20"/>
  <c r="G6" i="20" s="1"/>
  <c r="H5" i="20"/>
  <c r="D5" i="20"/>
  <c r="G5" i="20" s="1"/>
  <c r="H4" i="20"/>
  <c r="D4" i="20"/>
  <c r="H3" i="20"/>
  <c r="G3" i="20"/>
  <c r="D3" i="20"/>
  <c r="H12" i="19"/>
  <c r="D12" i="19"/>
  <c r="G12" i="19" s="1"/>
  <c r="H11" i="19"/>
  <c r="D11" i="19"/>
  <c r="G11" i="19" s="1"/>
  <c r="H10" i="19"/>
  <c r="D10" i="19"/>
  <c r="G10" i="19" s="1"/>
  <c r="H9" i="19"/>
  <c r="D9" i="19"/>
  <c r="G9" i="19" s="1"/>
  <c r="H8" i="19"/>
  <c r="D8" i="19"/>
  <c r="G8" i="19" s="1"/>
  <c r="H7" i="19"/>
  <c r="D7" i="19"/>
  <c r="G7" i="19" s="1"/>
  <c r="H6" i="19"/>
  <c r="D6" i="19"/>
  <c r="G6" i="19" s="1"/>
  <c r="H5" i="19"/>
  <c r="D5" i="19"/>
  <c r="G5" i="19" s="1"/>
  <c r="H4" i="19"/>
  <c r="G4" i="19"/>
  <c r="D4" i="19"/>
  <c r="H3" i="19"/>
  <c r="D3" i="19"/>
  <c r="G3" i="19" s="1"/>
  <c r="H12" i="18"/>
  <c r="D12" i="18"/>
  <c r="G12" i="18" s="1"/>
  <c r="H11" i="18"/>
  <c r="D11" i="18"/>
  <c r="G11" i="18" s="1"/>
  <c r="H10" i="18"/>
  <c r="D10" i="18"/>
  <c r="G10" i="18" s="1"/>
  <c r="H9" i="18"/>
  <c r="G9" i="18"/>
  <c r="D9" i="18"/>
  <c r="H8" i="18"/>
  <c r="D8" i="18"/>
  <c r="G8" i="18" s="1"/>
  <c r="H7" i="18"/>
  <c r="D7" i="18"/>
  <c r="G7" i="18" s="1"/>
  <c r="H6" i="18"/>
  <c r="D6" i="18"/>
  <c r="G6" i="18" s="1"/>
  <c r="H5" i="18"/>
  <c r="D5" i="18"/>
  <c r="G5" i="18" s="1"/>
  <c r="H4" i="18"/>
  <c r="D4" i="18"/>
  <c r="G4" i="18" s="1"/>
  <c r="H3" i="18"/>
  <c r="D3" i="18"/>
  <c r="H12" i="17"/>
  <c r="D12" i="17"/>
  <c r="G12" i="17" s="1"/>
  <c r="H11" i="17"/>
  <c r="D11" i="17"/>
  <c r="G11" i="17" s="1"/>
  <c r="H10" i="17"/>
  <c r="D10" i="17"/>
  <c r="G10" i="17" s="1"/>
  <c r="H9" i="17"/>
  <c r="D9" i="17"/>
  <c r="G9" i="17" s="1"/>
  <c r="H8" i="17"/>
  <c r="D8" i="17"/>
  <c r="G8" i="17" s="1"/>
  <c r="H7" i="17"/>
  <c r="D7" i="17"/>
  <c r="G7" i="17" s="1"/>
  <c r="H6" i="17"/>
  <c r="D6" i="17"/>
  <c r="G6" i="17" s="1"/>
  <c r="H5" i="17"/>
  <c r="D5" i="17"/>
  <c r="G5" i="17" s="1"/>
  <c r="H4" i="17"/>
  <c r="G4" i="17"/>
  <c r="D4" i="17"/>
  <c r="H3" i="17"/>
  <c r="D3" i="17"/>
  <c r="G3" i="17" s="1"/>
  <c r="H12" i="1"/>
  <c r="H11" i="1"/>
  <c r="H10" i="1"/>
  <c r="H9" i="1"/>
  <c r="H8" i="1"/>
  <c r="H7" i="1"/>
  <c r="H6" i="1"/>
  <c r="H5" i="1"/>
  <c r="H4" i="1"/>
  <c r="H3" i="1"/>
  <c r="G12" i="1"/>
  <c r="D12" i="1"/>
  <c r="D64" i="4"/>
  <c r="B64" i="4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C59" i="4"/>
  <c r="D58" i="4"/>
  <c r="D57" i="4"/>
  <c r="D53" i="4"/>
  <c r="D52" i="4"/>
  <c r="D48" i="4"/>
  <c r="D47" i="4"/>
  <c r="D46" i="4"/>
  <c r="D42" i="4"/>
  <c r="D41" i="4"/>
  <c r="C37" i="4"/>
  <c r="D37" i="4" s="1"/>
  <c r="C36" i="4"/>
  <c r="D36" i="4" s="1"/>
  <c r="D35" i="4"/>
  <c r="D31" i="4"/>
  <c r="D30" i="4"/>
  <c r="D29" i="4"/>
  <c r="D28" i="4"/>
  <c r="D24" i="4"/>
  <c r="C24" i="4"/>
  <c r="D23" i="4"/>
  <c r="C22" i="4"/>
  <c r="D22" i="4" s="1"/>
  <c r="D21" i="4"/>
  <c r="D20" i="4"/>
  <c r="D16" i="4"/>
  <c r="D15" i="4"/>
  <c r="D14" i="4"/>
  <c r="D13" i="4"/>
  <c r="D12" i="4"/>
  <c r="D11" i="4"/>
  <c r="D10" i="4"/>
  <c r="C5" i="13"/>
  <c r="D4" i="13"/>
  <c r="D3" i="13"/>
  <c r="D4" i="12"/>
  <c r="D3" i="12"/>
  <c r="D4" i="11"/>
  <c r="D5" i="11"/>
  <c r="D3" i="11"/>
  <c r="D4" i="10"/>
  <c r="D3" i="10"/>
  <c r="D4" i="8"/>
  <c r="D5" i="8"/>
  <c r="D3" i="8"/>
  <c r="C5" i="8"/>
  <c r="C4" i="8"/>
  <c r="D4" i="7"/>
  <c r="D5" i="7"/>
  <c r="D6" i="7"/>
  <c r="D3" i="7"/>
  <c r="C7" i="6"/>
  <c r="D7" i="6"/>
  <c r="D6" i="6"/>
  <c r="C5" i="6"/>
  <c r="D5" i="6" s="1"/>
  <c r="D4" i="6"/>
  <c r="D3" i="6"/>
  <c r="D3" i="5"/>
  <c r="D4" i="4"/>
  <c r="D5" i="4"/>
  <c r="D6" i="4"/>
  <c r="D3" i="4"/>
  <c r="D4" i="3"/>
  <c r="D5" i="3"/>
  <c r="D6" i="3"/>
  <c r="D7" i="3"/>
  <c r="D8" i="3"/>
  <c r="D9" i="3"/>
  <c r="D3" i="3"/>
  <c r="G23" i="19" l="1"/>
  <c r="G23" i="18"/>
  <c r="G23" i="17"/>
  <c r="G23" i="1"/>
  <c r="G23" i="26"/>
  <c r="G11" i="26"/>
  <c r="G22" i="26" s="1"/>
  <c r="G23" i="25"/>
  <c r="G22" i="25"/>
  <c r="G23" i="24"/>
  <c r="G3" i="24"/>
  <c r="G22" i="24" s="1"/>
  <c r="G23" i="21"/>
  <c r="G22" i="23"/>
  <c r="G23" i="23"/>
  <c r="G23" i="22"/>
  <c r="G3" i="22"/>
  <c r="G22" i="22" s="1"/>
  <c r="G22" i="21"/>
  <c r="G4" i="20"/>
  <c r="G22" i="20" s="1"/>
  <c r="G22" i="19"/>
  <c r="G3" i="18"/>
  <c r="G22" i="18" s="1"/>
  <c r="G22" i="17"/>
  <c r="G22" i="1"/>
</calcChain>
</file>

<file path=xl/sharedStrings.xml><?xml version="1.0" encoding="utf-8"?>
<sst xmlns="http://schemas.openxmlformats.org/spreadsheetml/2006/main" count="740" uniqueCount="134">
  <si>
    <t>Sleep</t>
  </si>
  <si>
    <t>Item</t>
  </si>
  <si>
    <t>Watchdog Timer</t>
  </si>
  <si>
    <t>Battery Charging</t>
  </si>
  <si>
    <t>IMU</t>
  </si>
  <si>
    <t>Current Sense Amplifier</t>
  </si>
  <si>
    <t>SDR Module</t>
  </si>
  <si>
    <t>3.3V Regulator</t>
  </si>
  <si>
    <t>5V Regulator</t>
  </si>
  <si>
    <t>GPS Antenna</t>
  </si>
  <si>
    <t>GPS Receiver</t>
  </si>
  <si>
    <t>Transceiver</t>
  </si>
  <si>
    <t>Raspberry Pi</t>
  </si>
  <si>
    <t>Burn Wire</t>
  </si>
  <si>
    <t>https://www.tme.eu/en/details/rfm23bp-433-s2/rf-modules/hope-microelectronics/rfm23bp-433s2/</t>
  </si>
  <si>
    <t>Documentation</t>
  </si>
  <si>
    <t>Voltage</t>
  </si>
  <si>
    <t>Mode</t>
  </si>
  <si>
    <t>Current</t>
  </si>
  <si>
    <t>Notes</t>
  </si>
  <si>
    <t>Shutdown</t>
  </si>
  <si>
    <t>Standby</t>
  </si>
  <si>
    <t>Ready</t>
  </si>
  <si>
    <t>Tune</t>
  </si>
  <si>
    <t>RX</t>
  </si>
  <si>
    <t>TX</t>
  </si>
  <si>
    <t>Power</t>
  </si>
  <si>
    <t>RC Oscillator, Main Digital Reg, Low Power Digital Reg OFF</t>
  </si>
  <si>
    <t>Low power Digital Regulator ON (retain register values)</t>
  </si>
  <si>
    <t>RC Oscillator and Low Power Digital Regulator ON (retain register)</t>
  </si>
  <si>
    <t>Crystal Oscillator (except buffer), Main Digital Regulator ON</t>
  </si>
  <si>
    <t>Synthesizer, regulators enabled</t>
  </si>
  <si>
    <t>ON</t>
  </si>
  <si>
    <t>ON. This is max power, min is TBD</t>
  </si>
  <si>
    <t>Battery Charging Circuit</t>
  </si>
  <si>
    <t>https://www.mouser.com/ProductDetail/Analog-Devices-Linear-Technology/LTC4121EUDPBF?qs=sGAEpiMZZMvi6wO7nhr1L7YUjqsu48YyoHfTMJoaXhk%3d</t>
  </si>
  <si>
    <t>https://www.mouser.com/datasheet/2/609/4121fbc-1271438.pdf</t>
  </si>
  <si>
    <t>Max current in standby</t>
  </si>
  <si>
    <t>Max</t>
  </si>
  <si>
    <t>Disabled</t>
  </si>
  <si>
    <t>Up to 95% efficient, mostly around 90% on curve. For 14V: Max is 92% efficient, mostly 90% if above 100 mA input current.</t>
  </si>
  <si>
    <t>https://www.mouser.com/ProductDetail/Maxim-Integrated/MAX706RESA%2bT?qs=sGAEpiMZZMunEhqKs81nFJU%2flPixIJn0cmxy5TkxEso%3d</t>
  </si>
  <si>
    <t>Basic</t>
  </si>
  <si>
    <t>Max (For 5V input; for 3.3V more like 3.7 microAmps)</t>
  </si>
  <si>
    <t>https://www.digikey.com/product-detail/en/stmicroelectronics/LSM9DS1TR/497-14946-1-ND/4988079</t>
  </si>
  <si>
    <t>Normal Mode</t>
  </si>
  <si>
    <t>Accel+Mag (Normal)</t>
  </si>
  <si>
    <t>Gyro  (Normal)</t>
  </si>
  <si>
    <t>All  (Normal)</t>
  </si>
  <si>
    <t>Gyro (Low)</t>
  </si>
  <si>
    <t>This is the lowest low-power mode</t>
  </si>
  <si>
    <t>Low-Power Mode</t>
  </si>
  <si>
    <t>All  (Low)</t>
  </si>
  <si>
    <t>DONE</t>
  </si>
  <si>
    <t>not needed</t>
  </si>
  <si>
    <t>Memory</t>
  </si>
  <si>
    <t>https://www.digikey.com/product-detail/en/everspin-technologies-inc/MR25H40MDF/819-1055-ND/4169130</t>
  </si>
  <si>
    <t>Active Read</t>
  </si>
  <si>
    <t>Active Write</t>
  </si>
  <si>
    <t>Standby Sleep</t>
  </si>
  <si>
    <t>Max current. Typical is 1 mA</t>
  </si>
  <si>
    <t>Max at 50MHz</t>
  </si>
  <si>
    <t>MCU (ARM Microcontroller)</t>
  </si>
  <si>
    <t>http://ww1.microchip.com/downloads/en/DeviceDoc/60001507C.pdf</t>
  </si>
  <si>
    <t>Estimated Typical</t>
  </si>
  <si>
    <t>Estimated Max</t>
  </si>
  <si>
    <t>48 MHz power consumption on 3.3V BUCK DFLL. Will need to update. Powers based on operating at full 48 MHz.</t>
  </si>
  <si>
    <t>Estimated Boot</t>
  </si>
  <si>
    <t>MCU (ARM)</t>
  </si>
  <si>
    <t>http://www.ti.com/lit/ds/symlink/tps54226.pdf</t>
  </si>
  <si>
    <t>pg3</t>
  </si>
  <si>
    <t>https://github.com/aa236b-winter-2019/payload-documentation/blob/master/References/GPS_Data_Sheet.pdf</t>
  </si>
  <si>
    <t>GPS (S1216F8-GL)</t>
  </si>
  <si>
    <t>Acquisition</t>
  </si>
  <si>
    <t>Tracking</t>
  </si>
  <si>
    <t>Also need to include antenna power separately</t>
  </si>
  <si>
    <t>Quantity: 2</t>
  </si>
  <si>
    <t>Quantity: 1</t>
  </si>
  <si>
    <t>https://cdn.taoglas.com/datasheets/AP.12B.07.0046A.pdf</t>
  </si>
  <si>
    <t>High Gain (28dB)</t>
  </si>
  <si>
    <t>Low Gain (9dB)</t>
  </si>
  <si>
    <t>Typ Gain (25dB)</t>
  </si>
  <si>
    <t>Likely use this one. This is for single antenna</t>
  </si>
  <si>
    <t>SDR</t>
  </si>
  <si>
    <t>https://wiki.myriadrf.org/LimeMicro:LMS7002M_Datasheet</t>
  </si>
  <si>
    <t>Highest voltage</t>
  </si>
  <si>
    <t>ignore</t>
  </si>
  <si>
    <t>Memory (4MB MRAM)</t>
  </si>
  <si>
    <t>Raspberry Pi 3</t>
  </si>
  <si>
    <t>Idle</t>
  </si>
  <si>
    <t>Load</t>
  </si>
  <si>
    <t>Use max for processing most likely</t>
  </si>
  <si>
    <t>Magnetorquers</t>
  </si>
  <si>
    <t>Need better model from Software.</t>
  </si>
  <si>
    <t>Burn Wires</t>
  </si>
  <si>
    <t>Take from paper?</t>
  </si>
  <si>
    <t>GPS Receiver (S1216F8-GL)</t>
  </si>
  <si>
    <t>Contingency</t>
  </si>
  <si>
    <t>Power w/ Contingency</t>
  </si>
  <si>
    <t>Duty Cycle</t>
  </si>
  <si>
    <t>Operating Mode</t>
  </si>
  <si>
    <t>Nominal Power</t>
  </si>
  <si>
    <t>Component</t>
  </si>
  <si>
    <t># ON</t>
  </si>
  <si>
    <t>Total: don't forget to add 90% battery charging efficiency for solar cells? Assume 90% efficiency for regulator as well, on the total power calculation.</t>
  </si>
  <si>
    <t>Battery Controller</t>
  </si>
  <si>
    <t>Notes:</t>
  </si>
  <si>
    <t>Mode 4: Sleep</t>
  </si>
  <si>
    <t>Mode 5: Detumble</t>
  </si>
  <si>
    <t>Mode 6: Beacon</t>
  </si>
  <si>
    <t>Mode 7: Listen</t>
  </si>
  <si>
    <t>Mode 8: Uplink</t>
  </si>
  <si>
    <t>Mode 9: Downlink</t>
  </si>
  <si>
    <t>Mode 10: Payload ON</t>
  </si>
  <si>
    <t>Mode 11: Process &amp; Store Data</t>
  </si>
  <si>
    <t>Mode 3: Deploy</t>
  </si>
  <si>
    <t>Mode 2: Hold</t>
  </si>
  <si>
    <t>Mode 1: Launch</t>
  </si>
  <si>
    <t>https://www.nrl.navy.mil/PressReleases/2014/AMS%20Paper%20-%20A%20Nichrome%20Burn%20Wire%20Release%20Mechanism%20for%20CubeSats%20-%20Final%20-%20Adam%20Thurn.pdf</t>
  </si>
  <si>
    <t>Inactive</t>
  </si>
  <si>
    <t>Active</t>
  </si>
  <si>
    <t>Does nothing when off.</t>
  </si>
  <si>
    <t>Only on for 14-20 seconds</t>
  </si>
  <si>
    <t>Max Draw (W):</t>
  </si>
  <si>
    <t>&lt; All on at same time regardless of duty cycle.</t>
  </si>
  <si>
    <t>Power Efficiency:</t>
  </si>
  <si>
    <t>Total Power Drain (W):</t>
  </si>
  <si>
    <t>N/A</t>
  </si>
  <si>
    <t>Estimated based on 244.1 Ohm Resistance, 8.6V input.</t>
  </si>
  <si>
    <t>MicroSD</t>
  </si>
  <si>
    <t>Read</t>
  </si>
  <si>
    <t>Write</t>
  </si>
  <si>
    <t>Value for high performance (50 MHz) mode. Half for standard mode.</t>
  </si>
  <si>
    <t>https://www.alliedelec.com/m/d/04db416b291011446889dbd6129e2644.pdf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</si>
</sst>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4" fillId="0" borderId="1" xfId="0" quotePrefix="1" applyFont="1" applyBorder="1"/>
    <xf numFmtId="0" fontId="5" fillId="0" borderId="0" xfId="0" applyFont="1"/>
    <xf numFmtId="9" fontId="0" fillId="0" borderId="0" xfId="1" applyFont="1"/>
    <xf numFmtId="0" fontId="2" fillId="0" borderId="0" xfId="0" applyFont="1"/>
    <xf numFmtId="9" fontId="2" fillId="0" borderId="0" xfId="1" applyFont="1"/>
    <xf numFmtId="0" fontId="6" fillId="0" borderId="0" xfId="0" applyFont="1"/>
    <xf numFmtId="9" fontId="3" fillId="2" borderId="1" xfId="1" applyFont="1" applyFill="1" applyBorder="1"/>
    <xf numFmtId="9" fontId="0" fillId="0" borderId="1" xfId="1" applyFont="1" applyBorder="1"/>
    <xf numFmtId="0" fontId="3" fillId="2" borderId="1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5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E5CD3-B778-4249-B48D-CC28BB8E7B9A}" name="Table1" displayName="Table1" ref="A2:H14" totalsRowShown="0" headerRowDxfId="54" headerRowCellStyle="Percent">
  <autoFilter ref="A2:H14" xr:uid="{5D1D2744-F663-483B-A639-0E89A8B2362D}"/>
  <tableColumns count="8">
    <tableColumn id="1" xr3:uid="{1EA456A2-3A29-408C-9CDC-AA5556D37CBC}" name="Component"/>
    <tableColumn id="2" xr3:uid="{19D50070-A30D-47A8-8509-DD94CA921842}" name="# ON"/>
    <tableColumn id="3" xr3:uid="{D4D8975C-DCA9-4310-AF95-52E07BB00805}" name="Operating Mode"/>
    <tableColumn id="4" xr3:uid="{567EC4F1-4212-4A84-8E54-4CF9135E5688}" name="Nominal Power" dataDxfId="53"/>
    <tableColumn id="5" xr3:uid="{81820213-B9CE-4C97-8940-7E564E67FF21}" name="Duty Cycle" dataDxfId="52" dataCellStyle="Percent"/>
    <tableColumn id="6" xr3:uid="{FDBA0B51-C555-4258-A56B-29E58AA683CA}" name="Contingency" dataDxfId="51" dataCellStyle="Percent"/>
    <tableColumn id="7" xr3:uid="{E29BD5D5-DC6C-4152-8916-07F82CACE068}" name="Power w/ Contingency">
      <calculatedColumnFormula>B3*D3*E3*(1+F3)</calculatedColumnFormula>
    </tableColumn>
    <tableColumn id="8" xr3:uid="{13FB5836-EAB1-43F1-A5F2-0F23D39AB1F4}" name="Notes:" dataDxfId="5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39713B-B461-437E-B8A1-90187B7A65EF}" name="Table1171819212223242526" displayName="Table1171819212223242526" ref="A2:H14" totalsRowShown="0" headerRowDxfId="9" headerRowCellStyle="Percent">
  <autoFilter ref="A2:H14" xr:uid="{E7F9B12A-E120-48EC-852C-4418A0EC6A53}"/>
  <tableColumns count="8">
    <tableColumn id="1" xr3:uid="{DF0CF660-6D0C-4B52-86D8-10083DE82433}" name="Component"/>
    <tableColumn id="2" xr3:uid="{36578116-3BD6-465D-959F-DC55654096C6}" name="# ON"/>
    <tableColumn id="3" xr3:uid="{9CAEA646-894C-4BD7-9DC9-A8B2A3BE7A1E}" name="Operating Mode"/>
    <tableColumn id="4" xr3:uid="{337ADFA9-9A47-4C37-951C-0C7C7EF3AF67}" name="Nominal Power" dataDxfId="8"/>
    <tableColumn id="5" xr3:uid="{412DCE96-D923-4C51-9D99-B15CE21DC179}" name="Duty Cycle" dataDxfId="7" dataCellStyle="Percent"/>
    <tableColumn id="6" xr3:uid="{C986C2AC-571C-4775-B369-1F8B90E56343}" name="Contingency" dataDxfId="6" dataCellStyle="Percent"/>
    <tableColumn id="7" xr3:uid="{C9E22BDA-AD38-4823-A5D3-19DF05DCCFE7}" name="Power w/ Contingency">
      <calculatedColumnFormula>B3*D3*E3*(1+F3)</calculatedColumnFormula>
    </tableColumn>
    <tableColumn id="8" xr3:uid="{B1DAADE9-9C1A-476C-9CF5-94B52377690B}" name="Notes:" dataDxfId="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AB8B54E-C743-43E5-ABD0-264BD826E2D9}" name="Table117181921222324252627" displayName="Table117181921222324252627" ref="A2:H14" totalsRowShown="0" headerRowDxfId="4" headerRowCellStyle="Percent">
  <autoFilter ref="A2:H14" xr:uid="{11BBA9D0-8C90-4BBC-8D2B-8741FEB2DB00}"/>
  <tableColumns count="8">
    <tableColumn id="1" xr3:uid="{F3BDC7CE-C0C6-43EA-A48C-74844CF803C7}" name="Component"/>
    <tableColumn id="2" xr3:uid="{2493863E-83AC-4E1C-8C65-0D3871E94D5B}" name="# ON"/>
    <tableColumn id="3" xr3:uid="{482077E1-39F5-49AD-87BC-9CB23DDE3180}" name="Operating Mode"/>
    <tableColumn id="4" xr3:uid="{A4567D06-61F0-47C9-B846-52428F91D952}" name="Nominal Power" dataDxfId="3"/>
    <tableColumn id="5" xr3:uid="{F9945031-E068-471A-A6C8-E366E6DE91ED}" name="Duty Cycle" dataDxfId="2" dataCellStyle="Percent"/>
    <tableColumn id="6" xr3:uid="{08643899-D232-4568-BCB7-527433264B7C}" name="Contingency" dataDxfId="1" dataCellStyle="Percent"/>
    <tableColumn id="7" xr3:uid="{5CAF15FB-B2E1-432D-AD8D-3C5A95B40305}" name="Power w/ Contingency">
      <calculatedColumnFormula>B3*D3*E3*(1+F3)</calculatedColumnFormula>
    </tableColumn>
    <tableColumn id="8" xr3:uid="{02C2A576-017E-435F-B52D-ECDB89865335}" name="Notes:" dataDxfId="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2AFEA13-4A92-49BA-992B-19BABE352E70}" name="Table117" displayName="Table117" ref="A2:H14" totalsRowShown="0" headerRowDxfId="49" headerRowCellStyle="Percent">
  <autoFilter ref="A2:H14" xr:uid="{482AA98F-4261-4CE9-A6F1-84C7B58FF834}"/>
  <tableColumns count="8">
    <tableColumn id="1" xr3:uid="{6A431037-CB6A-4164-A3DA-DEAEB1F38822}" name="Component"/>
    <tableColumn id="2" xr3:uid="{F5889B13-2F1F-4E87-BC01-D890426C75A8}" name="# ON"/>
    <tableColumn id="3" xr3:uid="{5B250215-B48A-4CF2-BD1E-2AB5B4C1ACA3}" name="Operating Mode"/>
    <tableColumn id="4" xr3:uid="{B15BB8D1-6A52-443B-980C-A4381EA6BBA4}" name="Nominal Power" dataDxfId="48"/>
    <tableColumn id="5" xr3:uid="{E5A5C5F5-4AB9-4A7C-9043-073615A28799}" name="Duty Cycle" dataDxfId="47" dataCellStyle="Percent"/>
    <tableColumn id="6" xr3:uid="{25921ACF-EC8A-473D-9FCD-FE95E31F0E17}" name="Contingency" dataDxfId="46" dataCellStyle="Percent"/>
    <tableColumn id="7" xr3:uid="{E260BE35-91A5-4564-A806-1B86CD67A470}" name="Power w/ Contingency">
      <calculatedColumnFormula>B3*D3*E3*(1+F3)</calculatedColumnFormula>
    </tableColumn>
    <tableColumn id="8" xr3:uid="{8FD95B84-9C00-4ACA-99DB-9FF0607C9181}" name="Notes:" dataDxfId="4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9B653CC-3D12-4A40-B519-24C0F8E3CB7A}" name="Table11718" displayName="Table11718" ref="A2:H14" totalsRowShown="0" headerRowDxfId="44" headerRowCellStyle="Percent">
  <autoFilter ref="A2:H14" xr:uid="{8AE31EEC-7A6F-4C22-B086-96F26A0195CB}"/>
  <tableColumns count="8">
    <tableColumn id="1" xr3:uid="{B9E34BAA-D35A-42F2-9257-515F27726D89}" name="Component"/>
    <tableColumn id="2" xr3:uid="{7665FEEA-C186-41B4-99C0-6AB1DCD23A1A}" name="# ON"/>
    <tableColumn id="3" xr3:uid="{CAA4B31F-809D-4DAB-A458-67C34F39302A}" name="Operating Mode"/>
    <tableColumn id="4" xr3:uid="{CDBDA4B9-A61F-4823-8260-986D2DCA3671}" name="Nominal Power" dataDxfId="43"/>
    <tableColumn id="5" xr3:uid="{14E74BEB-592A-4F42-A123-DC8985594281}" name="Duty Cycle" dataDxfId="42" dataCellStyle="Percent"/>
    <tableColumn id="6" xr3:uid="{7E223881-82BF-4923-84B0-509641D2F7E9}" name="Contingency" dataDxfId="41" dataCellStyle="Percent"/>
    <tableColumn id="7" xr3:uid="{F2F1B1A4-C526-4B2C-8B1F-47A23DBC788C}" name="Power w/ Contingency">
      <calculatedColumnFormula>B3*D3*E3*(1+F3)</calculatedColumnFormula>
    </tableColumn>
    <tableColumn id="8" xr3:uid="{F15A618B-9475-49C2-8651-5F9E209ECA34}" name="Notes:" dataDxfId="4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96A987-8995-4F06-9573-2BD1E93F55D4}" name="Table1171819" displayName="Table1171819" ref="A2:H14" totalsRowShown="0" headerRowDxfId="39" headerRowCellStyle="Percent">
  <autoFilter ref="A2:H14" xr:uid="{107FE4B9-71D0-45E3-B54E-E686877DEB2C}"/>
  <tableColumns count="8">
    <tableColumn id="1" xr3:uid="{8213F2F4-832F-43E0-9903-1695614FE04D}" name="Component"/>
    <tableColumn id="2" xr3:uid="{90DEAA9B-41FF-4AA6-9E6F-8F2AD7EC6166}" name="# ON"/>
    <tableColumn id="3" xr3:uid="{F9CF5C67-B5E4-46B0-A83F-ED809E3A48CD}" name="Operating Mode"/>
    <tableColumn id="4" xr3:uid="{1EFE259F-8A8C-4D6F-9D83-B0D79BCB2899}" name="Nominal Power" dataDxfId="38"/>
    <tableColumn id="5" xr3:uid="{E73C88BF-BBCD-4213-A039-EDA3F9EFB79B}" name="Duty Cycle" dataDxfId="37" dataCellStyle="Percent"/>
    <tableColumn id="6" xr3:uid="{6AB621DE-7C8E-43BB-AD55-88EBD2EA20AF}" name="Contingency" dataDxfId="36" dataCellStyle="Percent"/>
    <tableColumn id="7" xr3:uid="{4C1CBA85-B864-43F3-B928-5C8EE3049997}" name="Power w/ Contingency">
      <calculatedColumnFormula>B3*D3*E3*(1+F3)</calculatedColumnFormula>
    </tableColumn>
    <tableColumn id="8" xr3:uid="{E5473D3D-1B64-4001-973A-674912FDCB4F}" name="Notes:" dataDxfId="3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580FF47-6778-446A-903F-AD25269AB6F8}" name="Table117181921" displayName="Table117181921" ref="A2:H14" totalsRowShown="0" headerRowDxfId="34" headerRowCellStyle="Percent">
  <autoFilter ref="A2:H14" xr:uid="{C663187F-892A-4B4A-865F-80061725F062}"/>
  <tableColumns count="8">
    <tableColumn id="1" xr3:uid="{0A17D49D-2F56-4DE2-8238-4962E00CF737}" name="Component"/>
    <tableColumn id="2" xr3:uid="{2426C660-D8D7-4A59-AB0B-42627F223336}" name="# ON"/>
    <tableColumn id="3" xr3:uid="{13995772-59CB-4205-B6E7-C6BDA0ECDFE7}" name="Operating Mode"/>
    <tableColumn id="4" xr3:uid="{CEAC624C-8F31-4435-8231-463BF8E4E959}" name="Nominal Power" dataDxfId="33"/>
    <tableColumn id="5" xr3:uid="{254BBDF1-2C90-4EF8-803F-0C620317B173}" name="Duty Cycle" dataDxfId="32" dataCellStyle="Percent"/>
    <tableColumn id="6" xr3:uid="{AEEBB5A6-03CF-40B7-9569-61F147F8687F}" name="Contingency" dataDxfId="31" dataCellStyle="Percent"/>
    <tableColumn id="7" xr3:uid="{B138734E-05D7-450C-AD07-C0322F9AD3EC}" name="Power w/ Contingency">
      <calculatedColumnFormula>B3*D3*E3*(1+F3)</calculatedColumnFormula>
    </tableColumn>
    <tableColumn id="8" xr3:uid="{AA6C318F-C8D5-4E20-8A87-07BDC1ACBCFC}" name="Notes:" dataDxfId="3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ACE2F1-6D96-444F-B936-06151FB7695A}" name="Table11718192122" displayName="Table11718192122" ref="A2:H14" totalsRowShown="0" headerRowDxfId="29" headerRowCellStyle="Percent">
  <autoFilter ref="A2:H14" xr:uid="{895FD5C7-E4EB-4040-99DC-EAE70ECD8EE3}"/>
  <tableColumns count="8">
    <tableColumn id="1" xr3:uid="{781C8B4D-C52F-4A91-9427-F8F3A9FEFA6E}" name="Component"/>
    <tableColumn id="2" xr3:uid="{CFA495E9-EDB6-42EB-BBCB-82049CDD14E8}" name="# ON"/>
    <tableColumn id="3" xr3:uid="{B09BE9DB-CC0E-45BD-9892-31CEE4DDE4ED}" name="Operating Mode"/>
    <tableColumn id="4" xr3:uid="{7E42E829-169D-4CE2-97E4-13460E359225}" name="Nominal Power" dataDxfId="28"/>
    <tableColumn id="5" xr3:uid="{4F9BCA1A-1823-45B9-AC8D-6AB203EF43B2}" name="Duty Cycle" dataDxfId="27" dataCellStyle="Percent"/>
    <tableColumn id="6" xr3:uid="{23A59815-05D5-4886-99A4-DDD74927511D}" name="Contingency" dataDxfId="26" dataCellStyle="Percent"/>
    <tableColumn id="7" xr3:uid="{842AADD7-43D6-4F6F-B587-0BBDE448EF42}" name="Power w/ Contingency">
      <calculatedColumnFormula>B3*D3*E3*(1+F3)</calculatedColumnFormula>
    </tableColumn>
    <tableColumn id="8" xr3:uid="{E6D767EB-E652-4005-AA1A-B893319FA504}" name="Notes:" dataDxfId="2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F3B3EA4-DA81-4917-9C25-6A13415D570A}" name="Table1171819212223" displayName="Table1171819212223" ref="A2:H14" totalsRowShown="0" headerRowDxfId="24" headerRowCellStyle="Percent">
  <autoFilter ref="A2:H14" xr:uid="{19C7E47C-C742-43B7-888E-47FD8B39139F}"/>
  <tableColumns count="8">
    <tableColumn id="1" xr3:uid="{546CBF58-7E01-499E-8CF8-8F42DD150A27}" name="Component"/>
    <tableColumn id="2" xr3:uid="{F315E341-AB05-4455-96B4-9887AB3530B2}" name="# ON"/>
    <tableColumn id="3" xr3:uid="{F0B97785-1455-4B1A-9C65-8B130FE95819}" name="Operating Mode"/>
    <tableColumn id="4" xr3:uid="{470DF76E-8EA1-4757-8023-D7F8788A0116}" name="Nominal Power" dataDxfId="23"/>
    <tableColumn id="5" xr3:uid="{9A595529-FE8D-4AC3-821B-C518A498631E}" name="Duty Cycle" dataDxfId="22" dataCellStyle="Percent"/>
    <tableColumn id="6" xr3:uid="{12B4211B-2C11-41F5-BC22-430CA0C6F520}" name="Contingency" dataDxfId="21" dataCellStyle="Percent"/>
    <tableColumn id="7" xr3:uid="{1B97C563-4CD0-4DF7-BDE1-94327E3893BD}" name="Power w/ Contingency">
      <calculatedColumnFormula>B3*D3*E3*(1+F3)</calculatedColumnFormula>
    </tableColumn>
    <tableColumn id="8" xr3:uid="{F8FD0AFD-4A42-443D-A372-8AD5630E3DF1}" name="Notes:" dataDxfId="2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A620FA5-50F3-4896-A69C-1FE21BF3BF4F}" name="Table117181921222324" displayName="Table117181921222324" ref="A2:H14" totalsRowShown="0" headerRowDxfId="19" headerRowCellStyle="Percent">
  <autoFilter ref="A2:H14" xr:uid="{91D532FD-99E5-4343-A669-72B5FBB23630}"/>
  <tableColumns count="8">
    <tableColumn id="1" xr3:uid="{83767E0B-CAB2-420A-9AD6-2449AFCAD9BC}" name="Component"/>
    <tableColumn id="2" xr3:uid="{D7EAD2A0-9626-491E-946D-E0FCA30E18AE}" name="# ON"/>
    <tableColumn id="3" xr3:uid="{09250B62-29BE-4409-9B66-AE38F083F1EE}" name="Operating Mode"/>
    <tableColumn id="4" xr3:uid="{E5C750AF-3775-460A-85C0-5289942235F7}" name="Nominal Power" dataDxfId="18"/>
    <tableColumn id="5" xr3:uid="{4DF31443-27AC-4916-A29C-E6C9B6678E1E}" name="Duty Cycle" dataDxfId="17" dataCellStyle="Percent"/>
    <tableColumn id="6" xr3:uid="{16EF12E2-DBD5-4D3A-9B94-C20A7BF23077}" name="Contingency" dataDxfId="16" dataCellStyle="Percent"/>
    <tableColumn id="7" xr3:uid="{93DD4F84-98BF-4F6A-8A95-46F6948E8923}" name="Power w/ Contingency">
      <calculatedColumnFormula>B3*D3*E3*(1+F3)</calculatedColumnFormula>
    </tableColumn>
    <tableColumn id="8" xr3:uid="{847FAA83-3234-49C7-9071-4BA7C3C7C19F}" name="Notes:" dataDxfId="1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7904B2F-45E3-4FAF-8B7A-D3A3B69D0EAD}" name="Table11718192122232425" displayName="Table11718192122232425" ref="A2:H14" totalsRowShown="0" headerRowDxfId="14" headerRowCellStyle="Percent">
  <autoFilter ref="A2:H14" xr:uid="{8C8EA553-5485-4238-917F-E0427822844E}"/>
  <tableColumns count="8">
    <tableColumn id="1" xr3:uid="{10FA7102-3642-46EB-8B24-736761A7F445}" name="Component"/>
    <tableColumn id="2" xr3:uid="{09FC6019-C5CE-4DAC-8EE0-40794F6A9BCA}" name="# ON"/>
    <tableColumn id="3" xr3:uid="{0C9325EC-CCAC-4F31-9884-8E8FE294198B}" name="Operating Mode"/>
    <tableColumn id="4" xr3:uid="{82E3C0C7-A762-4742-9FDF-28C6B355471F}" name="Nominal Power" dataDxfId="13"/>
    <tableColumn id="5" xr3:uid="{1A659804-B460-4112-BD50-5F1B560A9A35}" name="Duty Cycle" dataDxfId="12" dataCellStyle="Percent"/>
    <tableColumn id="6" xr3:uid="{0AD7BC3D-494D-4C21-AED8-3587ACDD4046}" name="Contingency" dataDxfId="11" dataCellStyle="Percent"/>
    <tableColumn id="7" xr3:uid="{4E586B4A-2F4D-4CC6-AC03-B4251F300F71}" name="Power w/ Contingency">
      <calculatedColumnFormula>B3*D3*E3*(1+F3)</calculatedColumnFormula>
    </tableColumn>
    <tableColumn id="8" xr3:uid="{1C5382F4-DCE9-4599-B039-AC3F96B29BF6}" name="Notes:" dataDxfId="1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258F-80F4-4D60-B965-08A8E710B5F5}">
  <dimension ref="A1:H25"/>
  <sheetViews>
    <sheetView tabSelected="1" workbookViewId="0">
      <selection activeCell="A19" sqref="A19"/>
    </sheetView>
  </sheetViews>
  <sheetFormatPr defaultRowHeight="14.4" x14ac:dyDescent="0.55000000000000004"/>
  <cols>
    <col min="1" max="1" width="19.57812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95.1562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117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20</v>
      </c>
      <c r="D3" s="1">
        <f>INDEX('Estimated Power'!A3:D6,MATCH(C3,'Estimated Power'!A3:A6,0),4)</f>
        <v>2.0000000000000001E-4</v>
      </c>
      <c r="E3" s="4">
        <v>1</v>
      </c>
      <c r="F3" s="4">
        <v>0.2</v>
      </c>
      <c r="G3">
        <f>B3*D3*E3*(1+F3)</f>
        <v>2.4000000000000001E-4</v>
      </c>
      <c r="H3" t="str">
        <f>INDEX('Estimated Power'!A3:E6,MATCH(C3,'Estimated Power'!A3:A6,0),5)</f>
        <v>Max</v>
      </c>
    </row>
    <row r="4" spans="1:8" x14ac:dyDescent="0.55000000000000004">
      <c r="A4" t="s">
        <v>68</v>
      </c>
      <c r="B4">
        <v>0</v>
      </c>
      <c r="C4" t="s">
        <v>67</v>
      </c>
      <c r="D4" s="1">
        <f>INDEX('Estimated Power'!A35:D37,MATCH(C4,'Estimated Power'!A35:A37,0),4)</f>
        <v>2.3099999999999999E-2</v>
      </c>
      <c r="E4" s="4">
        <v>1</v>
      </c>
      <c r="F4" s="4">
        <v>0.2</v>
      </c>
      <c r="G4">
        <f t="shared" ref="G4:G13" si="0">B4*D4*E4*(1+F4)</f>
        <v>0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0</v>
      </c>
      <c r="C5" t="s">
        <v>52</v>
      </c>
      <c r="D5" s="1">
        <f>INDEX('Estimated Power'!A20:D24,MATCH(C5,'Estimated Power'!A20:A24,0),4)</f>
        <v>8.2500000000000004E-3</v>
      </c>
      <c r="E5" s="4">
        <v>1</v>
      </c>
      <c r="F5" s="4">
        <v>0.2</v>
      </c>
      <c r="G5">
        <f t="shared" si="0"/>
        <v>0</v>
      </c>
      <c r="H5" t="str">
        <f>INDEX('Estimated Power'!A20:E24,MATCH(C5,'Estimated Power'!A20:A24,0),5)</f>
        <v>Low-Power Mode</v>
      </c>
    </row>
    <row r="6" spans="1:8" x14ac:dyDescent="0.55000000000000004">
      <c r="A6" t="s">
        <v>55</v>
      </c>
      <c r="B6">
        <v>0</v>
      </c>
      <c r="C6" t="s">
        <v>59</v>
      </c>
      <c r="D6" s="1">
        <f>INDEX('Estimated Power'!A28:D31,MATCH(C6,'Estimated Power'!A28:A31,0),4)</f>
        <v>1.3200000000000001E-4</v>
      </c>
      <c r="E6" s="4">
        <v>1</v>
      </c>
      <c r="F6" s="4">
        <v>0.2</v>
      </c>
      <c r="G6">
        <f t="shared" si="0"/>
        <v>0</v>
      </c>
      <c r="H6">
        <f>INDEX('Estimated Power'!A28:E31,MATCH(C6,'Estimated Power'!A28:A31,0),5)</f>
        <v>0</v>
      </c>
    </row>
    <row r="7" spans="1:8" x14ac:dyDescent="0.55000000000000004">
      <c r="A7" t="s">
        <v>11</v>
      </c>
      <c r="B7">
        <v>0</v>
      </c>
      <c r="C7" t="s">
        <v>21</v>
      </c>
      <c r="D7" s="1">
        <f>INDEX('Estimated Power'!A10:D16,MATCH(C7,'Estimated Power'!A10:A16,0),4)</f>
        <v>2.2500000000000001E-6</v>
      </c>
      <c r="E7" s="4">
        <v>1</v>
      </c>
      <c r="F7" s="4">
        <v>0.2</v>
      </c>
      <c r="G7">
        <f t="shared" si="0"/>
        <v>0</v>
      </c>
      <c r="H7" t="str">
        <f>INDEX('Estimated Power'!A10:E16,MATCH(C7,'Estimated Power'!A10:A16,0),5)</f>
        <v>Low power Digital Regulator ON (retain register values)</v>
      </c>
    </row>
    <row r="8" spans="1:8" x14ac:dyDescent="0.55000000000000004">
      <c r="A8" t="s">
        <v>10</v>
      </c>
      <c r="B8">
        <v>0</v>
      </c>
      <c r="C8" t="s">
        <v>73</v>
      </c>
      <c r="D8" s="1">
        <f>INDEX('Estimated Power'!A41:D42,MATCH(C8,'Estimated Power'!A41:A42,0),4)</f>
        <v>0.14849999999999999</v>
      </c>
      <c r="E8" s="4">
        <v>1</v>
      </c>
      <c r="F8" s="4">
        <v>0.2</v>
      </c>
      <c r="G8">
        <f>B8*D8*E8*(1+F8)</f>
        <v>0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0</v>
      </c>
      <c r="C9" t="s">
        <v>81</v>
      </c>
      <c r="D9" s="1">
        <f>INDEX('Estimated Power'!A46:D48,MATCH(C9,'Estimated Power'!A46:A48,0),4)</f>
        <v>0.03</v>
      </c>
      <c r="E9" s="4">
        <v>1</v>
      </c>
      <c r="F9" s="4">
        <v>0.2</v>
      </c>
      <c r="G9">
        <f t="shared" si="0"/>
        <v>0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0</v>
      </c>
      <c r="C11" t="s">
        <v>38</v>
      </c>
      <c r="D11" s="1">
        <f>INDEX('Estimated Power'!A57:D59,MATCH(C11,'Estimated Power'!A57:A59,0),4)</f>
        <v>3.5</v>
      </c>
      <c r="E11" s="4">
        <v>1</v>
      </c>
      <c r="F11" s="4">
        <v>0.2</v>
      </c>
      <c r="G11">
        <f t="shared" si="0"/>
        <v>0</v>
      </c>
      <c r="H11" t="str">
        <f>INDEX('Estimated Power'!A57:E59,MATCH(C11,'Estimated Power'!A57:A59,0),5)</f>
        <v>Use max for processing most likely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0</v>
      </c>
      <c r="C14" t="s">
        <v>0</v>
      </c>
      <c r="D14" s="1">
        <f>INDEX('Estimated Power'!A73:D75,MATCH(C14,'Estimated Power'!A73:A75,0),4)</f>
        <v>1.0499999999999999E-3</v>
      </c>
      <c r="E14" s="4">
        <v>1</v>
      </c>
      <c r="F14" s="4">
        <v>0.2</v>
      </c>
      <c r="G14">
        <f>B14*D14*E14*(1+F14)</f>
        <v>0</v>
      </c>
      <c r="H14">
        <f>INDEX('Estimated Power'!A73:E75,MATCH(C14,'Estimated Power'!A73:A75,0),5)</f>
        <v>0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2.6666666666666668E-4</v>
      </c>
    </row>
    <row r="23" spans="2:8" x14ac:dyDescent="0.55000000000000004">
      <c r="F23" s="10" t="s">
        <v>123</v>
      </c>
      <c r="G23" s="11">
        <f>SUMPRODUCT(B3:B20,D3:D20,1+F3:F20)/G21</f>
        <v>2.6666666666666668E-4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84AD02B-A3DE-412A-ABBE-F51783B4B4F4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3C89E0DA-EF06-4BEB-B812-5C62846F2CCB}">
          <x14:formula1>
            <xm:f>'Estimated Power'!$A$3:$A$6</xm:f>
          </x14:formula1>
          <xm:sqref>C3</xm:sqref>
        </x14:dataValidation>
        <x14:dataValidation type="list" allowBlank="1" showInputMessage="1" showErrorMessage="1" xr:uid="{2FABB06B-BF4A-4AA0-90AE-E4EF95E124FF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DB33E6CB-C746-4DA5-A4E0-D72CDCB7DF29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B24ED159-EB7A-4F8B-9BE5-E9ADD45013E0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9C71C377-1B09-4B6D-A3FE-758CB5518A4D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91D4939A-3BB1-46A6-868C-83EF06D38492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EE045503-B454-42C6-A9EE-F8212590BFD3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7FB6C2A5-7460-44FB-8ED4-32E598D08855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78E00B28-670F-4678-8671-DB9E4A1C4A21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DAC86A0B-4B42-4023-9C77-7EF7AC6DAB7D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9CF8A6FF-8060-4100-A762-2B38D353C5C0}">
          <x14:formula1>
            <xm:f>'Estimated Power'!$A$73:$A$75</xm:f>
          </x14:formula1>
          <xm:sqref>C14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9147-EC46-44A5-ABE3-9D505B39C91C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26.101562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113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64</v>
      </c>
      <c r="D4" s="1">
        <f>INDEX('Estimated Power'!A35:D37,MATCH(C4,'Estimated Power'!A35:A37,0),4)</f>
        <v>9.9791999999999988E-3</v>
      </c>
      <c r="E4" s="4">
        <v>1</v>
      </c>
      <c r="F4" s="4">
        <v>0.2</v>
      </c>
      <c r="G4">
        <f t="shared" ref="G4:G13" si="0">B4*D4*E4*(1+F4)</f>
        <v>1.1975039999999998E-2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1</v>
      </c>
      <c r="C5" t="s">
        <v>48</v>
      </c>
      <c r="D5" s="1">
        <f>INDEX('Estimated Power'!A20:D24,MATCH(C5,'Estimated Power'!A20:A24,0),4)</f>
        <v>1.6169999999999997E-2</v>
      </c>
      <c r="E5" s="4">
        <v>1</v>
      </c>
      <c r="F5" s="4">
        <v>0.2</v>
      </c>
      <c r="G5">
        <f t="shared" si="0"/>
        <v>1.9403999999999994E-2</v>
      </c>
      <c r="H5" t="str">
        <f>INDEX('Estimated Power'!A20:E24,MATCH(C5,'Estimated Power'!A20:A24,0),5)</f>
        <v>Normal Mode</v>
      </c>
    </row>
    <row r="6" spans="1:8" x14ac:dyDescent="0.55000000000000004">
      <c r="A6" t="s">
        <v>55</v>
      </c>
      <c r="B6">
        <v>1</v>
      </c>
      <c r="C6" t="s">
        <v>21</v>
      </c>
      <c r="D6" s="1">
        <f>INDEX('Estimated Power'!A28:D31,MATCH(C6,'Estimated Power'!A28:A31,0),4)</f>
        <v>2.4749999999999998E-3</v>
      </c>
      <c r="E6" s="4">
        <v>1</v>
      </c>
      <c r="F6" s="4">
        <v>0.2</v>
      </c>
      <c r="G6">
        <f t="shared" si="0"/>
        <v>2.9699999999999996E-3</v>
      </c>
      <c r="H6" t="str">
        <f>INDEX('Estimated Power'!A28:E31,MATCH(C6,'Estimated Power'!A28:A31,0),5)</f>
        <v>Max at 50MHz</v>
      </c>
    </row>
    <row r="7" spans="1:8" x14ac:dyDescent="0.55000000000000004">
      <c r="A7" t="s">
        <v>11</v>
      </c>
      <c r="B7">
        <v>1</v>
      </c>
      <c r="C7" t="s">
        <v>24</v>
      </c>
      <c r="D7" s="1">
        <f>INDEX('Estimated Power'!A10:D16,MATCH(C7,'Estimated Power'!A10:A16,0),4)</f>
        <v>0.125</v>
      </c>
      <c r="E7" s="4">
        <v>0.2</v>
      </c>
      <c r="F7" s="4">
        <v>0.2</v>
      </c>
      <c r="G7">
        <f t="shared" si="0"/>
        <v>0.03</v>
      </c>
      <c r="H7" t="str">
        <f>INDEX('Estimated Power'!A10:E16,MATCH(C7,'Estimated Power'!A10:A16,0),5)</f>
        <v>ON</v>
      </c>
    </row>
    <row r="8" spans="1:8" x14ac:dyDescent="0.55000000000000004">
      <c r="A8" t="s">
        <v>10</v>
      </c>
      <c r="B8">
        <v>1</v>
      </c>
      <c r="C8" t="s">
        <v>74</v>
      </c>
      <c r="D8" s="1">
        <f>INDEX('Estimated Power'!A41:D42,MATCH(C8,'Estimated Power'!A41:A42,0),4)</f>
        <v>0.13200000000000001</v>
      </c>
      <c r="E8" s="4">
        <v>1</v>
      </c>
      <c r="F8" s="4">
        <v>0.2</v>
      </c>
      <c r="G8">
        <f>B8*D8*E8*(1+F8)</f>
        <v>0.15840000000000001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81</v>
      </c>
      <c r="D9" s="1">
        <f>INDEX('Estimated Power'!A46:D48,MATCH(C9,'Estimated Power'!A46:A48,0),4)</f>
        <v>0.03</v>
      </c>
      <c r="E9" s="4">
        <v>1</v>
      </c>
      <c r="F9" s="4">
        <v>0.2</v>
      </c>
      <c r="G9">
        <f t="shared" si="0"/>
        <v>7.1999999999999995E-2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t="s">
        <v>83</v>
      </c>
      <c r="B10">
        <v>1</v>
      </c>
      <c r="C10" t="s">
        <v>24</v>
      </c>
      <c r="D10" s="1">
        <f>INDEX('Estimated Power'!A52:D53,MATCH(C10,'Estimated Power'!A52:A53,0),4)</f>
        <v>0.79379999999999995</v>
      </c>
      <c r="E10" s="4">
        <v>1</v>
      </c>
      <c r="F10" s="4">
        <v>0.2</v>
      </c>
      <c r="G10">
        <f t="shared" si="0"/>
        <v>0.95255999999999985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1</v>
      </c>
      <c r="C11" t="s">
        <v>90</v>
      </c>
      <c r="D11" s="1">
        <f>INDEX('Estimated Power'!A57:D59,MATCH(C11,'Estimated Power'!A57:A59,0),4)</f>
        <v>2.9</v>
      </c>
      <c r="E11" s="4">
        <v>1</v>
      </c>
      <c r="F11" s="4">
        <v>0.2</v>
      </c>
      <c r="G11">
        <f t="shared" si="0"/>
        <v>3.48</v>
      </c>
      <c r="H11">
        <f>INDEX('Estimated Power'!A57:E59,MATCH(C11,'Estimated Power'!A57:A59,0),5)</f>
        <v>0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1</v>
      </c>
      <c r="C14" t="s">
        <v>131</v>
      </c>
      <c r="D14" s="1">
        <f>INDEX('Estimated Power'!A73:D75,MATCH(C14,'Estimated Power'!A73:A75,0),4)</f>
        <v>0.60000000000000009</v>
      </c>
      <c r="E14" s="4">
        <v>1</v>
      </c>
      <c r="F14" s="4">
        <v>0.2</v>
      </c>
      <c r="G14">
        <f>B14*D14*E14*(1+F14)</f>
        <v>0.72000000000000008</v>
      </c>
      <c r="H14" t="str">
        <f>INDEX('Estimated Power'!A73:E75,MATCH(C14,'Estimated Power'!A73:A75,0),5)</f>
        <v>Value for high performance (50 MHz) mode. Half for standard mode.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6.0542989333333317</v>
      </c>
    </row>
    <row r="23" spans="2:8" x14ac:dyDescent="0.55000000000000004">
      <c r="F23" s="10" t="s">
        <v>123</v>
      </c>
      <c r="G23" s="11">
        <f>SUMPRODUCT(B3:B20,D3:D20,1+F3:F20)/G21</f>
        <v>6.1876322666666663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7B6761E2-593A-4D84-B081-2830837581CC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7941B0FD-C0B6-4E2D-BD68-150A9FEDE1BC}">
          <x14:formula1>
            <xm:f>'Estimated Power'!$A$3:$A$6</xm:f>
          </x14:formula1>
          <xm:sqref>C3</xm:sqref>
        </x14:dataValidation>
        <x14:dataValidation type="list" allowBlank="1" showInputMessage="1" showErrorMessage="1" xr:uid="{82AD1ADE-2D3A-4F0E-BA6D-AF3759A0CB6B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7123101B-0453-4726-8BE0-1BF82896E991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2281AB39-6625-4429-B6E6-EC4700FFAAE9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2DF5850F-2277-4523-B8D3-251DE55FD374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14BF971E-5DA2-4F63-BE36-7901732F9A46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1F4A7DD4-0572-4BD9-94FB-72019E07F46F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A2F83AB9-D2C0-4B49-AC67-C524CDA147EB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20154499-7584-4BFE-9A96-56DD27D291F9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69459586-3AFF-431E-A804-72D014EAAF59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2EB311F7-35A4-4425-9EED-7FCC14900601}">
          <x14:formula1>
            <xm:f>'Estimated Power'!$A$73:$A$75</xm:f>
          </x14:formula1>
          <xm:sqref>C14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CCDC-7C96-4CE9-B5ED-D02B31E2713C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28.8398437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114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64</v>
      </c>
      <c r="D4" s="1">
        <f>INDEX('Estimated Power'!A35:D37,MATCH(C4,'Estimated Power'!A35:A37,0),4)</f>
        <v>9.9791999999999988E-3</v>
      </c>
      <c r="E4" s="4">
        <v>1</v>
      </c>
      <c r="F4" s="4">
        <v>0.2</v>
      </c>
      <c r="G4">
        <f t="shared" ref="G4:G13" si="0">B4*D4*E4*(1+F4)</f>
        <v>1.1975039999999998E-2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1</v>
      </c>
      <c r="C5" t="s">
        <v>52</v>
      </c>
      <c r="D5" s="1">
        <f>INDEX('Estimated Power'!A20:D24,MATCH(C5,'Estimated Power'!A20:A24,0),4)</f>
        <v>8.2500000000000004E-3</v>
      </c>
      <c r="E5" s="4">
        <v>1</v>
      </c>
      <c r="F5" s="4">
        <v>0.2</v>
      </c>
      <c r="G5">
        <f t="shared" si="0"/>
        <v>9.9000000000000008E-3</v>
      </c>
      <c r="H5" t="str">
        <f>INDEX('Estimated Power'!A20:E24,MATCH(C5,'Estimated Power'!A20:A24,0),5)</f>
        <v>Low-Power Mode</v>
      </c>
    </row>
    <row r="6" spans="1:8" x14ac:dyDescent="0.55000000000000004">
      <c r="A6" t="s">
        <v>55</v>
      </c>
      <c r="B6">
        <v>1</v>
      </c>
      <c r="C6" t="s">
        <v>21</v>
      </c>
      <c r="D6" s="1">
        <f>INDEX('Estimated Power'!A28:D31,MATCH(C6,'Estimated Power'!A28:A31,0),4)</f>
        <v>2.4749999999999998E-3</v>
      </c>
      <c r="E6" s="4">
        <v>1</v>
      </c>
      <c r="F6" s="4">
        <v>0.2</v>
      </c>
      <c r="G6">
        <f t="shared" si="0"/>
        <v>2.9699999999999996E-3</v>
      </c>
      <c r="H6" t="str">
        <f>INDEX('Estimated Power'!A28:E31,MATCH(C6,'Estimated Power'!A28:A31,0),5)</f>
        <v>Max at 50MHz</v>
      </c>
    </row>
    <row r="7" spans="1:8" x14ac:dyDescent="0.55000000000000004">
      <c r="A7" t="s">
        <v>11</v>
      </c>
      <c r="B7">
        <v>1</v>
      </c>
      <c r="C7" t="s">
        <v>24</v>
      </c>
      <c r="D7" s="1">
        <f>INDEX('Estimated Power'!A10:D16,MATCH(C7,'Estimated Power'!A10:A16,0),4)</f>
        <v>0.125</v>
      </c>
      <c r="E7" s="4">
        <v>0.2</v>
      </c>
      <c r="F7" s="4">
        <v>0.2</v>
      </c>
      <c r="G7">
        <f t="shared" si="0"/>
        <v>0.03</v>
      </c>
      <c r="H7" t="str">
        <f>INDEX('Estimated Power'!A10:E16,MATCH(C7,'Estimated Power'!A10:A16,0),5)</f>
        <v>ON</v>
      </c>
    </row>
    <row r="8" spans="1:8" x14ac:dyDescent="0.55000000000000004">
      <c r="A8" t="s">
        <v>10</v>
      </c>
      <c r="B8">
        <v>1</v>
      </c>
      <c r="C8" t="s">
        <v>74</v>
      </c>
      <c r="D8" s="1">
        <f>INDEX('Estimated Power'!A41:D42,MATCH(C8,'Estimated Power'!A41:A42,0),4)</f>
        <v>0.13200000000000001</v>
      </c>
      <c r="E8" s="4">
        <v>0.2</v>
      </c>
      <c r="F8" s="4">
        <v>0.2</v>
      </c>
      <c r="G8">
        <f>B8*D8*E8*(1+F8)</f>
        <v>3.168E-2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81</v>
      </c>
      <c r="D9" s="1">
        <f>INDEX('Estimated Power'!A46:D48,MATCH(C9,'Estimated Power'!A46:A48,0),4)</f>
        <v>0.03</v>
      </c>
      <c r="E9" s="4">
        <v>0.2</v>
      </c>
      <c r="F9" s="4">
        <v>0.2</v>
      </c>
      <c r="G9">
        <f t="shared" si="0"/>
        <v>1.44E-2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t="s">
        <v>83</v>
      </c>
      <c r="B10">
        <v>0</v>
      </c>
      <c r="C10" t="s">
        <v>24</v>
      </c>
      <c r="D10" s="1">
        <f>INDEX('Estimated Power'!A52:D53,MATCH(C10,'Estimated Power'!A52:A53,0),4)</f>
        <v>0.79379999999999995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1</v>
      </c>
      <c r="C11" t="s">
        <v>38</v>
      </c>
      <c r="D11" s="1">
        <f>INDEX('Estimated Power'!A57:D59,MATCH(C11,'Estimated Power'!A57:A59,0),4)</f>
        <v>3.5</v>
      </c>
      <c r="E11" s="4">
        <v>1</v>
      </c>
      <c r="F11" s="4">
        <v>0.2</v>
      </c>
      <c r="G11">
        <f t="shared" si="0"/>
        <v>4.2</v>
      </c>
      <c r="H11" t="str">
        <f>INDEX('Estimated Power'!A57:E59,MATCH(C11,'Estimated Power'!A57:A59,0),5)</f>
        <v>Use max for processing most likely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1</v>
      </c>
      <c r="C14" t="s">
        <v>131</v>
      </c>
      <c r="D14" s="1">
        <f>INDEX('Estimated Power'!A73:D75,MATCH(C14,'Estimated Power'!A73:A75,0),4)</f>
        <v>0.60000000000000009</v>
      </c>
      <c r="E14" s="4">
        <v>1</v>
      </c>
      <c r="F14" s="4">
        <v>0.2</v>
      </c>
      <c r="G14">
        <f>B14*D14*E14*(1+F14)</f>
        <v>0.72000000000000008</v>
      </c>
      <c r="H14" t="str">
        <f>INDEX('Estimated Power'!A73:E75,MATCH(C14,'Estimated Power'!A73:A75,0),5)</f>
        <v>Value for high performance (50 MHz) mode. Half for standard mode.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5.580538933333334</v>
      </c>
    </row>
    <row r="23" spans="2:8" x14ac:dyDescent="0.55000000000000004">
      <c r="F23" s="10" t="s">
        <v>123</v>
      </c>
      <c r="G23" s="11">
        <f>SUMPRODUCT(B3:B20,D3:D20,1+F3:F20)/G21</f>
        <v>5.9186722666666665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71A5962B-D348-4FED-86EA-5C70C041B9FF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F96E15B5-54CF-4FA0-8436-01A891ABB34D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538B4089-AC5F-4CC6-B222-0BA95FD4E886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2788B6D6-8F95-4802-854A-A721B1535643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9204B673-6451-4E7E-9DF4-5A08A3C1C83A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33F4ADD5-B8B6-4AF8-A2C8-EB82884EFFEF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97255540-5FDB-430C-8C5E-5E3429453B6A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47CB4FEF-715A-4F95-8BC8-9787755DA459}">
          <x14:formula1>
            <xm:f>'Estimated Power'!$A$3:$A$6</xm:f>
          </x14:formula1>
          <xm:sqref>C3</xm:sqref>
        </x14:dataValidation>
        <x14:dataValidation type="list" allowBlank="1" showInputMessage="1" showErrorMessage="1" xr:uid="{62453E5C-1782-42BC-BEE8-B101ED433906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14E6A90B-C12F-44D8-BC6E-12BD0518ABA5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4149046B-FF14-4705-8493-660DE3634E9B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D75992CC-903F-40D3-B056-458A158839F6}">
          <x14:formula1>
            <xm:f>'Estimated Power'!$A$73:$A$75</xm:f>
          </x14:formula1>
          <xm:sqref>C14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D032-E890-4CEE-BF30-56FBD0F358D8}">
  <dimension ref="A1:E75"/>
  <sheetViews>
    <sheetView topLeftCell="A61" workbookViewId="0">
      <selection activeCell="A73" sqref="A73"/>
    </sheetView>
  </sheetViews>
  <sheetFormatPr defaultRowHeight="14.4" x14ac:dyDescent="0.55000000000000004"/>
  <cols>
    <col min="1" max="1" width="21.89453125" customWidth="1"/>
  </cols>
  <sheetData>
    <row r="1" spans="1:5" x14ac:dyDescent="0.55000000000000004">
      <c r="A1" s="5" t="s">
        <v>3</v>
      </c>
      <c r="B1" s="2" t="s">
        <v>36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21</v>
      </c>
      <c r="B3">
        <v>5</v>
      </c>
      <c r="C3" s="1">
        <v>2.5999999999999998E-4</v>
      </c>
      <c r="D3" s="1">
        <f>B3*C3</f>
        <v>1.2999999999999999E-3</v>
      </c>
      <c r="E3" t="s">
        <v>37</v>
      </c>
    </row>
    <row r="4" spans="1:5" x14ac:dyDescent="0.55000000000000004">
      <c r="A4" t="s">
        <v>0</v>
      </c>
      <c r="B4">
        <v>5</v>
      </c>
      <c r="C4" s="1">
        <v>1.1E-4</v>
      </c>
      <c r="D4" s="1">
        <f t="shared" ref="D4:D6" si="0">B4*C4</f>
        <v>5.5000000000000003E-4</v>
      </c>
      <c r="E4" t="s">
        <v>38</v>
      </c>
    </row>
    <row r="5" spans="1:5" x14ac:dyDescent="0.55000000000000004">
      <c r="A5" t="s">
        <v>39</v>
      </c>
      <c r="B5">
        <v>5</v>
      </c>
      <c r="C5" s="1">
        <v>8.0000000000000007E-5</v>
      </c>
      <c r="D5" s="1">
        <f t="shared" si="0"/>
        <v>4.0000000000000002E-4</v>
      </c>
      <c r="E5" t="s">
        <v>38</v>
      </c>
    </row>
    <row r="6" spans="1:5" x14ac:dyDescent="0.55000000000000004">
      <c r="A6" t="s">
        <v>20</v>
      </c>
      <c r="B6">
        <v>5</v>
      </c>
      <c r="C6" s="1">
        <v>4.0000000000000003E-5</v>
      </c>
      <c r="D6" s="1">
        <f t="shared" si="0"/>
        <v>2.0000000000000001E-4</v>
      </c>
      <c r="E6" t="s">
        <v>38</v>
      </c>
    </row>
    <row r="7" spans="1:5" x14ac:dyDescent="0.55000000000000004">
      <c r="C7" s="1"/>
      <c r="D7" s="1"/>
    </row>
    <row r="8" spans="1:5" x14ac:dyDescent="0.55000000000000004">
      <c r="A8" s="5" t="s">
        <v>11</v>
      </c>
      <c r="B8" s="2" t="s">
        <v>14</v>
      </c>
    </row>
    <row r="9" spans="1:5" x14ac:dyDescent="0.55000000000000004">
      <c r="A9" t="s">
        <v>17</v>
      </c>
      <c r="B9" t="s">
        <v>16</v>
      </c>
      <c r="C9" t="s">
        <v>18</v>
      </c>
      <c r="D9" t="s">
        <v>26</v>
      </c>
      <c r="E9" t="s">
        <v>19</v>
      </c>
    </row>
    <row r="10" spans="1:5" x14ac:dyDescent="0.55000000000000004">
      <c r="A10" t="s">
        <v>20</v>
      </c>
      <c r="B10">
        <v>5</v>
      </c>
      <c r="C10" s="1">
        <v>1.4999999999999999E-8</v>
      </c>
      <c r="D10" s="1">
        <f>B10*C10</f>
        <v>7.4999999999999997E-8</v>
      </c>
      <c r="E10" t="s">
        <v>27</v>
      </c>
    </row>
    <row r="11" spans="1:5" x14ac:dyDescent="0.55000000000000004">
      <c r="A11" t="s">
        <v>21</v>
      </c>
      <c r="B11">
        <v>5</v>
      </c>
      <c r="C11" s="1">
        <v>4.4999999999999998E-7</v>
      </c>
      <c r="D11" s="1">
        <f t="shared" ref="D11:D16" si="1">B11*C11</f>
        <v>2.2500000000000001E-6</v>
      </c>
      <c r="E11" t="s">
        <v>28</v>
      </c>
    </row>
    <row r="12" spans="1:5" x14ac:dyDescent="0.55000000000000004">
      <c r="A12" t="s">
        <v>0</v>
      </c>
      <c r="B12">
        <v>5</v>
      </c>
      <c r="C12" s="1">
        <v>9.9999999999999995E-7</v>
      </c>
      <c r="D12" s="1">
        <f t="shared" si="1"/>
        <v>4.9999999999999996E-6</v>
      </c>
      <c r="E12" t="s">
        <v>29</v>
      </c>
    </row>
    <row r="13" spans="1:5" x14ac:dyDescent="0.55000000000000004">
      <c r="A13" t="s">
        <v>22</v>
      </c>
      <c r="B13">
        <v>5</v>
      </c>
      <c r="C13" s="1">
        <v>9.9999999999999995E-7</v>
      </c>
      <c r="D13" s="1">
        <f t="shared" si="1"/>
        <v>4.9999999999999996E-6</v>
      </c>
      <c r="E13" t="s">
        <v>30</v>
      </c>
    </row>
    <row r="14" spans="1:5" x14ac:dyDescent="0.55000000000000004">
      <c r="A14" t="s">
        <v>23</v>
      </c>
      <c r="B14">
        <v>5</v>
      </c>
      <c r="C14" s="1">
        <v>8.5000000000000006E-3</v>
      </c>
      <c r="D14" s="1">
        <f t="shared" si="1"/>
        <v>4.2500000000000003E-2</v>
      </c>
      <c r="E14" t="s">
        <v>31</v>
      </c>
    </row>
    <row r="15" spans="1:5" x14ac:dyDescent="0.55000000000000004">
      <c r="A15" t="s">
        <v>24</v>
      </c>
      <c r="B15">
        <v>5</v>
      </c>
      <c r="C15" s="1">
        <v>2.5000000000000001E-2</v>
      </c>
      <c r="D15" s="1">
        <f t="shared" si="1"/>
        <v>0.125</v>
      </c>
      <c r="E15" t="s">
        <v>32</v>
      </c>
    </row>
    <row r="16" spans="1:5" x14ac:dyDescent="0.55000000000000004">
      <c r="A16" t="s">
        <v>25</v>
      </c>
      <c r="B16">
        <v>5</v>
      </c>
      <c r="C16" s="1">
        <v>0.55000000000000004</v>
      </c>
      <c r="D16" s="1">
        <f t="shared" si="1"/>
        <v>2.75</v>
      </c>
      <c r="E16" t="s">
        <v>33</v>
      </c>
    </row>
    <row r="18" spans="1:5" x14ac:dyDescent="0.55000000000000004">
      <c r="A18" s="5" t="s">
        <v>4</v>
      </c>
      <c r="B18" s="2" t="s">
        <v>44</v>
      </c>
    </row>
    <row r="19" spans="1:5" x14ac:dyDescent="0.55000000000000004">
      <c r="A19" t="s">
        <v>17</v>
      </c>
      <c r="B19" t="s">
        <v>16</v>
      </c>
      <c r="C19" t="s">
        <v>18</v>
      </c>
      <c r="D19" t="s">
        <v>26</v>
      </c>
      <c r="E19" t="s">
        <v>19</v>
      </c>
    </row>
    <row r="20" spans="1:5" x14ac:dyDescent="0.55000000000000004">
      <c r="A20" t="s">
        <v>46</v>
      </c>
      <c r="B20">
        <v>3.3</v>
      </c>
      <c r="C20" s="1">
        <v>5.9999999999999995E-4</v>
      </c>
      <c r="D20" s="1">
        <f>B20*C20</f>
        <v>1.9799999999999996E-3</v>
      </c>
      <c r="E20" t="s">
        <v>45</v>
      </c>
    </row>
    <row r="21" spans="1:5" x14ac:dyDescent="0.55000000000000004">
      <c r="A21" t="s">
        <v>47</v>
      </c>
      <c r="B21">
        <v>3.3</v>
      </c>
      <c r="C21" s="1">
        <v>4.3E-3</v>
      </c>
      <c r="D21" s="1">
        <f t="shared" ref="D21:D23" si="2">B21*C21</f>
        <v>1.4189999999999999E-2</v>
      </c>
      <c r="E21" t="s">
        <v>45</v>
      </c>
    </row>
    <row r="22" spans="1:5" x14ac:dyDescent="0.55000000000000004">
      <c r="A22" t="s">
        <v>48</v>
      </c>
      <c r="B22">
        <v>3.3</v>
      </c>
      <c r="C22" s="1">
        <f>C20+C21</f>
        <v>4.8999999999999998E-3</v>
      </c>
      <c r="D22" s="1">
        <f t="shared" si="2"/>
        <v>1.6169999999999997E-2</v>
      </c>
      <c r="E22" t="s">
        <v>45</v>
      </c>
    </row>
    <row r="23" spans="1:5" x14ac:dyDescent="0.55000000000000004">
      <c r="A23" t="s">
        <v>49</v>
      </c>
      <c r="B23">
        <v>3.3</v>
      </c>
      <c r="C23" s="1">
        <v>1.9E-3</v>
      </c>
      <c r="D23" s="1">
        <f t="shared" si="2"/>
        <v>6.2699999999999995E-3</v>
      </c>
      <c r="E23" t="s">
        <v>50</v>
      </c>
    </row>
    <row r="24" spans="1:5" x14ac:dyDescent="0.55000000000000004">
      <c r="A24" t="s">
        <v>52</v>
      </c>
      <c r="B24">
        <v>3.3</v>
      </c>
      <c r="C24" s="1">
        <f>C20+C23</f>
        <v>2.5000000000000001E-3</v>
      </c>
      <c r="D24" s="1">
        <f>B24*C24</f>
        <v>8.2500000000000004E-3</v>
      </c>
      <c r="E24" t="s">
        <v>51</v>
      </c>
    </row>
    <row r="26" spans="1:5" x14ac:dyDescent="0.55000000000000004">
      <c r="A26" s="5" t="s">
        <v>55</v>
      </c>
      <c r="B26" s="2" t="s">
        <v>56</v>
      </c>
    </row>
    <row r="27" spans="1:5" x14ac:dyDescent="0.55000000000000004">
      <c r="A27" t="s">
        <v>17</v>
      </c>
      <c r="B27" t="s">
        <v>16</v>
      </c>
      <c r="C27" t="s">
        <v>18</v>
      </c>
      <c r="D27" t="s">
        <v>26</v>
      </c>
      <c r="E27" t="s">
        <v>19</v>
      </c>
    </row>
    <row r="28" spans="1:5" x14ac:dyDescent="0.55000000000000004">
      <c r="A28" t="s">
        <v>57</v>
      </c>
      <c r="B28">
        <v>3.3</v>
      </c>
      <c r="C28" s="1">
        <v>1.8499999999999999E-2</v>
      </c>
      <c r="D28" s="1">
        <f>B28*C28</f>
        <v>6.1049999999999993E-2</v>
      </c>
      <c r="E28" t="s">
        <v>60</v>
      </c>
    </row>
    <row r="29" spans="1:5" x14ac:dyDescent="0.55000000000000004">
      <c r="A29" t="s">
        <v>58</v>
      </c>
      <c r="B29">
        <v>3.3</v>
      </c>
      <c r="C29" s="1">
        <v>4.65E-2</v>
      </c>
      <c r="D29" s="1">
        <f t="shared" ref="D29:D31" si="3">B29*C29</f>
        <v>0.15345</v>
      </c>
      <c r="E29" t="s">
        <v>61</v>
      </c>
    </row>
    <row r="30" spans="1:5" x14ac:dyDescent="0.55000000000000004">
      <c r="A30" t="s">
        <v>21</v>
      </c>
      <c r="B30">
        <v>3.3</v>
      </c>
      <c r="C30" s="1">
        <v>7.5000000000000002E-4</v>
      </c>
      <c r="D30" s="1">
        <f t="shared" si="3"/>
        <v>2.4749999999999998E-3</v>
      </c>
      <c r="E30" t="s">
        <v>61</v>
      </c>
    </row>
    <row r="31" spans="1:5" x14ac:dyDescent="0.55000000000000004">
      <c r="A31" t="s">
        <v>59</v>
      </c>
      <c r="B31">
        <v>3.3</v>
      </c>
      <c r="C31" s="1">
        <v>4.0000000000000003E-5</v>
      </c>
      <c r="D31" s="1">
        <f t="shared" si="3"/>
        <v>1.3200000000000001E-4</v>
      </c>
    </row>
    <row r="33" spans="1:5" x14ac:dyDescent="0.55000000000000004">
      <c r="A33" s="5" t="s">
        <v>62</v>
      </c>
      <c r="C33" t="s">
        <v>63</v>
      </c>
    </row>
    <row r="34" spans="1:5" x14ac:dyDescent="0.55000000000000004">
      <c r="A34" t="s">
        <v>17</v>
      </c>
      <c r="B34" t="s">
        <v>16</v>
      </c>
      <c r="C34" t="s">
        <v>18</v>
      </c>
      <c r="D34" t="s">
        <v>26</v>
      </c>
      <c r="E34" t="s">
        <v>19</v>
      </c>
    </row>
    <row r="35" spans="1:5" x14ac:dyDescent="0.55000000000000004">
      <c r="A35" t="s">
        <v>67</v>
      </c>
      <c r="B35">
        <v>3.3</v>
      </c>
      <c r="C35" s="3">
        <v>7.0000000000000001E-3</v>
      </c>
      <c r="D35" s="1">
        <f>B35*C35</f>
        <v>2.3099999999999999E-2</v>
      </c>
      <c r="E35" t="s">
        <v>66</v>
      </c>
    </row>
    <row r="36" spans="1:5" x14ac:dyDescent="0.55000000000000004">
      <c r="A36" t="s">
        <v>64</v>
      </c>
      <c r="B36">
        <v>3.3</v>
      </c>
      <c r="C36" s="1">
        <f>48*0.000063</f>
        <v>3.0239999999999998E-3</v>
      </c>
      <c r="D36" s="1">
        <f t="shared" ref="D36:D37" si="4">B36*C36</f>
        <v>9.9791999999999988E-3</v>
      </c>
      <c r="E36" t="s">
        <v>66</v>
      </c>
    </row>
    <row r="37" spans="1:5" x14ac:dyDescent="0.55000000000000004">
      <c r="A37" t="s">
        <v>65</v>
      </c>
      <c r="B37">
        <v>3.3</v>
      </c>
      <c r="C37" s="1">
        <f>48*0.000115</f>
        <v>5.5200000000000006E-3</v>
      </c>
      <c r="D37" s="1">
        <f t="shared" si="4"/>
        <v>1.8216E-2</v>
      </c>
      <c r="E37" t="s">
        <v>66</v>
      </c>
    </row>
    <row r="39" spans="1:5" x14ac:dyDescent="0.55000000000000004">
      <c r="A39" s="5" t="s">
        <v>96</v>
      </c>
      <c r="C39" t="s">
        <v>71</v>
      </c>
      <c r="D39" t="s">
        <v>77</v>
      </c>
    </row>
    <row r="40" spans="1:5" x14ac:dyDescent="0.55000000000000004">
      <c r="A40" t="s">
        <v>17</v>
      </c>
      <c r="B40" t="s">
        <v>16</v>
      </c>
      <c r="C40" t="s">
        <v>18</v>
      </c>
      <c r="D40" t="s">
        <v>26</v>
      </c>
      <c r="E40" t="s">
        <v>19</v>
      </c>
    </row>
    <row r="41" spans="1:5" x14ac:dyDescent="0.55000000000000004">
      <c r="A41" t="s">
        <v>73</v>
      </c>
      <c r="B41">
        <v>3.3</v>
      </c>
      <c r="C41" s="1">
        <v>4.4999999999999998E-2</v>
      </c>
      <c r="D41" s="1">
        <f>B41*C41</f>
        <v>0.14849999999999999</v>
      </c>
      <c r="E41" t="s">
        <v>75</v>
      </c>
    </row>
    <row r="42" spans="1:5" x14ac:dyDescent="0.55000000000000004">
      <c r="A42" t="s">
        <v>74</v>
      </c>
      <c r="B42">
        <v>3.3</v>
      </c>
      <c r="C42" s="1">
        <v>0.04</v>
      </c>
      <c r="D42" s="1">
        <f>B42*C42</f>
        <v>0.13200000000000001</v>
      </c>
      <c r="E42" t="s">
        <v>75</v>
      </c>
    </row>
    <row r="44" spans="1:5" x14ac:dyDescent="0.55000000000000004">
      <c r="A44" s="5" t="s">
        <v>9</v>
      </c>
      <c r="B44" t="s">
        <v>78</v>
      </c>
      <c r="D44" t="s">
        <v>76</v>
      </c>
    </row>
    <row r="45" spans="1:5" x14ac:dyDescent="0.55000000000000004">
      <c r="A45" t="s">
        <v>17</v>
      </c>
      <c r="B45" t="s">
        <v>16</v>
      </c>
      <c r="C45" t="s">
        <v>18</v>
      </c>
      <c r="D45" t="s">
        <v>26</v>
      </c>
      <c r="E45" t="s">
        <v>19</v>
      </c>
    </row>
    <row r="46" spans="1:5" x14ac:dyDescent="0.55000000000000004">
      <c r="A46" t="s">
        <v>80</v>
      </c>
      <c r="B46">
        <v>1.8</v>
      </c>
      <c r="C46" s="1">
        <v>2.5000000000000001E-3</v>
      </c>
      <c r="D46" s="1">
        <f>B46*C46</f>
        <v>4.5000000000000005E-3</v>
      </c>
    </row>
    <row r="47" spans="1:5" x14ac:dyDescent="0.55000000000000004">
      <c r="A47" t="s">
        <v>81</v>
      </c>
      <c r="B47">
        <v>3</v>
      </c>
      <c r="C47" s="1">
        <v>0.01</v>
      </c>
      <c r="D47" s="1">
        <f t="shared" ref="D47:D48" si="5">B47*C47</f>
        <v>0.03</v>
      </c>
      <c r="E47" t="s">
        <v>82</v>
      </c>
    </row>
    <row r="48" spans="1:5" x14ac:dyDescent="0.55000000000000004">
      <c r="A48" t="s">
        <v>79</v>
      </c>
      <c r="B48">
        <v>5.5</v>
      </c>
      <c r="C48" s="1">
        <v>2.1999999999999999E-2</v>
      </c>
      <c r="D48" s="1">
        <f t="shared" si="5"/>
        <v>0.121</v>
      </c>
    </row>
    <row r="50" spans="1:5" x14ac:dyDescent="0.55000000000000004">
      <c r="A50" s="5" t="s">
        <v>83</v>
      </c>
      <c r="B50" t="s">
        <v>84</v>
      </c>
    </row>
    <row r="51" spans="1:5" x14ac:dyDescent="0.55000000000000004">
      <c r="A51" t="s">
        <v>17</v>
      </c>
      <c r="B51" t="s">
        <v>16</v>
      </c>
      <c r="C51" t="s">
        <v>18</v>
      </c>
      <c r="D51" t="s">
        <v>26</v>
      </c>
      <c r="E51" t="s">
        <v>19</v>
      </c>
    </row>
    <row r="52" spans="1:5" x14ac:dyDescent="0.55000000000000004">
      <c r="A52" t="s">
        <v>25</v>
      </c>
      <c r="B52">
        <v>1.89</v>
      </c>
      <c r="C52" s="1">
        <v>0.35</v>
      </c>
      <c r="D52" s="1">
        <f>B52*C52</f>
        <v>0.66149999999999998</v>
      </c>
      <c r="E52" t="s">
        <v>85</v>
      </c>
    </row>
    <row r="53" spans="1:5" x14ac:dyDescent="0.55000000000000004">
      <c r="A53" t="s">
        <v>24</v>
      </c>
      <c r="B53">
        <v>1.89</v>
      </c>
      <c r="C53" s="1">
        <v>0.42</v>
      </c>
      <c r="D53" s="1">
        <f>B53*C53</f>
        <v>0.79379999999999995</v>
      </c>
      <c r="E53" t="s">
        <v>85</v>
      </c>
    </row>
    <row r="55" spans="1:5" x14ac:dyDescent="0.55000000000000004">
      <c r="A55" s="5" t="s">
        <v>88</v>
      </c>
    </row>
    <row r="56" spans="1:5" x14ac:dyDescent="0.55000000000000004">
      <c r="A56" t="s">
        <v>17</v>
      </c>
      <c r="B56" t="s">
        <v>16</v>
      </c>
      <c r="C56" t="s">
        <v>18</v>
      </c>
      <c r="D56" t="s">
        <v>26</v>
      </c>
      <c r="E56" t="s">
        <v>19</v>
      </c>
    </row>
    <row r="57" spans="1:5" x14ac:dyDescent="0.55000000000000004">
      <c r="A57" t="s">
        <v>89</v>
      </c>
      <c r="B57">
        <v>5</v>
      </c>
      <c r="C57" s="1">
        <v>0.31</v>
      </c>
      <c r="D57" s="1">
        <f>B57*C57</f>
        <v>1.55</v>
      </c>
    </row>
    <row r="58" spans="1:5" x14ac:dyDescent="0.55000000000000004">
      <c r="A58" t="s">
        <v>90</v>
      </c>
      <c r="B58">
        <v>5</v>
      </c>
      <c r="C58">
        <v>0.57999999999999996</v>
      </c>
      <c r="D58" s="1">
        <f>B58*C58</f>
        <v>2.9</v>
      </c>
    </row>
    <row r="59" spans="1:5" x14ac:dyDescent="0.55000000000000004">
      <c r="A59" t="s">
        <v>38</v>
      </c>
      <c r="B59">
        <v>5</v>
      </c>
      <c r="C59" s="1">
        <f>D59/B59</f>
        <v>0.7</v>
      </c>
      <c r="D59" s="1">
        <v>3.5</v>
      </c>
      <c r="E59" t="s">
        <v>91</v>
      </c>
    </row>
    <row r="61" spans="1:5" x14ac:dyDescent="0.55000000000000004">
      <c r="A61" s="5" t="s">
        <v>13</v>
      </c>
      <c r="B61" t="s">
        <v>118</v>
      </c>
    </row>
    <row r="62" spans="1:5" x14ac:dyDescent="0.55000000000000004">
      <c r="A62" t="s">
        <v>17</v>
      </c>
      <c r="B62" t="s">
        <v>16</v>
      </c>
      <c r="C62" t="s">
        <v>18</v>
      </c>
      <c r="D62" t="s">
        <v>26</v>
      </c>
      <c r="E62" t="s">
        <v>19</v>
      </c>
    </row>
    <row r="63" spans="1:5" x14ac:dyDescent="0.55000000000000004">
      <c r="A63" t="s">
        <v>119</v>
      </c>
      <c r="B63">
        <v>0</v>
      </c>
      <c r="C63" s="1">
        <v>0</v>
      </c>
      <c r="D63" s="1">
        <v>0</v>
      </c>
      <c r="E63" t="s">
        <v>121</v>
      </c>
    </row>
    <row r="64" spans="1:5" x14ac:dyDescent="0.55000000000000004">
      <c r="A64" t="s">
        <v>120</v>
      </c>
      <c r="B64" s="1">
        <f>2*C64</f>
        <v>3.2</v>
      </c>
      <c r="C64" s="1">
        <v>1.6</v>
      </c>
      <c r="D64" s="1">
        <f>B64*C64</f>
        <v>5.120000000000001</v>
      </c>
      <c r="E64" t="s">
        <v>122</v>
      </c>
    </row>
    <row r="65" spans="1:5" x14ac:dyDescent="0.55000000000000004">
      <c r="C65" s="1"/>
      <c r="D65" s="1"/>
    </row>
    <row r="66" spans="1:5" x14ac:dyDescent="0.55000000000000004">
      <c r="A66" s="5" t="s">
        <v>92</v>
      </c>
    </row>
    <row r="67" spans="1:5" x14ac:dyDescent="0.55000000000000004">
      <c r="A67" t="s">
        <v>17</v>
      </c>
      <c r="B67" t="s">
        <v>16</v>
      </c>
      <c r="C67" t="s">
        <v>18</v>
      </c>
      <c r="D67" t="s">
        <v>26</v>
      </c>
      <c r="E67" t="s">
        <v>19</v>
      </c>
    </row>
    <row r="68" spans="1:5" x14ac:dyDescent="0.55000000000000004">
      <c r="A68" t="s">
        <v>119</v>
      </c>
      <c r="B68">
        <v>8.6</v>
      </c>
      <c r="C68" s="1">
        <v>0</v>
      </c>
      <c r="D68" s="1">
        <f>B68*C68</f>
        <v>0</v>
      </c>
      <c r="E68" t="s">
        <v>127</v>
      </c>
    </row>
    <row r="69" spans="1:5" x14ac:dyDescent="0.55000000000000004">
      <c r="A69" t="s">
        <v>120</v>
      </c>
      <c r="B69">
        <v>8.6</v>
      </c>
      <c r="C69" s="1">
        <f>B69/244.1</f>
        <v>3.5231462515362556E-2</v>
      </c>
      <c r="D69" s="1">
        <f>B69*C69</f>
        <v>0.30299057763211795</v>
      </c>
      <c r="E69" t="s">
        <v>128</v>
      </c>
    </row>
    <row r="71" spans="1:5" x14ac:dyDescent="0.55000000000000004">
      <c r="A71" s="5" t="s">
        <v>129</v>
      </c>
      <c r="B71" t="s">
        <v>133</v>
      </c>
    </row>
    <row r="72" spans="1:5" x14ac:dyDescent="0.55000000000000004">
      <c r="A72" t="s">
        <v>17</v>
      </c>
      <c r="B72" t="s">
        <v>16</v>
      </c>
      <c r="C72" t="s">
        <v>18</v>
      </c>
      <c r="D72" t="s">
        <v>26</v>
      </c>
      <c r="E72" t="s">
        <v>19</v>
      </c>
    </row>
    <row r="73" spans="1:5" x14ac:dyDescent="0.55000000000000004">
      <c r="A73" t="s">
        <v>0</v>
      </c>
      <c r="B73">
        <v>3</v>
      </c>
      <c r="C73" s="1">
        <v>3.5E-4</v>
      </c>
      <c r="D73" s="1">
        <f>B73*C73</f>
        <v>1.0499999999999999E-3</v>
      </c>
    </row>
    <row r="74" spans="1:5" x14ac:dyDescent="0.55000000000000004">
      <c r="A74" t="s">
        <v>130</v>
      </c>
      <c r="B74">
        <v>3</v>
      </c>
      <c r="C74" s="1">
        <v>0.2</v>
      </c>
      <c r="D74" s="1">
        <f t="shared" ref="D74:D75" si="6">B74*C74</f>
        <v>0.60000000000000009</v>
      </c>
      <c r="E74" t="s">
        <v>132</v>
      </c>
    </row>
    <row r="75" spans="1:5" x14ac:dyDescent="0.55000000000000004">
      <c r="A75" t="s">
        <v>131</v>
      </c>
      <c r="B75">
        <v>3</v>
      </c>
      <c r="C75" s="1">
        <v>0.2</v>
      </c>
      <c r="D75" s="1">
        <f t="shared" si="6"/>
        <v>0.60000000000000009</v>
      </c>
      <c r="E75" t="s">
        <v>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2BC2-7D87-479B-A1FA-B416B063A7B0}">
  <dimension ref="A1:D17"/>
  <sheetViews>
    <sheetView workbookViewId="0">
      <selection activeCell="B17" sqref="B17"/>
    </sheetView>
  </sheetViews>
  <sheetFormatPr defaultRowHeight="14.4" x14ac:dyDescent="0.55000000000000004"/>
  <cols>
    <col min="1" max="1" width="21.68359375" customWidth="1"/>
    <col min="2" max="2" width="15.05078125" customWidth="1"/>
  </cols>
  <sheetData>
    <row r="1" spans="1:4" x14ac:dyDescent="0.55000000000000004">
      <c r="A1" t="s">
        <v>1</v>
      </c>
      <c r="B1" t="s">
        <v>15</v>
      </c>
      <c r="C1" t="s">
        <v>19</v>
      </c>
    </row>
    <row r="2" spans="1:4" x14ac:dyDescent="0.55000000000000004">
      <c r="A2" t="s">
        <v>2</v>
      </c>
      <c r="D2" t="s">
        <v>86</v>
      </c>
    </row>
    <row r="3" spans="1:4" x14ac:dyDescent="0.55000000000000004">
      <c r="A3" t="s">
        <v>34</v>
      </c>
      <c r="B3" s="2" t="s">
        <v>35</v>
      </c>
      <c r="C3" t="s">
        <v>40</v>
      </c>
      <c r="D3" t="s">
        <v>53</v>
      </c>
    </row>
    <row r="4" spans="1:4" x14ac:dyDescent="0.55000000000000004">
      <c r="A4" t="s">
        <v>4</v>
      </c>
      <c r="D4" t="s">
        <v>53</v>
      </c>
    </row>
    <row r="5" spans="1:4" x14ac:dyDescent="0.55000000000000004">
      <c r="A5" t="s">
        <v>5</v>
      </c>
      <c r="D5" t="s">
        <v>54</v>
      </c>
    </row>
    <row r="6" spans="1:4" x14ac:dyDescent="0.55000000000000004">
      <c r="A6" t="s">
        <v>6</v>
      </c>
      <c r="D6" t="s">
        <v>53</v>
      </c>
    </row>
    <row r="7" spans="1:4" x14ac:dyDescent="0.55000000000000004">
      <c r="A7" t="s">
        <v>7</v>
      </c>
      <c r="B7" t="s">
        <v>69</v>
      </c>
      <c r="D7" t="s">
        <v>86</v>
      </c>
    </row>
    <row r="9" spans="1:4" x14ac:dyDescent="0.55000000000000004">
      <c r="A9" t="s">
        <v>8</v>
      </c>
      <c r="D9" t="s">
        <v>86</v>
      </c>
    </row>
    <row r="10" spans="1:4" x14ac:dyDescent="0.55000000000000004">
      <c r="A10" t="s">
        <v>9</v>
      </c>
      <c r="D10" t="s">
        <v>53</v>
      </c>
    </row>
    <row r="11" spans="1:4" x14ac:dyDescent="0.55000000000000004">
      <c r="A11" t="s">
        <v>10</v>
      </c>
      <c r="D11" t="s">
        <v>53</v>
      </c>
    </row>
    <row r="12" spans="1:4" x14ac:dyDescent="0.55000000000000004">
      <c r="A12" t="s">
        <v>11</v>
      </c>
      <c r="B12" s="2" t="s">
        <v>14</v>
      </c>
      <c r="D12" s="1" t="s">
        <v>53</v>
      </c>
    </row>
    <row r="13" spans="1:4" x14ac:dyDescent="0.55000000000000004">
      <c r="A13" t="s">
        <v>68</v>
      </c>
      <c r="D13" t="s">
        <v>53</v>
      </c>
    </row>
    <row r="14" spans="1:4" x14ac:dyDescent="0.55000000000000004">
      <c r="A14" t="s">
        <v>12</v>
      </c>
      <c r="D14" t="s">
        <v>53</v>
      </c>
    </row>
    <row r="15" spans="1:4" x14ac:dyDescent="0.55000000000000004">
      <c r="A15" t="s">
        <v>87</v>
      </c>
      <c r="B15" s="2" t="s">
        <v>56</v>
      </c>
    </row>
    <row r="16" spans="1:4" x14ac:dyDescent="0.55000000000000004">
      <c r="A16" t="s">
        <v>92</v>
      </c>
      <c r="D16" t="s">
        <v>93</v>
      </c>
    </row>
    <row r="17" spans="1:4" x14ac:dyDescent="0.55000000000000004">
      <c r="A17" t="s">
        <v>94</v>
      </c>
      <c r="D17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FC1A-EB4D-499D-A7EA-19C94FA8C447}">
  <dimension ref="A1:E9"/>
  <sheetViews>
    <sheetView workbookViewId="0">
      <selection sqref="A1:G9"/>
    </sheetView>
  </sheetViews>
  <sheetFormatPr defaultRowHeight="14.4" x14ac:dyDescent="0.55000000000000004"/>
  <cols>
    <col min="1" max="1" width="21.47265625" customWidth="1"/>
  </cols>
  <sheetData>
    <row r="1" spans="1:5" x14ac:dyDescent="0.55000000000000004">
      <c r="A1" t="s">
        <v>11</v>
      </c>
      <c r="B1" s="2" t="s">
        <v>14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20</v>
      </c>
      <c r="B3">
        <v>5</v>
      </c>
      <c r="C3" s="1">
        <v>1.4999999999999999E-8</v>
      </c>
      <c r="D3" s="1">
        <f>B3*C3</f>
        <v>7.4999999999999997E-8</v>
      </c>
      <c r="E3" t="s">
        <v>27</v>
      </c>
    </row>
    <row r="4" spans="1:5" x14ac:dyDescent="0.55000000000000004">
      <c r="A4" t="s">
        <v>21</v>
      </c>
      <c r="B4">
        <v>5</v>
      </c>
      <c r="C4" s="1">
        <v>4.4999999999999998E-7</v>
      </c>
      <c r="D4" s="1">
        <f t="shared" ref="D4:D9" si="0">B4*C4</f>
        <v>2.2500000000000001E-6</v>
      </c>
      <c r="E4" t="s">
        <v>28</v>
      </c>
    </row>
    <row r="5" spans="1:5" x14ac:dyDescent="0.55000000000000004">
      <c r="A5" t="s">
        <v>0</v>
      </c>
      <c r="B5">
        <v>5</v>
      </c>
      <c r="C5" s="1">
        <v>9.9999999999999995E-7</v>
      </c>
      <c r="D5" s="1">
        <f t="shared" si="0"/>
        <v>4.9999999999999996E-6</v>
      </c>
      <c r="E5" t="s">
        <v>29</v>
      </c>
    </row>
    <row r="6" spans="1:5" x14ac:dyDescent="0.55000000000000004">
      <c r="A6" t="s">
        <v>22</v>
      </c>
      <c r="B6">
        <v>5</v>
      </c>
      <c r="C6" s="1">
        <v>9.9999999999999995E-7</v>
      </c>
      <c r="D6" s="1">
        <f t="shared" si="0"/>
        <v>4.9999999999999996E-6</v>
      </c>
      <c r="E6" t="s">
        <v>30</v>
      </c>
    </row>
    <row r="7" spans="1:5" x14ac:dyDescent="0.55000000000000004">
      <c r="A7" t="s">
        <v>23</v>
      </c>
      <c r="B7">
        <v>5</v>
      </c>
      <c r="C7" s="1">
        <v>8.5000000000000006E-3</v>
      </c>
      <c r="D7" s="1">
        <f t="shared" si="0"/>
        <v>4.2500000000000003E-2</v>
      </c>
      <c r="E7" t="s">
        <v>31</v>
      </c>
    </row>
    <row r="8" spans="1:5" x14ac:dyDescent="0.55000000000000004">
      <c r="A8" t="s">
        <v>24</v>
      </c>
      <c r="B8">
        <v>5</v>
      </c>
      <c r="C8" s="1">
        <v>2.5000000000000001E-2</v>
      </c>
      <c r="D8" s="1">
        <f t="shared" si="0"/>
        <v>0.125</v>
      </c>
      <c r="E8" t="s">
        <v>32</v>
      </c>
    </row>
    <row r="9" spans="1:5" x14ac:dyDescent="0.55000000000000004">
      <c r="A9" t="s">
        <v>25</v>
      </c>
      <c r="B9">
        <v>5</v>
      </c>
      <c r="C9" s="1">
        <v>0.55000000000000004</v>
      </c>
      <c r="D9" s="1">
        <f t="shared" si="0"/>
        <v>2.75</v>
      </c>
      <c r="E9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3FDC-D142-4608-9939-99B07202ED29}">
  <dimension ref="A1:E9"/>
  <sheetViews>
    <sheetView workbookViewId="0">
      <selection sqref="A1:F7"/>
    </sheetView>
  </sheetViews>
  <sheetFormatPr defaultRowHeight="14.4" x14ac:dyDescent="0.55000000000000004"/>
  <cols>
    <col min="1" max="1" width="23.83984375" customWidth="1"/>
  </cols>
  <sheetData>
    <row r="1" spans="1:5" x14ac:dyDescent="0.55000000000000004">
      <c r="A1" t="s">
        <v>4</v>
      </c>
      <c r="B1" s="2" t="s">
        <v>44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46</v>
      </c>
      <c r="B3">
        <v>3.3</v>
      </c>
      <c r="C3" s="1">
        <v>5.9999999999999995E-4</v>
      </c>
      <c r="D3" s="1">
        <f>B3*C3</f>
        <v>1.9799999999999996E-3</v>
      </c>
      <c r="E3" t="s">
        <v>45</v>
      </c>
    </row>
    <row r="4" spans="1:5" x14ac:dyDescent="0.55000000000000004">
      <c r="A4" t="s">
        <v>47</v>
      </c>
      <c r="B4">
        <v>3.3</v>
      </c>
      <c r="C4" s="1">
        <v>4.3E-3</v>
      </c>
      <c r="D4" s="1">
        <f t="shared" ref="D4:D5" si="0">B4*C4</f>
        <v>1.4189999999999999E-2</v>
      </c>
      <c r="E4" t="s">
        <v>45</v>
      </c>
    </row>
    <row r="5" spans="1:5" x14ac:dyDescent="0.55000000000000004">
      <c r="A5" t="s">
        <v>48</v>
      </c>
      <c r="B5">
        <v>3.3</v>
      </c>
      <c r="C5" s="1">
        <f>C3+C4</f>
        <v>4.8999999999999998E-3</v>
      </c>
      <c r="D5" s="1">
        <f t="shared" si="0"/>
        <v>1.6169999999999997E-2</v>
      </c>
      <c r="E5" t="s">
        <v>45</v>
      </c>
    </row>
    <row r="6" spans="1:5" x14ac:dyDescent="0.55000000000000004">
      <c r="A6" t="s">
        <v>49</v>
      </c>
      <c r="B6">
        <v>3.3</v>
      </c>
      <c r="C6" s="1">
        <v>1.9E-3</v>
      </c>
      <c r="D6" s="1">
        <f t="shared" ref="D6" si="1">B6*C6</f>
        <v>6.2699999999999995E-3</v>
      </c>
      <c r="E6" t="s">
        <v>50</v>
      </c>
    </row>
    <row r="7" spans="1:5" x14ac:dyDescent="0.55000000000000004">
      <c r="A7" t="s">
        <v>52</v>
      </c>
      <c r="B7">
        <v>3.3</v>
      </c>
      <c r="C7" s="1">
        <f>C3+C6</f>
        <v>2.5000000000000001E-3</v>
      </c>
      <c r="D7" s="1">
        <f>B7*C7</f>
        <v>8.2500000000000004E-3</v>
      </c>
      <c r="E7" t="s">
        <v>51</v>
      </c>
    </row>
    <row r="8" spans="1:5" x14ac:dyDescent="0.55000000000000004">
      <c r="C8" s="1"/>
      <c r="D8" s="1"/>
    </row>
    <row r="9" spans="1:5" x14ac:dyDescent="0.55000000000000004">
      <c r="C9" s="1"/>
      <c r="D9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CDCA-C88C-478F-9E78-7E09F957C442}">
  <dimension ref="A1:E9"/>
  <sheetViews>
    <sheetView workbookViewId="0">
      <selection sqref="A1:F6"/>
    </sheetView>
  </sheetViews>
  <sheetFormatPr defaultRowHeight="14.4" x14ac:dyDescent="0.55000000000000004"/>
  <cols>
    <col min="1" max="1" width="23.15625" customWidth="1"/>
  </cols>
  <sheetData>
    <row r="1" spans="1:5" x14ac:dyDescent="0.55000000000000004">
      <c r="A1" t="s">
        <v>55</v>
      </c>
      <c r="B1" s="2" t="s">
        <v>56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57</v>
      </c>
      <c r="B3">
        <v>3.3</v>
      </c>
      <c r="C3" s="1">
        <v>1.8499999999999999E-2</v>
      </c>
      <c r="D3" s="1">
        <f>B3*C3</f>
        <v>6.1049999999999993E-2</v>
      </c>
      <c r="E3" t="s">
        <v>60</v>
      </c>
    </row>
    <row r="4" spans="1:5" x14ac:dyDescent="0.55000000000000004">
      <c r="A4" t="s">
        <v>58</v>
      </c>
      <c r="B4">
        <v>3.3</v>
      </c>
      <c r="C4" s="1">
        <v>4.65E-2</v>
      </c>
      <c r="D4" s="1">
        <f t="shared" ref="D4:D6" si="0">B4*C4</f>
        <v>0.15345</v>
      </c>
      <c r="E4" t="s">
        <v>61</v>
      </c>
    </row>
    <row r="5" spans="1:5" x14ac:dyDescent="0.55000000000000004">
      <c r="A5" t="s">
        <v>21</v>
      </c>
      <c r="B5">
        <v>3.3</v>
      </c>
      <c r="C5" s="1">
        <v>7.5000000000000002E-4</v>
      </c>
      <c r="D5" s="1">
        <f t="shared" si="0"/>
        <v>2.4749999999999998E-3</v>
      </c>
      <c r="E5" t="s">
        <v>61</v>
      </c>
    </row>
    <row r="6" spans="1:5" x14ac:dyDescent="0.55000000000000004">
      <c r="A6" t="s">
        <v>59</v>
      </c>
      <c r="B6">
        <v>3.3</v>
      </c>
      <c r="C6" s="1">
        <v>4.0000000000000003E-5</v>
      </c>
      <c r="D6" s="1">
        <f t="shared" si="0"/>
        <v>1.3200000000000001E-4</v>
      </c>
    </row>
    <row r="7" spans="1:5" x14ac:dyDescent="0.55000000000000004">
      <c r="C7" s="1"/>
      <c r="D7" s="1"/>
    </row>
    <row r="8" spans="1:5" x14ac:dyDescent="0.55000000000000004">
      <c r="C8" s="1"/>
      <c r="D8" s="1"/>
    </row>
    <row r="9" spans="1:5" x14ac:dyDescent="0.55000000000000004">
      <c r="C9" s="1"/>
      <c r="D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BF16-DC42-4482-8CDE-5A826A0516C5}">
  <dimension ref="A1:E9"/>
  <sheetViews>
    <sheetView workbookViewId="0">
      <selection sqref="A1:G5"/>
    </sheetView>
  </sheetViews>
  <sheetFormatPr defaultRowHeight="14.4" x14ac:dyDescent="0.55000000000000004"/>
  <cols>
    <col min="1" max="1" width="16.05078125" customWidth="1"/>
  </cols>
  <sheetData>
    <row r="1" spans="1:5" x14ac:dyDescent="0.55000000000000004">
      <c r="A1" t="s">
        <v>62</v>
      </c>
      <c r="C1" t="s">
        <v>63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67</v>
      </c>
      <c r="B3">
        <v>3.3</v>
      </c>
      <c r="C3" s="3">
        <v>7.0000000000000001E-3</v>
      </c>
      <c r="D3" s="1">
        <f>B3*C3</f>
        <v>2.3099999999999999E-2</v>
      </c>
      <c r="E3" t="s">
        <v>66</v>
      </c>
    </row>
    <row r="4" spans="1:5" x14ac:dyDescent="0.55000000000000004">
      <c r="A4" t="s">
        <v>64</v>
      </c>
      <c r="B4">
        <v>3.3</v>
      </c>
      <c r="C4" s="1">
        <f>48*0.000063</f>
        <v>3.0239999999999998E-3</v>
      </c>
      <c r="D4" s="1">
        <f t="shared" ref="D4:D5" si="0">B4*C4</f>
        <v>9.9791999999999988E-3</v>
      </c>
      <c r="E4" t="s">
        <v>66</v>
      </c>
    </row>
    <row r="5" spans="1:5" x14ac:dyDescent="0.55000000000000004">
      <c r="A5" t="s">
        <v>65</v>
      </c>
      <c r="B5">
        <v>3.3</v>
      </c>
      <c r="C5" s="1">
        <f>48*0.000115</f>
        <v>5.5200000000000006E-3</v>
      </c>
      <c r="D5" s="1">
        <f t="shared" si="0"/>
        <v>1.8216E-2</v>
      </c>
      <c r="E5" t="s">
        <v>66</v>
      </c>
    </row>
    <row r="6" spans="1:5" x14ac:dyDescent="0.55000000000000004">
      <c r="C6" s="1"/>
      <c r="D6" s="1"/>
    </row>
    <row r="7" spans="1:5" x14ac:dyDescent="0.55000000000000004">
      <c r="C7" s="1"/>
      <c r="D7" s="1"/>
    </row>
    <row r="8" spans="1:5" x14ac:dyDescent="0.55000000000000004">
      <c r="C8" s="1"/>
      <c r="D8" s="1"/>
    </row>
    <row r="9" spans="1:5" x14ac:dyDescent="0.55000000000000004">
      <c r="C9" s="1"/>
      <c r="D9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009C-612D-4F8E-A0E4-C13231C28F21}">
  <dimension ref="A1:E4"/>
  <sheetViews>
    <sheetView workbookViewId="0">
      <selection sqref="A1:G4"/>
    </sheetView>
  </sheetViews>
  <sheetFormatPr defaultRowHeight="14.4" x14ac:dyDescent="0.55000000000000004"/>
  <sheetData>
    <row r="1" spans="1:5" x14ac:dyDescent="0.55000000000000004">
      <c r="A1" t="s">
        <v>72</v>
      </c>
      <c r="C1" t="s">
        <v>71</v>
      </c>
      <c r="D1" t="s">
        <v>77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73</v>
      </c>
      <c r="B3">
        <v>3.3</v>
      </c>
      <c r="C3" s="1">
        <v>4.4999999999999998E-2</v>
      </c>
      <c r="D3" s="1">
        <f>B3*C3</f>
        <v>0.14849999999999999</v>
      </c>
      <c r="E3" t="s">
        <v>75</v>
      </c>
    </row>
    <row r="4" spans="1:5" x14ac:dyDescent="0.55000000000000004">
      <c r="A4" t="s">
        <v>74</v>
      </c>
      <c r="B4">
        <v>3.3</v>
      </c>
      <c r="C4" s="1">
        <v>0.04</v>
      </c>
      <c r="D4" s="1">
        <f>B4*C4</f>
        <v>0.13200000000000001</v>
      </c>
      <c r="E4" t="s">
        <v>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FEFE-C271-4440-98D8-2EA5F9E8E985}">
  <dimension ref="A1:E5"/>
  <sheetViews>
    <sheetView workbookViewId="0">
      <selection sqref="A1:E5"/>
    </sheetView>
  </sheetViews>
  <sheetFormatPr defaultRowHeight="14.4" x14ac:dyDescent="0.55000000000000004"/>
  <cols>
    <col min="1" max="1" width="15.68359375" customWidth="1"/>
  </cols>
  <sheetData>
    <row r="1" spans="1:5" x14ac:dyDescent="0.55000000000000004">
      <c r="A1" t="s">
        <v>9</v>
      </c>
      <c r="B1" t="s">
        <v>78</v>
      </c>
      <c r="D1" t="s">
        <v>76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80</v>
      </c>
      <c r="B3">
        <v>1.8</v>
      </c>
      <c r="C3" s="1">
        <v>2.5000000000000001E-3</v>
      </c>
      <c r="D3" s="1">
        <f>B3*C3</f>
        <v>4.5000000000000005E-3</v>
      </c>
    </row>
    <row r="4" spans="1:5" x14ac:dyDescent="0.55000000000000004">
      <c r="A4" t="s">
        <v>81</v>
      </c>
      <c r="B4">
        <v>3</v>
      </c>
      <c r="C4" s="1">
        <v>0.01</v>
      </c>
      <c r="D4" s="1">
        <f t="shared" ref="D4:D5" si="0">B4*C4</f>
        <v>0.03</v>
      </c>
      <c r="E4" t="s">
        <v>82</v>
      </c>
    </row>
    <row r="5" spans="1:5" x14ac:dyDescent="0.55000000000000004">
      <c r="A5" t="s">
        <v>79</v>
      </c>
      <c r="B5">
        <v>5.5</v>
      </c>
      <c r="C5" s="1">
        <v>2.1999999999999999E-2</v>
      </c>
      <c r="D5" s="1">
        <f t="shared" si="0"/>
        <v>0.121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12C8-D541-4BDC-A3E7-93CB09AF89B0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19.57812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116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67</v>
      </c>
      <c r="D4" s="1">
        <f>INDEX('Estimated Power'!A35:D37,MATCH(C4,'Estimated Power'!A35:A37,0),4)</f>
        <v>2.3099999999999999E-2</v>
      </c>
      <c r="E4" s="4">
        <v>1</v>
      </c>
      <c r="F4" s="4">
        <v>0.2</v>
      </c>
      <c r="G4">
        <f t="shared" ref="G4:G13" si="0">B4*D4*E4*(1+F4)</f>
        <v>2.7719999999999998E-2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1</v>
      </c>
      <c r="C5" t="s">
        <v>52</v>
      </c>
      <c r="D5" s="1">
        <f>INDEX('Estimated Power'!A20:D24,MATCH(C5,'Estimated Power'!A20:A24,0),4)</f>
        <v>8.2500000000000004E-3</v>
      </c>
      <c r="E5" s="4">
        <v>1</v>
      </c>
      <c r="F5" s="4">
        <v>0.2</v>
      </c>
      <c r="G5">
        <f t="shared" si="0"/>
        <v>9.9000000000000008E-3</v>
      </c>
      <c r="H5" t="str">
        <f>INDEX('Estimated Power'!A20:E24,MATCH(C5,'Estimated Power'!A20:A24,0),5)</f>
        <v>Low-Power Mode</v>
      </c>
    </row>
    <row r="6" spans="1:8" x14ac:dyDescent="0.55000000000000004">
      <c r="A6" t="s">
        <v>55</v>
      </c>
      <c r="B6">
        <v>1</v>
      </c>
      <c r="C6" t="s">
        <v>21</v>
      </c>
      <c r="D6" s="1">
        <f>INDEX('Estimated Power'!A28:D31,MATCH(C6,'Estimated Power'!A28:A31,0),4)</f>
        <v>2.4749999999999998E-3</v>
      </c>
      <c r="E6" s="4">
        <v>1</v>
      </c>
      <c r="F6" s="4">
        <v>0.2</v>
      </c>
      <c r="G6">
        <f t="shared" si="0"/>
        <v>2.9699999999999996E-3</v>
      </c>
      <c r="H6" t="str">
        <f>INDEX('Estimated Power'!A28:E31,MATCH(C6,'Estimated Power'!A28:A31,0),5)</f>
        <v>Max at 50MHz</v>
      </c>
    </row>
    <row r="7" spans="1:8" x14ac:dyDescent="0.55000000000000004">
      <c r="A7" t="s">
        <v>11</v>
      </c>
      <c r="B7">
        <v>1</v>
      </c>
      <c r="C7" t="s">
        <v>24</v>
      </c>
      <c r="D7" s="1">
        <f>INDEX('Estimated Power'!A10:D16,MATCH(C7,'Estimated Power'!A10:A16,0),4)</f>
        <v>0.125</v>
      </c>
      <c r="E7" s="4">
        <v>0.2</v>
      </c>
      <c r="F7" s="4">
        <v>0.2</v>
      </c>
      <c r="G7">
        <f t="shared" si="0"/>
        <v>0.03</v>
      </c>
      <c r="H7" t="str">
        <f>INDEX('Estimated Power'!A10:E16,MATCH(C7,'Estimated Power'!A10:A16,0),5)</f>
        <v>ON</v>
      </c>
    </row>
    <row r="8" spans="1:8" x14ac:dyDescent="0.55000000000000004">
      <c r="A8" t="s">
        <v>10</v>
      </c>
      <c r="B8">
        <v>1</v>
      </c>
      <c r="C8" t="s">
        <v>73</v>
      </c>
      <c r="D8" s="1">
        <f>INDEX('Estimated Power'!A41:D42,MATCH(C8,'Estimated Power'!A41:A42,0),4)</f>
        <v>0.14849999999999999</v>
      </c>
      <c r="E8" s="4">
        <v>1</v>
      </c>
      <c r="F8" s="4">
        <v>0.2</v>
      </c>
      <c r="G8">
        <f>B8*D8*E8*(1+F8)</f>
        <v>0.1782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80</v>
      </c>
      <c r="D9" s="1">
        <f>INDEX('Estimated Power'!A46:D48,MATCH(C9,'Estimated Power'!A46:A48,0),4)</f>
        <v>4.5000000000000005E-3</v>
      </c>
      <c r="E9" s="4">
        <v>1</v>
      </c>
      <c r="F9" s="4">
        <v>0.2</v>
      </c>
      <c r="G9">
        <f t="shared" si="0"/>
        <v>1.0800000000000001E-2</v>
      </c>
      <c r="H9">
        <f>INDEX('Estimated Power'!A46:E48,MATCH(C9,'Estimated Power'!A46:A48,0),5)</f>
        <v>0</v>
      </c>
    </row>
    <row r="10" spans="1:8" x14ac:dyDescent="0.55000000000000004">
      <c r="A10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0</v>
      </c>
      <c r="C11" t="s">
        <v>38</v>
      </c>
      <c r="D11" s="1">
        <f>INDEX('Estimated Power'!A57:D59,MATCH(C11,'Estimated Power'!A57:A59,0),4)</f>
        <v>3.5</v>
      </c>
      <c r="E11" s="4">
        <v>1</v>
      </c>
      <c r="F11" s="4">
        <v>0.2</v>
      </c>
      <c r="G11">
        <f t="shared" si="0"/>
        <v>0</v>
      </c>
      <c r="H11" t="str">
        <f>INDEX('Estimated Power'!A57:E59,MATCH(C11,'Estimated Power'!A57:A59,0),5)</f>
        <v>Use max for processing most likely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0</v>
      </c>
      <c r="C14" t="s">
        <v>0</v>
      </c>
      <c r="D14" s="1">
        <f>INDEX('Estimated Power'!A73:D75,MATCH(C14,'Estimated Power'!A73:A75,0),4)</f>
        <v>1.0499999999999999E-3</v>
      </c>
      <c r="E14" s="4">
        <v>1</v>
      </c>
      <c r="F14" s="4">
        <v>0.2</v>
      </c>
      <c r="G14">
        <f>B14*D14*E14*(1+F14)</f>
        <v>0</v>
      </c>
      <c r="H14">
        <f>INDEX('Estimated Power'!A73:E75,MATCH(C14,'Estimated Power'!A73:A75,0),5)</f>
        <v>0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0.29016666666666657</v>
      </c>
    </row>
    <row r="23" spans="2:8" x14ac:dyDescent="0.55000000000000004">
      <c r="F23" s="10" t="s">
        <v>123</v>
      </c>
      <c r="G23" s="11">
        <f>SUMPRODUCT(B3:B20,D3:D20,1+F3:F20)/G21</f>
        <v>0.42349999999999993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1CF54FD0-9135-4467-9E41-1389F71AB3B3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48D83A4E-BAF6-4B56-984A-4B0986BC9DB5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3AB9D296-BB3A-4105-B518-7F1171DB21B9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3E49C431-0442-4080-9B60-CBB707BE62F8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B4EFC1E6-269C-408C-A756-103C50FE40D2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DCBB6DD9-0AFB-469B-81A7-789CE21EFD65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C54A28F1-BC0E-4218-A1BA-8FD95BF33423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E6CA099F-4EB3-4484-9CE6-F3B291DAB1CF}">
          <x14:formula1>
            <xm:f>'Estimated Power'!$A$3:$A$6</xm:f>
          </x14:formula1>
          <xm:sqref>C3</xm:sqref>
        </x14:dataValidation>
        <x14:dataValidation type="list" allowBlank="1" showInputMessage="1" showErrorMessage="1" xr:uid="{2FB3B2ED-546C-44B7-A302-B31577FF62AD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CE980D6D-2A7B-4961-A597-6F21A47888E2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536473F4-2087-4E58-8335-01DAE9144668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1EC03A91-1C5E-4288-A9AC-B82260607441}">
          <x14:formula1>
            <xm:f>'Estimated Power'!$A$73:$A$75</xm:f>
          </x14:formula1>
          <xm:sqref>C14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176C-C850-412A-8AE3-71B0CFA10551}">
  <dimension ref="A1:E4"/>
  <sheetViews>
    <sheetView workbookViewId="0">
      <selection sqref="A1:E4"/>
    </sheetView>
  </sheetViews>
  <sheetFormatPr defaultRowHeight="14.4" x14ac:dyDescent="0.55000000000000004"/>
  <sheetData>
    <row r="1" spans="1:5" x14ac:dyDescent="0.55000000000000004">
      <c r="A1" t="s">
        <v>83</v>
      </c>
      <c r="B1" t="s">
        <v>84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25</v>
      </c>
      <c r="B3">
        <v>1.89</v>
      </c>
      <c r="C3" s="1">
        <v>0.35</v>
      </c>
      <c r="D3" s="1">
        <f>B3*C3</f>
        <v>0.66149999999999998</v>
      </c>
      <c r="E3" t="s">
        <v>85</v>
      </c>
    </row>
    <row r="4" spans="1:5" x14ac:dyDescent="0.55000000000000004">
      <c r="A4" t="s">
        <v>24</v>
      </c>
      <c r="B4">
        <v>1.89</v>
      </c>
      <c r="C4" s="1">
        <v>0.42</v>
      </c>
      <c r="D4" s="1">
        <f>B4*C4</f>
        <v>0.79379999999999995</v>
      </c>
      <c r="E4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D59F-8366-49C3-BBF1-13B3D6224D89}">
  <dimension ref="A1:E5"/>
  <sheetViews>
    <sheetView workbookViewId="0">
      <selection sqref="A1:F6"/>
    </sheetView>
  </sheetViews>
  <sheetFormatPr defaultRowHeight="14.4" x14ac:dyDescent="0.55000000000000004"/>
  <sheetData>
    <row r="1" spans="1:5" x14ac:dyDescent="0.55000000000000004">
      <c r="A1" t="s">
        <v>88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89</v>
      </c>
      <c r="B3">
        <v>5</v>
      </c>
      <c r="C3" s="1">
        <v>0.31</v>
      </c>
      <c r="D3" s="1">
        <f>B3*C3</f>
        <v>1.55</v>
      </c>
    </row>
    <row r="4" spans="1:5" x14ac:dyDescent="0.55000000000000004">
      <c r="A4" t="s">
        <v>90</v>
      </c>
      <c r="B4">
        <v>5</v>
      </c>
      <c r="C4">
        <v>0.57999999999999996</v>
      </c>
      <c r="D4" s="1">
        <f>B4*C4</f>
        <v>2.9</v>
      </c>
    </row>
    <row r="5" spans="1:5" x14ac:dyDescent="0.55000000000000004">
      <c r="A5" t="s">
        <v>38</v>
      </c>
      <c r="B5">
        <v>5</v>
      </c>
      <c r="C5" s="1">
        <f>D5/B5</f>
        <v>0.7</v>
      </c>
      <c r="D5" s="1">
        <v>3.5</v>
      </c>
      <c r="E5" t="s">
        <v>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E205-3764-4294-9EDD-940175E2BC25}">
  <dimension ref="A1:E9"/>
  <sheetViews>
    <sheetView workbookViewId="0">
      <selection activeCell="D13" sqref="D13"/>
    </sheetView>
  </sheetViews>
  <sheetFormatPr defaultRowHeight="14.4" x14ac:dyDescent="0.55000000000000004"/>
  <cols>
    <col min="1" max="1" width="16.9453125" customWidth="1"/>
  </cols>
  <sheetData>
    <row r="1" spans="1:5" x14ac:dyDescent="0.55000000000000004">
      <c r="A1" t="s">
        <v>7</v>
      </c>
      <c r="B1" t="s">
        <v>69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C3" s="1">
        <v>1.1999999999999999E-3</v>
      </c>
      <c r="D3" s="1"/>
      <c r="E3" t="s">
        <v>70</v>
      </c>
    </row>
    <row r="4" spans="1:5" x14ac:dyDescent="0.55000000000000004">
      <c r="C4" s="1"/>
      <c r="D4" s="1"/>
    </row>
    <row r="5" spans="1:5" x14ac:dyDescent="0.55000000000000004">
      <c r="C5" s="1"/>
      <c r="D5" s="1"/>
    </row>
    <row r="6" spans="1:5" x14ac:dyDescent="0.55000000000000004">
      <c r="C6" s="1"/>
      <c r="D6" s="1"/>
    </row>
    <row r="7" spans="1:5" x14ac:dyDescent="0.55000000000000004">
      <c r="C7" s="1"/>
      <c r="D7" s="1"/>
    </row>
    <row r="8" spans="1:5" x14ac:dyDescent="0.55000000000000004">
      <c r="C8" s="1"/>
      <c r="D8" s="1"/>
    </row>
    <row r="9" spans="1:5" x14ac:dyDescent="0.55000000000000004">
      <c r="C9" s="1"/>
      <c r="D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85D8-1A16-4E76-8654-EEA25648E736}">
  <dimension ref="A1:E9"/>
  <sheetViews>
    <sheetView workbookViewId="0">
      <selection activeCell="A4" sqref="A4"/>
    </sheetView>
  </sheetViews>
  <sheetFormatPr defaultRowHeight="14.4" x14ac:dyDescent="0.55000000000000004"/>
  <sheetData>
    <row r="1" spans="1:5" x14ac:dyDescent="0.55000000000000004">
      <c r="A1" t="s">
        <v>2</v>
      </c>
      <c r="B1" s="2" t="s">
        <v>41</v>
      </c>
    </row>
    <row r="2" spans="1:5" x14ac:dyDescent="0.55000000000000004">
      <c r="A2" t="s">
        <v>17</v>
      </c>
      <c r="B2" t="s">
        <v>16</v>
      </c>
      <c r="C2" t="s">
        <v>18</v>
      </c>
      <c r="D2" t="s">
        <v>26</v>
      </c>
      <c r="E2" t="s">
        <v>19</v>
      </c>
    </row>
    <row r="3" spans="1:5" x14ac:dyDescent="0.55000000000000004">
      <c r="A3" t="s">
        <v>42</v>
      </c>
      <c r="B3">
        <v>5</v>
      </c>
      <c r="C3" s="1">
        <v>1.0000000000000001E-5</v>
      </c>
      <c r="D3" s="1">
        <f>B3*C3</f>
        <v>5.0000000000000002E-5</v>
      </c>
      <c r="E3" t="s">
        <v>43</v>
      </c>
    </row>
    <row r="4" spans="1:5" x14ac:dyDescent="0.55000000000000004">
      <c r="C4" s="1"/>
      <c r="D4" s="1"/>
    </row>
    <row r="5" spans="1:5" x14ac:dyDescent="0.55000000000000004">
      <c r="C5" s="1"/>
      <c r="D5" s="1"/>
    </row>
    <row r="6" spans="1:5" x14ac:dyDescent="0.55000000000000004">
      <c r="C6" s="1"/>
      <c r="D6" s="1"/>
    </row>
    <row r="7" spans="1:5" x14ac:dyDescent="0.55000000000000004">
      <c r="C7" s="1"/>
      <c r="D7" s="1"/>
    </row>
    <row r="8" spans="1:5" x14ac:dyDescent="0.55000000000000004">
      <c r="C8" s="1"/>
      <c r="D8" s="1"/>
    </row>
    <row r="9" spans="1:5" x14ac:dyDescent="0.55000000000000004">
      <c r="C9" s="1"/>
      <c r="D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1795-C2D5-4AD2-B601-B4617819F382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19.57812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115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64</v>
      </c>
      <c r="D4" s="1">
        <f>INDEX('Estimated Power'!A35:D37,MATCH(C4,'Estimated Power'!A35:A37,0),4)</f>
        <v>9.9791999999999988E-3</v>
      </c>
      <c r="E4" s="4">
        <v>1</v>
      </c>
      <c r="F4" s="4">
        <v>0.2</v>
      </c>
      <c r="G4">
        <f t="shared" ref="G4:G13" si="0">B4*D4*E4*(1+F4)</f>
        <v>1.1975039999999998E-2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1</v>
      </c>
      <c r="C5" t="s">
        <v>48</v>
      </c>
      <c r="D5" s="1">
        <f>INDEX('Estimated Power'!A20:D24,MATCH(C5,'Estimated Power'!A20:A24,0),4)</f>
        <v>1.6169999999999997E-2</v>
      </c>
      <c r="E5" s="4">
        <v>1</v>
      </c>
      <c r="F5" s="4">
        <v>0.2</v>
      </c>
      <c r="G5">
        <f t="shared" si="0"/>
        <v>1.9403999999999994E-2</v>
      </c>
      <c r="H5" t="str">
        <f>INDEX('Estimated Power'!A20:E24,MATCH(C5,'Estimated Power'!A20:A24,0),5)</f>
        <v>Normal Mode</v>
      </c>
    </row>
    <row r="6" spans="1:8" x14ac:dyDescent="0.55000000000000004">
      <c r="A6" t="s">
        <v>55</v>
      </c>
      <c r="B6">
        <v>1</v>
      </c>
      <c r="C6" t="s">
        <v>21</v>
      </c>
      <c r="D6" s="1">
        <f>INDEX('Estimated Power'!A28:D31,MATCH(C6,'Estimated Power'!A28:A31,0),4)</f>
        <v>2.4749999999999998E-3</v>
      </c>
      <c r="E6" s="4">
        <v>1</v>
      </c>
      <c r="F6" s="4">
        <v>0.2</v>
      </c>
      <c r="G6">
        <f t="shared" si="0"/>
        <v>2.9699999999999996E-3</v>
      </c>
      <c r="H6" t="str">
        <f>INDEX('Estimated Power'!A28:E31,MATCH(C6,'Estimated Power'!A28:A31,0),5)</f>
        <v>Max at 50MHz</v>
      </c>
    </row>
    <row r="7" spans="1:8" x14ac:dyDescent="0.55000000000000004">
      <c r="A7" t="s">
        <v>11</v>
      </c>
      <c r="B7">
        <v>1</v>
      </c>
      <c r="C7" t="s">
        <v>24</v>
      </c>
      <c r="D7" s="1">
        <f>INDEX('Estimated Power'!A10:D16,MATCH(C7,'Estimated Power'!A10:A16,0),4)</f>
        <v>0.125</v>
      </c>
      <c r="E7" s="4">
        <v>1</v>
      </c>
      <c r="F7" s="4">
        <v>0.2</v>
      </c>
      <c r="G7">
        <f t="shared" si="0"/>
        <v>0.15</v>
      </c>
      <c r="H7" t="str">
        <f>INDEX('Estimated Power'!A10:E16,MATCH(C7,'Estimated Power'!A10:A16,0),5)</f>
        <v>ON</v>
      </c>
    </row>
    <row r="8" spans="1:8" x14ac:dyDescent="0.55000000000000004">
      <c r="A8" t="s">
        <v>10</v>
      </c>
      <c r="B8">
        <v>1</v>
      </c>
      <c r="C8" t="s">
        <v>74</v>
      </c>
      <c r="D8" s="1">
        <f>INDEX('Estimated Power'!A41:D42,MATCH(C8,'Estimated Power'!A41:A42,0),4)</f>
        <v>0.13200000000000001</v>
      </c>
      <c r="E8" s="4">
        <v>1</v>
      </c>
      <c r="F8" s="4">
        <v>0.2</v>
      </c>
      <c r="G8">
        <f>B8*D8*E8*(1+F8)</f>
        <v>0.15840000000000001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81</v>
      </c>
      <c r="D9" s="1">
        <f>INDEX('Estimated Power'!A46:D48,MATCH(C9,'Estimated Power'!A46:A48,0),4)</f>
        <v>0.03</v>
      </c>
      <c r="E9" s="4">
        <v>1</v>
      </c>
      <c r="F9" s="4">
        <v>0.2</v>
      </c>
      <c r="G9">
        <f t="shared" si="0"/>
        <v>7.1999999999999995E-2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0</v>
      </c>
      <c r="C11" t="s">
        <v>38</v>
      </c>
      <c r="D11" s="1">
        <f>INDEX('Estimated Power'!A57:D59,MATCH(C11,'Estimated Power'!A57:A59,0),4)</f>
        <v>3.5</v>
      </c>
      <c r="E11" s="4">
        <v>1</v>
      </c>
      <c r="F11" s="4">
        <v>0.2</v>
      </c>
      <c r="G11">
        <f t="shared" si="0"/>
        <v>0</v>
      </c>
      <c r="H11" t="str">
        <f>INDEX('Estimated Power'!A57:E59,MATCH(C11,'Estimated Power'!A57:A59,0),5)</f>
        <v>Use max for processing most likely</v>
      </c>
    </row>
    <row r="12" spans="1:8" x14ac:dyDescent="0.55000000000000004">
      <c r="A12" t="s">
        <v>13</v>
      </c>
      <c r="B12">
        <v>2</v>
      </c>
      <c r="C12" t="s">
        <v>120</v>
      </c>
      <c r="D12" s="1">
        <f>INDEX('Estimated Power'!A63:D64,MATCH(C12,'Estimated Power'!A63:A64,0),4)</f>
        <v>5.120000000000001</v>
      </c>
      <c r="E12" s="4">
        <v>1</v>
      </c>
      <c r="F12" s="4">
        <v>0.2</v>
      </c>
      <c r="G12">
        <f t="shared" si="0"/>
        <v>12.288000000000002</v>
      </c>
      <c r="H12" t="str">
        <f>INDEX('Estimated Power'!A63:E64,MATCH(C12,'Estimated Power'!A63:A64,0),5)</f>
        <v>Only on for 14-20 seconds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0</v>
      </c>
      <c r="C14" t="s">
        <v>0</v>
      </c>
      <c r="D14" s="1">
        <f>INDEX('Estimated Power'!A73:D75,MATCH(C14,'Estimated Power'!A73:A75,0),4)</f>
        <v>1.0499999999999999E-3</v>
      </c>
      <c r="E14" s="4">
        <v>1</v>
      </c>
      <c r="F14" s="4">
        <v>0.2</v>
      </c>
      <c r="G14">
        <f>B14*D14*E14*(1+F14)</f>
        <v>0</v>
      </c>
      <c r="H14">
        <f>INDEX('Estimated Power'!A73:E75,MATCH(C14,'Estimated Power'!A73:A75,0),5)</f>
        <v>0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14.115898933333336</v>
      </c>
    </row>
    <row r="23" spans="2:8" x14ac:dyDescent="0.55000000000000004">
      <c r="F23" s="10" t="s">
        <v>123</v>
      </c>
      <c r="G23" s="11">
        <f>SUMPRODUCT(B3:B20,D3:D20,1+F3:F20)/G21</f>
        <v>14.115898933333336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4F2ABF7F-44D0-4E6A-A377-E6063C5FD8D5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F6FE495B-2609-4943-A7C3-C542C5CA4724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56BAF719-5524-4B7B-9E62-222F30DFA3C6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736F807B-672C-4969-822A-621AB6E0EBDE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9BCB6399-6361-4761-9D71-336764C4BD3D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189A1D54-E84B-46DB-9640-A2D81B06B6BD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2D0EEF01-AA9C-4A49-B30F-9A7972BD2FD0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B3D52D23-569E-4BC3-825A-B40584F9EA54}">
          <x14:formula1>
            <xm:f>'Estimated Power'!$A$3:$A$6</xm:f>
          </x14:formula1>
          <xm:sqref>C3</xm:sqref>
        </x14:dataValidation>
        <x14:dataValidation type="list" allowBlank="1" showInputMessage="1" showErrorMessage="1" xr:uid="{0CEF46F6-0EDD-4819-ADEE-033BDDAA8D48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6187694C-2E7D-4E0F-9F8A-BC8DC4E8E750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9A8E65F1-DAF0-426D-A5A3-C6CFF63F03EA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12A43A64-DAD6-4250-815E-A754D57CF132}">
          <x14:formula1>
            <xm:f>'Estimated Power'!$A$73:$A$75</xm:f>
          </x14:formula1>
          <xm:sqref>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4BDB-B09B-4428-9272-1F08FFDA3EBB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19.57812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107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64</v>
      </c>
      <c r="D4" s="1">
        <f>INDEX('Estimated Power'!A35:D37,MATCH(C4,'Estimated Power'!A35:A37,0),4)</f>
        <v>9.9791999999999988E-3</v>
      </c>
      <c r="E4" s="4">
        <v>1</v>
      </c>
      <c r="F4" s="4">
        <v>0.2</v>
      </c>
      <c r="G4">
        <f t="shared" ref="G4:G13" si="0">B4*D4*E4*(1+F4)</f>
        <v>1.1975039999999998E-2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0</v>
      </c>
      <c r="C5" t="s">
        <v>46</v>
      </c>
      <c r="D5" s="1">
        <f>INDEX('Estimated Power'!A20:D24,MATCH(C5,'Estimated Power'!A20:A24,0),4)</f>
        <v>1.9799999999999996E-3</v>
      </c>
      <c r="E5" s="4">
        <v>1</v>
      </c>
      <c r="F5" s="4">
        <v>0.2</v>
      </c>
      <c r="G5">
        <f t="shared" si="0"/>
        <v>0</v>
      </c>
      <c r="H5" t="str">
        <f>INDEX('Estimated Power'!A20:E24,MATCH(C5,'Estimated Power'!A20:A24,0),5)</f>
        <v>Normal Mode</v>
      </c>
    </row>
    <row r="6" spans="1:8" x14ac:dyDescent="0.55000000000000004">
      <c r="A6" t="s">
        <v>55</v>
      </c>
      <c r="B6">
        <v>1</v>
      </c>
      <c r="C6" t="s">
        <v>59</v>
      </c>
      <c r="D6" s="1">
        <f>INDEX('Estimated Power'!A28:D31,MATCH(C6,'Estimated Power'!A28:A31,0),4)</f>
        <v>1.3200000000000001E-4</v>
      </c>
      <c r="E6" s="4">
        <v>1</v>
      </c>
      <c r="F6" s="4">
        <v>0.2</v>
      </c>
      <c r="G6">
        <f t="shared" si="0"/>
        <v>1.584E-4</v>
      </c>
      <c r="H6">
        <f>INDEX('Estimated Power'!A28:E31,MATCH(C6,'Estimated Power'!A28:A31,0),5)</f>
        <v>0</v>
      </c>
    </row>
    <row r="7" spans="1:8" x14ac:dyDescent="0.55000000000000004">
      <c r="A7" t="s">
        <v>11</v>
      </c>
      <c r="B7">
        <v>1</v>
      </c>
      <c r="C7" t="s">
        <v>0</v>
      </c>
      <c r="D7" s="1">
        <f>INDEX('Estimated Power'!A10:D16,MATCH(C7,'Estimated Power'!A10:A16,0),4)</f>
        <v>4.9999999999999996E-6</v>
      </c>
      <c r="E7" s="4">
        <v>1</v>
      </c>
      <c r="F7" s="4">
        <v>0.2</v>
      </c>
      <c r="G7">
        <f t="shared" si="0"/>
        <v>5.9999999999999993E-6</v>
      </c>
      <c r="H7" t="str">
        <f>INDEX('Estimated Power'!A10:E16,MATCH(C7,'Estimated Power'!A10:A16,0),5)</f>
        <v>RC Oscillator and Low Power Digital Regulator ON (retain register)</v>
      </c>
    </row>
    <row r="8" spans="1:8" x14ac:dyDescent="0.55000000000000004">
      <c r="A8" t="s">
        <v>10</v>
      </c>
      <c r="B8">
        <v>1</v>
      </c>
      <c r="C8" t="s">
        <v>73</v>
      </c>
      <c r="D8" s="1">
        <f>INDEX('Estimated Power'!A41:D42,MATCH(C8,'Estimated Power'!A41:A42,0),4)</f>
        <v>0.14849999999999999</v>
      </c>
      <c r="E8" s="4">
        <v>0.1</v>
      </c>
      <c r="F8" s="4">
        <v>0.2</v>
      </c>
      <c r="G8">
        <f>B8*D8*E8*(1+F8)</f>
        <v>1.7819999999999999E-2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80</v>
      </c>
      <c r="D9" s="1">
        <f>INDEX('Estimated Power'!A46:D48,MATCH(C9,'Estimated Power'!A46:A48,0),4)</f>
        <v>4.5000000000000005E-3</v>
      </c>
      <c r="E9" s="4">
        <v>0.1</v>
      </c>
      <c r="F9" s="4">
        <v>0.2</v>
      </c>
      <c r="G9">
        <f t="shared" si="0"/>
        <v>1.0800000000000002E-3</v>
      </c>
      <c r="H9">
        <f>INDEX('Estimated Power'!A46:E48,MATCH(C9,'Estimated Power'!A46:A48,0),5)</f>
        <v>0</v>
      </c>
    </row>
    <row r="10" spans="1:8" x14ac:dyDescent="0.55000000000000004">
      <c r="A10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0</v>
      </c>
      <c r="C11" t="s">
        <v>89</v>
      </c>
      <c r="D11" s="1">
        <f>INDEX('Estimated Power'!A57:D59,MATCH(C11,'Estimated Power'!A57:A59,0),4)</f>
        <v>1.55</v>
      </c>
      <c r="E11" s="4">
        <v>1</v>
      </c>
      <c r="F11" s="4">
        <v>0.2</v>
      </c>
      <c r="G11">
        <f t="shared" si="0"/>
        <v>0</v>
      </c>
      <c r="H11">
        <f>INDEX('Estimated Power'!A57:E59,MATCH(C11,'Estimated Power'!A57:A59,0),5)</f>
        <v>0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1</v>
      </c>
      <c r="C14" t="s">
        <v>0</v>
      </c>
      <c r="D14" s="1">
        <f>INDEX('Estimated Power'!A73:D75,MATCH(C14,'Estimated Power'!A73:A75,0),4)</f>
        <v>1.0499999999999999E-3</v>
      </c>
      <c r="E14" s="4">
        <v>1</v>
      </c>
      <c r="F14" s="4">
        <v>0.2</v>
      </c>
      <c r="G14">
        <f>B14*D14*E14*(1+F14)</f>
        <v>1.2599999999999998E-3</v>
      </c>
      <c r="H14">
        <f>INDEX('Estimated Power'!A73:E75,MATCH(C14,'Estimated Power'!A73:A75,0),5)</f>
        <v>0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3.7621599999999991E-2</v>
      </c>
    </row>
    <row r="23" spans="2:8" x14ac:dyDescent="0.55000000000000004">
      <c r="F23" s="10" t="s">
        <v>123</v>
      </c>
      <c r="G23" s="11">
        <f>SUMPRODUCT(B3:B20,D3:D20,1+F3:F20)/G21</f>
        <v>0.22662160000000001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49B2F64E-CC81-4C20-91EE-C3C3E119BD4A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18524219-4499-4C98-B9FC-17D96BDFE0BA}">
          <x14:formula1>
            <xm:f>'Estimated Power'!$A$3:$A$6</xm:f>
          </x14:formula1>
          <xm:sqref>C3</xm:sqref>
        </x14:dataValidation>
        <x14:dataValidation type="list" allowBlank="1" showInputMessage="1" showErrorMessage="1" xr:uid="{62BC5CC7-6710-4FDD-B5D1-8778A1F1A7D2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E34FCF46-4610-4716-8B14-2EC89A1F82FA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2490B14D-0064-4D78-9F6D-797DFA85540A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DD5E8FC6-C428-4070-AA0B-A8766D4636D0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47C597FA-76D4-4586-94C4-B174C0E51FF5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25016D20-ACC7-4E07-8B91-100275A0F67A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C702DCCC-2261-4EAB-AB12-E1E7B171CB91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A7E147AC-B22A-4CE1-A054-88E09E890AFD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34C7B9D9-0391-46D2-9E94-B54359BCE6ED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45AF1295-5DDE-4B11-9FCA-4120AD135718}">
          <x14:formula1>
            <xm:f>'Estimated Power'!$A$73:$A$75</xm:f>
          </x14:formula1>
          <xm:sqref>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837D-E065-40CB-9F4B-F39931281DFB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22.523437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108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65</v>
      </c>
      <c r="D4" s="1">
        <f>INDEX('Estimated Power'!A35:D37,MATCH(C4,'Estimated Power'!A35:A37,0),4)</f>
        <v>1.8216E-2</v>
      </c>
      <c r="E4" s="4">
        <v>1</v>
      </c>
      <c r="F4" s="4">
        <v>0.2</v>
      </c>
      <c r="G4">
        <f t="shared" ref="G4:G13" si="0">B4*D4*E4*(1+F4)</f>
        <v>2.1859199999999999E-2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1</v>
      </c>
      <c r="C5" t="s">
        <v>48</v>
      </c>
      <c r="D5" s="1">
        <f>INDEX('Estimated Power'!A20:D24,MATCH(C5,'Estimated Power'!A20:A24,0),4)</f>
        <v>1.6169999999999997E-2</v>
      </c>
      <c r="E5" s="4">
        <v>1</v>
      </c>
      <c r="F5" s="4">
        <v>0.2</v>
      </c>
      <c r="G5">
        <f t="shared" si="0"/>
        <v>1.9403999999999994E-2</v>
      </c>
      <c r="H5" t="str">
        <f>INDEX('Estimated Power'!A20:E24,MATCH(C5,'Estimated Power'!A20:A24,0),5)</f>
        <v>Normal Mode</v>
      </c>
    </row>
    <row r="6" spans="1:8" x14ac:dyDescent="0.55000000000000004">
      <c r="A6" t="s">
        <v>55</v>
      </c>
      <c r="B6">
        <v>1</v>
      </c>
      <c r="C6" t="s">
        <v>59</v>
      </c>
      <c r="D6" s="1">
        <f>INDEX('Estimated Power'!A28:D31,MATCH(C6,'Estimated Power'!A28:A31,0),4)</f>
        <v>1.3200000000000001E-4</v>
      </c>
      <c r="E6" s="4">
        <v>1</v>
      </c>
      <c r="F6" s="4">
        <v>0.2</v>
      </c>
      <c r="G6">
        <f t="shared" si="0"/>
        <v>1.584E-4</v>
      </c>
      <c r="H6">
        <f>INDEX('Estimated Power'!A28:E31,MATCH(C6,'Estimated Power'!A28:A31,0),5)</f>
        <v>0</v>
      </c>
    </row>
    <row r="7" spans="1:8" x14ac:dyDescent="0.55000000000000004">
      <c r="A7" t="s">
        <v>11</v>
      </c>
      <c r="B7">
        <v>1</v>
      </c>
      <c r="C7" t="s">
        <v>24</v>
      </c>
      <c r="D7" s="1">
        <f>INDEX('Estimated Power'!A10:D16,MATCH(C7,'Estimated Power'!A10:A16,0),4)</f>
        <v>0.125</v>
      </c>
      <c r="E7" s="4">
        <v>1</v>
      </c>
      <c r="F7" s="4">
        <v>0.2</v>
      </c>
      <c r="G7">
        <f t="shared" si="0"/>
        <v>0.15</v>
      </c>
      <c r="H7" t="str">
        <f>INDEX('Estimated Power'!A10:E16,MATCH(C7,'Estimated Power'!A10:A16,0),5)</f>
        <v>ON</v>
      </c>
    </row>
    <row r="8" spans="1:8" x14ac:dyDescent="0.55000000000000004">
      <c r="A8" t="s">
        <v>10</v>
      </c>
      <c r="B8">
        <v>1</v>
      </c>
      <c r="C8" t="s">
        <v>74</v>
      </c>
      <c r="D8" s="1">
        <f>INDEX('Estimated Power'!A41:D42,MATCH(C8,'Estimated Power'!A41:A42,0),4)</f>
        <v>0.13200000000000001</v>
      </c>
      <c r="E8" s="4">
        <v>0.1</v>
      </c>
      <c r="F8" s="4">
        <v>0.2</v>
      </c>
      <c r="G8">
        <f>B8*D8*E8*(1+F8)</f>
        <v>1.584E-2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81</v>
      </c>
      <c r="D9" s="1">
        <f>INDEX('Estimated Power'!A46:D48,MATCH(C9,'Estimated Power'!A46:A48,0),4)</f>
        <v>0.03</v>
      </c>
      <c r="E9" s="4">
        <v>0.1</v>
      </c>
      <c r="F9" s="4">
        <v>0.2</v>
      </c>
      <c r="G9">
        <f t="shared" si="0"/>
        <v>7.1999999999999998E-3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0</v>
      </c>
      <c r="C11" t="s">
        <v>89</v>
      </c>
      <c r="D11" s="1">
        <f>INDEX('Estimated Power'!A57:D59,MATCH(C11,'Estimated Power'!A57:A59,0),4)</f>
        <v>1.55</v>
      </c>
      <c r="E11" s="4">
        <v>1</v>
      </c>
      <c r="F11" s="4">
        <v>0.2</v>
      </c>
      <c r="G11">
        <f t="shared" si="0"/>
        <v>0</v>
      </c>
      <c r="H11">
        <f>INDEX('Estimated Power'!A57:E59,MATCH(C11,'Estimated Power'!A57:A59,0),5)</f>
        <v>0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3</v>
      </c>
      <c r="C13" t="s">
        <v>120</v>
      </c>
      <c r="D13" s="1">
        <f>INDEX('Estimated Power'!A68:D69,MATCH(C13,'Estimated Power'!A68:A69,0),4)</f>
        <v>0.30299057763211795</v>
      </c>
      <c r="E13" s="4">
        <v>1</v>
      </c>
      <c r="F13" s="4">
        <v>0.2</v>
      </c>
      <c r="G13">
        <f t="shared" si="0"/>
        <v>1.0907660794756244</v>
      </c>
      <c r="H13" t="str">
        <f>INDEX('Estimated Power'!A68:E69,MATCH(C13,'Estimated Power'!A68:A69,0),5)</f>
        <v>Estimated based on 244.1 Ohm Resistance, 8.6V input.</v>
      </c>
    </row>
    <row r="14" spans="1:8" x14ac:dyDescent="0.55000000000000004">
      <c r="A14" t="s">
        <v>129</v>
      </c>
      <c r="B14">
        <v>1</v>
      </c>
      <c r="C14" t="s">
        <v>0</v>
      </c>
      <c r="D14" s="1">
        <f>INDEX('Estimated Power'!A73:D75,MATCH(C14,'Estimated Power'!A73:A75,0),4)</f>
        <v>1.0499999999999999E-3</v>
      </c>
      <c r="E14" s="4">
        <v>1</v>
      </c>
      <c r="F14" s="4">
        <v>0.2</v>
      </c>
      <c r="G14">
        <f>B14*D14*E14*(1+F14)</f>
        <v>1.2599999999999998E-3</v>
      </c>
      <c r="H14">
        <f>INDEX('Estimated Power'!A73:E75,MATCH(C14,'Estimated Power'!A73:A75,0),5)</f>
        <v>0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1.4533863105284714</v>
      </c>
    </row>
    <row r="23" spans="2:8" x14ac:dyDescent="0.55000000000000004">
      <c r="F23" s="10" t="s">
        <v>123</v>
      </c>
      <c r="G23" s="11">
        <f>SUMPRODUCT(B3:B20,D3:D20,1+F3:F20)/G21</f>
        <v>1.6837863105284714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C9AD7F27-B1B4-445B-8E6A-E2A9A458631E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65676A48-0D19-4C34-8F3D-689CBEE9184C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A0377B02-A3AF-4F03-9444-D2C4AE9B0434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D54731DE-82D7-4B64-A505-F09AB0441FA4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9F896279-D631-4B00-B52F-AD03B34C7BF1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922D8F93-AC08-42EC-B1E4-C23D9B4C161C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310D0F00-535E-4E95-A3C7-9F4371DDF6B0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FAE8A002-EDDF-488B-A6E7-FDAF6D092F09}">
          <x14:formula1>
            <xm:f>'Estimated Power'!$A$3:$A$6</xm:f>
          </x14:formula1>
          <xm:sqref>C3</xm:sqref>
        </x14:dataValidation>
        <x14:dataValidation type="list" allowBlank="1" showInputMessage="1" showErrorMessage="1" xr:uid="{9EB4AFB7-D5C6-49C2-950D-723C6D1FEEEF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0DCEB42D-CDE2-4D8B-8FB0-99E1011EBE62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05F3D13D-7EAD-4E76-B6EB-A012E2F3B765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6DD655E7-B107-4F56-B072-8842F4B7EA30}">
          <x14:formula1>
            <xm:f>'Estimated Power'!$A$73:$A$75</xm:f>
          </x14:formula1>
          <xm:sqref>C14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BE46-1CA8-4B59-AEFE-CDD5E805B10F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26.101562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109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64</v>
      </c>
      <c r="D4" s="1">
        <f>INDEX('Estimated Power'!A35:D37,MATCH(C4,'Estimated Power'!A35:A37,0),4)</f>
        <v>9.9791999999999988E-3</v>
      </c>
      <c r="E4" s="4">
        <v>1</v>
      </c>
      <c r="F4" s="4">
        <v>0.2</v>
      </c>
      <c r="G4">
        <f t="shared" ref="G4:G13" si="0">B4*D4*E4*(1+F4)</f>
        <v>1.1975039999999998E-2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1</v>
      </c>
      <c r="C5" t="s">
        <v>52</v>
      </c>
      <c r="D5" s="1">
        <f>INDEX('Estimated Power'!A20:D24,MATCH(C5,'Estimated Power'!A20:A24,0),4)</f>
        <v>8.2500000000000004E-3</v>
      </c>
      <c r="E5" s="4">
        <v>1</v>
      </c>
      <c r="F5" s="4">
        <v>0.2</v>
      </c>
      <c r="G5">
        <f t="shared" si="0"/>
        <v>9.9000000000000008E-3</v>
      </c>
      <c r="H5" t="str">
        <f>INDEX('Estimated Power'!A20:E24,MATCH(C5,'Estimated Power'!A20:A24,0),5)</f>
        <v>Low-Power Mode</v>
      </c>
    </row>
    <row r="6" spans="1:8" x14ac:dyDescent="0.55000000000000004">
      <c r="A6" t="s">
        <v>55</v>
      </c>
      <c r="B6">
        <v>1</v>
      </c>
      <c r="C6" t="s">
        <v>58</v>
      </c>
      <c r="D6" s="1">
        <f>INDEX('Estimated Power'!A28:D31,MATCH(C6,'Estimated Power'!A28:A31,0),4)</f>
        <v>0.15345</v>
      </c>
      <c r="E6" s="4">
        <v>1</v>
      </c>
      <c r="F6" s="4">
        <v>0.2</v>
      </c>
      <c r="G6">
        <f t="shared" si="0"/>
        <v>0.18414</v>
      </c>
      <c r="H6" t="str">
        <f>INDEX('Estimated Power'!A28:E31,MATCH(C6,'Estimated Power'!A28:A31,0),5)</f>
        <v>Max at 50MHz</v>
      </c>
    </row>
    <row r="7" spans="1:8" x14ac:dyDescent="0.55000000000000004">
      <c r="A7" t="s">
        <v>11</v>
      </c>
      <c r="B7">
        <v>1</v>
      </c>
      <c r="C7" t="s">
        <v>25</v>
      </c>
      <c r="D7" s="1">
        <f>INDEX('Estimated Power'!A10:D16,MATCH(C7,'Estimated Power'!A10:A16,0),4)</f>
        <v>2.75</v>
      </c>
      <c r="E7" s="4">
        <v>1</v>
      </c>
      <c r="F7" s="4">
        <v>0.2</v>
      </c>
      <c r="G7">
        <f t="shared" si="0"/>
        <v>3.3</v>
      </c>
      <c r="H7" t="str">
        <f>INDEX('Estimated Power'!A10:E16,MATCH(C7,'Estimated Power'!A10:A16,0),5)</f>
        <v>ON. This is max power, min is TBD</v>
      </c>
    </row>
    <row r="8" spans="1:8" x14ac:dyDescent="0.55000000000000004">
      <c r="A8" t="s">
        <v>10</v>
      </c>
      <c r="B8">
        <v>1</v>
      </c>
      <c r="C8" t="s">
        <v>74</v>
      </c>
      <c r="D8" s="1">
        <f>INDEX('Estimated Power'!A41:D42,MATCH(C8,'Estimated Power'!A41:A42,0),4)</f>
        <v>0.13200000000000001</v>
      </c>
      <c r="E8" s="4">
        <v>1</v>
      </c>
      <c r="F8" s="4">
        <v>0.2</v>
      </c>
      <c r="G8">
        <f>B8*D8*E8*(1+F8)</f>
        <v>0.15840000000000001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81</v>
      </c>
      <c r="D9" s="1">
        <f>INDEX('Estimated Power'!A46:D48,MATCH(C9,'Estimated Power'!A46:A48,0),4)</f>
        <v>0.03</v>
      </c>
      <c r="E9" s="4">
        <v>1</v>
      </c>
      <c r="F9" s="4">
        <v>0.2</v>
      </c>
      <c r="G9">
        <f t="shared" si="0"/>
        <v>7.1999999999999995E-2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0</v>
      </c>
      <c r="C11" t="s">
        <v>89</v>
      </c>
      <c r="D11" s="1">
        <f>INDEX('Estimated Power'!A57:D59,MATCH(C11,'Estimated Power'!A57:A59,0),4)</f>
        <v>1.55</v>
      </c>
      <c r="E11" s="4">
        <v>1</v>
      </c>
      <c r="F11" s="4">
        <v>0.2</v>
      </c>
      <c r="G11">
        <f t="shared" si="0"/>
        <v>0</v>
      </c>
      <c r="H11">
        <f>INDEX('Estimated Power'!A57:E59,MATCH(C11,'Estimated Power'!A57:A59,0),5)</f>
        <v>0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1</v>
      </c>
      <c r="C14" t="s">
        <v>0</v>
      </c>
      <c r="D14" s="1">
        <f>INDEX('Estimated Power'!A73:D75,MATCH(C14,'Estimated Power'!A73:A75,0),4)</f>
        <v>1.0499999999999999E-3</v>
      </c>
      <c r="E14" s="4">
        <v>1</v>
      </c>
      <c r="F14" s="4">
        <v>0.2</v>
      </c>
      <c r="G14">
        <f>B14*D14*E14*(1+F14)</f>
        <v>1.2599999999999998E-3</v>
      </c>
      <c r="H14">
        <f>INDEX('Estimated Power'!A73:E75,MATCH(C14,'Estimated Power'!A73:A75,0),5)</f>
        <v>0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4.1547055999999998</v>
      </c>
    </row>
    <row r="23" spans="2:8" x14ac:dyDescent="0.55000000000000004">
      <c r="F23" s="10" t="s">
        <v>123</v>
      </c>
      <c r="G23" s="11">
        <f>SUMPRODUCT(B3:B20,D3:D20,1+F3:F20)/G21</f>
        <v>4.1547055999999998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CA72FF8F-C9DF-450C-9CA0-98543161C200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C416EA7A-5B91-4F2D-9C4E-556C20C1AFCF}">
          <x14:formula1>
            <xm:f>'Estimated Power'!$A$3:$A$6</xm:f>
          </x14:formula1>
          <xm:sqref>C3</xm:sqref>
        </x14:dataValidation>
        <x14:dataValidation type="list" allowBlank="1" showInputMessage="1" showErrorMessage="1" xr:uid="{DCC8C201-C991-42AD-80C9-EFAF3D61B05B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6A44FC48-C850-4AF2-8968-5DF2D1ED7626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3EC2024A-7C20-468D-8514-9F7EE78AE9DA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E1BF8CFD-DB9F-4ADC-875C-A606804A1EF8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CDC493BB-7008-40FA-BA12-DCE36EF46849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4E32E82B-13CB-4E7D-A69F-A2ED48431704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982F1ED3-69FC-41C6-95C9-768B1F3A018D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36FC1972-833D-4F9C-A71B-B5D6D3E61B20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919A7C4D-E291-4C8E-A918-5BBC15C4E30D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BA232DCE-8399-42B6-8882-2FF7958BB09C}">
          <x14:formula1>
            <xm:f>'Estimated Power'!$A$73:$A$75</xm:f>
          </x14:formula1>
          <xm:sqref>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4E61-06DF-4AB9-A0A1-992C1E3430EE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26.101562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110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64</v>
      </c>
      <c r="D4" s="1">
        <f>INDEX('Estimated Power'!A35:D37,MATCH(C4,'Estimated Power'!A35:A37,0),4)</f>
        <v>9.9791999999999988E-3</v>
      </c>
      <c r="E4" s="4">
        <v>1</v>
      </c>
      <c r="F4" s="4">
        <v>0.2</v>
      </c>
      <c r="G4">
        <f t="shared" ref="G4:G13" si="0">B4*D4*E4*(1+F4)</f>
        <v>1.1975039999999998E-2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1</v>
      </c>
      <c r="C5" t="s">
        <v>52</v>
      </c>
      <c r="D5" s="1">
        <f>INDEX('Estimated Power'!A20:D24,MATCH(C5,'Estimated Power'!A20:A24,0),4)</f>
        <v>8.2500000000000004E-3</v>
      </c>
      <c r="E5" s="4">
        <v>1</v>
      </c>
      <c r="F5" s="4">
        <v>0.2</v>
      </c>
      <c r="G5">
        <f t="shared" si="0"/>
        <v>9.9000000000000008E-3</v>
      </c>
      <c r="H5" t="str">
        <f>INDEX('Estimated Power'!A20:E24,MATCH(C5,'Estimated Power'!A20:A24,0),5)</f>
        <v>Low-Power Mode</v>
      </c>
    </row>
    <row r="6" spans="1:8" x14ac:dyDescent="0.55000000000000004">
      <c r="A6" t="s">
        <v>55</v>
      </c>
      <c r="B6">
        <v>1</v>
      </c>
      <c r="C6" t="s">
        <v>21</v>
      </c>
      <c r="D6" s="1">
        <f>INDEX('Estimated Power'!A28:D31,MATCH(C6,'Estimated Power'!A28:A31,0),4)</f>
        <v>2.4749999999999998E-3</v>
      </c>
      <c r="E6" s="4">
        <v>1</v>
      </c>
      <c r="F6" s="4">
        <v>0.2</v>
      </c>
      <c r="G6">
        <f t="shared" si="0"/>
        <v>2.9699999999999996E-3</v>
      </c>
      <c r="H6" t="str">
        <f>INDEX('Estimated Power'!A28:E31,MATCH(C6,'Estimated Power'!A28:A31,0),5)</f>
        <v>Max at 50MHz</v>
      </c>
    </row>
    <row r="7" spans="1:8" x14ac:dyDescent="0.55000000000000004">
      <c r="A7" t="s">
        <v>11</v>
      </c>
      <c r="B7">
        <v>1</v>
      </c>
      <c r="C7" t="s">
        <v>24</v>
      </c>
      <c r="D7" s="1">
        <f>INDEX('Estimated Power'!A10:D16,MATCH(C7,'Estimated Power'!A10:A16,0),4)</f>
        <v>0.125</v>
      </c>
      <c r="E7" s="4">
        <v>1</v>
      </c>
      <c r="F7" s="4">
        <v>0.2</v>
      </c>
      <c r="G7">
        <f t="shared" si="0"/>
        <v>0.15</v>
      </c>
      <c r="H7" t="str">
        <f>INDEX('Estimated Power'!A10:E16,MATCH(C7,'Estimated Power'!A10:A16,0),5)</f>
        <v>ON</v>
      </c>
    </row>
    <row r="8" spans="1:8" x14ac:dyDescent="0.55000000000000004">
      <c r="A8" t="s">
        <v>10</v>
      </c>
      <c r="B8">
        <v>1</v>
      </c>
      <c r="C8" t="s">
        <v>74</v>
      </c>
      <c r="D8" s="1">
        <f>INDEX('Estimated Power'!A41:D42,MATCH(C8,'Estimated Power'!A41:A42,0),4)</f>
        <v>0.13200000000000001</v>
      </c>
      <c r="E8" s="4">
        <v>0.2</v>
      </c>
      <c r="F8" s="4">
        <v>0.2</v>
      </c>
      <c r="G8">
        <f>B8*D8*E8*(1+F8)</f>
        <v>3.168E-2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81</v>
      </c>
      <c r="D9" s="1">
        <f>INDEX('Estimated Power'!A46:D48,MATCH(C9,'Estimated Power'!A46:A48,0),4)</f>
        <v>0.03</v>
      </c>
      <c r="E9" s="4">
        <v>0.2</v>
      </c>
      <c r="F9" s="4">
        <v>0.2</v>
      </c>
      <c r="G9">
        <f t="shared" si="0"/>
        <v>1.44E-2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0</v>
      </c>
      <c r="C11" t="s">
        <v>89</v>
      </c>
      <c r="D11" s="1">
        <f>INDEX('Estimated Power'!A57:D59,MATCH(C11,'Estimated Power'!A57:A59,0),4)</f>
        <v>1.55</v>
      </c>
      <c r="E11" s="4">
        <v>1</v>
      </c>
      <c r="F11" s="4">
        <v>0.2</v>
      </c>
      <c r="G11">
        <f t="shared" si="0"/>
        <v>0</v>
      </c>
      <c r="H11">
        <f>INDEX('Estimated Power'!A57:E59,MATCH(C11,'Estimated Power'!A57:A59,0),5)</f>
        <v>0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1</v>
      </c>
      <c r="C14" t="s">
        <v>0</v>
      </c>
      <c r="D14" s="1">
        <f>INDEX('Estimated Power'!A73:D75,MATCH(C14,'Estimated Power'!A73:A75,0),4)</f>
        <v>1.0499999999999999E-3</v>
      </c>
      <c r="E14" s="4">
        <v>1</v>
      </c>
      <c r="F14" s="4">
        <v>0.2</v>
      </c>
      <c r="G14">
        <f>B14*D14*E14*(1+F14)</f>
        <v>1.2599999999999998E-3</v>
      </c>
      <c r="H14">
        <f>INDEX('Estimated Power'!A73:E75,MATCH(C14,'Estimated Power'!A73:A75,0),5)</f>
        <v>0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0.24860560000000001</v>
      </c>
    </row>
    <row r="23" spans="2:8" x14ac:dyDescent="0.55000000000000004">
      <c r="F23" s="10" t="s">
        <v>123</v>
      </c>
      <c r="G23" s="11">
        <f>SUMPRODUCT(B3:B20,D3:D20,1+F3:F20)/G21</f>
        <v>0.45340559999999996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F3B8A36D-7B82-4B8F-AEA0-64D48EC3181D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569F1C80-00DD-4E68-82F5-69D34262EFDE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521944B2-7049-4823-A578-70C78804960D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C3CFDC95-5734-4350-ABD5-87F2BBDC1803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8D7E093D-0B92-4031-90CB-28E8F70F02B9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C9AFCA91-3E60-4A65-82EE-5B79BF383508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8613BCFB-59F5-4ACB-BFFB-D2173B1FB97D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8863CFCA-E933-4DB2-8A0D-84CD6D6F4B36}">
          <x14:formula1>
            <xm:f>'Estimated Power'!$A$3:$A$6</xm:f>
          </x14:formula1>
          <xm:sqref>C3</xm:sqref>
        </x14:dataValidation>
        <x14:dataValidation type="list" allowBlank="1" showInputMessage="1" showErrorMessage="1" xr:uid="{AD0E7A9D-0697-40C8-B4A7-E54647ECFD26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48072721-E375-4F02-823A-24A0EDC35FE8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99291B3B-0D2F-431C-827D-6B1645FBB222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11EC2A9B-F6CC-4317-A8AF-9EAAF5F3C4C5}">
          <x14:formula1>
            <xm:f>'Estimated Power'!$A$73:$A$75</xm:f>
          </x14:formula1>
          <xm:sqref>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64CC-1E74-4D12-8F07-47A9054182D3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26.101562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111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64</v>
      </c>
      <c r="D4" s="1">
        <f>INDEX('Estimated Power'!A35:D37,MATCH(C4,'Estimated Power'!A35:A37,0),4)</f>
        <v>9.9791999999999988E-3</v>
      </c>
      <c r="E4" s="4">
        <v>1</v>
      </c>
      <c r="F4" s="4">
        <v>0.2</v>
      </c>
      <c r="G4">
        <f t="shared" ref="G4:G13" si="0">B4*D4*E4*(1+F4)</f>
        <v>1.1975039999999998E-2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1</v>
      </c>
      <c r="C5" t="s">
        <v>52</v>
      </c>
      <c r="D5" s="1">
        <f>INDEX('Estimated Power'!A20:D24,MATCH(C5,'Estimated Power'!A20:A24,0),4)</f>
        <v>8.2500000000000004E-3</v>
      </c>
      <c r="E5" s="4">
        <v>1</v>
      </c>
      <c r="F5" s="4">
        <v>0.2</v>
      </c>
      <c r="G5">
        <f t="shared" si="0"/>
        <v>9.9000000000000008E-3</v>
      </c>
      <c r="H5" t="str">
        <f>INDEX('Estimated Power'!A20:E24,MATCH(C5,'Estimated Power'!A20:A24,0),5)</f>
        <v>Low-Power Mode</v>
      </c>
    </row>
    <row r="6" spans="1:8" x14ac:dyDescent="0.55000000000000004">
      <c r="A6" t="s">
        <v>55</v>
      </c>
      <c r="B6">
        <v>1</v>
      </c>
      <c r="C6" t="s">
        <v>58</v>
      </c>
      <c r="D6" s="1">
        <f>INDEX('Estimated Power'!A28:D31,MATCH(C6,'Estimated Power'!A28:A31,0),4)</f>
        <v>0.15345</v>
      </c>
      <c r="E6" s="4">
        <v>1</v>
      </c>
      <c r="F6" s="4">
        <v>0.2</v>
      </c>
      <c r="G6">
        <f t="shared" si="0"/>
        <v>0.18414</v>
      </c>
      <c r="H6" t="str">
        <f>INDEX('Estimated Power'!A28:E31,MATCH(C6,'Estimated Power'!A28:A31,0),5)</f>
        <v>Max at 50MHz</v>
      </c>
    </row>
    <row r="7" spans="1:8" x14ac:dyDescent="0.55000000000000004">
      <c r="A7" t="s">
        <v>11</v>
      </c>
      <c r="B7">
        <v>1</v>
      </c>
      <c r="C7" t="s">
        <v>24</v>
      </c>
      <c r="D7" s="1">
        <f>INDEX('Estimated Power'!A10:D16,MATCH(C7,'Estimated Power'!A10:A16,0),4)</f>
        <v>0.125</v>
      </c>
      <c r="E7" s="4">
        <v>1</v>
      </c>
      <c r="F7" s="4">
        <v>0.2</v>
      </c>
      <c r="G7">
        <f t="shared" si="0"/>
        <v>0.15</v>
      </c>
      <c r="H7" t="str">
        <f>INDEX('Estimated Power'!A10:E16,MATCH(C7,'Estimated Power'!A10:A16,0),5)</f>
        <v>ON</v>
      </c>
    </row>
    <row r="8" spans="1:8" x14ac:dyDescent="0.55000000000000004">
      <c r="A8" t="s">
        <v>10</v>
      </c>
      <c r="B8">
        <v>1</v>
      </c>
      <c r="C8" t="s">
        <v>74</v>
      </c>
      <c r="D8" s="1">
        <f>INDEX('Estimated Power'!A41:D42,MATCH(C8,'Estimated Power'!A41:A42,0),4)</f>
        <v>0.13200000000000001</v>
      </c>
      <c r="E8" s="4">
        <v>0.2</v>
      </c>
      <c r="F8" s="4">
        <v>0.2</v>
      </c>
      <c r="G8">
        <f>B8*D8*E8*(1+F8)</f>
        <v>3.168E-2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81</v>
      </c>
      <c r="D9" s="1">
        <f>INDEX('Estimated Power'!A46:D48,MATCH(C9,'Estimated Power'!A46:A48,0),4)</f>
        <v>0.03</v>
      </c>
      <c r="E9" s="4">
        <v>0.2</v>
      </c>
      <c r="F9" s="4">
        <v>0.2</v>
      </c>
      <c r="G9">
        <f t="shared" si="0"/>
        <v>1.44E-2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0</v>
      </c>
      <c r="C11" t="s">
        <v>89</v>
      </c>
      <c r="D11" s="1">
        <f>INDEX('Estimated Power'!A57:D59,MATCH(C11,'Estimated Power'!A57:A59,0),4)</f>
        <v>1.55</v>
      </c>
      <c r="E11" s="4">
        <v>1</v>
      </c>
      <c r="F11" s="4">
        <v>0.2</v>
      </c>
      <c r="G11">
        <f t="shared" si="0"/>
        <v>0</v>
      </c>
      <c r="H11">
        <f>INDEX('Estimated Power'!A57:E59,MATCH(C11,'Estimated Power'!A57:A59,0),5)</f>
        <v>0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1</v>
      </c>
      <c r="C14" t="s">
        <v>0</v>
      </c>
      <c r="D14" s="1">
        <f>INDEX('Estimated Power'!A73:D75,MATCH(C14,'Estimated Power'!A73:A75,0),4)</f>
        <v>1.0499999999999999E-3</v>
      </c>
      <c r="E14" s="4">
        <v>1</v>
      </c>
      <c r="F14" s="4">
        <v>0.2</v>
      </c>
      <c r="G14">
        <f>B14*D14*E14*(1+F14)</f>
        <v>1.2599999999999998E-3</v>
      </c>
      <c r="H14">
        <f>INDEX('Estimated Power'!A73:E75,MATCH(C14,'Estimated Power'!A73:A75,0),5)</f>
        <v>0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0.44990559999999991</v>
      </c>
    </row>
    <row r="23" spans="2:8" x14ac:dyDescent="0.55000000000000004">
      <c r="F23" s="10" t="s">
        <v>123</v>
      </c>
      <c r="G23" s="11">
        <f>SUMPRODUCT(B3:B20,D3:D20,1+F3:F20)/G21</f>
        <v>0.65470559999999989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BB491D45-18D3-4D87-8C1D-4EB021187806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C52E2AE5-9903-4B30-997F-80BC4ECAD4EA}">
          <x14:formula1>
            <xm:f>'Estimated Power'!$A$3:$A$6</xm:f>
          </x14:formula1>
          <xm:sqref>C3</xm:sqref>
        </x14:dataValidation>
        <x14:dataValidation type="list" allowBlank="1" showInputMessage="1" showErrorMessage="1" xr:uid="{31B073E5-E138-4D6F-A891-1F229D0FB03B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DCACAE2E-73B2-4CFB-B5F9-94AF9A3093DB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ED6F7088-CED6-4EC2-A9EF-D3243665EBA2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24AC7C4D-2438-411F-96FB-AB662902DBC7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4E551A34-C872-46A5-A494-07011B8860AD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1F8816FA-D10F-4675-B19D-8E602BAA27F4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BF4FD3BB-5DE8-4442-93BE-4B617B7D30FD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C14E278D-9D0D-4F12-95D3-4E0A20E265F2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5C2F107C-BB63-4F0A-B975-78870F2A3053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D7EDA0CD-BD20-46A9-95D5-6BB23B954C1C}">
          <x14:formula1>
            <xm:f>'Estimated Power'!$A$73:$A$75</xm:f>
          </x14:formula1>
          <xm:sqref>C14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F9DA-2185-4D3D-AF59-B3A5A65901D2}">
  <dimension ref="A1:H25"/>
  <sheetViews>
    <sheetView workbookViewId="0">
      <selection activeCell="A2" sqref="A2"/>
    </sheetView>
  </sheetViews>
  <sheetFormatPr defaultRowHeight="14.4" x14ac:dyDescent="0.55000000000000004"/>
  <cols>
    <col min="1" max="1" width="26.1015625" customWidth="1"/>
    <col min="2" max="2" width="13.3671875" customWidth="1"/>
    <col min="3" max="3" width="20.5234375" customWidth="1"/>
    <col min="4" max="4" width="18.20703125" customWidth="1"/>
    <col min="5" max="5" width="19.3671875" style="4" customWidth="1"/>
    <col min="6" max="6" width="20.3671875" style="4" customWidth="1"/>
    <col min="7" max="7" width="21.05078125" customWidth="1"/>
    <col min="8" max="8" width="60.367187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ht="21.6" customHeight="1" x14ac:dyDescent="0.85">
      <c r="A1" s="7" t="s">
        <v>112</v>
      </c>
      <c r="C1" t="s">
        <v>104</v>
      </c>
    </row>
    <row r="2" spans="1:8" x14ac:dyDescent="0.55000000000000004">
      <c r="A2" s="5" t="s">
        <v>102</v>
      </c>
      <c r="B2" s="5" t="s">
        <v>103</v>
      </c>
      <c r="C2" s="5" t="s">
        <v>100</v>
      </c>
      <c r="D2" s="5" t="s">
        <v>101</v>
      </c>
      <c r="E2" s="6" t="s">
        <v>99</v>
      </c>
      <c r="F2" s="6" t="s">
        <v>97</v>
      </c>
      <c r="G2" s="5" t="s">
        <v>98</v>
      </c>
      <c r="H2" s="6" t="s">
        <v>106</v>
      </c>
    </row>
    <row r="3" spans="1:8" x14ac:dyDescent="0.55000000000000004">
      <c r="A3" t="s">
        <v>105</v>
      </c>
      <c r="B3">
        <v>1</v>
      </c>
      <c r="C3" t="s">
        <v>21</v>
      </c>
      <c r="D3" s="1">
        <f>INDEX('Estimated Power'!A3:D6,MATCH(C3,'Estimated Power'!A3:A6,0),4)</f>
        <v>1.2999999999999999E-3</v>
      </c>
      <c r="E3" s="4">
        <v>1</v>
      </c>
      <c r="F3" s="4">
        <v>0.2</v>
      </c>
      <c r="G3">
        <f>B3*D3*E3*(1+F3)</f>
        <v>1.56E-3</v>
      </c>
      <c r="H3" t="str">
        <f>INDEX('Estimated Power'!A3:E6,MATCH(C3,'Estimated Power'!A3:A6,0),5)</f>
        <v>Max current in standby</v>
      </c>
    </row>
    <row r="4" spans="1:8" x14ac:dyDescent="0.55000000000000004">
      <c r="A4" t="s">
        <v>68</v>
      </c>
      <c r="B4">
        <v>1</v>
      </c>
      <c r="C4" t="s">
        <v>64</v>
      </c>
      <c r="D4" s="1">
        <f>INDEX('Estimated Power'!A35:D37,MATCH(C4,'Estimated Power'!A35:A37,0),4)</f>
        <v>9.9791999999999988E-3</v>
      </c>
      <c r="E4" s="4">
        <v>1</v>
      </c>
      <c r="F4" s="4">
        <v>0.2</v>
      </c>
      <c r="G4">
        <f t="shared" ref="G4:G13" si="0">B4*D4*E4*(1+F4)</f>
        <v>1.1975039999999998E-2</v>
      </c>
      <c r="H4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t="s">
        <v>4</v>
      </c>
      <c r="B5">
        <v>1</v>
      </c>
      <c r="C5" t="s">
        <v>52</v>
      </c>
      <c r="D5" s="1">
        <f>INDEX('Estimated Power'!A20:D24,MATCH(C5,'Estimated Power'!A20:A24,0),4)</f>
        <v>8.2500000000000004E-3</v>
      </c>
      <c r="E5" s="4">
        <v>1</v>
      </c>
      <c r="F5" s="4">
        <v>0.2</v>
      </c>
      <c r="G5">
        <f t="shared" si="0"/>
        <v>9.9000000000000008E-3</v>
      </c>
      <c r="H5" t="str">
        <f>INDEX('Estimated Power'!A20:E24,MATCH(C5,'Estimated Power'!A20:A24,0),5)</f>
        <v>Low-Power Mode</v>
      </c>
    </row>
    <row r="6" spans="1:8" x14ac:dyDescent="0.55000000000000004">
      <c r="A6" t="s">
        <v>55</v>
      </c>
      <c r="B6">
        <v>1</v>
      </c>
      <c r="C6" t="s">
        <v>57</v>
      </c>
      <c r="D6" s="1">
        <f>INDEX('Estimated Power'!A28:D31,MATCH(C6,'Estimated Power'!A28:A31,0),4)</f>
        <v>6.1049999999999993E-2</v>
      </c>
      <c r="E6" s="4">
        <v>1</v>
      </c>
      <c r="F6" s="4">
        <v>0.2</v>
      </c>
      <c r="G6">
        <f t="shared" si="0"/>
        <v>7.3259999999999992E-2</v>
      </c>
      <c r="H6" t="str">
        <f>INDEX('Estimated Power'!A28:E31,MATCH(C6,'Estimated Power'!A28:A31,0),5)</f>
        <v>Max current. Typical is 1 mA</v>
      </c>
    </row>
    <row r="7" spans="1:8" x14ac:dyDescent="0.55000000000000004">
      <c r="A7" t="s">
        <v>11</v>
      </c>
      <c r="B7">
        <v>1</v>
      </c>
      <c r="C7" t="s">
        <v>25</v>
      </c>
      <c r="D7" s="1">
        <f>INDEX('Estimated Power'!A10:D16,MATCH(C7,'Estimated Power'!A10:A16,0),4)</f>
        <v>2.75</v>
      </c>
      <c r="E7" s="4">
        <v>1</v>
      </c>
      <c r="F7" s="4">
        <v>0.2</v>
      </c>
      <c r="G7">
        <f t="shared" si="0"/>
        <v>3.3</v>
      </c>
      <c r="H7" t="str">
        <f>INDEX('Estimated Power'!A10:E16,MATCH(C7,'Estimated Power'!A10:A16,0),5)</f>
        <v>ON. This is max power, min is TBD</v>
      </c>
    </row>
    <row r="8" spans="1:8" x14ac:dyDescent="0.55000000000000004">
      <c r="A8" t="s">
        <v>10</v>
      </c>
      <c r="B8">
        <v>1</v>
      </c>
      <c r="C8" t="s">
        <v>74</v>
      </c>
      <c r="D8" s="1">
        <f>INDEX('Estimated Power'!A41:D42,MATCH(C8,'Estimated Power'!A41:A42,0),4)</f>
        <v>0.13200000000000001</v>
      </c>
      <c r="E8" s="4">
        <v>0.2</v>
      </c>
      <c r="F8" s="4">
        <v>0.2</v>
      </c>
      <c r="G8">
        <f>B8*D8*E8*(1+F8)</f>
        <v>3.168E-2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t="s">
        <v>9</v>
      </c>
      <c r="B9">
        <v>2</v>
      </c>
      <c r="C9" t="s">
        <v>81</v>
      </c>
      <c r="D9" s="1">
        <f>INDEX('Estimated Power'!A46:D48,MATCH(C9,'Estimated Power'!A46:A48,0),4)</f>
        <v>0.03</v>
      </c>
      <c r="E9" s="4">
        <v>0.2</v>
      </c>
      <c r="F9" s="4">
        <v>0.2</v>
      </c>
      <c r="G9">
        <f t="shared" si="0"/>
        <v>1.44E-2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4">
        <v>1</v>
      </c>
      <c r="F10" s="4">
        <v>0.2</v>
      </c>
      <c r="G10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t="s">
        <v>88</v>
      </c>
      <c r="B11">
        <v>0</v>
      </c>
      <c r="C11" t="s">
        <v>89</v>
      </c>
      <c r="D11" s="1">
        <f>INDEX('Estimated Power'!A57:D59,MATCH(C11,'Estimated Power'!A57:A59,0),4)</f>
        <v>1.55</v>
      </c>
      <c r="E11" s="4">
        <v>1</v>
      </c>
      <c r="F11" s="4">
        <v>0.2</v>
      </c>
      <c r="G11">
        <f t="shared" si="0"/>
        <v>0</v>
      </c>
      <c r="H11">
        <f>INDEX('Estimated Power'!A57:E59,MATCH(C11,'Estimated Power'!A57:A59,0),5)</f>
        <v>0</v>
      </c>
    </row>
    <row r="12" spans="1:8" x14ac:dyDescent="0.55000000000000004">
      <c r="A12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4">
        <v>1</v>
      </c>
      <c r="F12" s="4">
        <v>0.2</v>
      </c>
      <c r="G12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4">
        <v>1</v>
      </c>
      <c r="F13" s="4">
        <v>0.2</v>
      </c>
      <c r="G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t="s">
        <v>129</v>
      </c>
      <c r="B14">
        <v>1</v>
      </c>
      <c r="C14" t="s">
        <v>130</v>
      </c>
      <c r="D14" s="1">
        <f>INDEX('Estimated Power'!A73:D75,MATCH(C14,'Estimated Power'!A73:A75,0),4)</f>
        <v>0.60000000000000009</v>
      </c>
      <c r="E14" s="4">
        <v>1</v>
      </c>
      <c r="F14" s="4">
        <v>0.2</v>
      </c>
      <c r="G14">
        <f>B14*D14*E14*(1+F14)</f>
        <v>0.72000000000000008</v>
      </c>
      <c r="H14" t="str">
        <f>INDEX('Estimated Power'!A73:E75,MATCH(C14,'Estimated Power'!A73:A75,0),5)</f>
        <v>Value for high performance (50 MHz) mode. Half for standard mode.</v>
      </c>
    </row>
    <row r="20" spans="2:8" x14ac:dyDescent="0.55000000000000004">
      <c r="B20" s="5"/>
    </row>
    <row r="21" spans="2:8" x14ac:dyDescent="0.55000000000000004">
      <c r="F21" s="8" t="s">
        <v>125</v>
      </c>
      <c r="G21" s="9">
        <v>0.9</v>
      </c>
    </row>
    <row r="22" spans="2:8" x14ac:dyDescent="0.55000000000000004">
      <c r="F22" s="10" t="s">
        <v>126</v>
      </c>
      <c r="G22" s="11">
        <f>SUM(G3:G20)/G21</f>
        <v>4.6253056000000008</v>
      </c>
    </row>
    <row r="23" spans="2:8" x14ac:dyDescent="0.55000000000000004">
      <c r="F23" s="10" t="s">
        <v>123</v>
      </c>
      <c r="G23" s="11">
        <f>SUMPRODUCT(B3:B20,D3:D20,1+F3:F20)/G21</f>
        <v>4.8301056000000004</v>
      </c>
      <c r="H23" t="s">
        <v>124</v>
      </c>
    </row>
    <row r="25" spans="2:8" x14ac:dyDescent="0.55000000000000004">
      <c r="B25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15D2D423-CCF7-4386-AF35-D4F91D151433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EF49760D-0EA2-450E-9D4D-249CBFCD14E8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C25C2EAB-B81B-4E01-B6B7-489704D4D07A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FFF7D8AE-162E-4A4B-A310-87DDC4AA2425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74046653-3B0F-41DC-A2EB-19452A20DD81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9D95C623-3325-412B-A2F0-32243885D909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271CBA29-AB32-4127-8903-D475DC99C9CF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2B3A04B9-D4E9-4EA1-B4B1-C873F4445468}">
          <x14:formula1>
            <xm:f>'Estimated Power'!$A$3:$A$6</xm:f>
          </x14:formula1>
          <xm:sqref>C3</xm:sqref>
        </x14:dataValidation>
        <x14:dataValidation type="list" allowBlank="1" showInputMessage="1" showErrorMessage="1" xr:uid="{804F48AD-2987-4FC7-AF0B-B4C8C9BFD0E9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51B2C28E-D263-46EB-BDED-CF65C4377E35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03CEDDC3-65B5-4DFE-867F-0194F795A523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7C030DB9-16AA-4CE3-9D83-A04520518E08}">
          <x14:formula1>
            <xm:f>'Estimated Power'!$A$73:$A$75</xm:f>
          </x14:formula1>
          <xm:sqref>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M1_Launch</vt:lpstr>
      <vt:lpstr>M2_Hold</vt:lpstr>
      <vt:lpstr>M3_Deploy</vt:lpstr>
      <vt:lpstr>M4_Sleep</vt:lpstr>
      <vt:lpstr>M5_Detumble</vt:lpstr>
      <vt:lpstr>M6_Beacon</vt:lpstr>
      <vt:lpstr>M7_Listen</vt:lpstr>
      <vt:lpstr>M8_Uplink</vt:lpstr>
      <vt:lpstr>M9_Downlink</vt:lpstr>
      <vt:lpstr>M10_PayloadON</vt:lpstr>
      <vt:lpstr>M11_ProcessData</vt:lpstr>
      <vt:lpstr>Estimated Power</vt:lpstr>
      <vt:lpstr>Items</vt:lpstr>
      <vt:lpstr>Transceiver</vt:lpstr>
      <vt:lpstr>IMU</vt:lpstr>
      <vt:lpstr>Memory</vt:lpstr>
      <vt:lpstr>MCU</vt:lpstr>
      <vt:lpstr>GPS Receiver</vt:lpstr>
      <vt:lpstr>GPS Antenna</vt:lpstr>
      <vt:lpstr>SDR</vt:lpstr>
      <vt:lpstr>R Pi 3</vt:lpstr>
      <vt:lpstr>3.3V Reg</vt:lpstr>
      <vt:lpstr>Watchdog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domin</cp:lastModifiedBy>
  <dcterms:created xsi:type="dcterms:W3CDTF">2019-02-26T21:37:56Z</dcterms:created>
  <dcterms:modified xsi:type="dcterms:W3CDTF">2019-03-01T20:33:33Z</dcterms:modified>
</cp:coreProperties>
</file>