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avendano/Documents/Python/HEPISA/Resultados/"/>
    </mc:Choice>
  </mc:AlternateContent>
  <xr:revisionPtr revIDLastSave="0" documentId="13_ncr:1_{A0BE53AF-6FED-9344-9844-EB91218C57CA}" xr6:coauthVersionLast="47" xr6:coauthVersionMax="47" xr10:uidLastSave="{00000000-0000-0000-0000-000000000000}"/>
  <bookViews>
    <workbookView xWindow="560" yWindow="920" windowWidth="25040" windowHeight="14500" activeTab="4" xr2:uid="{2E0A2E0E-82D5-034F-8ACE-D46E5D4E8A6E}"/>
  </bookViews>
  <sheets>
    <sheet name="P_size" sheetId="1" r:id="rId1"/>
    <sheet name="E_size" sheetId="2" r:id="rId2"/>
    <sheet name="Branch" sheetId="3" r:id="rId3"/>
    <sheet name="Bus" sheetId="4" r:id="rId4"/>
    <sheet name="cost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4" l="1"/>
  <c r="R2" i="4"/>
  <c r="AP181" i="3"/>
  <c r="AO181" i="3"/>
  <c r="AN181" i="3"/>
  <c r="AM181" i="3"/>
  <c r="AK181" i="3"/>
  <c r="AJ181" i="3"/>
  <c r="S181" i="3"/>
  <c r="B181" i="3"/>
  <c r="AP180" i="3"/>
  <c r="AO180" i="3"/>
  <c r="AN180" i="3"/>
  <c r="AM180" i="3"/>
  <c r="AK180" i="3"/>
  <c r="AJ180" i="3"/>
  <c r="S180" i="3"/>
  <c r="B180" i="3"/>
  <c r="AP179" i="3"/>
  <c r="AO179" i="3"/>
  <c r="AN179" i="3"/>
  <c r="AM179" i="3"/>
  <c r="AK179" i="3"/>
  <c r="AJ179" i="3"/>
  <c r="S179" i="3"/>
  <c r="B179" i="3"/>
  <c r="AP178" i="3"/>
  <c r="AO178" i="3"/>
  <c r="AN178" i="3"/>
  <c r="AM178" i="3"/>
  <c r="AK178" i="3"/>
  <c r="AJ178" i="3"/>
  <c r="S178" i="3"/>
  <c r="B178" i="3"/>
  <c r="AP177" i="3"/>
  <c r="AO177" i="3"/>
  <c r="AN177" i="3"/>
  <c r="AM177" i="3"/>
  <c r="AK177" i="3"/>
  <c r="AJ177" i="3"/>
  <c r="S177" i="3"/>
  <c r="I177" i="3"/>
  <c r="H177" i="3"/>
  <c r="G177" i="3"/>
  <c r="B177" i="3"/>
  <c r="AP176" i="3"/>
  <c r="AO176" i="3"/>
  <c r="AN176" i="3"/>
  <c r="AM176" i="3"/>
  <c r="AK176" i="3"/>
  <c r="AJ176" i="3"/>
  <c r="S176" i="3"/>
  <c r="B176" i="3"/>
  <c r="AP175" i="3"/>
  <c r="AO175" i="3"/>
  <c r="AN175" i="3"/>
  <c r="AM175" i="3"/>
  <c r="AK175" i="3"/>
  <c r="AJ175" i="3"/>
  <c r="S175" i="3"/>
  <c r="B175" i="3"/>
  <c r="AP174" i="3"/>
  <c r="AO174" i="3"/>
  <c r="AN174" i="3"/>
  <c r="AM174" i="3"/>
  <c r="AK174" i="3"/>
  <c r="AJ174" i="3"/>
  <c r="S174" i="3"/>
  <c r="B174" i="3"/>
  <c r="AP173" i="3"/>
  <c r="AO173" i="3"/>
  <c r="AN173" i="3"/>
  <c r="AM173" i="3"/>
  <c r="AK173" i="3"/>
  <c r="AJ173" i="3"/>
  <c r="S173" i="3"/>
  <c r="B173" i="3"/>
  <c r="AP172" i="3"/>
  <c r="AO172" i="3"/>
  <c r="AN172" i="3"/>
  <c r="AM172" i="3"/>
  <c r="AK172" i="3"/>
  <c r="AJ172" i="3"/>
  <c r="S172" i="3"/>
  <c r="B172" i="3"/>
  <c r="AP171" i="3"/>
  <c r="AO171" i="3"/>
  <c r="AN171" i="3"/>
  <c r="AM171" i="3"/>
  <c r="AK171" i="3"/>
  <c r="AJ171" i="3"/>
  <c r="S171" i="3"/>
  <c r="B171" i="3"/>
  <c r="AP170" i="3"/>
  <c r="AO170" i="3"/>
  <c r="AN170" i="3"/>
  <c r="AM170" i="3"/>
  <c r="AK170" i="3"/>
  <c r="AJ170" i="3"/>
  <c r="S170" i="3"/>
  <c r="B170" i="3"/>
  <c r="AP169" i="3"/>
  <c r="AO169" i="3"/>
  <c r="AN169" i="3"/>
  <c r="AM169" i="3"/>
  <c r="AK169" i="3"/>
  <c r="AJ169" i="3"/>
  <c r="S169" i="3"/>
  <c r="B169" i="3"/>
  <c r="AK168" i="3"/>
  <c r="AJ168" i="3"/>
  <c r="S168" i="3"/>
  <c r="F168" i="3"/>
  <c r="AO168" i="3" s="1"/>
  <c r="E168" i="3"/>
  <c r="AN168" i="3" s="1"/>
  <c r="B168" i="3"/>
  <c r="AK167" i="3"/>
  <c r="AJ167" i="3"/>
  <c r="S167" i="3"/>
  <c r="F167" i="3" s="1"/>
  <c r="B167" i="3"/>
  <c r="AK166" i="3"/>
  <c r="AJ166" i="3"/>
  <c r="AF166" i="3"/>
  <c r="AE166" i="3"/>
  <c r="W166" i="3"/>
  <c r="F166" i="3" s="1"/>
  <c r="V166" i="3"/>
  <c r="S166" i="3"/>
  <c r="E166" i="3"/>
  <c r="B166" i="3"/>
  <c r="AK165" i="3"/>
  <c r="AJ165" i="3"/>
  <c r="AF165" i="3"/>
  <c r="AE165" i="3"/>
  <c r="W165" i="3"/>
  <c r="V165" i="3"/>
  <c r="E165" i="3" s="1"/>
  <c r="S165" i="3"/>
  <c r="F165" i="3" s="1"/>
  <c r="B165" i="3"/>
  <c r="AK164" i="3"/>
  <c r="AJ164" i="3"/>
  <c r="AF164" i="3"/>
  <c r="AE164" i="3"/>
  <c r="W164" i="3"/>
  <c r="V164" i="3"/>
  <c r="S164" i="3"/>
  <c r="F164" i="3"/>
  <c r="AO164" i="3" s="1"/>
  <c r="E164" i="3"/>
  <c r="AN164" i="3" s="1"/>
  <c r="B164" i="3"/>
  <c r="AK163" i="3"/>
  <c r="AJ163" i="3"/>
  <c r="AF163" i="3"/>
  <c r="AE163" i="3"/>
  <c r="W163" i="3"/>
  <c r="V163" i="3"/>
  <c r="S163" i="3"/>
  <c r="N163" i="3"/>
  <c r="F163" i="3" s="1"/>
  <c r="E163" i="3"/>
  <c r="B163" i="3"/>
  <c r="AK162" i="3"/>
  <c r="AJ162" i="3"/>
  <c r="S162" i="3"/>
  <c r="E162" i="3" s="1"/>
  <c r="B162" i="3"/>
  <c r="AK161" i="3"/>
  <c r="AJ161" i="3"/>
  <c r="S161" i="3"/>
  <c r="F161" i="3" s="1"/>
  <c r="E161" i="3"/>
  <c r="AN161" i="3" s="1"/>
  <c r="B161" i="3"/>
  <c r="AK160" i="3"/>
  <c r="AJ160" i="3"/>
  <c r="S160" i="3"/>
  <c r="E160" i="3" s="1"/>
  <c r="F160" i="3"/>
  <c r="B160" i="3"/>
  <c r="AK159" i="3"/>
  <c r="AJ159" i="3"/>
  <c r="AF159" i="3"/>
  <c r="AE159" i="3"/>
  <c r="W159" i="3"/>
  <c r="F159" i="3" s="1"/>
  <c r="V159" i="3"/>
  <c r="E159" i="3" s="1"/>
  <c r="S159" i="3"/>
  <c r="B159" i="3"/>
  <c r="AK158" i="3"/>
  <c r="AJ158" i="3"/>
  <c r="S158" i="3"/>
  <c r="E158" i="3" s="1"/>
  <c r="F158" i="3"/>
  <c r="B158" i="3"/>
  <c r="AK157" i="3"/>
  <c r="AJ157" i="3"/>
  <c r="S157" i="3"/>
  <c r="F157" i="3" s="1"/>
  <c r="E157" i="3"/>
  <c r="B157" i="3"/>
  <c r="AK156" i="3"/>
  <c r="AJ156" i="3"/>
  <c r="S156" i="3"/>
  <c r="E156" i="3" s="1"/>
  <c r="F156" i="3"/>
  <c r="AO156" i="3" s="1"/>
  <c r="B156" i="3"/>
  <c r="AK155" i="3"/>
  <c r="AJ155" i="3"/>
  <c r="S155" i="3"/>
  <c r="F155" i="3" s="1"/>
  <c r="E155" i="3"/>
  <c r="B155" i="3"/>
  <c r="AK154" i="3"/>
  <c r="AJ154" i="3"/>
  <c r="S154" i="3"/>
  <c r="E154" i="3" s="1"/>
  <c r="F154" i="3"/>
  <c r="B154" i="3"/>
  <c r="AO153" i="3"/>
  <c r="AK153" i="3"/>
  <c r="AJ153" i="3"/>
  <c r="S153" i="3"/>
  <c r="F153" i="3"/>
  <c r="AM153" i="3" s="1"/>
  <c r="E153" i="3"/>
  <c r="AN153" i="3" s="1"/>
  <c r="B153" i="3"/>
  <c r="AK152" i="3"/>
  <c r="AJ152" i="3"/>
  <c r="S152" i="3"/>
  <c r="E152" i="3" s="1"/>
  <c r="F152" i="3"/>
  <c r="B152" i="3"/>
  <c r="AO151" i="3"/>
  <c r="AK151" i="3"/>
  <c r="AJ151" i="3"/>
  <c r="S151" i="3"/>
  <c r="F151" i="3"/>
  <c r="AM151" i="3" s="1"/>
  <c r="E151" i="3"/>
  <c r="AN151" i="3" s="1"/>
  <c r="B151" i="3"/>
  <c r="AK150" i="3"/>
  <c r="AJ150" i="3"/>
  <c r="S150" i="3"/>
  <c r="E150" i="3" s="1"/>
  <c r="F150" i="3"/>
  <c r="B150" i="3"/>
  <c r="AO149" i="3"/>
  <c r="AK149" i="3"/>
  <c r="AJ149" i="3"/>
  <c r="S149" i="3"/>
  <c r="F149" i="3"/>
  <c r="AM149" i="3" s="1"/>
  <c r="E149" i="3"/>
  <c r="AN149" i="3" s="1"/>
  <c r="B149" i="3"/>
  <c r="AK148" i="3"/>
  <c r="AJ148" i="3"/>
  <c r="S148" i="3"/>
  <c r="E148" i="3" s="1"/>
  <c r="F148" i="3"/>
  <c r="B148" i="3"/>
  <c r="AO147" i="3"/>
  <c r="AK147" i="3"/>
  <c r="AJ147" i="3"/>
  <c r="S147" i="3"/>
  <c r="F147" i="3"/>
  <c r="AM147" i="3" s="1"/>
  <c r="E147" i="3"/>
  <c r="AN147" i="3" s="1"/>
  <c r="B147" i="3"/>
  <c r="AK146" i="3"/>
  <c r="AJ146" i="3"/>
  <c r="S146" i="3"/>
  <c r="E146" i="3" s="1"/>
  <c r="F146" i="3"/>
  <c r="B146" i="3"/>
  <c r="AO145" i="3"/>
  <c r="AK145" i="3"/>
  <c r="AJ145" i="3"/>
  <c r="S145" i="3"/>
  <c r="F145" i="3"/>
  <c r="AM145" i="3" s="1"/>
  <c r="E145" i="3"/>
  <c r="AN145" i="3" s="1"/>
  <c r="B145" i="3"/>
  <c r="AK144" i="3"/>
  <c r="AJ144" i="3"/>
  <c r="S144" i="3"/>
  <c r="E144" i="3" s="1"/>
  <c r="F144" i="3"/>
  <c r="B144" i="3"/>
  <c r="AO143" i="3"/>
  <c r="AK143" i="3"/>
  <c r="AJ143" i="3"/>
  <c r="S143" i="3"/>
  <c r="F143" i="3"/>
  <c r="AM143" i="3" s="1"/>
  <c r="E143" i="3"/>
  <c r="AN143" i="3" s="1"/>
  <c r="B143" i="3"/>
  <c r="AK142" i="3"/>
  <c r="AJ142" i="3"/>
  <c r="S142" i="3"/>
  <c r="E142" i="3" s="1"/>
  <c r="F142" i="3"/>
  <c r="B142" i="3"/>
  <c r="AO141" i="3"/>
  <c r="AK141" i="3"/>
  <c r="AJ141" i="3"/>
  <c r="S141" i="3"/>
  <c r="F141" i="3"/>
  <c r="AM141" i="3" s="1"/>
  <c r="E141" i="3"/>
  <c r="AN141" i="3" s="1"/>
  <c r="B141" i="3"/>
  <c r="AK140" i="3"/>
  <c r="AJ140" i="3"/>
  <c r="S140" i="3"/>
  <c r="E140" i="3" s="1"/>
  <c r="F140" i="3"/>
  <c r="B140" i="3"/>
  <c r="AO139" i="3"/>
  <c r="AK139" i="3"/>
  <c r="AJ139" i="3"/>
  <c r="S139" i="3"/>
  <c r="F139" i="3"/>
  <c r="AM139" i="3" s="1"/>
  <c r="E139" i="3"/>
  <c r="AN139" i="3" s="1"/>
  <c r="B139" i="3"/>
  <c r="AK138" i="3"/>
  <c r="AJ138" i="3"/>
  <c r="S138" i="3"/>
  <c r="E138" i="3" s="1"/>
  <c r="F138" i="3"/>
  <c r="B138" i="3"/>
  <c r="AK137" i="3"/>
  <c r="AJ137" i="3"/>
  <c r="S137" i="3"/>
  <c r="F137" i="3"/>
  <c r="AM137" i="3" s="1"/>
  <c r="E137" i="3"/>
  <c r="B137" i="3"/>
  <c r="AK136" i="3"/>
  <c r="AJ136" i="3"/>
  <c r="S136" i="3"/>
  <c r="E136" i="3" s="1"/>
  <c r="F136" i="3"/>
  <c r="AM136" i="3" s="1"/>
  <c r="B136" i="3"/>
  <c r="AO135" i="3"/>
  <c r="AK135" i="3"/>
  <c r="AJ135" i="3"/>
  <c r="S135" i="3"/>
  <c r="F135" i="3"/>
  <c r="AM135" i="3" s="1"/>
  <c r="E135" i="3"/>
  <c r="AN135" i="3" s="1"/>
  <c r="B135" i="3"/>
  <c r="AK134" i="3"/>
  <c r="AJ134" i="3"/>
  <c r="S134" i="3"/>
  <c r="E134" i="3" s="1"/>
  <c r="F134" i="3"/>
  <c r="AM134" i="3" s="1"/>
  <c r="B134" i="3"/>
  <c r="AK133" i="3"/>
  <c r="AJ133" i="3"/>
  <c r="S133" i="3"/>
  <c r="F133" i="3"/>
  <c r="AO133" i="3" s="1"/>
  <c r="E133" i="3"/>
  <c r="B133" i="3"/>
  <c r="AK132" i="3"/>
  <c r="AJ132" i="3"/>
  <c r="AF132" i="3"/>
  <c r="AE132" i="3"/>
  <c r="W132" i="3"/>
  <c r="V132" i="3"/>
  <c r="E132" i="3" s="1"/>
  <c r="S132" i="3"/>
  <c r="F132" i="3"/>
  <c r="AO132" i="3" s="1"/>
  <c r="B132" i="3"/>
  <c r="AO131" i="3"/>
  <c r="AK131" i="3"/>
  <c r="AJ131" i="3"/>
  <c r="S131" i="3"/>
  <c r="F131" i="3"/>
  <c r="AM131" i="3" s="1"/>
  <c r="E131" i="3"/>
  <c r="AN131" i="3" s="1"/>
  <c r="B131" i="3"/>
  <c r="AK130" i="3"/>
  <c r="AJ130" i="3"/>
  <c r="S130" i="3"/>
  <c r="E130" i="3" s="1"/>
  <c r="F130" i="3"/>
  <c r="AM130" i="3" s="1"/>
  <c r="B130" i="3"/>
  <c r="AK129" i="3"/>
  <c r="AJ129" i="3"/>
  <c r="S129" i="3"/>
  <c r="F129" i="3"/>
  <c r="AM129" i="3" s="1"/>
  <c r="E129" i="3"/>
  <c r="B129" i="3"/>
  <c r="AK128" i="3"/>
  <c r="AJ128" i="3"/>
  <c r="S128" i="3"/>
  <c r="E128" i="3" s="1"/>
  <c r="F128" i="3"/>
  <c r="AM128" i="3" s="1"/>
  <c r="B128" i="3"/>
  <c r="AO127" i="3"/>
  <c r="AK127" i="3"/>
  <c r="AJ127" i="3"/>
  <c r="S127" i="3"/>
  <c r="F127" i="3"/>
  <c r="AM127" i="3" s="1"/>
  <c r="E127" i="3"/>
  <c r="AN127" i="3" s="1"/>
  <c r="B127" i="3"/>
  <c r="AK126" i="3"/>
  <c r="AJ126" i="3"/>
  <c r="S126" i="3"/>
  <c r="E126" i="3" s="1"/>
  <c r="F126" i="3"/>
  <c r="AM126" i="3" s="1"/>
  <c r="B126" i="3"/>
  <c r="AO125" i="3"/>
  <c r="AK125" i="3"/>
  <c r="AJ125" i="3"/>
  <c r="S125" i="3"/>
  <c r="F125" i="3"/>
  <c r="AM125" i="3" s="1"/>
  <c r="E125" i="3"/>
  <c r="B125" i="3"/>
  <c r="AK124" i="3"/>
  <c r="AJ124" i="3"/>
  <c r="S124" i="3"/>
  <c r="E124" i="3" s="1"/>
  <c r="B124" i="3"/>
  <c r="AK123" i="3"/>
  <c r="AJ123" i="3"/>
  <c r="S123" i="3"/>
  <c r="F123" i="3"/>
  <c r="AM123" i="3" s="1"/>
  <c r="E123" i="3"/>
  <c r="B123" i="3"/>
  <c r="AK122" i="3"/>
  <c r="AJ122" i="3"/>
  <c r="S122" i="3"/>
  <c r="E122" i="3" s="1"/>
  <c r="F122" i="3"/>
  <c r="AO122" i="3" s="1"/>
  <c r="B122" i="3"/>
  <c r="AK121" i="3"/>
  <c r="AJ121" i="3"/>
  <c r="S121" i="3"/>
  <c r="F121" i="3"/>
  <c r="AO121" i="3" s="1"/>
  <c r="E121" i="3"/>
  <c r="B121" i="3"/>
  <c r="AK120" i="3"/>
  <c r="AJ120" i="3"/>
  <c r="S120" i="3"/>
  <c r="B120" i="3"/>
  <c r="AO119" i="3"/>
  <c r="AK119" i="3"/>
  <c r="AJ119" i="3"/>
  <c r="S119" i="3"/>
  <c r="F119" i="3"/>
  <c r="AM119" i="3" s="1"/>
  <c r="E119" i="3"/>
  <c r="AP119" i="3" s="1"/>
  <c r="B119" i="3"/>
  <c r="AK118" i="3"/>
  <c r="AJ118" i="3"/>
  <c r="S118" i="3"/>
  <c r="E118" i="3" s="1"/>
  <c r="B118" i="3"/>
  <c r="AP117" i="3"/>
  <c r="AO117" i="3"/>
  <c r="AK117" i="3"/>
  <c r="AJ117" i="3"/>
  <c r="S117" i="3"/>
  <c r="F117" i="3"/>
  <c r="AM117" i="3" s="1"/>
  <c r="E117" i="3"/>
  <c r="B117" i="3"/>
  <c r="AK116" i="3"/>
  <c r="AJ116" i="3"/>
  <c r="S116" i="3"/>
  <c r="E116" i="3" s="1"/>
  <c r="B116" i="3"/>
  <c r="AK115" i="3"/>
  <c r="AJ115" i="3"/>
  <c r="S115" i="3"/>
  <c r="F115" i="3"/>
  <c r="AM115" i="3" s="1"/>
  <c r="E115" i="3"/>
  <c r="B115" i="3"/>
  <c r="AK114" i="3"/>
  <c r="AJ114" i="3"/>
  <c r="S114" i="3"/>
  <c r="E114" i="3" s="1"/>
  <c r="F114" i="3"/>
  <c r="AO114" i="3" s="1"/>
  <c r="B114" i="3"/>
  <c r="AK113" i="3"/>
  <c r="AJ113" i="3"/>
  <c r="S113" i="3"/>
  <c r="F113" i="3"/>
  <c r="AO113" i="3" s="1"/>
  <c r="E113" i="3"/>
  <c r="B113" i="3"/>
  <c r="AK112" i="3"/>
  <c r="AJ112" i="3"/>
  <c r="AF112" i="3"/>
  <c r="AE112" i="3"/>
  <c r="W112" i="3"/>
  <c r="V112" i="3"/>
  <c r="S112" i="3"/>
  <c r="F112" i="3" s="1"/>
  <c r="B112" i="3"/>
  <c r="AK111" i="3"/>
  <c r="AJ111" i="3"/>
  <c r="AF111" i="3"/>
  <c r="AE111" i="3"/>
  <c r="W111" i="3"/>
  <c r="V111" i="3"/>
  <c r="E111" i="3" s="1"/>
  <c r="S111" i="3"/>
  <c r="F111" i="3" s="1"/>
  <c r="AM111" i="3" s="1"/>
  <c r="B111" i="3"/>
  <c r="AK110" i="3"/>
  <c r="AJ110" i="3"/>
  <c r="S110" i="3"/>
  <c r="F110" i="3"/>
  <c r="AO110" i="3" s="1"/>
  <c r="E110" i="3"/>
  <c r="AP110" i="3" s="1"/>
  <c r="B110" i="3"/>
  <c r="AK109" i="3"/>
  <c r="AJ109" i="3"/>
  <c r="S109" i="3"/>
  <c r="F109" i="3" s="1"/>
  <c r="AM109" i="3" s="1"/>
  <c r="B109" i="3"/>
  <c r="AK108" i="3"/>
  <c r="AJ108" i="3"/>
  <c r="S108" i="3"/>
  <c r="F108" i="3"/>
  <c r="E108" i="3"/>
  <c r="B108" i="3"/>
  <c r="AK107" i="3"/>
  <c r="AJ107" i="3"/>
  <c r="S107" i="3"/>
  <c r="E107" i="3" s="1"/>
  <c r="F107" i="3"/>
  <c r="AO107" i="3" s="1"/>
  <c r="B107" i="3"/>
  <c r="AK106" i="3"/>
  <c r="AJ106" i="3"/>
  <c r="S106" i="3"/>
  <c r="F106" i="3"/>
  <c r="AO106" i="3" s="1"/>
  <c r="E106" i="3"/>
  <c r="AP106" i="3" s="1"/>
  <c r="B106" i="3"/>
  <c r="AK105" i="3"/>
  <c r="AJ105" i="3"/>
  <c r="S105" i="3"/>
  <c r="E105" i="3" s="1"/>
  <c r="B105" i="3"/>
  <c r="AK104" i="3"/>
  <c r="AJ104" i="3"/>
  <c r="AF104" i="3"/>
  <c r="AE104" i="3"/>
  <c r="W104" i="3"/>
  <c r="F104" i="3" s="1"/>
  <c r="V104" i="3"/>
  <c r="S104" i="3"/>
  <c r="E104" i="3"/>
  <c r="B104" i="3"/>
  <c r="AO103" i="3"/>
  <c r="AK103" i="3"/>
  <c r="AJ103" i="3"/>
  <c r="S103" i="3"/>
  <c r="E103" i="3" s="1"/>
  <c r="F103" i="3"/>
  <c r="AM103" i="3" s="1"/>
  <c r="B103" i="3"/>
  <c r="AP102" i="3"/>
  <c r="AK102" i="3"/>
  <c r="AJ102" i="3"/>
  <c r="S102" i="3"/>
  <c r="F102" i="3"/>
  <c r="AO102" i="3" s="1"/>
  <c r="E102" i="3"/>
  <c r="B102" i="3"/>
  <c r="AK101" i="3"/>
  <c r="AJ101" i="3"/>
  <c r="S101" i="3"/>
  <c r="E101" i="3" s="1"/>
  <c r="B101" i="3"/>
  <c r="AK100" i="3"/>
  <c r="AJ100" i="3"/>
  <c r="S100" i="3"/>
  <c r="F100" i="3"/>
  <c r="AM100" i="3" s="1"/>
  <c r="E100" i="3"/>
  <c r="B100" i="3"/>
  <c r="AK99" i="3"/>
  <c r="AJ99" i="3"/>
  <c r="S99" i="3"/>
  <c r="E99" i="3" s="1"/>
  <c r="F99" i="3"/>
  <c r="AO99" i="3" s="1"/>
  <c r="B99" i="3"/>
  <c r="AK98" i="3"/>
  <c r="AJ98" i="3"/>
  <c r="AF98" i="3"/>
  <c r="AE98" i="3"/>
  <c r="W98" i="3"/>
  <c r="V98" i="3"/>
  <c r="S98" i="3"/>
  <c r="F98" i="3"/>
  <c r="AO98" i="3" s="1"/>
  <c r="E98" i="3"/>
  <c r="B98" i="3"/>
  <c r="AK97" i="3"/>
  <c r="AJ97" i="3"/>
  <c r="S97" i="3"/>
  <c r="B97" i="3"/>
  <c r="AO96" i="3"/>
  <c r="AK96" i="3"/>
  <c r="AJ96" i="3"/>
  <c r="S96" i="3"/>
  <c r="F96" i="3"/>
  <c r="AM96" i="3" s="1"/>
  <c r="E96" i="3"/>
  <c r="AN96" i="3" s="1"/>
  <c r="B96" i="3"/>
  <c r="AO95" i="3"/>
  <c r="AK95" i="3"/>
  <c r="AJ95" i="3"/>
  <c r="S95" i="3"/>
  <c r="E95" i="3" s="1"/>
  <c r="F95" i="3"/>
  <c r="AM95" i="3" s="1"/>
  <c r="B95" i="3"/>
  <c r="AP94" i="3"/>
  <c r="AK94" i="3"/>
  <c r="AJ94" i="3"/>
  <c r="S94" i="3"/>
  <c r="F94" i="3"/>
  <c r="AO94" i="3" s="1"/>
  <c r="E94" i="3"/>
  <c r="B94" i="3"/>
  <c r="AK93" i="3"/>
  <c r="AJ93" i="3"/>
  <c r="S93" i="3"/>
  <c r="E93" i="3" s="1"/>
  <c r="B93" i="3"/>
  <c r="AK92" i="3"/>
  <c r="AJ92" i="3"/>
  <c r="S92" i="3"/>
  <c r="F92" i="3"/>
  <c r="AM92" i="3" s="1"/>
  <c r="E92" i="3"/>
  <c r="B92" i="3"/>
  <c r="AK91" i="3"/>
  <c r="AJ91" i="3"/>
  <c r="AF91" i="3"/>
  <c r="AE91" i="3"/>
  <c r="W91" i="3"/>
  <c r="V91" i="3"/>
  <c r="E91" i="3" s="1"/>
  <c r="AN91" i="3" s="1"/>
  <c r="S91" i="3"/>
  <c r="F91" i="3"/>
  <c r="AO91" i="3" s="1"/>
  <c r="B91" i="3"/>
  <c r="AK90" i="3"/>
  <c r="AJ90" i="3"/>
  <c r="S90" i="3"/>
  <c r="F90" i="3"/>
  <c r="AO90" i="3" s="1"/>
  <c r="E90" i="3"/>
  <c r="B90" i="3"/>
  <c r="AK89" i="3"/>
  <c r="AJ89" i="3"/>
  <c r="AF89" i="3"/>
  <c r="AE89" i="3"/>
  <c r="W89" i="3"/>
  <c r="V89" i="3"/>
  <c r="S89" i="3"/>
  <c r="F89" i="3" s="1"/>
  <c r="B89" i="3"/>
  <c r="AO88" i="3"/>
  <c r="AK88" i="3"/>
  <c r="AJ88" i="3"/>
  <c r="S88" i="3"/>
  <c r="F88" i="3"/>
  <c r="AM88" i="3" s="1"/>
  <c r="E88" i="3"/>
  <c r="AN88" i="3" s="1"/>
  <c r="B88" i="3"/>
  <c r="AO87" i="3"/>
  <c r="AK87" i="3"/>
  <c r="AJ87" i="3"/>
  <c r="S87" i="3"/>
  <c r="E87" i="3" s="1"/>
  <c r="F87" i="3"/>
  <c r="AM87" i="3" s="1"/>
  <c r="B87" i="3"/>
  <c r="AP86" i="3"/>
  <c r="AK86" i="3"/>
  <c r="AJ86" i="3"/>
  <c r="S86" i="3"/>
  <c r="F86" i="3"/>
  <c r="AO86" i="3" s="1"/>
  <c r="E86" i="3"/>
  <c r="B86" i="3"/>
  <c r="AK85" i="3"/>
  <c r="AJ85" i="3"/>
  <c r="AF85" i="3"/>
  <c r="AE85" i="3"/>
  <c r="W85" i="3"/>
  <c r="V85" i="3"/>
  <c r="E85" i="3" s="1"/>
  <c r="AN85" i="3" s="1"/>
  <c r="S85" i="3"/>
  <c r="F85" i="3" s="1"/>
  <c r="B85" i="3"/>
  <c r="AK84" i="3"/>
  <c r="AJ84" i="3"/>
  <c r="S84" i="3"/>
  <c r="F84" i="3"/>
  <c r="AM84" i="3" s="1"/>
  <c r="E84" i="3"/>
  <c r="B84" i="3"/>
  <c r="AK83" i="3"/>
  <c r="AJ83" i="3"/>
  <c r="S83" i="3"/>
  <c r="E83" i="3" s="1"/>
  <c r="F83" i="3"/>
  <c r="AO83" i="3" s="1"/>
  <c r="B83" i="3"/>
  <c r="AK82" i="3"/>
  <c r="AJ82" i="3"/>
  <c r="S82" i="3"/>
  <c r="F82" i="3"/>
  <c r="AO82" i="3" s="1"/>
  <c r="E82" i="3"/>
  <c r="B82" i="3"/>
  <c r="AK81" i="3"/>
  <c r="AJ81" i="3"/>
  <c r="S81" i="3"/>
  <c r="B81" i="3"/>
  <c r="AO80" i="3"/>
  <c r="AK80" i="3"/>
  <c r="AJ80" i="3"/>
  <c r="S80" i="3"/>
  <c r="F80" i="3"/>
  <c r="AM80" i="3" s="1"/>
  <c r="E80" i="3"/>
  <c r="AN80" i="3" s="1"/>
  <c r="B80" i="3"/>
  <c r="AO79" i="3"/>
  <c r="AK79" i="3"/>
  <c r="AJ79" i="3"/>
  <c r="S79" i="3"/>
  <c r="E79" i="3" s="1"/>
  <c r="F79" i="3"/>
  <c r="AM79" i="3" s="1"/>
  <c r="B79" i="3"/>
  <c r="AK78" i="3"/>
  <c r="AJ78" i="3"/>
  <c r="S78" i="3"/>
  <c r="F78" i="3" s="1"/>
  <c r="E78" i="3"/>
  <c r="B78" i="3"/>
  <c r="AK77" i="3"/>
  <c r="AJ77" i="3"/>
  <c r="S77" i="3"/>
  <c r="B77" i="3"/>
  <c r="AK76" i="3"/>
  <c r="AJ76" i="3"/>
  <c r="S76" i="3"/>
  <c r="F76" i="3" s="1"/>
  <c r="E76" i="3"/>
  <c r="AN76" i="3" s="1"/>
  <c r="B76" i="3"/>
  <c r="AK75" i="3"/>
  <c r="AJ75" i="3"/>
  <c r="S75" i="3"/>
  <c r="B75" i="3"/>
  <c r="AK74" i="3"/>
  <c r="AJ74" i="3"/>
  <c r="S74" i="3"/>
  <c r="F74" i="3" s="1"/>
  <c r="E74" i="3"/>
  <c r="AN74" i="3" s="1"/>
  <c r="B74" i="3"/>
  <c r="AK73" i="3"/>
  <c r="AJ73" i="3"/>
  <c r="S73" i="3"/>
  <c r="B73" i="3"/>
  <c r="AK72" i="3"/>
  <c r="AJ72" i="3"/>
  <c r="S72" i="3"/>
  <c r="F72" i="3" s="1"/>
  <c r="E72" i="3"/>
  <c r="B72" i="3"/>
  <c r="AK71" i="3"/>
  <c r="AJ71" i="3"/>
  <c r="S71" i="3"/>
  <c r="B71" i="3"/>
  <c r="AK70" i="3"/>
  <c r="AJ70" i="3"/>
  <c r="S70" i="3"/>
  <c r="F70" i="3" s="1"/>
  <c r="E70" i="3"/>
  <c r="B70" i="3"/>
  <c r="AK69" i="3"/>
  <c r="AJ69" i="3"/>
  <c r="AF69" i="3"/>
  <c r="AE69" i="3"/>
  <c r="W69" i="3"/>
  <c r="V69" i="3"/>
  <c r="S69" i="3"/>
  <c r="B69" i="3"/>
  <c r="AK68" i="3"/>
  <c r="AJ68" i="3"/>
  <c r="AF68" i="3"/>
  <c r="AE68" i="3"/>
  <c r="W68" i="3"/>
  <c r="F68" i="3" s="1"/>
  <c r="V68" i="3"/>
  <c r="S68" i="3"/>
  <c r="E68" i="3"/>
  <c r="AN68" i="3" s="1"/>
  <c r="B68" i="3"/>
  <c r="AK67" i="3"/>
  <c r="AJ67" i="3"/>
  <c r="AF67" i="3"/>
  <c r="AE67" i="3"/>
  <c r="W67" i="3"/>
  <c r="V67" i="3"/>
  <c r="E67" i="3" s="1"/>
  <c r="AP67" i="3" s="1"/>
  <c r="S67" i="3"/>
  <c r="F67" i="3" s="1"/>
  <c r="B67" i="3"/>
  <c r="AK66" i="3"/>
  <c r="AJ66" i="3"/>
  <c r="S66" i="3"/>
  <c r="F66" i="3"/>
  <c r="AM66" i="3" s="1"/>
  <c r="E66" i="3"/>
  <c r="B66" i="3"/>
  <c r="AK65" i="3"/>
  <c r="AJ65" i="3"/>
  <c r="S65" i="3"/>
  <c r="B65" i="3"/>
  <c r="AK64" i="3"/>
  <c r="AJ64" i="3"/>
  <c r="S64" i="3"/>
  <c r="F64" i="3"/>
  <c r="AM64" i="3" s="1"/>
  <c r="E64" i="3"/>
  <c r="B64" i="3"/>
  <c r="AK63" i="3"/>
  <c r="AJ63" i="3"/>
  <c r="S63" i="3"/>
  <c r="B63" i="3"/>
  <c r="AK62" i="3"/>
  <c r="AJ62" i="3"/>
  <c r="S62" i="3"/>
  <c r="F62" i="3"/>
  <c r="E62" i="3"/>
  <c r="AN62" i="3" s="1"/>
  <c r="B62" i="3"/>
  <c r="AK61" i="3"/>
  <c r="AJ61" i="3"/>
  <c r="S61" i="3"/>
  <c r="B61" i="3"/>
  <c r="AK60" i="3"/>
  <c r="AJ60" i="3"/>
  <c r="S60" i="3"/>
  <c r="F60" i="3"/>
  <c r="E60" i="3"/>
  <c r="AN60" i="3" s="1"/>
  <c r="B60" i="3"/>
  <c r="AK59" i="3"/>
  <c r="AJ59" i="3"/>
  <c r="S59" i="3"/>
  <c r="E59" i="3" s="1"/>
  <c r="F59" i="3"/>
  <c r="AO59" i="3" s="1"/>
  <c r="B59" i="3"/>
  <c r="AK58" i="3"/>
  <c r="AJ58" i="3"/>
  <c r="S58" i="3"/>
  <c r="F58" i="3"/>
  <c r="AO58" i="3" s="1"/>
  <c r="E58" i="3"/>
  <c r="AP58" i="3" s="1"/>
  <c r="B58" i="3"/>
  <c r="AK57" i="3"/>
  <c r="AJ57" i="3"/>
  <c r="AF57" i="3"/>
  <c r="AE57" i="3"/>
  <c r="W57" i="3"/>
  <c r="V57" i="3"/>
  <c r="S57" i="3"/>
  <c r="F57" i="3" s="1"/>
  <c r="B57" i="3"/>
  <c r="AP56" i="3"/>
  <c r="AO56" i="3"/>
  <c r="AK56" i="3"/>
  <c r="AJ56" i="3"/>
  <c r="S56" i="3"/>
  <c r="F56" i="3"/>
  <c r="AM56" i="3" s="1"/>
  <c r="E56" i="3"/>
  <c r="AN56" i="3" s="1"/>
  <c r="B56" i="3"/>
  <c r="AK55" i="3"/>
  <c r="AJ55" i="3"/>
  <c r="AF55" i="3"/>
  <c r="AE55" i="3"/>
  <c r="W55" i="3"/>
  <c r="V55" i="3"/>
  <c r="E55" i="3" s="1"/>
  <c r="AP55" i="3" s="1"/>
  <c r="S55" i="3"/>
  <c r="F55" i="3"/>
  <c r="AM55" i="3" s="1"/>
  <c r="B55" i="3"/>
  <c r="AK54" i="3"/>
  <c r="AJ54" i="3"/>
  <c r="AF54" i="3"/>
  <c r="AE54" i="3"/>
  <c r="W54" i="3"/>
  <c r="F54" i="3" s="1"/>
  <c r="V54" i="3"/>
  <c r="E54" i="3" s="1"/>
  <c r="S54" i="3"/>
  <c r="B54" i="3"/>
  <c r="AK53" i="3"/>
  <c r="AJ53" i="3"/>
  <c r="AF53" i="3"/>
  <c r="AE53" i="3"/>
  <c r="W53" i="3"/>
  <c r="V53" i="3"/>
  <c r="S53" i="3"/>
  <c r="F53" i="3"/>
  <c r="B53" i="3"/>
  <c r="AK52" i="3"/>
  <c r="AJ52" i="3"/>
  <c r="S52" i="3"/>
  <c r="F52" i="3"/>
  <c r="AO52" i="3" s="1"/>
  <c r="E52" i="3"/>
  <c r="AN52" i="3" s="1"/>
  <c r="B52" i="3"/>
  <c r="AK51" i="3"/>
  <c r="AJ51" i="3"/>
  <c r="AF51" i="3"/>
  <c r="AE51" i="3"/>
  <c r="W51" i="3"/>
  <c r="V51" i="3"/>
  <c r="S51" i="3"/>
  <c r="F51" i="3"/>
  <c r="B51" i="3"/>
  <c r="AK50" i="3"/>
  <c r="AJ50" i="3"/>
  <c r="S50" i="3"/>
  <c r="F50" i="3"/>
  <c r="AO50" i="3" s="1"/>
  <c r="E50" i="3"/>
  <c r="AP50" i="3" s="1"/>
  <c r="B50" i="3"/>
  <c r="AK49" i="3"/>
  <c r="AJ49" i="3"/>
  <c r="AF49" i="3"/>
  <c r="AE49" i="3"/>
  <c r="W49" i="3"/>
  <c r="V49" i="3"/>
  <c r="S49" i="3"/>
  <c r="N49" i="3"/>
  <c r="E49" i="3" s="1"/>
  <c r="B49" i="3"/>
  <c r="AK48" i="3"/>
  <c r="AJ48" i="3"/>
  <c r="S48" i="3"/>
  <c r="F48" i="3" s="1"/>
  <c r="E48" i="3"/>
  <c r="AN48" i="3" s="1"/>
  <c r="B48" i="3"/>
  <c r="AK47" i="3"/>
  <c r="AJ47" i="3"/>
  <c r="S47" i="3"/>
  <c r="F47" i="3" s="1"/>
  <c r="AM47" i="3" s="1"/>
  <c r="E47" i="3"/>
  <c r="AP47" i="3" s="1"/>
  <c r="B47" i="3"/>
  <c r="AK46" i="3"/>
  <c r="AJ46" i="3"/>
  <c r="AF46" i="3"/>
  <c r="AE46" i="3"/>
  <c r="W46" i="3"/>
  <c r="F46" i="3" s="1"/>
  <c r="V46" i="3"/>
  <c r="S46" i="3"/>
  <c r="E46" i="3"/>
  <c r="AP46" i="3" s="1"/>
  <c r="B46" i="3"/>
  <c r="AK45" i="3"/>
  <c r="AJ45" i="3"/>
  <c r="S45" i="3"/>
  <c r="F45" i="3" s="1"/>
  <c r="AM45" i="3" s="1"/>
  <c r="E45" i="3"/>
  <c r="AP45" i="3" s="1"/>
  <c r="B45" i="3"/>
  <c r="AK44" i="3"/>
  <c r="AJ44" i="3"/>
  <c r="S44" i="3"/>
  <c r="E44" i="3" s="1"/>
  <c r="F44" i="3"/>
  <c r="B44" i="3"/>
  <c r="AK43" i="3"/>
  <c r="AJ43" i="3"/>
  <c r="S43" i="3"/>
  <c r="F43" i="3" s="1"/>
  <c r="AM43" i="3" s="1"/>
  <c r="B43" i="3"/>
  <c r="AK42" i="3"/>
  <c r="AJ42" i="3"/>
  <c r="AF42" i="3"/>
  <c r="AE42" i="3"/>
  <c r="W42" i="3"/>
  <c r="V42" i="3"/>
  <c r="E42" i="3" s="1"/>
  <c r="S42" i="3"/>
  <c r="F42" i="3" s="1"/>
  <c r="B42" i="3"/>
  <c r="AK41" i="3"/>
  <c r="AJ41" i="3"/>
  <c r="AF41" i="3"/>
  <c r="AE41" i="3"/>
  <c r="W41" i="3"/>
  <c r="F41" i="3" s="1"/>
  <c r="V41" i="3"/>
  <c r="S41" i="3"/>
  <c r="E41" i="3"/>
  <c r="B41" i="3"/>
  <c r="AK40" i="3"/>
  <c r="AJ40" i="3"/>
  <c r="S40" i="3"/>
  <c r="F40" i="3" s="1"/>
  <c r="B40" i="3"/>
  <c r="AK39" i="3"/>
  <c r="AJ39" i="3"/>
  <c r="S39" i="3"/>
  <c r="F39" i="3"/>
  <c r="AO39" i="3" s="1"/>
  <c r="E39" i="3"/>
  <c r="AN39" i="3" s="1"/>
  <c r="B39" i="3"/>
  <c r="AK38" i="3"/>
  <c r="AJ38" i="3"/>
  <c r="AF38" i="3"/>
  <c r="AE38" i="3"/>
  <c r="W38" i="3"/>
  <c r="V38" i="3"/>
  <c r="E38" i="3" s="1"/>
  <c r="S38" i="3"/>
  <c r="F38" i="3" s="1"/>
  <c r="B38" i="3"/>
  <c r="AK37" i="3"/>
  <c r="AJ37" i="3"/>
  <c r="S37" i="3"/>
  <c r="F37" i="3"/>
  <c r="AO37" i="3" s="1"/>
  <c r="E37" i="3"/>
  <c r="AN37" i="3" s="1"/>
  <c r="B37" i="3"/>
  <c r="AK36" i="3"/>
  <c r="AJ36" i="3"/>
  <c r="S36" i="3"/>
  <c r="F36" i="3" s="1"/>
  <c r="B36" i="3"/>
  <c r="AK35" i="3"/>
  <c r="AJ35" i="3"/>
  <c r="S35" i="3"/>
  <c r="F35" i="3"/>
  <c r="AO35" i="3" s="1"/>
  <c r="E35" i="3"/>
  <c r="AN35" i="3" s="1"/>
  <c r="B35" i="3"/>
  <c r="AK34" i="3"/>
  <c r="AJ34" i="3"/>
  <c r="S34" i="3"/>
  <c r="F34" i="3" s="1"/>
  <c r="B34" i="3"/>
  <c r="AK33" i="3"/>
  <c r="AJ33" i="3"/>
  <c r="AF33" i="3"/>
  <c r="AE33" i="3"/>
  <c r="W33" i="3"/>
  <c r="F33" i="3" s="1"/>
  <c r="V33" i="3"/>
  <c r="S33" i="3"/>
  <c r="E33" i="3"/>
  <c r="AN33" i="3" s="1"/>
  <c r="B33" i="3"/>
  <c r="AK32" i="3"/>
  <c r="AJ32" i="3"/>
  <c r="AF32" i="3"/>
  <c r="AE32" i="3"/>
  <c r="W32" i="3"/>
  <c r="V32" i="3"/>
  <c r="E32" i="3" s="1"/>
  <c r="S32" i="3"/>
  <c r="F32" i="3" s="1"/>
  <c r="B32" i="3"/>
  <c r="AK31" i="3"/>
  <c r="AJ31" i="3"/>
  <c r="AF31" i="3"/>
  <c r="AE31" i="3"/>
  <c r="W31" i="3"/>
  <c r="F31" i="3" s="1"/>
  <c r="V31" i="3"/>
  <c r="S31" i="3"/>
  <c r="E31" i="3"/>
  <c r="B31" i="3"/>
  <c r="AK30" i="3"/>
  <c r="AJ30" i="3"/>
  <c r="AF30" i="3"/>
  <c r="AE30" i="3"/>
  <c r="W30" i="3"/>
  <c r="V30" i="3"/>
  <c r="E30" i="3" s="1"/>
  <c r="S30" i="3"/>
  <c r="F30" i="3" s="1"/>
  <c r="B30" i="3"/>
  <c r="AK29" i="3"/>
  <c r="AJ29" i="3"/>
  <c r="S29" i="3"/>
  <c r="F29" i="3"/>
  <c r="AO29" i="3" s="1"/>
  <c r="E29" i="3"/>
  <c r="AN29" i="3" s="1"/>
  <c r="B29" i="3"/>
  <c r="AK28" i="3"/>
  <c r="AJ28" i="3"/>
  <c r="AF28" i="3"/>
  <c r="AE28" i="3"/>
  <c r="W28" i="3"/>
  <c r="V28" i="3"/>
  <c r="E28" i="3" s="1"/>
  <c r="S28" i="3"/>
  <c r="F28" i="3" s="1"/>
  <c r="B28" i="3"/>
  <c r="AK27" i="3"/>
  <c r="AJ27" i="3"/>
  <c r="AF27" i="3"/>
  <c r="AE27" i="3"/>
  <c r="W27" i="3"/>
  <c r="F27" i="3" s="1"/>
  <c r="V27" i="3"/>
  <c r="S27" i="3"/>
  <c r="E27" i="3"/>
  <c r="AN27" i="3" s="1"/>
  <c r="B27" i="3"/>
  <c r="AK26" i="3"/>
  <c r="AJ26" i="3"/>
  <c r="AF26" i="3"/>
  <c r="AE26" i="3"/>
  <c r="W26" i="3"/>
  <c r="V26" i="3"/>
  <c r="E26" i="3" s="1"/>
  <c r="S26" i="3"/>
  <c r="F26" i="3" s="1"/>
  <c r="B26" i="3"/>
  <c r="AK25" i="3"/>
  <c r="AJ25" i="3"/>
  <c r="S25" i="3"/>
  <c r="F25" i="3"/>
  <c r="AO25" i="3" s="1"/>
  <c r="E25" i="3"/>
  <c r="AN25" i="3" s="1"/>
  <c r="B25" i="3"/>
  <c r="AK24" i="3"/>
  <c r="AJ24" i="3"/>
  <c r="S24" i="3"/>
  <c r="F24" i="3" s="1"/>
  <c r="B24" i="3"/>
  <c r="AK23" i="3"/>
  <c r="AJ23" i="3"/>
  <c r="S23" i="3"/>
  <c r="F23" i="3"/>
  <c r="AO23" i="3" s="1"/>
  <c r="E23" i="3"/>
  <c r="AN23" i="3" s="1"/>
  <c r="B23" i="3"/>
  <c r="AK22" i="3"/>
  <c r="AJ22" i="3"/>
  <c r="AF22" i="3"/>
  <c r="AE22" i="3"/>
  <c r="W22" i="3"/>
  <c r="V22" i="3"/>
  <c r="E22" i="3" s="1"/>
  <c r="S22" i="3"/>
  <c r="F22" i="3" s="1"/>
  <c r="B22" i="3"/>
  <c r="AK21" i="3"/>
  <c r="AJ21" i="3"/>
  <c r="AF21" i="3"/>
  <c r="AE21" i="3"/>
  <c r="W21" i="3"/>
  <c r="V21" i="3"/>
  <c r="S21" i="3"/>
  <c r="F21" i="3"/>
  <c r="AO21" i="3" s="1"/>
  <c r="E21" i="3"/>
  <c r="AN21" i="3" s="1"/>
  <c r="B21" i="3"/>
  <c r="AK20" i="3"/>
  <c r="AJ20" i="3"/>
  <c r="S20" i="3"/>
  <c r="F20" i="3" s="1"/>
  <c r="B20" i="3"/>
  <c r="AK19" i="3"/>
  <c r="AJ19" i="3"/>
  <c r="S19" i="3"/>
  <c r="F19" i="3"/>
  <c r="AO19" i="3" s="1"/>
  <c r="E19" i="3"/>
  <c r="AN19" i="3" s="1"/>
  <c r="B19" i="3"/>
  <c r="AK18" i="3"/>
  <c r="AJ18" i="3"/>
  <c r="S18" i="3"/>
  <c r="F18" i="3" s="1"/>
  <c r="B18" i="3"/>
  <c r="AK17" i="3"/>
  <c r="AJ17" i="3"/>
  <c r="S17" i="3"/>
  <c r="F17" i="3"/>
  <c r="AO17" i="3" s="1"/>
  <c r="E17" i="3"/>
  <c r="AN17" i="3" s="1"/>
  <c r="B17" i="3"/>
  <c r="AK16" i="3"/>
  <c r="AJ16" i="3"/>
  <c r="S16" i="3"/>
  <c r="F16" i="3" s="1"/>
  <c r="B16" i="3"/>
  <c r="AK15" i="3"/>
  <c r="AJ15" i="3"/>
  <c r="S15" i="3"/>
  <c r="F15" i="3"/>
  <c r="AO15" i="3" s="1"/>
  <c r="E15" i="3"/>
  <c r="AN15" i="3" s="1"/>
  <c r="B15" i="3"/>
  <c r="AK14" i="3"/>
  <c r="AJ14" i="3"/>
  <c r="S14" i="3"/>
  <c r="F14" i="3" s="1"/>
  <c r="B14" i="3"/>
  <c r="AK13" i="3"/>
  <c r="AJ13" i="3"/>
  <c r="S13" i="3"/>
  <c r="F13" i="3"/>
  <c r="AO13" i="3" s="1"/>
  <c r="E13" i="3"/>
  <c r="AN13" i="3" s="1"/>
  <c r="B13" i="3"/>
  <c r="AK12" i="3"/>
  <c r="AJ12" i="3"/>
  <c r="S12" i="3"/>
  <c r="F12" i="3" s="1"/>
  <c r="B12" i="3"/>
  <c r="AK11" i="3"/>
  <c r="AJ11" i="3"/>
  <c r="S11" i="3"/>
  <c r="F11" i="3"/>
  <c r="AO11" i="3" s="1"/>
  <c r="E11" i="3"/>
  <c r="AN11" i="3" s="1"/>
  <c r="B11" i="3"/>
  <c r="AK10" i="3"/>
  <c r="AJ10" i="3"/>
  <c r="S10" i="3"/>
  <c r="F10" i="3" s="1"/>
  <c r="B10" i="3"/>
  <c r="AK9" i="3"/>
  <c r="AJ9" i="3"/>
  <c r="S9" i="3"/>
  <c r="F9" i="3"/>
  <c r="AO9" i="3" s="1"/>
  <c r="E9" i="3"/>
  <c r="AN9" i="3" s="1"/>
  <c r="B9" i="3"/>
  <c r="AK8" i="3"/>
  <c r="AJ8" i="3"/>
  <c r="S8" i="3"/>
  <c r="F8" i="3" s="1"/>
  <c r="B8" i="3"/>
  <c r="AK7" i="3"/>
  <c r="AJ7" i="3"/>
  <c r="S7" i="3"/>
  <c r="F7" i="3"/>
  <c r="AO7" i="3" s="1"/>
  <c r="E7" i="3"/>
  <c r="AN7" i="3" s="1"/>
  <c r="B7" i="3"/>
  <c r="AK6" i="3"/>
  <c r="AJ6" i="3"/>
  <c r="S6" i="3"/>
  <c r="F6" i="3" s="1"/>
  <c r="B6" i="3"/>
  <c r="AK5" i="3"/>
  <c r="AJ5" i="3"/>
  <c r="S5" i="3"/>
  <c r="F5" i="3"/>
  <c r="AO5" i="3" s="1"/>
  <c r="E5" i="3"/>
  <c r="AN5" i="3" s="1"/>
  <c r="B5" i="3"/>
  <c r="AK4" i="3"/>
  <c r="AJ4" i="3"/>
  <c r="AF4" i="3"/>
  <c r="AE4" i="3"/>
  <c r="W4" i="3"/>
  <c r="V4" i="3"/>
  <c r="E4" i="3" s="1"/>
  <c r="S4" i="3"/>
  <c r="F4" i="3" s="1"/>
  <c r="B4" i="3"/>
  <c r="AK3" i="3"/>
  <c r="AJ3" i="3"/>
  <c r="S3" i="3"/>
  <c r="F3" i="3"/>
  <c r="AO3" i="3" s="1"/>
  <c r="E3" i="3"/>
  <c r="AN3" i="3" s="1"/>
  <c r="B3" i="3"/>
  <c r="AK2" i="3"/>
  <c r="AJ2" i="3"/>
  <c r="S2" i="3"/>
  <c r="E2" i="3" s="1"/>
  <c r="F2" i="3"/>
  <c r="AM2" i="3" s="1"/>
  <c r="B2" i="3"/>
  <c r="AP2" i="3" l="1"/>
  <c r="AO2" i="3"/>
  <c r="AN2" i="3"/>
  <c r="AM6" i="3"/>
  <c r="AM10" i="3"/>
  <c r="AM14" i="3"/>
  <c r="AM18" i="3"/>
  <c r="AM22" i="3"/>
  <c r="AO22" i="3"/>
  <c r="AM26" i="3"/>
  <c r="AO26" i="3"/>
  <c r="AP30" i="3"/>
  <c r="AN30" i="3"/>
  <c r="AM32" i="3"/>
  <c r="AO32" i="3"/>
  <c r="AO42" i="3"/>
  <c r="AM42" i="3"/>
  <c r="AP22" i="3"/>
  <c r="AN22" i="3"/>
  <c r="AP26" i="3"/>
  <c r="AN26" i="3"/>
  <c r="AM28" i="3"/>
  <c r="AO28" i="3"/>
  <c r="AP32" i="3"/>
  <c r="AN32" i="3"/>
  <c r="AM34" i="3"/>
  <c r="AM38" i="3"/>
  <c r="AO38" i="3"/>
  <c r="AP42" i="3"/>
  <c r="AN42" i="3"/>
  <c r="AP44" i="3"/>
  <c r="AN44" i="3"/>
  <c r="AO46" i="3"/>
  <c r="AM46" i="3"/>
  <c r="AO48" i="3"/>
  <c r="AM48" i="3"/>
  <c r="AP48" i="3"/>
  <c r="AN54" i="3"/>
  <c r="AP54" i="3"/>
  <c r="AM57" i="3"/>
  <c r="AM4" i="3"/>
  <c r="AO4" i="3"/>
  <c r="AM8" i="3"/>
  <c r="AM12" i="3"/>
  <c r="AM16" i="3"/>
  <c r="AM20" i="3"/>
  <c r="AM24" i="3"/>
  <c r="AP28" i="3"/>
  <c r="AN28" i="3"/>
  <c r="AO31" i="3"/>
  <c r="AM31" i="3"/>
  <c r="AP38" i="3"/>
  <c r="AN38" i="3"/>
  <c r="AO41" i="3"/>
  <c r="AM41" i="3"/>
  <c r="AO54" i="3"/>
  <c r="AM54" i="3"/>
  <c r="AP4" i="3"/>
  <c r="AN4" i="3"/>
  <c r="AO27" i="3"/>
  <c r="AM27" i="3"/>
  <c r="AM30" i="3"/>
  <c r="AO30" i="3"/>
  <c r="AN31" i="3"/>
  <c r="AO33" i="3"/>
  <c r="AM33" i="3"/>
  <c r="AM36" i="3"/>
  <c r="AM40" i="3"/>
  <c r="AN41" i="3"/>
  <c r="AP3" i="3"/>
  <c r="AP5" i="3"/>
  <c r="AP7" i="3"/>
  <c r="AP9" i="3"/>
  <c r="AP11" i="3"/>
  <c r="AP13" i="3"/>
  <c r="AP15" i="3"/>
  <c r="AP17" i="3"/>
  <c r="AP19" i="3"/>
  <c r="AP21" i="3"/>
  <c r="AP23" i="3"/>
  <c r="AP25" i="3"/>
  <c r="AP27" i="3"/>
  <c r="AP29" i="3"/>
  <c r="AP31" i="3"/>
  <c r="AP33" i="3"/>
  <c r="AP35" i="3"/>
  <c r="AP37" i="3"/>
  <c r="AP39" i="3"/>
  <c r="AP41" i="3"/>
  <c r="AO44" i="3"/>
  <c r="AM44" i="3"/>
  <c r="AN45" i="3"/>
  <c r="AM50" i="3"/>
  <c r="AM51" i="3"/>
  <c r="AO55" i="3"/>
  <c r="AM58" i="3"/>
  <c r="AM59" i="3"/>
  <c r="AO64" i="3"/>
  <c r="AN64" i="3"/>
  <c r="AO66" i="3"/>
  <c r="AN66" i="3"/>
  <c r="AP68" i="3"/>
  <c r="AO70" i="3"/>
  <c r="AM70" i="3"/>
  <c r="F73" i="3"/>
  <c r="E73" i="3"/>
  <c r="AP76" i="3"/>
  <c r="AO78" i="3"/>
  <c r="AM78" i="3"/>
  <c r="AM82" i="3"/>
  <c r="AN84" i="3"/>
  <c r="AP84" i="3"/>
  <c r="AO84" i="3"/>
  <c r="AM90" i="3"/>
  <c r="AN92" i="3"/>
  <c r="AP92" i="3"/>
  <c r="AO92" i="3"/>
  <c r="AM98" i="3"/>
  <c r="AN100" i="3"/>
  <c r="AP100" i="3"/>
  <c r="AO100" i="3"/>
  <c r="AM3" i="3"/>
  <c r="AM5" i="3"/>
  <c r="AM7" i="3"/>
  <c r="AM9" i="3"/>
  <c r="AM11" i="3"/>
  <c r="AM13" i="3"/>
  <c r="AM15" i="3"/>
  <c r="AM17" i="3"/>
  <c r="AM19" i="3"/>
  <c r="AM21" i="3"/>
  <c r="AM23" i="3"/>
  <c r="AM25" i="3"/>
  <c r="AM29" i="3"/>
  <c r="AM35" i="3"/>
  <c r="AM37" i="3"/>
  <c r="AM39" i="3"/>
  <c r="AO45" i="3"/>
  <c r="AN47" i="3"/>
  <c r="AM52" i="3"/>
  <c r="AM53" i="3"/>
  <c r="E57" i="3"/>
  <c r="AP59" i="3"/>
  <c r="AN59" i="3"/>
  <c r="AO60" i="3"/>
  <c r="AP60" i="3"/>
  <c r="AO62" i="3"/>
  <c r="AP62" i="3"/>
  <c r="AP64" i="3"/>
  <c r="AP66" i="3"/>
  <c r="F71" i="3"/>
  <c r="E71" i="3"/>
  <c r="AP74" i="3"/>
  <c r="AO76" i="3"/>
  <c r="AM76" i="3"/>
  <c r="E6" i="3"/>
  <c r="E8" i="3"/>
  <c r="E10" i="3"/>
  <c r="E12" i="3"/>
  <c r="AO12" i="3" s="1"/>
  <c r="E14" i="3"/>
  <c r="E16" i="3"/>
  <c r="E18" i="3"/>
  <c r="E20" i="3"/>
  <c r="AO20" i="3" s="1"/>
  <c r="E24" i="3"/>
  <c r="E34" i="3"/>
  <c r="AO34" i="3" s="1"/>
  <c r="E36" i="3"/>
  <c r="E40" i="3"/>
  <c r="AO40" i="3" s="1"/>
  <c r="AN46" i="3"/>
  <c r="AO47" i="3"/>
  <c r="E51" i="3"/>
  <c r="AN67" i="3"/>
  <c r="F69" i="3"/>
  <c r="E69" i="3"/>
  <c r="AN72" i="3"/>
  <c r="AP72" i="3"/>
  <c r="AO74" i="3"/>
  <c r="AM74" i="3"/>
  <c r="F77" i="3"/>
  <c r="E77" i="3"/>
  <c r="E81" i="3"/>
  <c r="F81" i="3"/>
  <c r="AM83" i="3"/>
  <c r="AO85" i="3"/>
  <c r="AM85" i="3"/>
  <c r="AM89" i="3"/>
  <c r="AM91" i="3"/>
  <c r="E97" i="3"/>
  <c r="F97" i="3"/>
  <c r="AM99" i="3"/>
  <c r="AM104" i="3"/>
  <c r="AO104" i="3"/>
  <c r="E43" i="3"/>
  <c r="F49" i="3"/>
  <c r="AN50" i="3"/>
  <c r="AP52" i="3"/>
  <c r="E53" i="3"/>
  <c r="AN55" i="3"/>
  <c r="AN58" i="3"/>
  <c r="F61" i="3"/>
  <c r="E61" i="3"/>
  <c r="F63" i="3"/>
  <c r="E63" i="3"/>
  <c r="F65" i="3"/>
  <c r="E65" i="3"/>
  <c r="AM67" i="3"/>
  <c r="AO67" i="3"/>
  <c r="AO68" i="3"/>
  <c r="AM68" i="3"/>
  <c r="AN70" i="3"/>
  <c r="AP70" i="3"/>
  <c r="AO72" i="3"/>
  <c r="AM72" i="3"/>
  <c r="F75" i="3"/>
  <c r="E75" i="3"/>
  <c r="AN78" i="3"/>
  <c r="AP78" i="3"/>
  <c r="AP82" i="3"/>
  <c r="AP90" i="3"/>
  <c r="AP98" i="3"/>
  <c r="AP104" i="3"/>
  <c r="AM106" i="3"/>
  <c r="AM107" i="3"/>
  <c r="AP108" i="3"/>
  <c r="AN108" i="3"/>
  <c r="AN111" i="3"/>
  <c r="AP111" i="3"/>
  <c r="AM112" i="3"/>
  <c r="AM114" i="3"/>
  <c r="E120" i="3"/>
  <c r="F120" i="3"/>
  <c r="AM122" i="3"/>
  <c r="AM60" i="3"/>
  <c r="AM62" i="3"/>
  <c r="AP80" i="3"/>
  <c r="AP83" i="3"/>
  <c r="AN83" i="3"/>
  <c r="AN86" i="3"/>
  <c r="AP88" i="3"/>
  <c r="E89" i="3"/>
  <c r="AO89" i="3" s="1"/>
  <c r="F93" i="3"/>
  <c r="AN94" i="3"/>
  <c r="AP96" i="3"/>
  <c r="AP99" i="3"/>
  <c r="AN99" i="3"/>
  <c r="F101" i="3"/>
  <c r="AN102" i="3"/>
  <c r="AP107" i="3"/>
  <c r="AN107" i="3"/>
  <c r="AO108" i="3"/>
  <c r="AM108" i="3"/>
  <c r="AM110" i="3"/>
  <c r="AP113" i="3"/>
  <c r="AP121" i="3"/>
  <c r="AM86" i="3"/>
  <c r="AP91" i="3"/>
  <c r="AP93" i="3"/>
  <c r="AN93" i="3"/>
  <c r="AM94" i="3"/>
  <c r="AP101" i="3"/>
  <c r="AN101" i="3"/>
  <c r="AM102" i="3"/>
  <c r="AN104" i="3"/>
  <c r="AO111" i="3"/>
  <c r="AM113" i="3"/>
  <c r="AN115" i="3"/>
  <c r="AP115" i="3"/>
  <c r="AO115" i="3"/>
  <c r="AM121" i="3"/>
  <c r="AN123" i="3"/>
  <c r="AP123" i="3"/>
  <c r="AO123" i="3"/>
  <c r="AP79" i="3"/>
  <c r="AN79" i="3"/>
  <c r="AN82" i="3"/>
  <c r="AP85" i="3"/>
  <c r="AP87" i="3"/>
  <c r="AN87" i="3"/>
  <c r="AN90" i="3"/>
  <c r="AP95" i="3"/>
  <c r="AN95" i="3"/>
  <c r="AN98" i="3"/>
  <c r="AP103" i="3"/>
  <c r="AN103" i="3"/>
  <c r="F105" i="3"/>
  <c r="AP105" i="3" s="1"/>
  <c r="AN106" i="3"/>
  <c r="E109" i="3"/>
  <c r="AN110" i="3"/>
  <c r="E112" i="3"/>
  <c r="AP114" i="3"/>
  <c r="AN114" i="3"/>
  <c r="F116" i="3"/>
  <c r="AN117" i="3"/>
  <c r="AP122" i="3"/>
  <c r="AN122" i="3"/>
  <c r="F124" i="3"/>
  <c r="AN125" i="3"/>
  <c r="AP125" i="3"/>
  <c r="AP128" i="3"/>
  <c r="AN128" i="3"/>
  <c r="AO128" i="3"/>
  <c r="AO129" i="3"/>
  <c r="AN133" i="3"/>
  <c r="AP136" i="3"/>
  <c r="AN136" i="3"/>
  <c r="AO136" i="3"/>
  <c r="AO137" i="3"/>
  <c r="AP140" i="3"/>
  <c r="AN140" i="3"/>
  <c r="AO142" i="3"/>
  <c r="AM142" i="3"/>
  <c r="AP148" i="3"/>
  <c r="AN148" i="3"/>
  <c r="AO150" i="3"/>
  <c r="AO152" i="3"/>
  <c r="AO154" i="3"/>
  <c r="AM157" i="3"/>
  <c r="AO157" i="3"/>
  <c r="AO158" i="3"/>
  <c r="AM163" i="3"/>
  <c r="AO163" i="3"/>
  <c r="AP165" i="3"/>
  <c r="AN165" i="3"/>
  <c r="AM167" i="3"/>
  <c r="AP116" i="3"/>
  <c r="AN116" i="3"/>
  <c r="F118" i="3"/>
  <c r="AN119" i="3"/>
  <c r="AP124" i="3"/>
  <c r="AN124" i="3"/>
  <c r="AP126" i="3"/>
  <c r="AN126" i="3"/>
  <c r="AO126" i="3"/>
  <c r="AM132" i="3"/>
  <c r="AM133" i="3"/>
  <c r="AP134" i="3"/>
  <c r="AN134" i="3"/>
  <c r="AO134" i="3"/>
  <c r="AP142" i="3"/>
  <c r="AN142" i="3"/>
  <c r="AO144" i="3"/>
  <c r="AM144" i="3"/>
  <c r="AP150" i="3"/>
  <c r="AN150" i="3"/>
  <c r="AP152" i="3"/>
  <c r="AN152" i="3"/>
  <c r="AP154" i="3"/>
  <c r="AN154" i="3"/>
  <c r="AN155" i="3"/>
  <c r="AP158" i="3"/>
  <c r="AN158" i="3"/>
  <c r="AO160" i="3"/>
  <c r="AN113" i="3"/>
  <c r="AP118" i="3"/>
  <c r="AN118" i="3"/>
  <c r="AN121" i="3"/>
  <c r="AN129" i="3"/>
  <c r="AN137" i="3"/>
  <c r="AO138" i="3"/>
  <c r="AM138" i="3"/>
  <c r="AP144" i="3"/>
  <c r="AN144" i="3"/>
  <c r="AO146" i="3"/>
  <c r="AM146" i="3"/>
  <c r="AM155" i="3"/>
  <c r="AO155" i="3"/>
  <c r="AN159" i="3"/>
  <c r="AP159" i="3"/>
  <c r="AP160" i="3"/>
  <c r="AN160" i="3"/>
  <c r="AO166" i="3"/>
  <c r="AM166" i="3"/>
  <c r="AP130" i="3"/>
  <c r="AN130" i="3"/>
  <c r="AO130" i="3"/>
  <c r="AP132" i="3"/>
  <c r="AN132" i="3"/>
  <c r="AP138" i="3"/>
  <c r="AN138" i="3"/>
  <c r="AO140" i="3"/>
  <c r="AM140" i="3"/>
  <c r="AP146" i="3"/>
  <c r="AN146" i="3"/>
  <c r="AO148" i="3"/>
  <c r="AM148" i="3"/>
  <c r="AP156" i="3"/>
  <c r="AN156" i="3"/>
  <c r="AN157" i="3"/>
  <c r="AM159" i="3"/>
  <c r="AO159" i="3"/>
  <c r="AM161" i="3"/>
  <c r="AO161" i="3"/>
  <c r="AP163" i="3"/>
  <c r="AM165" i="3"/>
  <c r="AO165" i="3"/>
  <c r="AN166" i="3"/>
  <c r="AM150" i="3"/>
  <c r="AM152" i="3"/>
  <c r="AM154" i="3"/>
  <c r="AM156" i="3"/>
  <c r="AM158" i="3"/>
  <c r="AM160" i="3"/>
  <c r="F162" i="3"/>
  <c r="AN163" i="3"/>
  <c r="AP164" i="3"/>
  <c r="AP166" i="3"/>
  <c r="AP168" i="3"/>
  <c r="AP127" i="3"/>
  <c r="AP129" i="3"/>
  <c r="AP131" i="3"/>
  <c r="AP133" i="3"/>
  <c r="AP135" i="3"/>
  <c r="AP137" i="3"/>
  <c r="AP139" i="3"/>
  <c r="AP141" i="3"/>
  <c r="AP143" i="3"/>
  <c r="AP145" i="3"/>
  <c r="AP147" i="3"/>
  <c r="AP149" i="3"/>
  <c r="AP151" i="3"/>
  <c r="AP153" i="3"/>
  <c r="AP155" i="3"/>
  <c r="AP157" i="3"/>
  <c r="AP161" i="3"/>
  <c r="AM164" i="3"/>
  <c r="AM168" i="3"/>
  <c r="E167" i="3"/>
  <c r="AP167" i="3" l="1"/>
  <c r="AN167" i="3"/>
  <c r="AO162" i="3"/>
  <c r="AM162" i="3"/>
  <c r="AP162" i="3"/>
  <c r="AM120" i="3"/>
  <c r="AO120" i="3"/>
  <c r="AM75" i="3"/>
  <c r="AO75" i="3"/>
  <c r="AM63" i="3"/>
  <c r="AO63" i="3"/>
  <c r="AM49" i="3"/>
  <c r="AO49" i="3"/>
  <c r="AM77" i="3"/>
  <c r="AO77" i="3"/>
  <c r="AP51" i="3"/>
  <c r="AN51" i="3"/>
  <c r="AP36" i="3"/>
  <c r="AN36" i="3"/>
  <c r="AP18" i="3"/>
  <c r="AN18" i="3"/>
  <c r="AP10" i="3"/>
  <c r="AN10" i="3"/>
  <c r="AP57" i="3"/>
  <c r="AN57" i="3"/>
  <c r="AP73" i="3"/>
  <c r="AN73" i="3"/>
  <c r="AP49" i="3"/>
  <c r="AO167" i="3"/>
  <c r="AP112" i="3"/>
  <c r="AN112" i="3"/>
  <c r="AM105" i="3"/>
  <c r="AO105" i="3"/>
  <c r="AO101" i="3"/>
  <c r="AM101" i="3"/>
  <c r="AP120" i="3"/>
  <c r="AN120" i="3"/>
  <c r="AP65" i="3"/>
  <c r="AN65" i="3"/>
  <c r="AP61" i="3"/>
  <c r="AN61" i="3"/>
  <c r="AP53" i="3"/>
  <c r="AN53" i="3"/>
  <c r="AN43" i="3"/>
  <c r="AP43" i="3"/>
  <c r="AM97" i="3"/>
  <c r="AO97" i="3"/>
  <c r="AM81" i="3"/>
  <c r="AO81" i="3"/>
  <c r="AP69" i="3"/>
  <c r="AN69" i="3"/>
  <c r="AP34" i="3"/>
  <c r="AN34" i="3"/>
  <c r="AP16" i="3"/>
  <c r="AN16" i="3"/>
  <c r="AP8" i="3"/>
  <c r="AN8" i="3"/>
  <c r="AM73" i="3"/>
  <c r="AO73" i="3"/>
  <c r="AO43" i="3"/>
  <c r="AO18" i="3"/>
  <c r="AO10" i="3"/>
  <c r="AM118" i="3"/>
  <c r="AO118" i="3"/>
  <c r="AO124" i="3"/>
  <c r="AM124" i="3"/>
  <c r="AO116" i="3"/>
  <c r="AM116" i="3"/>
  <c r="AO93" i="3"/>
  <c r="AM93" i="3"/>
  <c r="AM65" i="3"/>
  <c r="AO65" i="3"/>
  <c r="AM61" i="3"/>
  <c r="AO61" i="3"/>
  <c r="AP97" i="3"/>
  <c r="AN97" i="3"/>
  <c r="AP81" i="3"/>
  <c r="AN81" i="3"/>
  <c r="AM69" i="3"/>
  <c r="AO69" i="3"/>
  <c r="AP24" i="3"/>
  <c r="AN24" i="3"/>
  <c r="AP14" i="3"/>
  <c r="AN14" i="3"/>
  <c r="AP6" i="3"/>
  <c r="AN6" i="3"/>
  <c r="AP71" i="3"/>
  <c r="AN71" i="3"/>
  <c r="AO53" i="3"/>
  <c r="AO36" i="3"/>
  <c r="AO51" i="3"/>
  <c r="AN162" i="3"/>
  <c r="AN109" i="3"/>
  <c r="AP109" i="3"/>
  <c r="AO109" i="3"/>
  <c r="AP89" i="3"/>
  <c r="AN89" i="3"/>
  <c r="AO112" i="3"/>
  <c r="AN105" i="3"/>
  <c r="AP75" i="3"/>
  <c r="AN75" i="3"/>
  <c r="AP63" i="3"/>
  <c r="AN63" i="3"/>
  <c r="AP77" i="3"/>
  <c r="AN77" i="3"/>
  <c r="AP40" i="3"/>
  <c r="AN40" i="3"/>
  <c r="AP20" i="3"/>
  <c r="AN20" i="3"/>
  <c r="AP12" i="3"/>
  <c r="AN12" i="3"/>
  <c r="AM71" i="3"/>
  <c r="AO71" i="3"/>
  <c r="AO24" i="3"/>
  <c r="AO16" i="3"/>
  <c r="AO8" i="3"/>
  <c r="AO57" i="3"/>
  <c r="AN49" i="3"/>
  <c r="AO14" i="3"/>
  <c r="AO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aaave</author>
  </authors>
  <commentList>
    <comment ref="B1" authorId="0" shapeId="0" xr:uid="{65B9CB65-0DAF-EC47-8C67-18EF912460C4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Line name</t>
        </r>
      </text>
    </comment>
    <comment ref="C1" authorId="0" shapeId="0" xr:uid="{2AB54167-C6AB-BA4E-AC5D-77F9DDD403FC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bus number</t>
        </r>
      </text>
    </comment>
    <comment ref="D1" authorId="0" shapeId="0" xr:uid="{C4053129-3AD6-1843-B0F5-4558CA2EEB23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 bus number</t>
        </r>
      </text>
    </comment>
    <comment ref="E1" authorId="0" shapeId="0" xr:uid="{12BCA81A-7C43-1449-A9A0-3CCE216C9B00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Resistance (DEAFULT: must input; p.u.)</t>
        </r>
      </text>
    </comment>
    <comment ref="F1" authorId="0" shapeId="0" xr:uid="{C27CB187-08BF-4F46-A025-037B75FA3048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Reactance (DEAFULT: must input; p.u.)</t>
        </r>
      </text>
    </comment>
    <comment ref="G1" authorId="0" shapeId="0" xr:uid="{4E02CCB6-418C-0E47-9F9D-9DF9230642D4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Flow limit A (DEFAULT: 0; MVA)</t>
        </r>
      </text>
    </comment>
    <comment ref="H1" authorId="0" shapeId="0" xr:uid="{11D11599-B932-7A48-BAE2-4AE0634FFC40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Flow limit B (DEFAULT: 0; MVA)</t>
        </r>
      </text>
    </comment>
    <comment ref="I1" authorId="0" shapeId="0" xr:uid="{816E58F1-E52C-5E4B-A251-F9A82527F91B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Flow limit C (DEFAULT: 0; MVA)</t>
        </r>
      </text>
    </comment>
    <comment ref="J1" authorId="0" shapeId="0" xr:uid="{7DB6EB76-904C-1D4D-8EC8-95D08B1F1274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Line shunt conductance at from bus side (DEFAULT: 0; p.u.)</t>
        </r>
      </text>
    </comment>
    <comment ref="K1" authorId="0" shapeId="0" xr:uid="{3E3638E4-57B2-CE43-9BD8-95FAC71C3AE7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Line shunt susceptance at from bus side (DEFAULT: 0; p.u.)</t>
        </r>
      </text>
    </comment>
    <comment ref="L1" authorId="0" shapeId="0" xr:uid="{1927953C-0B4B-704C-BFE8-EB11879F7B2F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Line shunt conductance at to bus side (DEFAULT: 0; p.u.)</t>
        </r>
      </text>
    </comment>
    <comment ref="M1" authorId="0" shapeId="0" xr:uid="{6746BF16-36F9-1D48-B560-BEB220D3F94C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Line shunt susceptance at to bus side (DEFAULT: 0; p.u.)</t>
        </r>
      </text>
    </comment>
    <comment ref="N1" authorId="0" shapeId="0" xr:uid="{A78F7D77-29C3-CF4F-B755-FED94BE83BEF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Branch length (km) (DEFAULT: 0)</t>
        </r>
      </text>
    </comment>
    <comment ref="O1" authorId="0" shapeId="0" xr:uid="{1334330D-C1A9-9247-B752-8CDF6084F10A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Transmission usage charge ($/MW/km)</t>
        </r>
      </text>
    </comment>
    <comment ref="P1" authorId="0" shapeId="0" xr:uid="{328B4048-7614-0C4B-89BC-78A041E8AF94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Tap (DEFAULT: 0; p.u.)</t>
        </r>
      </text>
    </comment>
    <comment ref="Q1" authorId="0" shapeId="0" xr:uid="{DD44FE03-E0AE-FB4A-A34F-8A15E9EB6BF4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Phase shifter angle (DEFAULT: 0; degree)</t>
        </r>
      </text>
    </comment>
    <comment ref="R1" authorId="0" shapeId="0" xr:uid="{14FEC8D9-F1B7-1846-A38D-23C3FB9B5597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Zone number (DEFAULT: 1)</t>
        </r>
      </text>
    </comment>
    <comment ref="S1" authorId="0" shapeId="0" xr:uid="{1FA38F21-6FFD-154C-9B2C-FFC52694442C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Owner number (DEFAULT: 1)</t>
        </r>
      </text>
    </comment>
    <comment ref="T1" authorId="0" shapeId="0" xr:uid="{19B02EC8-1B79-C645-87E6-DD129CC7B9A5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Nominal voltage (kV)</t>
        </r>
      </text>
    </comment>
    <comment ref="U1" authorId="0" shapeId="0" xr:uid="{26DC63C5-45FA-A046-9421-2813497C4047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Parallel lines</t>
        </r>
      </text>
    </comment>
    <comment ref="V1" authorId="0" shapeId="0" xr:uid="{13A2CA4F-849B-E34D-A10D-1631F5008C60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Positive sequence resistance per km (Ohm/km)</t>
        </r>
      </text>
    </comment>
    <comment ref="W1" authorId="0" shapeId="0" xr:uid="{7B0ECFBB-54EA-0A47-8DB3-BB88137803A8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Positive sequence reactance per km (Ohm/km)</t>
        </r>
      </text>
    </comment>
    <comment ref="X1" authorId="0" shapeId="0" xr:uid="{C61C4160-E73C-C443-AC20-C6F5C8CB2F98}">
      <text>
        <r>
          <rPr>
            <b/>
            <sz val="9"/>
            <color rgb="FF000000"/>
            <rFont val="Tahoma"/>
            <family val="2"/>
          </rPr>
          <t>aaave: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Positive sequence capacitance per km (microF/km)</t>
        </r>
      </text>
    </comment>
    <comment ref="Z1" authorId="0" shapeId="0" xr:uid="{497AB53D-83F7-6747-AB1D-D031CCECDBAA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Maximum line current (kA)</t>
        </r>
      </text>
    </comment>
    <comment ref="AE1" authorId="0" shapeId="0" xr:uid="{85D6850A-8947-6B44-AFEE-66DE6DFC2EB0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Zero sequence resistance per km (Ohm/km)</t>
        </r>
      </text>
    </comment>
    <comment ref="AF1" authorId="0" shapeId="0" xr:uid="{FCD0642D-7A04-F045-A037-4EB82EBA20C7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Zero sequence reactance per km (Ohm/km)</t>
        </r>
      </text>
    </comment>
    <comment ref="AG1" authorId="0" shapeId="0" xr:uid="{94BAFC45-FC57-BD4F-8403-8FF8065A304F}">
      <text>
        <r>
          <rPr>
            <b/>
            <sz val="9"/>
            <color indexed="81"/>
            <rFont val="Tahoma"/>
            <family val="2"/>
          </rPr>
          <t>aaave:</t>
        </r>
        <r>
          <rPr>
            <sz val="9"/>
            <color indexed="81"/>
            <rFont val="Tahoma"/>
            <family val="2"/>
          </rPr>
          <t xml:space="preserve">
Zero sequence capacitance per km (microF/km)</t>
        </r>
      </text>
    </comment>
  </commentList>
</comments>
</file>

<file path=xl/sharedStrings.xml><?xml version="1.0" encoding="utf-8"?>
<sst xmlns="http://schemas.openxmlformats.org/spreadsheetml/2006/main" count="1610" uniqueCount="524">
  <si>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</si>
  <si>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</si>
  <si>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</si>
  <si>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</si>
  <si>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</si>
  <si>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</si>
  <si>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</si>
  <si>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</si>
  <si>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</si>
  <si>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</si>
  <si>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</si>
  <si>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</si>
  <si>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</si>
  <si>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</si>
  <si>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</si>
  <si>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Name</t>
  </si>
  <si>
    <t>from</t>
  </si>
  <si>
    <t>to</t>
  </si>
  <si>
    <t>R</t>
  </si>
  <si>
    <t>X</t>
  </si>
  <si>
    <t>Flowlimit</t>
  </si>
  <si>
    <t>RATEB</t>
  </si>
  <si>
    <t>RATEC</t>
  </si>
  <si>
    <t>GI</t>
  </si>
  <si>
    <t>BI</t>
  </si>
  <si>
    <t>GJ</t>
  </si>
  <si>
    <t>BJ</t>
  </si>
  <si>
    <t>Length</t>
  </si>
  <si>
    <t>Usage Charge</t>
  </si>
  <si>
    <t>Tap</t>
  </si>
  <si>
    <t>Angle</t>
  </si>
  <si>
    <t>Zone</t>
  </si>
  <si>
    <t>Z_pu</t>
  </si>
  <si>
    <t>V_nom [kV]</t>
  </si>
  <si>
    <t>N_Lineas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</si>
  <si>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</si>
  <si>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</si>
  <si>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</si>
  <si>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</si>
  <si>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</si>
  <si>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</si>
  <si>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</si>
  <si>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type</t>
  </si>
  <si>
    <t>in_service</t>
  </si>
  <si>
    <t>r0_ohm_per_km</t>
  </si>
  <si>
    <t>x0_ohm_per_km</t>
  </si>
  <si>
    <t>c0_nf_per_km</t>
  </si>
  <si>
    <t>max_loading_percent</t>
  </si>
  <si>
    <t>alpha</t>
  </si>
  <si>
    <t>Area_C</t>
  </si>
  <si>
    <t>SubArea_C</t>
  </si>
  <si>
    <t>b</t>
  </si>
  <si>
    <t>bij</t>
  </si>
  <si>
    <t>z</t>
  </si>
  <si>
    <t>th</t>
  </si>
  <si>
    <t>K</t>
  </si>
  <si>
    <t>fi</t>
  </si>
  <si>
    <t>bsh</t>
  </si>
  <si>
    <t>l1</t>
  </si>
  <si>
    <t>b116</t>
  </si>
  <si>
    <t>ol</t>
  </si>
  <si>
    <t>l2</t>
  </si>
  <si>
    <t>l3</t>
  </si>
  <si>
    <t>b84</t>
  </si>
  <si>
    <t>b87</t>
  </si>
  <si>
    <t>l4</t>
  </si>
  <si>
    <t>l5</t>
  </si>
  <si>
    <t>l6</t>
  </si>
  <si>
    <t>l7</t>
  </si>
  <si>
    <t>l8</t>
  </si>
  <si>
    <t>l9</t>
  </si>
  <si>
    <t>b66</t>
  </si>
  <si>
    <t>l10</t>
  </si>
  <si>
    <t>l11</t>
  </si>
  <si>
    <t>l12</t>
  </si>
  <si>
    <t>b60</t>
  </si>
  <si>
    <t>l13</t>
  </si>
  <si>
    <t>l14</t>
  </si>
  <si>
    <t>l15</t>
  </si>
  <si>
    <t>b59</t>
  </si>
  <si>
    <t>l16</t>
  </si>
  <si>
    <t>l17</t>
  </si>
  <si>
    <t>l18</t>
  </si>
  <si>
    <t>l19</t>
  </si>
  <si>
    <t>l20</t>
  </si>
  <si>
    <t>l21</t>
  </si>
  <si>
    <t>l22</t>
  </si>
  <si>
    <t>b16</t>
  </si>
  <si>
    <t>b89</t>
  </si>
  <si>
    <t>l23</t>
  </si>
  <si>
    <t>b63</t>
  </si>
  <si>
    <t>l24</t>
  </si>
  <si>
    <t>b111</t>
  </si>
  <si>
    <t>l25</t>
  </si>
  <si>
    <t>b20</t>
  </si>
  <si>
    <t>b22</t>
  </si>
  <si>
    <t>l26</t>
  </si>
  <si>
    <t>b19</t>
  </si>
  <si>
    <t>b21</t>
  </si>
  <si>
    <t>l27</t>
  </si>
  <si>
    <t>b17</t>
  </si>
  <si>
    <t>b25</t>
  </si>
  <si>
    <t>l28</t>
  </si>
  <si>
    <t>b18</t>
  </si>
  <si>
    <t>l29</t>
  </si>
  <si>
    <t>b23</t>
  </si>
  <si>
    <t>b96</t>
  </si>
  <si>
    <t>l30</t>
  </si>
  <si>
    <t>b27</t>
  </si>
  <si>
    <t>l31</t>
  </si>
  <si>
    <t>l32</t>
  </si>
  <si>
    <t>l33</t>
  </si>
  <si>
    <t>b28</t>
  </si>
  <si>
    <t>l34</t>
  </si>
  <si>
    <t>l35</t>
  </si>
  <si>
    <t>b26</t>
  </si>
  <si>
    <t>l36</t>
  </si>
  <si>
    <t>b29</t>
  </si>
  <si>
    <t>l37</t>
  </si>
  <si>
    <t>b24</t>
  </si>
  <si>
    <t>l38</t>
  </si>
  <si>
    <t>l39</t>
  </si>
  <si>
    <t>b30</t>
  </si>
  <si>
    <t>l40</t>
  </si>
  <si>
    <t>b76</t>
  </si>
  <si>
    <t>l41</t>
  </si>
  <si>
    <t>l42</t>
  </si>
  <si>
    <t>b31</t>
  </si>
  <si>
    <t>l43</t>
  </si>
  <si>
    <t>l44</t>
  </si>
  <si>
    <t>l45</t>
  </si>
  <si>
    <t>l46</t>
  </si>
  <si>
    <t>b32</t>
  </si>
  <si>
    <t>b33</t>
  </si>
  <si>
    <t>l47</t>
  </si>
  <si>
    <t>b36</t>
  </si>
  <si>
    <t>b38</t>
  </si>
  <si>
    <t>l48</t>
  </si>
  <si>
    <t>b34</t>
  </si>
  <si>
    <t>b48</t>
  </si>
  <si>
    <t>l49</t>
  </si>
  <si>
    <t>l50</t>
  </si>
  <si>
    <t>l51</t>
  </si>
  <si>
    <t>b90</t>
  </si>
  <si>
    <t>l52</t>
  </si>
  <si>
    <t>l53</t>
  </si>
  <si>
    <t>l54</t>
  </si>
  <si>
    <t>b35</t>
  </si>
  <si>
    <t>l55</t>
  </si>
  <si>
    <t>b98</t>
  </si>
  <si>
    <t>b37</t>
  </si>
  <si>
    <t>l56</t>
  </si>
  <si>
    <t>l57</t>
  </si>
  <si>
    <t>b39</t>
  </si>
  <si>
    <t>b44</t>
  </si>
  <si>
    <t>l58</t>
  </si>
  <si>
    <t>b47</t>
  </si>
  <si>
    <t>l59</t>
  </si>
  <si>
    <t>b42</t>
  </si>
  <si>
    <t>l60</t>
  </si>
  <si>
    <t>b50</t>
  </si>
  <si>
    <t>b43</t>
  </si>
  <si>
    <t>l61</t>
  </si>
  <si>
    <t>b54</t>
  </si>
  <si>
    <t>b41</t>
  </si>
  <si>
    <t>l62</t>
  </si>
  <si>
    <t>l63</t>
  </si>
  <si>
    <t>l64</t>
  </si>
  <si>
    <t>b40</t>
  </si>
  <si>
    <t>l65</t>
  </si>
  <si>
    <t>l66</t>
  </si>
  <si>
    <t>l67</t>
  </si>
  <si>
    <t>l68</t>
  </si>
  <si>
    <t>b45</t>
  </si>
  <si>
    <t>l69</t>
  </si>
  <si>
    <t>l70</t>
  </si>
  <si>
    <t>b46</t>
  </si>
  <si>
    <t>l71</t>
  </si>
  <si>
    <t>l72</t>
  </si>
  <si>
    <t>l73</t>
  </si>
  <si>
    <t>b52</t>
  </si>
  <si>
    <t>l74</t>
  </si>
  <si>
    <t>b49</t>
  </si>
  <si>
    <t>l75</t>
  </si>
  <si>
    <t>l76</t>
  </si>
  <si>
    <t>b51</t>
  </si>
  <si>
    <t>l77</t>
  </si>
  <si>
    <t>l78</t>
  </si>
  <si>
    <t>b55</t>
  </si>
  <si>
    <t>l79</t>
  </si>
  <si>
    <t>l80</t>
  </si>
  <si>
    <t>b56</t>
  </si>
  <si>
    <t>l81</t>
  </si>
  <si>
    <t>l82</t>
  </si>
  <si>
    <t>l83</t>
  </si>
  <si>
    <t>b53</t>
  </si>
  <si>
    <t>l84</t>
  </si>
  <si>
    <t>b57</t>
  </si>
  <si>
    <t>b58</t>
  </si>
  <si>
    <t>l85</t>
  </si>
  <si>
    <t>b117</t>
  </si>
  <si>
    <t>b77</t>
  </si>
  <si>
    <t>l86</t>
  </si>
  <si>
    <t>l87</t>
  </si>
  <si>
    <t>l88</t>
  </si>
  <si>
    <t>b61</t>
  </si>
  <si>
    <t>l89</t>
  </si>
  <si>
    <t>l90</t>
  </si>
  <si>
    <t>b65</t>
  </si>
  <si>
    <t>l91</t>
  </si>
  <si>
    <t>b62</t>
  </si>
  <si>
    <t>b115</t>
  </si>
  <si>
    <t>l92</t>
  </si>
  <si>
    <t>b64</t>
  </si>
  <si>
    <t>l93</t>
  </si>
  <si>
    <t>l94</t>
  </si>
  <si>
    <t>l95</t>
  </si>
  <si>
    <t>l96</t>
  </si>
  <si>
    <t>l97</t>
  </si>
  <si>
    <t>b68</t>
  </si>
  <si>
    <t>b67</t>
  </si>
  <si>
    <t>l98</t>
  </si>
  <si>
    <t>b69</t>
  </si>
  <si>
    <t>l99</t>
  </si>
  <si>
    <t>l100</t>
  </si>
  <si>
    <t>b119</t>
  </si>
  <si>
    <t>b118</t>
  </si>
  <si>
    <t>l101</t>
  </si>
  <si>
    <t>l102</t>
  </si>
  <si>
    <t>b70</t>
  </si>
  <si>
    <t>l103</t>
  </si>
  <si>
    <t>l104</t>
  </si>
  <si>
    <t>b114</t>
  </si>
  <si>
    <t>l105</t>
  </si>
  <si>
    <t>b71</t>
  </si>
  <si>
    <t>b72</t>
  </si>
  <si>
    <t>l106</t>
  </si>
  <si>
    <t>b73</t>
  </si>
  <si>
    <t>l107</t>
  </si>
  <si>
    <t>b88</t>
  </si>
  <si>
    <t>b74</t>
  </si>
  <si>
    <t>l108</t>
  </si>
  <si>
    <t>l109</t>
  </si>
  <si>
    <t>l110</t>
  </si>
  <si>
    <t>b75</t>
  </si>
  <si>
    <t>l111</t>
  </si>
  <si>
    <t>b120</t>
  </si>
  <si>
    <t>l112</t>
  </si>
  <si>
    <t>b78</t>
  </si>
  <si>
    <t>l113</t>
  </si>
  <si>
    <t>b80</t>
  </si>
  <si>
    <t>l114</t>
  </si>
  <si>
    <t>l115</t>
  </si>
  <si>
    <t>b79</t>
  </si>
  <si>
    <t>l116</t>
  </si>
  <si>
    <t>l117</t>
  </si>
  <si>
    <t>l118</t>
  </si>
  <si>
    <t>l119</t>
  </si>
  <si>
    <t>b81</t>
  </si>
  <si>
    <t>l120</t>
  </si>
  <si>
    <t>b82</t>
  </si>
  <si>
    <t>l121</t>
  </si>
  <si>
    <t>b83</t>
  </si>
  <si>
    <t>l122</t>
  </si>
  <si>
    <t>l123</t>
  </si>
  <si>
    <t>l124</t>
  </si>
  <si>
    <t>b85</t>
  </si>
  <si>
    <t>l125</t>
  </si>
  <si>
    <t>l126</t>
  </si>
  <si>
    <t>b95</t>
  </si>
  <si>
    <t>l127</t>
  </si>
  <si>
    <t>l128</t>
  </si>
  <si>
    <t>l129</t>
  </si>
  <si>
    <t>b86</t>
  </si>
  <si>
    <t>l130</t>
  </si>
  <si>
    <t>l131</t>
  </si>
  <si>
    <t>b105</t>
  </si>
  <si>
    <t>l132</t>
  </si>
  <si>
    <t>l133</t>
  </si>
  <si>
    <t>b99</t>
  </si>
  <si>
    <t>b112</t>
  </si>
  <si>
    <t>l134</t>
  </si>
  <si>
    <t>b100</t>
  </si>
  <si>
    <t>l135</t>
  </si>
  <si>
    <t>b109</t>
  </si>
  <si>
    <t>l136</t>
  </si>
  <si>
    <t>b101</t>
  </si>
  <si>
    <t>b102</t>
  </si>
  <si>
    <t>l137</t>
  </si>
  <si>
    <t>b91</t>
  </si>
  <si>
    <t>l138</t>
  </si>
  <si>
    <t>b93</t>
  </si>
  <si>
    <t>l139</t>
  </si>
  <si>
    <t>l140</t>
  </si>
  <si>
    <t>b103</t>
  </si>
  <si>
    <t>l141</t>
  </si>
  <si>
    <t>b110</t>
  </si>
  <si>
    <t>l142</t>
  </si>
  <si>
    <t>b107</t>
  </si>
  <si>
    <t>l143</t>
  </si>
  <si>
    <t>l144</t>
  </si>
  <si>
    <t>b108</t>
  </si>
  <si>
    <t>l145</t>
  </si>
  <si>
    <t>b94</t>
  </si>
  <si>
    <t>l146</t>
  </si>
  <si>
    <t>b104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</si>
  <si>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</si>
  <si>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</si>
  <si>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</si>
  <si>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</si>
  <si>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</si>
  <si>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</si>
  <si>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</si>
  <si>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</si>
  <si>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</si>
  <si>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</si>
  <si>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</si>
  <si>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</si>
  <si>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b97</t>
  </si>
  <si>
    <t>l159</t>
  </si>
  <si>
    <t>b92</t>
  </si>
  <si>
    <t>l160</t>
  </si>
  <si>
    <t>l161</t>
  </si>
  <si>
    <t>l162</t>
  </si>
  <si>
    <t>l163</t>
  </si>
  <si>
    <t>l164</t>
  </si>
  <si>
    <t>b106</t>
  </si>
  <si>
    <t>l165</t>
  </si>
  <si>
    <t>l166</t>
  </si>
  <si>
    <t>b113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</si>
  <si>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</si>
  <si>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</si>
  <si>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</si>
  <si>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</si>
  <si>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</si>
  <si>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</si>
  <si>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</si>
  <si>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</si>
  <si>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</si>
  <si>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</si>
  <si>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</si>
  <si>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</si>
  <si>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</si>
  <si>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</si>
  <si>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Load Bus</t>
  </si>
  <si>
    <t>name</t>
  </si>
  <si>
    <t>vn_kv</t>
  </si>
  <si>
    <t>zone</t>
  </si>
  <si>
    <t>min_vm_pu</t>
  </si>
  <si>
    <t>max_vm_pu</t>
  </si>
  <si>
    <t>lat</t>
  </si>
  <si>
    <t>lon</t>
  </si>
  <si>
    <t>gshb</t>
  </si>
  <si>
    <t>bshb</t>
  </si>
  <si>
    <t>V0</t>
  </si>
  <si>
    <t>th0</t>
  </si>
  <si>
    <t>Pg0</t>
  </si>
  <si>
    <t>Qg0</t>
  </si>
  <si>
    <t>Flores_220</t>
  </si>
  <si>
    <t>Atlantico</t>
  </si>
  <si>
    <t>CARIBE</t>
  </si>
  <si>
    <t>ATLANTIC</t>
  </si>
  <si>
    <t>Nva_Barranquilla_220</t>
  </si>
  <si>
    <t>Sabanalarga_220</t>
  </si>
  <si>
    <t>Sabanalarga_500</t>
  </si>
  <si>
    <t>Tebsa_220</t>
  </si>
  <si>
    <t>Caracoli_220</t>
  </si>
  <si>
    <t>Cuatricent_220</t>
  </si>
  <si>
    <t>Venezuela_Cuatricentenario</t>
  </si>
  <si>
    <t>VENEZUELA</t>
  </si>
  <si>
    <t>CUATRIC</t>
  </si>
  <si>
    <t>Bosque_220</t>
  </si>
  <si>
    <t>Bolivar</t>
  </si>
  <si>
    <t>BOLIVAR</t>
  </si>
  <si>
    <t>Bolivar_500</t>
  </si>
  <si>
    <t>Bolivar_220</t>
  </si>
  <si>
    <t>Cartagena_220</t>
  </si>
  <si>
    <t>Ternera_220</t>
  </si>
  <si>
    <t>Candelaria_220</t>
  </si>
  <si>
    <t>San_Mateo_220</t>
  </si>
  <si>
    <t>Venezuela_Corozo</t>
  </si>
  <si>
    <t>COROZO</t>
  </si>
  <si>
    <t>Corozo_220</t>
  </si>
  <si>
    <t>Cerromatoso_500</t>
  </si>
  <si>
    <t>Cerromatoso</t>
  </si>
  <si>
    <t>CERROMAT</t>
  </si>
  <si>
    <t>Bacata_220</t>
  </si>
  <si>
    <t>Bogota</t>
  </si>
  <si>
    <t>ORIENTAL</t>
  </si>
  <si>
    <t>BOGOTA</t>
  </si>
  <si>
    <t>Bacata_500</t>
  </si>
  <si>
    <t>Circo_220</t>
  </si>
  <si>
    <t>Guaca_220</t>
  </si>
  <si>
    <t>Guavio_220</t>
  </si>
  <si>
    <t>Mesa_220</t>
  </si>
  <si>
    <t>Noroeste_220</t>
  </si>
  <si>
    <t>Paraiso_220</t>
  </si>
  <si>
    <t>Torca_220</t>
  </si>
  <si>
    <t>Tunal_220</t>
  </si>
  <si>
    <t>Chivor_220</t>
  </si>
  <si>
    <t>Balsillas_220</t>
  </si>
  <si>
    <t>San_Mateo_EEB_220</t>
  </si>
  <si>
    <t>Nva_Esperanza_220</t>
  </si>
  <si>
    <t>Nva_Esperanza_500</t>
  </si>
  <si>
    <t>Enea_220</t>
  </si>
  <si>
    <t>CQR</t>
  </si>
  <si>
    <t>SUROCCID</t>
  </si>
  <si>
    <t>San_Felipe_220</t>
  </si>
  <si>
    <t>Esmeralda_220</t>
  </si>
  <si>
    <t>La_Miel_220</t>
  </si>
  <si>
    <t>Virginia_220</t>
  </si>
  <si>
    <t>Virginia_500</t>
  </si>
  <si>
    <t>Hermosa_220</t>
  </si>
  <si>
    <t>Altamira_220</t>
  </si>
  <si>
    <t>Caqueta</t>
  </si>
  <si>
    <t>CAQUETA</t>
  </si>
  <si>
    <t>Jamondino_220</t>
  </si>
  <si>
    <t>Cauca-Nariño</t>
  </si>
  <si>
    <t>CAUCANAR</t>
  </si>
  <si>
    <t>S_Bernardino_220</t>
  </si>
  <si>
    <t>Tesalia_220</t>
  </si>
  <si>
    <t>Paez_220</t>
  </si>
  <si>
    <t>Betania_220</t>
  </si>
  <si>
    <t>Huila-Tolima</t>
  </si>
  <si>
    <t>HUILATOL</t>
  </si>
  <si>
    <t>Mirolindo(Ibague)_220</t>
  </si>
  <si>
    <t>Tuluni_220</t>
  </si>
  <si>
    <t>Mocoa_220</t>
  </si>
  <si>
    <t>Putumayo</t>
  </si>
  <si>
    <t>PUTUMAYO</t>
  </si>
  <si>
    <t>Yumbo_220</t>
  </si>
  <si>
    <t>Valle</t>
  </si>
  <si>
    <t>VALLE</t>
  </si>
  <si>
    <t>San_Marcos_220</t>
  </si>
  <si>
    <t>Juanchito_220</t>
  </si>
  <si>
    <t>Alto_Anchya_220</t>
  </si>
  <si>
    <t>Pance_220</t>
  </si>
  <si>
    <t>San_Marcos_500</t>
  </si>
  <si>
    <t>Alferez_220</t>
  </si>
  <si>
    <t>Cartago_220</t>
  </si>
  <si>
    <t>Salvajina_220</t>
  </si>
  <si>
    <t>Copey_220</t>
  </si>
  <si>
    <t>GCM</t>
  </si>
  <si>
    <t>Fundacion_220</t>
  </si>
  <si>
    <t>Copey_500</t>
  </si>
  <si>
    <t>Cuestecita_220</t>
  </si>
  <si>
    <t>Guajira_220</t>
  </si>
  <si>
    <t>Santa_Marta_220</t>
  </si>
  <si>
    <t>Valledupar_220</t>
  </si>
  <si>
    <t>Termocol_220</t>
  </si>
  <si>
    <t>R_Cordoba_220</t>
  </si>
  <si>
    <t>Chinu_500</t>
  </si>
  <si>
    <t>Cordoba-Sucre</t>
  </si>
  <si>
    <t>CORDOSUC</t>
  </si>
  <si>
    <t>Urra_220</t>
  </si>
  <si>
    <t>Cerromatoso_220</t>
  </si>
  <si>
    <t>Uraba_220</t>
  </si>
  <si>
    <t>Reforma_220</t>
  </si>
  <si>
    <t>Meta</t>
  </si>
  <si>
    <t>META</t>
  </si>
  <si>
    <t>Banadia_220</t>
  </si>
  <si>
    <t>Arauca</t>
  </si>
  <si>
    <t>NORDEST</t>
  </si>
  <si>
    <t>ARAUCA</t>
  </si>
  <si>
    <t>C_Limon_220</t>
  </si>
  <si>
    <t>Samore_220</t>
  </si>
  <si>
    <t>Toledo_220</t>
  </si>
  <si>
    <t>Paipa_220</t>
  </si>
  <si>
    <t>Boyaca-Casanare</t>
  </si>
  <si>
    <t>BOYCASAN</t>
  </si>
  <si>
    <t>Sochagota_220</t>
  </si>
  <si>
    <t>Ocaña_500</t>
  </si>
  <si>
    <t>Norte de Santander</t>
  </si>
  <si>
    <t>NSANTAND</t>
  </si>
  <si>
    <t>Cucuta(Belen)_220</t>
  </si>
  <si>
    <t>Ocaña_220</t>
  </si>
  <si>
    <t>Tasajero_220</t>
  </si>
  <si>
    <t>Barranca_220</t>
  </si>
  <si>
    <t>Santander</t>
  </si>
  <si>
    <t>SANTANDER</t>
  </si>
  <si>
    <t>Bmanga_220</t>
  </si>
  <si>
    <t>Comuneros_220</t>
  </si>
  <si>
    <t>Guatiguara_220</t>
  </si>
  <si>
    <t>CiraInfanta_220</t>
  </si>
  <si>
    <t>Sogamoso_500</t>
  </si>
  <si>
    <t>Sogamoso_220</t>
  </si>
  <si>
    <t>Palos_220</t>
  </si>
  <si>
    <t>Primavera_500</t>
  </si>
  <si>
    <t>Antioquia</t>
  </si>
  <si>
    <t>ANTIOQUI</t>
  </si>
  <si>
    <t>Ancon_ISA_220</t>
  </si>
  <si>
    <t>Guatape_220</t>
  </si>
  <si>
    <t>La_Sierra_220</t>
  </si>
  <si>
    <t>La_Tasajera_220</t>
  </si>
  <si>
    <t>Occidente_220</t>
  </si>
  <si>
    <t>Primavera_220</t>
  </si>
  <si>
    <t>Purnio_220</t>
  </si>
  <si>
    <t>San_Carlos_220</t>
  </si>
  <si>
    <t>San_Carlos_500</t>
  </si>
  <si>
    <t>Jaguas_220</t>
  </si>
  <si>
    <t>Playas_220</t>
  </si>
  <si>
    <t>Barbosa_220</t>
  </si>
  <si>
    <t>Guadalupe_220</t>
  </si>
  <si>
    <t>Porce_220</t>
  </si>
  <si>
    <t>Oriente_220</t>
  </si>
  <si>
    <t>Ancon_EPM_220</t>
  </si>
  <si>
    <t>Termo_Centro_220</t>
  </si>
  <si>
    <t>Bello_220</t>
  </si>
  <si>
    <t>Envigado_220</t>
  </si>
  <si>
    <t>Miraflores_220</t>
  </si>
  <si>
    <t>El_Salto_220</t>
  </si>
  <si>
    <t>Porce_III_500</t>
  </si>
  <si>
    <t>Malena_220</t>
  </si>
  <si>
    <t>Guayabal_220</t>
  </si>
  <si>
    <t>Pomasqui_220</t>
  </si>
  <si>
    <t>Ecuador</t>
  </si>
  <si>
    <t>ECUADOR220</t>
  </si>
  <si>
    <t>Drummond_220</t>
  </si>
  <si>
    <t>El_Rio_220</t>
  </si>
  <si>
    <t>La_Loma_500</t>
  </si>
  <si>
    <t>Chinu_220</t>
  </si>
  <si>
    <t>Monteria_220</t>
  </si>
  <si>
    <t>San_Antonio_220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</si>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</sst>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indexed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 Unicode MS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3" fillId="0" borderId="0" xfId="1"/>
    <xf numFmtId="11" fontId="0" fillId="0" borderId="0" xfId="0" applyNumberFormat="1"/>
    <xf numFmtId="0" fontId="3" fillId="0" borderId="0" xfId="2"/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top"/>
    </xf>
    <xf numFmtId="1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3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3" fillId="0" borderId="0" xfId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top"/>
    </xf>
    <xf numFmtId="0" fontId="1" fillId="0" borderId="0" xfId="1" applyFont="1" applyAlignment="1">
      <alignment horizontal="center" vertical="top"/>
    </xf>
  </cellXfs>
  <cellStyles count="4">
    <cellStyle name="Normal" xfId="0" builtinId="0"/>
    <cellStyle name="Normal 2" xfId="3" xr:uid="{6F1F315B-CB7F-B94F-9AC3-19C337DAC881}"/>
    <cellStyle name="Normal 4" xfId="1" xr:uid="{E0B3995E-FBFB-F34A-88C4-C632292B8341}"/>
    <cellStyle name="Normal 5" xfId="2" xr:uid="{F8FEEC8F-D1AA-BF4B-872A-EF2F7F10F8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aroavendano/Documents/Python/HEPISA/Casos_estudio/Colombia_220_ISA2021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_data"/>
      <sheetName val="Bus"/>
      <sheetName val="Branch"/>
      <sheetName val="Branch_map"/>
      <sheetName val="Trafo2"/>
      <sheetName val="SM_Unit"/>
      <sheetName val="SM_map"/>
      <sheetName val="Gen_Info"/>
      <sheetName val="Renewable"/>
      <sheetName val="Reservoir"/>
      <sheetName val="load"/>
      <sheetName val="load_info"/>
      <sheetName val="load_factor"/>
      <sheetName val="Reserve"/>
      <sheetName val="ESS_Unit"/>
      <sheetName val="ESS_map"/>
      <sheetName val="ESS_Energy_price"/>
      <sheetName val="C_DR_load"/>
      <sheetName val="PDR"/>
    </sheetNames>
    <sheetDataSet>
      <sheetData sheetId="0" refreshError="1"/>
      <sheetData sheetId="1">
        <row r="2">
          <cell r="A2" t="str">
            <v>b1</v>
          </cell>
          <cell r="C2" t="str">
            <v>Flores_220</v>
          </cell>
          <cell r="J2" t="str">
            <v>CARIBE</v>
          </cell>
          <cell r="K2" t="str">
            <v>ATLANTIC</v>
          </cell>
        </row>
        <row r="3">
          <cell r="A3" t="str">
            <v>b2</v>
          </cell>
          <cell r="C3" t="str">
            <v>Nva_Barranquilla_220</v>
          </cell>
          <cell r="J3" t="str">
            <v>CARIBE</v>
          </cell>
          <cell r="K3" t="str">
            <v>ATLANTIC</v>
          </cell>
        </row>
        <row r="4">
          <cell r="A4" t="str">
            <v>b3</v>
          </cell>
          <cell r="C4" t="str">
            <v>Sabanalarga_220</v>
          </cell>
          <cell r="J4" t="str">
            <v>CARIBE</v>
          </cell>
          <cell r="K4" t="str">
            <v>ATLANTIC</v>
          </cell>
        </row>
        <row r="5">
          <cell r="A5" t="str">
            <v>b4</v>
          </cell>
          <cell r="C5" t="str">
            <v>Sabanalarga_500</v>
          </cell>
          <cell r="J5" t="str">
            <v>CARIBE</v>
          </cell>
          <cell r="K5" t="str">
            <v>ATLANTIC</v>
          </cell>
        </row>
        <row r="6">
          <cell r="A6" t="str">
            <v>b5</v>
          </cell>
          <cell r="C6" t="str">
            <v>Tebsa_220</v>
          </cell>
          <cell r="J6" t="str">
            <v>CARIBE</v>
          </cell>
          <cell r="K6" t="str">
            <v>ATLANTIC</v>
          </cell>
        </row>
        <row r="7">
          <cell r="A7" t="str">
            <v>b6</v>
          </cell>
          <cell r="C7" t="str">
            <v>Caracoli_220</v>
          </cell>
          <cell r="J7" t="str">
            <v>CARIBE</v>
          </cell>
          <cell r="K7" t="str">
            <v>ATLANTIC</v>
          </cell>
        </row>
        <row r="8">
          <cell r="A8" t="str">
            <v>b7</v>
          </cell>
          <cell r="C8" t="str">
            <v>Cuatricent_220</v>
          </cell>
          <cell r="J8" t="str">
            <v>VENEZUELA</v>
          </cell>
          <cell r="K8" t="str">
            <v>CUATRIC</v>
          </cell>
        </row>
        <row r="9">
          <cell r="A9" t="str">
            <v>b8</v>
          </cell>
          <cell r="C9" t="str">
            <v>Bosque_220</v>
          </cell>
          <cell r="J9" t="str">
            <v>CARIBE</v>
          </cell>
          <cell r="K9" t="str">
            <v>BOLIVAR</v>
          </cell>
        </row>
        <row r="10">
          <cell r="A10" t="str">
            <v>b9</v>
          </cell>
          <cell r="C10" t="str">
            <v>Bolivar_500</v>
          </cell>
          <cell r="J10" t="str">
            <v>CARIBE</v>
          </cell>
          <cell r="K10" t="str">
            <v>BOLIVAR</v>
          </cell>
        </row>
        <row r="11">
          <cell r="A11" t="str">
            <v>b10</v>
          </cell>
          <cell r="C11" t="str">
            <v>Bolivar_220</v>
          </cell>
          <cell r="J11" t="str">
            <v>CARIBE</v>
          </cell>
          <cell r="K11" t="str">
            <v>BOLIVAR</v>
          </cell>
        </row>
        <row r="12">
          <cell r="A12" t="str">
            <v>b11</v>
          </cell>
          <cell r="C12" t="str">
            <v>Cartagena_220</v>
          </cell>
          <cell r="J12" t="str">
            <v>CARIBE</v>
          </cell>
          <cell r="K12" t="str">
            <v>BOLIVAR</v>
          </cell>
        </row>
        <row r="13">
          <cell r="A13" t="str">
            <v>b12</v>
          </cell>
          <cell r="C13" t="str">
            <v>Ternera_220</v>
          </cell>
          <cell r="J13" t="str">
            <v>CARIBE</v>
          </cell>
          <cell r="K13" t="str">
            <v>BOLIVAR</v>
          </cell>
        </row>
        <row r="14">
          <cell r="A14" t="str">
            <v>b13</v>
          </cell>
          <cell r="C14" t="str">
            <v>Candelaria_220</v>
          </cell>
          <cell r="J14" t="str">
            <v>CARIBE</v>
          </cell>
          <cell r="K14" t="str">
            <v>BOLIVAR</v>
          </cell>
        </row>
        <row r="15">
          <cell r="A15" t="str">
            <v>b14</v>
          </cell>
          <cell r="C15" t="str">
            <v>San_Mateo_220</v>
          </cell>
          <cell r="J15" t="str">
            <v>VENEZUELA</v>
          </cell>
          <cell r="K15" t="str">
            <v>COROZO</v>
          </cell>
        </row>
        <row r="16">
          <cell r="A16" t="str">
            <v>b15</v>
          </cell>
          <cell r="C16" t="str">
            <v>Corozo_220</v>
          </cell>
          <cell r="J16" t="str">
            <v>VENEZUELA</v>
          </cell>
          <cell r="K16" t="str">
            <v>COROZO</v>
          </cell>
        </row>
        <row r="17">
          <cell r="A17" t="str">
            <v>b16</v>
          </cell>
          <cell r="C17" t="str">
            <v>Cerromatoso_500</v>
          </cell>
          <cell r="J17" t="str">
            <v>CARIBE</v>
          </cell>
          <cell r="K17" t="str">
            <v>CERROMAT</v>
          </cell>
        </row>
        <row r="18">
          <cell r="A18" t="str">
            <v>b17</v>
          </cell>
          <cell r="C18" t="str">
            <v>Bacata_220</v>
          </cell>
          <cell r="J18" t="str">
            <v>ORIENTAL</v>
          </cell>
          <cell r="K18" t="str">
            <v>BOGOTA</v>
          </cell>
        </row>
        <row r="19">
          <cell r="A19" t="str">
            <v>b18</v>
          </cell>
          <cell r="C19" t="str">
            <v>Bacata_500</v>
          </cell>
          <cell r="J19" t="str">
            <v>ORIENTAL</v>
          </cell>
          <cell r="K19" t="str">
            <v>BOGOTA</v>
          </cell>
        </row>
        <row r="20">
          <cell r="A20" t="str">
            <v>b19</v>
          </cell>
          <cell r="C20" t="str">
            <v>Circo_220</v>
          </cell>
          <cell r="J20" t="str">
            <v>ORIENTAL</v>
          </cell>
          <cell r="K20" t="str">
            <v>BOGOTA</v>
          </cell>
        </row>
        <row r="21">
          <cell r="A21" t="str">
            <v>b20</v>
          </cell>
          <cell r="C21" t="str">
            <v>Guaca_220</v>
          </cell>
          <cell r="J21" t="str">
            <v>ORIENTAL</v>
          </cell>
          <cell r="K21" t="str">
            <v>BOGOTA</v>
          </cell>
        </row>
        <row r="22">
          <cell r="A22" t="str">
            <v>b21</v>
          </cell>
          <cell r="C22" t="str">
            <v>Guavio_220</v>
          </cell>
          <cell r="J22" t="str">
            <v>ORIENTAL</v>
          </cell>
          <cell r="K22" t="str">
            <v>BOGOTA</v>
          </cell>
        </row>
        <row r="23">
          <cell r="A23" t="str">
            <v>b22</v>
          </cell>
          <cell r="C23" t="str">
            <v>Mesa_220</v>
          </cell>
          <cell r="J23" t="str">
            <v>ORIENTAL</v>
          </cell>
          <cell r="K23" t="str">
            <v>BOGOTA</v>
          </cell>
        </row>
        <row r="24">
          <cell r="A24" t="str">
            <v>b23</v>
          </cell>
          <cell r="C24" t="str">
            <v>Noroeste_220</v>
          </cell>
          <cell r="J24" t="str">
            <v>ORIENTAL</v>
          </cell>
          <cell r="K24" t="str">
            <v>BOGOTA</v>
          </cell>
        </row>
        <row r="25">
          <cell r="A25" t="str">
            <v>b24</v>
          </cell>
          <cell r="C25" t="str">
            <v>Paraiso_220</v>
          </cell>
          <cell r="J25" t="str">
            <v>ORIENTAL</v>
          </cell>
          <cell r="K25" t="str">
            <v>BOGOTA</v>
          </cell>
        </row>
        <row r="26">
          <cell r="A26" t="str">
            <v>b25</v>
          </cell>
          <cell r="C26" t="str">
            <v>Torca_220</v>
          </cell>
          <cell r="J26" t="str">
            <v>ORIENTAL</v>
          </cell>
          <cell r="K26" t="str">
            <v>BOGOTA</v>
          </cell>
        </row>
        <row r="27">
          <cell r="A27" t="str">
            <v>b26</v>
          </cell>
          <cell r="C27" t="str">
            <v>Tunal_220</v>
          </cell>
          <cell r="J27" t="str">
            <v>ORIENTAL</v>
          </cell>
          <cell r="K27" t="str">
            <v>BOGOTA</v>
          </cell>
        </row>
        <row r="28">
          <cell r="A28" t="str">
            <v>b27</v>
          </cell>
          <cell r="C28" t="str">
            <v>Chivor_220</v>
          </cell>
          <cell r="J28" t="str">
            <v>ORIENTAL</v>
          </cell>
          <cell r="K28" t="str">
            <v>BOGOTA</v>
          </cell>
        </row>
        <row r="29">
          <cell r="A29" t="str">
            <v>b28</v>
          </cell>
          <cell r="C29" t="str">
            <v>Balsillas_220</v>
          </cell>
          <cell r="J29" t="str">
            <v>ORIENTAL</v>
          </cell>
          <cell r="K29" t="str">
            <v>BOGOTA</v>
          </cell>
        </row>
        <row r="30">
          <cell r="A30" t="str">
            <v>b29</v>
          </cell>
          <cell r="C30" t="str">
            <v>San_Mateo_EEB_220</v>
          </cell>
          <cell r="J30" t="str">
            <v>ORIENTAL</v>
          </cell>
          <cell r="K30" t="str">
            <v>BOGOTA</v>
          </cell>
        </row>
        <row r="31">
          <cell r="A31" t="str">
            <v>b30</v>
          </cell>
          <cell r="C31" t="str">
            <v>Nva_Esperanza_220</v>
          </cell>
          <cell r="J31" t="str">
            <v>ORIENTAL</v>
          </cell>
          <cell r="K31" t="str">
            <v>BOGOTA</v>
          </cell>
        </row>
        <row r="32">
          <cell r="A32" t="str">
            <v>b31</v>
          </cell>
          <cell r="C32" t="str">
            <v>Nva_Esperanza_500</v>
          </cell>
          <cell r="J32" t="str">
            <v>ORIENTAL</v>
          </cell>
          <cell r="K32" t="str">
            <v>BOGOTA</v>
          </cell>
        </row>
        <row r="33">
          <cell r="A33" t="str">
            <v>b32</v>
          </cell>
          <cell r="C33" t="str">
            <v>Enea_220</v>
          </cell>
          <cell r="J33" t="str">
            <v>SUROCCID</v>
          </cell>
          <cell r="K33" t="str">
            <v>CQR</v>
          </cell>
        </row>
        <row r="34">
          <cell r="A34" t="str">
            <v>b33</v>
          </cell>
          <cell r="C34" t="str">
            <v>San_Felipe_220</v>
          </cell>
          <cell r="J34" t="str">
            <v>SUROCCID</v>
          </cell>
          <cell r="K34" t="str">
            <v>CQR</v>
          </cell>
        </row>
        <row r="35">
          <cell r="A35" t="str">
            <v>b34</v>
          </cell>
          <cell r="C35" t="str">
            <v>Esmeralda_220</v>
          </cell>
          <cell r="J35" t="str">
            <v>SUROCCID</v>
          </cell>
          <cell r="K35" t="str">
            <v>CQR</v>
          </cell>
        </row>
        <row r="36">
          <cell r="A36" t="str">
            <v>b35</v>
          </cell>
          <cell r="C36" t="str">
            <v>La_Miel_220</v>
          </cell>
          <cell r="J36" t="str">
            <v>SUROCCID</v>
          </cell>
          <cell r="K36" t="str">
            <v>CQR</v>
          </cell>
        </row>
        <row r="37">
          <cell r="A37" t="str">
            <v>b36</v>
          </cell>
          <cell r="C37" t="str">
            <v>Virginia_220</v>
          </cell>
          <cell r="J37" t="str">
            <v>SUROCCID</v>
          </cell>
          <cell r="K37" t="str">
            <v>CQR</v>
          </cell>
        </row>
        <row r="38">
          <cell r="A38" t="str">
            <v>b37</v>
          </cell>
          <cell r="C38" t="str">
            <v>Virginia_500</v>
          </cell>
          <cell r="J38" t="str">
            <v>SUROCCID</v>
          </cell>
          <cell r="K38" t="str">
            <v>CQR</v>
          </cell>
        </row>
        <row r="39">
          <cell r="A39" t="str">
            <v>b38</v>
          </cell>
          <cell r="C39" t="str">
            <v>Hermosa_220</v>
          </cell>
          <cell r="J39" t="str">
            <v>SUROCCID</v>
          </cell>
          <cell r="K39" t="str">
            <v>CQR</v>
          </cell>
        </row>
        <row r="40">
          <cell r="A40" t="str">
            <v>b39</v>
          </cell>
          <cell r="C40" t="str">
            <v>Altamira_220</v>
          </cell>
          <cell r="J40" t="str">
            <v>SUROCCID</v>
          </cell>
          <cell r="K40" t="str">
            <v>CAQUETA</v>
          </cell>
        </row>
        <row r="41">
          <cell r="A41" t="str">
            <v>b40</v>
          </cell>
          <cell r="C41" t="str">
            <v>Jamondino_220</v>
          </cell>
          <cell r="J41" t="str">
            <v>SUROCCID</v>
          </cell>
          <cell r="K41" t="str">
            <v>CAUCANAR</v>
          </cell>
        </row>
        <row r="42">
          <cell r="A42" t="str">
            <v>b41</v>
          </cell>
          <cell r="C42" t="str">
            <v>S_Bernardino_220</v>
          </cell>
          <cell r="J42" t="str">
            <v>SUROCCID</v>
          </cell>
          <cell r="K42" t="str">
            <v>CAUCANAR</v>
          </cell>
        </row>
        <row r="43">
          <cell r="A43" t="str">
            <v>b42</v>
          </cell>
          <cell r="C43" t="str">
            <v>Tesalia_220</v>
          </cell>
          <cell r="J43" t="str">
            <v>SUROCCID</v>
          </cell>
          <cell r="K43" t="str">
            <v>CAUCANAR</v>
          </cell>
        </row>
        <row r="44">
          <cell r="A44" t="str">
            <v>b43</v>
          </cell>
          <cell r="C44" t="str">
            <v>Paez_220</v>
          </cell>
          <cell r="J44" t="str">
            <v>SUROCCID</v>
          </cell>
          <cell r="K44" t="str">
            <v>CAUCANAR</v>
          </cell>
        </row>
        <row r="45">
          <cell r="A45" t="str">
            <v>b44</v>
          </cell>
          <cell r="C45" t="str">
            <v>Betania_220</v>
          </cell>
          <cell r="J45" t="str">
            <v>SUROCCID</v>
          </cell>
          <cell r="K45" t="str">
            <v>HUILATOL</v>
          </cell>
        </row>
        <row r="46">
          <cell r="A46" t="str">
            <v>b45</v>
          </cell>
          <cell r="C46" t="str">
            <v>Mirolindo(Ibague)_220</v>
          </cell>
          <cell r="J46" t="str">
            <v>SUROCCID</v>
          </cell>
          <cell r="K46" t="str">
            <v>HUILATOL</v>
          </cell>
        </row>
        <row r="47">
          <cell r="A47" t="str">
            <v>b46</v>
          </cell>
          <cell r="C47" t="str">
            <v>Tuluni_220</v>
          </cell>
          <cell r="J47" t="str">
            <v>SUROCCID</v>
          </cell>
          <cell r="K47" t="str">
            <v>HUILATOL</v>
          </cell>
        </row>
        <row r="48">
          <cell r="A48" t="str">
            <v>b47</v>
          </cell>
          <cell r="C48" t="str">
            <v>Mocoa_220</v>
          </cell>
          <cell r="J48" t="str">
            <v>SUROCCID</v>
          </cell>
          <cell r="K48" t="str">
            <v>PUTUMAYO</v>
          </cell>
        </row>
        <row r="49">
          <cell r="A49" t="str">
            <v>b48</v>
          </cell>
          <cell r="C49" t="str">
            <v>Yumbo_220</v>
          </cell>
          <cell r="J49" t="str">
            <v>SUROCCID</v>
          </cell>
          <cell r="K49" t="str">
            <v>VALLE</v>
          </cell>
        </row>
        <row r="50">
          <cell r="A50" t="str">
            <v>b49</v>
          </cell>
          <cell r="C50" t="str">
            <v>San_Marcos_220</v>
          </cell>
          <cell r="J50" t="str">
            <v>SUROCCID</v>
          </cell>
          <cell r="K50" t="str">
            <v>VALLE</v>
          </cell>
        </row>
        <row r="51">
          <cell r="A51" t="str">
            <v>b50</v>
          </cell>
          <cell r="C51" t="str">
            <v>Juanchito_220</v>
          </cell>
          <cell r="J51" t="str">
            <v>SUROCCID</v>
          </cell>
          <cell r="K51" t="str">
            <v>VALLE</v>
          </cell>
        </row>
        <row r="52">
          <cell r="A52" t="str">
            <v>b51</v>
          </cell>
          <cell r="C52" t="str">
            <v>Alto_Anchya_220</v>
          </cell>
          <cell r="J52" t="str">
            <v>SUROCCID</v>
          </cell>
          <cell r="K52" t="str">
            <v>VALLE</v>
          </cell>
        </row>
        <row r="53">
          <cell r="A53" t="str">
            <v>b52</v>
          </cell>
          <cell r="C53" t="str">
            <v>Pance_220</v>
          </cell>
          <cell r="J53" t="str">
            <v>SUROCCID</v>
          </cell>
          <cell r="K53" t="str">
            <v>VALLE</v>
          </cell>
        </row>
        <row r="54">
          <cell r="A54" t="str">
            <v>b53</v>
          </cell>
          <cell r="C54" t="str">
            <v>San_Marcos_500</v>
          </cell>
          <cell r="J54" t="str">
            <v>SUROCCID</v>
          </cell>
          <cell r="K54" t="str">
            <v>VALLE</v>
          </cell>
        </row>
        <row r="55">
          <cell r="A55" t="str">
            <v>b54</v>
          </cell>
          <cell r="C55" t="str">
            <v>Alferez_220</v>
          </cell>
          <cell r="J55" t="str">
            <v>SUROCCID</v>
          </cell>
          <cell r="K55" t="str">
            <v>VALLE</v>
          </cell>
        </row>
        <row r="56">
          <cell r="A56" t="str">
            <v>b55</v>
          </cell>
          <cell r="C56" t="str">
            <v>Cartago_220</v>
          </cell>
          <cell r="J56" t="str">
            <v>SUROCCID</v>
          </cell>
          <cell r="K56" t="str">
            <v>VALLE</v>
          </cell>
        </row>
        <row r="57">
          <cell r="A57" t="str">
            <v>b56</v>
          </cell>
          <cell r="C57" t="str">
            <v>Salvajina_220</v>
          </cell>
          <cell r="J57" t="str">
            <v>SUROCCID</v>
          </cell>
          <cell r="K57" t="str">
            <v>VALLE</v>
          </cell>
        </row>
        <row r="58">
          <cell r="A58" t="str">
            <v>b57</v>
          </cell>
          <cell r="C58" t="str">
            <v>Copey_220</v>
          </cell>
          <cell r="J58" t="str">
            <v>CARIBE</v>
          </cell>
          <cell r="K58" t="str">
            <v>GCM</v>
          </cell>
        </row>
        <row r="59">
          <cell r="A59" t="str">
            <v>b58</v>
          </cell>
          <cell r="C59" t="str">
            <v>Fundacion_220</v>
          </cell>
          <cell r="J59" t="str">
            <v>CARIBE</v>
          </cell>
          <cell r="K59" t="str">
            <v>GCM</v>
          </cell>
        </row>
        <row r="60">
          <cell r="A60" t="str">
            <v>b59</v>
          </cell>
          <cell r="C60" t="str">
            <v>Copey_500</v>
          </cell>
          <cell r="J60" t="str">
            <v>CARIBE</v>
          </cell>
          <cell r="K60" t="str">
            <v>GCM</v>
          </cell>
        </row>
        <row r="61">
          <cell r="A61" t="str">
            <v>b60</v>
          </cell>
          <cell r="C61" t="str">
            <v>Cuestecita_220</v>
          </cell>
          <cell r="J61" t="str">
            <v>CARIBE</v>
          </cell>
          <cell r="K61" t="str">
            <v>GCM</v>
          </cell>
        </row>
        <row r="62">
          <cell r="A62" t="str">
            <v>b61</v>
          </cell>
          <cell r="C62" t="str">
            <v>Guajira_220</v>
          </cell>
          <cell r="J62" t="str">
            <v>CARIBE</v>
          </cell>
          <cell r="K62" t="str">
            <v>GCM</v>
          </cell>
        </row>
        <row r="63">
          <cell r="A63" t="str">
            <v>b62</v>
          </cell>
          <cell r="C63" t="str">
            <v>Santa_Marta_220</v>
          </cell>
          <cell r="J63" t="str">
            <v>CARIBE</v>
          </cell>
          <cell r="K63" t="str">
            <v>GCM</v>
          </cell>
        </row>
        <row r="64">
          <cell r="A64" t="str">
            <v>b63</v>
          </cell>
          <cell r="C64" t="str">
            <v>Valledupar_220</v>
          </cell>
          <cell r="J64" t="str">
            <v>CARIBE</v>
          </cell>
          <cell r="K64" t="str">
            <v>GCM</v>
          </cell>
        </row>
        <row r="65">
          <cell r="A65" t="str">
            <v>b64</v>
          </cell>
          <cell r="C65" t="str">
            <v>Termocol_220</v>
          </cell>
          <cell r="J65" t="str">
            <v>CARIBE</v>
          </cell>
          <cell r="K65" t="str">
            <v>GCM</v>
          </cell>
        </row>
        <row r="66">
          <cell r="A66" t="str">
            <v>b65</v>
          </cell>
          <cell r="C66" t="str">
            <v>R_Cordoba_220</v>
          </cell>
          <cell r="J66" t="str">
            <v>CARIBE</v>
          </cell>
          <cell r="K66" t="str">
            <v>GCM</v>
          </cell>
        </row>
        <row r="67">
          <cell r="A67" t="str">
            <v>b66</v>
          </cell>
          <cell r="C67" t="str">
            <v>Chinu_500</v>
          </cell>
          <cell r="J67" t="str">
            <v>CARIBE</v>
          </cell>
          <cell r="K67" t="str">
            <v>CORDOSUC</v>
          </cell>
        </row>
        <row r="68">
          <cell r="A68" t="str">
            <v>b67</v>
          </cell>
          <cell r="C68" t="str">
            <v>Urra_220</v>
          </cell>
          <cell r="J68" t="str">
            <v>CARIBE</v>
          </cell>
          <cell r="K68" t="str">
            <v>CORDOSUC</v>
          </cell>
        </row>
        <row r="69">
          <cell r="A69" t="str">
            <v>b68</v>
          </cell>
          <cell r="C69" t="str">
            <v>Cerromatoso_220</v>
          </cell>
          <cell r="J69" t="str">
            <v>CARIBE</v>
          </cell>
          <cell r="K69" t="str">
            <v>CORDOSUC</v>
          </cell>
        </row>
        <row r="70">
          <cell r="A70" t="str">
            <v>b69</v>
          </cell>
          <cell r="C70" t="str">
            <v>Uraba_220</v>
          </cell>
          <cell r="J70" t="str">
            <v>CARIBE</v>
          </cell>
          <cell r="K70" t="str">
            <v>CORDOSUC</v>
          </cell>
        </row>
        <row r="71">
          <cell r="A71" t="str">
            <v>b70</v>
          </cell>
          <cell r="C71" t="str">
            <v>Reforma_220</v>
          </cell>
          <cell r="J71" t="str">
            <v>ORIENTAL</v>
          </cell>
          <cell r="K71" t="str">
            <v>META</v>
          </cell>
        </row>
        <row r="72">
          <cell r="A72" t="str">
            <v>b71</v>
          </cell>
          <cell r="C72" t="str">
            <v>Banadia_220</v>
          </cell>
          <cell r="J72" t="str">
            <v>NORDEST</v>
          </cell>
          <cell r="K72" t="str">
            <v>ARAUCA</v>
          </cell>
        </row>
        <row r="73">
          <cell r="A73" t="str">
            <v>b72</v>
          </cell>
          <cell r="C73" t="str">
            <v>C_Limon_220</v>
          </cell>
          <cell r="J73" t="str">
            <v>NORDEST</v>
          </cell>
          <cell r="K73" t="str">
            <v>ARAUCA</v>
          </cell>
        </row>
        <row r="74">
          <cell r="A74" t="str">
            <v>b73</v>
          </cell>
          <cell r="C74" t="str">
            <v>Samore_220</v>
          </cell>
          <cell r="J74" t="str">
            <v>NORDEST</v>
          </cell>
          <cell r="K74" t="str">
            <v>ARAUCA</v>
          </cell>
        </row>
        <row r="75">
          <cell r="A75" t="str">
            <v>b74</v>
          </cell>
          <cell r="C75" t="str">
            <v>Toledo_220</v>
          </cell>
          <cell r="J75" t="str">
            <v>NORDEST</v>
          </cell>
          <cell r="K75" t="str">
            <v>ARAUCA</v>
          </cell>
        </row>
        <row r="76">
          <cell r="A76" t="str">
            <v>b75</v>
          </cell>
          <cell r="C76" t="str">
            <v>Paipa_220</v>
          </cell>
          <cell r="J76" t="str">
            <v>NORDEST</v>
          </cell>
          <cell r="K76" t="str">
            <v>BOYCASAN</v>
          </cell>
        </row>
        <row r="77">
          <cell r="A77" t="str">
            <v>b76</v>
          </cell>
          <cell r="C77" t="str">
            <v>Sochagota_220</v>
          </cell>
          <cell r="J77" t="str">
            <v>NORDEST</v>
          </cell>
          <cell r="K77" t="str">
            <v>BOYCASAN</v>
          </cell>
        </row>
        <row r="78">
          <cell r="A78" t="str">
            <v>b77</v>
          </cell>
          <cell r="C78" t="str">
            <v>Ocaña_500</v>
          </cell>
          <cell r="J78" t="str">
            <v>NORDEST</v>
          </cell>
          <cell r="K78" t="str">
            <v>NSANTAND</v>
          </cell>
        </row>
        <row r="79">
          <cell r="A79" t="str">
            <v>b78</v>
          </cell>
          <cell r="C79" t="str">
            <v>Cucuta(Belen)_220</v>
          </cell>
          <cell r="J79" t="str">
            <v>NORDEST</v>
          </cell>
          <cell r="K79" t="str">
            <v>NSANTAND</v>
          </cell>
        </row>
        <row r="80">
          <cell r="A80" t="str">
            <v>b79</v>
          </cell>
          <cell r="C80" t="str">
            <v>Ocaña_220</v>
          </cell>
          <cell r="J80" t="str">
            <v>NORDEST</v>
          </cell>
          <cell r="K80" t="str">
            <v>NSANTAND</v>
          </cell>
        </row>
        <row r="81">
          <cell r="A81" t="str">
            <v>b80</v>
          </cell>
          <cell r="C81" t="str">
            <v>Tasajero_220</v>
          </cell>
          <cell r="J81" t="str">
            <v>NORDEST</v>
          </cell>
          <cell r="K81" t="str">
            <v>NSANTAND</v>
          </cell>
        </row>
        <row r="82">
          <cell r="A82" t="str">
            <v>b81</v>
          </cell>
          <cell r="C82" t="str">
            <v>Barranca_220</v>
          </cell>
          <cell r="J82" t="str">
            <v>NORDEST</v>
          </cell>
          <cell r="K82" t="str">
            <v>SANTANDER</v>
          </cell>
        </row>
        <row r="83">
          <cell r="A83" t="str">
            <v>b82</v>
          </cell>
          <cell r="C83" t="str">
            <v>Bmanga_220</v>
          </cell>
          <cell r="J83" t="str">
            <v>NORDEST</v>
          </cell>
          <cell r="K83" t="str">
            <v>SANTANDER</v>
          </cell>
        </row>
        <row r="84">
          <cell r="A84" t="str">
            <v>b83</v>
          </cell>
          <cell r="C84" t="str">
            <v>Comuneros_220</v>
          </cell>
          <cell r="J84" t="str">
            <v>NORDEST</v>
          </cell>
          <cell r="K84" t="str">
            <v>SANTANDER</v>
          </cell>
        </row>
        <row r="85">
          <cell r="A85" t="str">
            <v>b84</v>
          </cell>
          <cell r="C85" t="str">
            <v>Guatiguara_220</v>
          </cell>
          <cell r="J85" t="str">
            <v>NORDEST</v>
          </cell>
          <cell r="K85" t="str">
            <v>SANTANDER</v>
          </cell>
        </row>
        <row r="86">
          <cell r="A86" t="str">
            <v>b85</v>
          </cell>
          <cell r="C86" t="str">
            <v>CiraInfanta_220</v>
          </cell>
          <cell r="J86" t="str">
            <v>NORDEST</v>
          </cell>
          <cell r="K86" t="str">
            <v>SANTANDER</v>
          </cell>
        </row>
        <row r="87">
          <cell r="A87" t="str">
            <v>b86</v>
          </cell>
          <cell r="C87" t="str">
            <v>Sogamoso_500</v>
          </cell>
          <cell r="J87" t="str">
            <v>NORDEST</v>
          </cell>
          <cell r="K87" t="str">
            <v>SANTANDER</v>
          </cell>
        </row>
        <row r="88">
          <cell r="A88" t="str">
            <v>b87</v>
          </cell>
          <cell r="C88" t="str">
            <v>Sogamoso_220</v>
          </cell>
          <cell r="J88" t="str">
            <v>NORDEST</v>
          </cell>
          <cell r="K88" t="str">
            <v>SANTANDER</v>
          </cell>
        </row>
        <row r="89">
          <cell r="A89" t="str">
            <v>b88</v>
          </cell>
          <cell r="C89" t="str">
            <v>Palos_220</v>
          </cell>
          <cell r="J89" t="str">
            <v>NORDEST</v>
          </cell>
          <cell r="K89" t="str">
            <v>SANTANDER</v>
          </cell>
        </row>
        <row r="90">
          <cell r="A90" t="str">
            <v>b89</v>
          </cell>
          <cell r="C90" t="str">
            <v>Primavera_500</v>
          </cell>
          <cell r="J90" t="str">
            <v>ANTIOQUI</v>
          </cell>
          <cell r="K90" t="str">
            <v>ANTIOQUI</v>
          </cell>
        </row>
        <row r="91">
          <cell r="A91" t="str">
            <v>b90</v>
          </cell>
          <cell r="C91" t="str">
            <v>Ancon_ISA_220</v>
          </cell>
          <cell r="J91" t="str">
            <v>ANTIOQUI</v>
          </cell>
          <cell r="K91" t="str">
            <v>ANTIOQUI</v>
          </cell>
        </row>
        <row r="92">
          <cell r="A92" t="str">
            <v>b91</v>
          </cell>
          <cell r="C92" t="str">
            <v>Guatape_220</v>
          </cell>
          <cell r="J92" t="str">
            <v>ANTIOQUI</v>
          </cell>
          <cell r="K92" t="str">
            <v>ANTIOQUI</v>
          </cell>
        </row>
        <row r="93">
          <cell r="A93" t="str">
            <v>b92</v>
          </cell>
          <cell r="C93" t="str">
            <v>La_Sierra_220</v>
          </cell>
          <cell r="J93" t="str">
            <v>ANTIOQUI</v>
          </cell>
          <cell r="K93" t="str">
            <v>ANTIOQUI</v>
          </cell>
        </row>
        <row r="94">
          <cell r="A94" t="str">
            <v>b93</v>
          </cell>
          <cell r="C94" t="str">
            <v>La_Tasajera_220</v>
          </cell>
          <cell r="J94" t="str">
            <v>ANTIOQUI</v>
          </cell>
          <cell r="K94" t="str">
            <v>ANTIOQUI</v>
          </cell>
        </row>
        <row r="95">
          <cell r="A95" t="str">
            <v>b94</v>
          </cell>
          <cell r="C95" t="str">
            <v>Occidente_220</v>
          </cell>
          <cell r="J95" t="str">
            <v>ANTIOQUI</v>
          </cell>
          <cell r="K95" t="str">
            <v>ANTIOQUI</v>
          </cell>
        </row>
        <row r="96">
          <cell r="A96" t="str">
            <v>b95</v>
          </cell>
          <cell r="C96" t="str">
            <v>Primavera_220</v>
          </cell>
          <cell r="J96" t="str">
            <v>NORDEST</v>
          </cell>
          <cell r="K96" t="str">
            <v>SANTANDER</v>
          </cell>
        </row>
        <row r="97">
          <cell r="A97" t="str">
            <v>b96</v>
          </cell>
          <cell r="C97" t="str">
            <v>Purnio_220</v>
          </cell>
          <cell r="J97" t="str">
            <v>ANTIOQUI</v>
          </cell>
          <cell r="K97" t="str">
            <v>ANTIOQUI</v>
          </cell>
        </row>
        <row r="98">
          <cell r="A98" t="str">
            <v>b97</v>
          </cell>
          <cell r="C98" t="str">
            <v>San_Carlos_220</v>
          </cell>
          <cell r="J98" t="str">
            <v>ANTIOQUI</v>
          </cell>
          <cell r="K98" t="str">
            <v>ANTIOQUI</v>
          </cell>
        </row>
        <row r="99">
          <cell r="A99" t="str">
            <v>b98</v>
          </cell>
          <cell r="C99" t="str">
            <v>San_Carlos_500</v>
          </cell>
          <cell r="J99" t="str">
            <v>ANTIOQUI</v>
          </cell>
          <cell r="K99" t="str">
            <v>ANTIOQUI</v>
          </cell>
        </row>
        <row r="100">
          <cell r="A100" t="str">
            <v>b99</v>
          </cell>
          <cell r="C100" t="str">
            <v>Jaguas_220</v>
          </cell>
          <cell r="J100" t="str">
            <v>ANTIOQUI</v>
          </cell>
          <cell r="K100" t="str">
            <v>ANTIOQUI</v>
          </cell>
        </row>
        <row r="101">
          <cell r="A101" t="str">
            <v>b100</v>
          </cell>
          <cell r="C101" t="str">
            <v>Playas_220</v>
          </cell>
          <cell r="J101" t="str">
            <v>ANTIOQUI</v>
          </cell>
          <cell r="K101" t="str">
            <v>ANTIOQUI</v>
          </cell>
        </row>
        <row r="102">
          <cell r="A102" t="str">
            <v>b101</v>
          </cell>
          <cell r="C102" t="str">
            <v>Barbosa_220</v>
          </cell>
          <cell r="J102" t="str">
            <v>ANTIOQUI</v>
          </cell>
          <cell r="K102" t="str">
            <v>ANTIOQUI</v>
          </cell>
        </row>
        <row r="103">
          <cell r="A103" t="str">
            <v>b102</v>
          </cell>
          <cell r="C103" t="str">
            <v>Guadalupe_220</v>
          </cell>
          <cell r="J103" t="str">
            <v>ANTIOQUI</v>
          </cell>
          <cell r="K103" t="str">
            <v>ANTIOQUI</v>
          </cell>
        </row>
        <row r="104">
          <cell r="A104" t="str">
            <v>b103</v>
          </cell>
          <cell r="C104" t="str">
            <v>Porce_220</v>
          </cell>
          <cell r="J104" t="str">
            <v>ANTIOQUI</v>
          </cell>
          <cell r="K104" t="str">
            <v>ANTIOQUI</v>
          </cell>
        </row>
        <row r="105">
          <cell r="A105" t="str">
            <v>b104</v>
          </cell>
          <cell r="C105" t="str">
            <v>Oriente_220</v>
          </cell>
          <cell r="J105" t="str">
            <v>ANTIOQUI</v>
          </cell>
          <cell r="K105" t="str">
            <v>ANTIOQUI</v>
          </cell>
        </row>
        <row r="106">
          <cell r="A106" t="str">
            <v>b105</v>
          </cell>
          <cell r="C106" t="str">
            <v>Ancon_EPM_220</v>
          </cell>
          <cell r="J106" t="str">
            <v>ANTIOQUI</v>
          </cell>
          <cell r="K106" t="str">
            <v>ANTIOQUI</v>
          </cell>
        </row>
        <row r="107">
          <cell r="A107" t="str">
            <v>b106</v>
          </cell>
          <cell r="C107" t="str">
            <v>Termo_Centro_220</v>
          </cell>
          <cell r="J107" t="str">
            <v>ANTIOQUI</v>
          </cell>
          <cell r="K107" t="str">
            <v>ANTIOQUI</v>
          </cell>
        </row>
        <row r="108">
          <cell r="A108" t="str">
            <v>b107</v>
          </cell>
          <cell r="C108" t="str">
            <v>Bello_220</v>
          </cell>
          <cell r="J108" t="str">
            <v>ANTIOQUI</v>
          </cell>
          <cell r="K108" t="str">
            <v>ANTIOQUI</v>
          </cell>
        </row>
        <row r="109">
          <cell r="A109" t="str">
            <v>b108</v>
          </cell>
          <cell r="C109" t="str">
            <v>Envigado_220</v>
          </cell>
          <cell r="J109" t="str">
            <v>ANTIOQUI</v>
          </cell>
          <cell r="K109" t="str">
            <v>ANTIOQUI</v>
          </cell>
        </row>
        <row r="110">
          <cell r="A110" t="str">
            <v>b109</v>
          </cell>
          <cell r="C110" t="str">
            <v>Miraflores_220</v>
          </cell>
          <cell r="J110" t="str">
            <v>ANTIOQUI</v>
          </cell>
          <cell r="K110" t="str">
            <v>ANTIOQUI</v>
          </cell>
        </row>
        <row r="111">
          <cell r="A111" t="str">
            <v>b110</v>
          </cell>
          <cell r="C111" t="str">
            <v>El_Salto_220</v>
          </cell>
          <cell r="J111" t="str">
            <v>ANTIOQUI</v>
          </cell>
          <cell r="K111" t="str">
            <v>ANTIOQUI</v>
          </cell>
        </row>
        <row r="112">
          <cell r="A112" t="str">
            <v>b111</v>
          </cell>
          <cell r="C112" t="str">
            <v>Porce_III_500</v>
          </cell>
          <cell r="J112" t="str">
            <v>ANTIOQUI</v>
          </cell>
          <cell r="K112" t="str">
            <v>ANTIOQUI</v>
          </cell>
        </row>
        <row r="113">
          <cell r="A113" t="str">
            <v>b112</v>
          </cell>
          <cell r="C113" t="str">
            <v>Malena_220</v>
          </cell>
          <cell r="J113" t="str">
            <v>ANTIOQUI</v>
          </cell>
          <cell r="K113" t="str">
            <v>ANTIOQUI</v>
          </cell>
        </row>
        <row r="114">
          <cell r="A114" t="str">
            <v>b113</v>
          </cell>
          <cell r="C114" t="str">
            <v>Guayabal_220</v>
          </cell>
          <cell r="J114" t="str">
            <v>ANTIOQUI</v>
          </cell>
          <cell r="K114" t="str">
            <v>ANTIOQUI</v>
          </cell>
        </row>
        <row r="115">
          <cell r="A115" t="str">
            <v>b114</v>
          </cell>
          <cell r="C115" t="str">
            <v>Pomasqui_220</v>
          </cell>
          <cell r="J115" t="str">
            <v>ECUADOR220</v>
          </cell>
          <cell r="K115" t="str">
            <v>ECUADOR220</v>
          </cell>
        </row>
        <row r="116">
          <cell r="A116" t="str">
            <v>b115</v>
          </cell>
          <cell r="C116" t="str">
            <v>Drummond_220</v>
          </cell>
          <cell r="J116" t="str">
            <v>CARIBE</v>
          </cell>
          <cell r="K116" t="str">
            <v>ATLANTIC</v>
          </cell>
        </row>
        <row r="117">
          <cell r="A117" t="str">
            <v>b116</v>
          </cell>
          <cell r="C117" t="str">
            <v>El_Rio_220</v>
          </cell>
          <cell r="J117" t="str">
            <v>CARIBE</v>
          </cell>
          <cell r="K117" t="str">
            <v>ATLANTIC</v>
          </cell>
        </row>
        <row r="118">
          <cell r="A118" t="str">
            <v>b117</v>
          </cell>
          <cell r="C118" t="str">
            <v>La_Loma_500</v>
          </cell>
          <cell r="J118" t="str">
            <v>CARIBE</v>
          </cell>
          <cell r="K118" t="str">
            <v>GCM</v>
          </cell>
        </row>
        <row r="119">
          <cell r="A119" t="str">
            <v>b118</v>
          </cell>
          <cell r="C119" t="str">
            <v>Chinu_220</v>
          </cell>
          <cell r="J119" t="str">
            <v>CARIBE</v>
          </cell>
          <cell r="K119" t="str">
            <v>CORDOSUC</v>
          </cell>
        </row>
        <row r="120">
          <cell r="A120" t="str">
            <v>b119</v>
          </cell>
          <cell r="C120" t="str">
            <v>Monteria_220</v>
          </cell>
          <cell r="J120" t="str">
            <v>CARIBE</v>
          </cell>
          <cell r="K120" t="str">
            <v>CORDOSUC</v>
          </cell>
        </row>
        <row r="121">
          <cell r="A121" t="str">
            <v>b120</v>
          </cell>
          <cell r="C121" t="str">
            <v>San_Antonio_220</v>
          </cell>
          <cell r="J121" t="str">
            <v>NORDEST</v>
          </cell>
          <cell r="K121" t="str">
            <v>BOYCASAN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2252-3B94-5F49-A593-CD27E3DC7B29}">
  <dimension ref="A1:B121"/>
  <sheetViews>
    <sheetView topLeftCell="A45" workbookViewId="0">
      <selection activeCell="A45" sqref="A1:XFD1048576"/>
    </sheetView>
  </sheetViews>
  <sheetFormatPr baseColWidth="10" defaultRowHeight="16" x14ac:dyDescent="0.2"/>
  <sheetData>
    <row r="1" spans="1:2" x14ac:dyDescent="0.2">
      <c r="B1" s="1">
        <v>0</v>
      </c>
    </row>
    <row r="2" spans="1:2" x14ac:dyDescent="0.2">
      <c r="A2" s="1" t="s">
        <v>0</v>
      </c>
      <c r="B2">
        <v>0</v>
      </c>
    </row>
    <row r="3" spans="1:2" x14ac:dyDescent="0.2">
      <c r="A3" s="1" t="s">
        <v>1</v>
      </c>
      <c r="B3">
        <v>0</v>
      </c>
    </row>
    <row r="4" spans="1:2" x14ac:dyDescent="0.2">
      <c r="A4" s="1" t="s">
        <v>2</v>
      </c>
      <c r="B4">
        <v>0</v>
      </c>
    </row>
    <row r="5" spans="1:2" x14ac:dyDescent="0.2">
      <c r="A5" s="1" t="s">
        <v>3</v>
      </c>
      <c r="B5">
        <v>0</v>
      </c>
    </row>
    <row r="6" spans="1:2" x14ac:dyDescent="0.2">
      <c r="A6" s="1" t="s">
        <v>4</v>
      </c>
      <c r="B6">
        <v>84</v>
      </c>
    </row>
    <row r="7" spans="1:2" x14ac:dyDescent="0.2">
      <c r="A7" s="1" t="s">
        <v>5</v>
      </c>
      <c r="B7">
        <v>0</v>
      </c>
    </row>
    <row r="8" spans="1:2" x14ac:dyDescent="0.2">
      <c r="A8" s="1" t="s">
        <v>6</v>
      </c>
      <c r="B8">
        <v>0</v>
      </c>
    </row>
    <row r="9" spans="1:2" x14ac:dyDescent="0.2">
      <c r="A9" s="1" t="s">
        <v>7</v>
      </c>
      <c r="B9">
        <v>60</v>
      </c>
    </row>
    <row r="10" spans="1:2" x14ac:dyDescent="0.2">
      <c r="A10" s="1" t="s">
        <v>8</v>
      </c>
      <c r="B10">
        <v>0</v>
      </c>
    </row>
    <row r="11" spans="1:2" x14ac:dyDescent="0.2">
      <c r="A11" s="1" t="s">
        <v>9</v>
      </c>
      <c r="B11">
        <v>0</v>
      </c>
    </row>
    <row r="12" spans="1:2" x14ac:dyDescent="0.2">
      <c r="A12" s="1" t="s">
        <v>10</v>
      </c>
      <c r="B12">
        <v>0</v>
      </c>
    </row>
    <row r="13" spans="1:2" x14ac:dyDescent="0.2">
      <c r="A13" s="1" t="s">
        <v>11</v>
      </c>
      <c r="B13">
        <v>131</v>
      </c>
    </row>
    <row r="14" spans="1:2" x14ac:dyDescent="0.2">
      <c r="A14" s="1" t="s">
        <v>12</v>
      </c>
      <c r="B14">
        <v>0</v>
      </c>
    </row>
    <row r="15" spans="1:2" x14ac:dyDescent="0.2">
      <c r="A15" s="1" t="s">
        <v>13</v>
      </c>
      <c r="B15">
        <v>0</v>
      </c>
    </row>
    <row r="16" spans="1:2" x14ac:dyDescent="0.2">
      <c r="A16" s="1" t="s">
        <v>14</v>
      </c>
      <c r="B16">
        <v>0</v>
      </c>
    </row>
    <row r="17" spans="1:2" x14ac:dyDescent="0.2">
      <c r="A17" s="1" t="s">
        <v>87</v>
      </c>
      <c r="B17">
        <v>0</v>
      </c>
    </row>
    <row r="18" spans="1:2" x14ac:dyDescent="0.2">
      <c r="A18" s="1" t="s">
        <v>100</v>
      </c>
      <c r="B18">
        <v>0</v>
      </c>
    </row>
    <row r="19" spans="1:2" x14ac:dyDescent="0.2">
      <c r="A19" s="1" t="s">
        <v>103</v>
      </c>
      <c r="B19">
        <v>0</v>
      </c>
    </row>
    <row r="20" spans="1:2" x14ac:dyDescent="0.2">
      <c r="A20" s="1" t="s">
        <v>97</v>
      </c>
      <c r="B20">
        <v>0</v>
      </c>
    </row>
    <row r="21" spans="1:2" x14ac:dyDescent="0.2">
      <c r="A21" s="1" t="s">
        <v>94</v>
      </c>
      <c r="B21">
        <v>0</v>
      </c>
    </row>
    <row r="22" spans="1:2" x14ac:dyDescent="0.2">
      <c r="A22" s="1" t="s">
        <v>98</v>
      </c>
      <c r="B22">
        <v>0</v>
      </c>
    </row>
    <row r="23" spans="1:2" x14ac:dyDescent="0.2">
      <c r="A23" s="1" t="s">
        <v>95</v>
      </c>
      <c r="B23">
        <v>0</v>
      </c>
    </row>
    <row r="24" spans="1:2" x14ac:dyDescent="0.2">
      <c r="A24" s="1" t="s">
        <v>105</v>
      </c>
      <c r="B24">
        <v>0</v>
      </c>
    </row>
    <row r="25" spans="1:2" x14ac:dyDescent="0.2">
      <c r="A25" s="1" t="s">
        <v>119</v>
      </c>
      <c r="B25">
        <v>0</v>
      </c>
    </row>
    <row r="26" spans="1:2" x14ac:dyDescent="0.2">
      <c r="A26" s="1" t="s">
        <v>101</v>
      </c>
      <c r="B26">
        <v>0</v>
      </c>
    </row>
    <row r="27" spans="1:2" x14ac:dyDescent="0.2">
      <c r="A27" s="1" t="s">
        <v>115</v>
      </c>
      <c r="B27">
        <v>174</v>
      </c>
    </row>
    <row r="28" spans="1:2" x14ac:dyDescent="0.2">
      <c r="A28" s="1" t="s">
        <v>108</v>
      </c>
      <c r="B28">
        <v>0</v>
      </c>
    </row>
    <row r="29" spans="1:2" x14ac:dyDescent="0.2">
      <c r="A29" s="1" t="s">
        <v>112</v>
      </c>
      <c r="B29">
        <v>0</v>
      </c>
    </row>
    <row r="30" spans="1:2" x14ac:dyDescent="0.2">
      <c r="A30" s="1" t="s">
        <v>117</v>
      </c>
      <c r="B30">
        <v>0</v>
      </c>
    </row>
    <row r="31" spans="1:2" x14ac:dyDescent="0.2">
      <c r="A31" s="1" t="s">
        <v>122</v>
      </c>
      <c r="B31">
        <v>0</v>
      </c>
    </row>
    <row r="32" spans="1:2" x14ac:dyDescent="0.2">
      <c r="A32" s="1" t="s">
        <v>127</v>
      </c>
      <c r="B32">
        <v>0</v>
      </c>
    </row>
    <row r="33" spans="1:2" x14ac:dyDescent="0.2">
      <c r="A33" s="1" t="s">
        <v>132</v>
      </c>
      <c r="B33">
        <v>0</v>
      </c>
    </row>
    <row r="34" spans="1:2" x14ac:dyDescent="0.2">
      <c r="A34" s="1" t="s">
        <v>133</v>
      </c>
      <c r="B34">
        <v>0</v>
      </c>
    </row>
    <row r="35" spans="1:2" x14ac:dyDescent="0.2">
      <c r="A35" s="1" t="s">
        <v>138</v>
      </c>
      <c r="B35">
        <v>0</v>
      </c>
    </row>
    <row r="36" spans="1:2" x14ac:dyDescent="0.2">
      <c r="A36" s="1" t="s">
        <v>147</v>
      </c>
      <c r="B36">
        <v>0</v>
      </c>
    </row>
    <row r="37" spans="1:2" x14ac:dyDescent="0.2">
      <c r="A37" s="1" t="s">
        <v>135</v>
      </c>
      <c r="B37">
        <v>0</v>
      </c>
    </row>
    <row r="38" spans="1:2" x14ac:dyDescent="0.2">
      <c r="A38" s="1" t="s">
        <v>150</v>
      </c>
      <c r="B38">
        <v>0</v>
      </c>
    </row>
    <row r="39" spans="1:2" x14ac:dyDescent="0.2">
      <c r="A39" s="1" t="s">
        <v>136</v>
      </c>
      <c r="B39">
        <v>35</v>
      </c>
    </row>
    <row r="40" spans="1:2" x14ac:dyDescent="0.2">
      <c r="A40" s="1" t="s">
        <v>153</v>
      </c>
      <c r="B40">
        <v>0</v>
      </c>
    </row>
    <row r="41" spans="1:2" x14ac:dyDescent="0.2">
      <c r="A41" s="1" t="s">
        <v>168</v>
      </c>
      <c r="B41">
        <v>0</v>
      </c>
    </row>
    <row r="42" spans="1:2" x14ac:dyDescent="0.2">
      <c r="A42" s="1" t="s">
        <v>164</v>
      </c>
      <c r="B42">
        <v>0</v>
      </c>
    </row>
    <row r="43" spans="1:2" x14ac:dyDescent="0.2">
      <c r="A43" s="1" t="s">
        <v>158</v>
      </c>
      <c r="B43">
        <v>0</v>
      </c>
    </row>
    <row r="44" spans="1:2" x14ac:dyDescent="0.2">
      <c r="A44" s="1" t="s">
        <v>161</v>
      </c>
      <c r="B44">
        <v>0</v>
      </c>
    </row>
    <row r="45" spans="1:2" x14ac:dyDescent="0.2">
      <c r="A45" s="1" t="s">
        <v>154</v>
      </c>
      <c r="B45">
        <v>0</v>
      </c>
    </row>
    <row r="46" spans="1:2" x14ac:dyDescent="0.2">
      <c r="A46" s="1" t="s">
        <v>173</v>
      </c>
      <c r="B46">
        <v>0</v>
      </c>
    </row>
    <row r="47" spans="1:2" x14ac:dyDescent="0.2">
      <c r="A47" s="1" t="s">
        <v>176</v>
      </c>
      <c r="B47">
        <v>0</v>
      </c>
    </row>
    <row r="48" spans="1:2" x14ac:dyDescent="0.2">
      <c r="A48" s="1" t="s">
        <v>156</v>
      </c>
      <c r="B48">
        <v>0</v>
      </c>
    </row>
    <row r="49" spans="1:2" x14ac:dyDescent="0.2">
      <c r="A49" s="1" t="s">
        <v>139</v>
      </c>
      <c r="B49">
        <v>151</v>
      </c>
    </row>
    <row r="50" spans="1:2" x14ac:dyDescent="0.2">
      <c r="A50" s="1" t="s">
        <v>182</v>
      </c>
      <c r="B50">
        <v>0</v>
      </c>
    </row>
    <row r="51" spans="1:2" x14ac:dyDescent="0.2">
      <c r="A51" s="1" t="s">
        <v>160</v>
      </c>
      <c r="B51">
        <v>117</v>
      </c>
    </row>
    <row r="52" spans="1:2" x14ac:dyDescent="0.2">
      <c r="A52" s="1" t="s">
        <v>185</v>
      </c>
      <c r="B52">
        <v>0</v>
      </c>
    </row>
    <row r="53" spans="1:2" x14ac:dyDescent="0.2">
      <c r="A53" s="1" t="s">
        <v>180</v>
      </c>
      <c r="B53">
        <v>0</v>
      </c>
    </row>
    <row r="54" spans="1:2" x14ac:dyDescent="0.2">
      <c r="A54" s="1" t="s">
        <v>195</v>
      </c>
      <c r="B54">
        <v>0</v>
      </c>
    </row>
    <row r="55" spans="1:2" x14ac:dyDescent="0.2">
      <c r="A55" s="1" t="s">
        <v>163</v>
      </c>
      <c r="B55">
        <v>0</v>
      </c>
    </row>
    <row r="56" spans="1:2" x14ac:dyDescent="0.2">
      <c r="A56" s="1" t="s">
        <v>188</v>
      </c>
      <c r="B56">
        <v>0</v>
      </c>
    </row>
    <row r="57" spans="1:2" x14ac:dyDescent="0.2">
      <c r="A57" s="1" t="s">
        <v>191</v>
      </c>
      <c r="B57">
        <v>0</v>
      </c>
    </row>
    <row r="58" spans="1:2" x14ac:dyDescent="0.2">
      <c r="A58" s="1" t="s">
        <v>197</v>
      </c>
      <c r="B58">
        <v>0</v>
      </c>
    </row>
    <row r="59" spans="1:2" x14ac:dyDescent="0.2">
      <c r="A59" s="1" t="s">
        <v>198</v>
      </c>
      <c r="B59">
        <v>0</v>
      </c>
    </row>
    <row r="60" spans="1:2" x14ac:dyDescent="0.2">
      <c r="A60" s="1" t="s">
        <v>79</v>
      </c>
      <c r="B60">
        <v>0</v>
      </c>
    </row>
    <row r="61" spans="1:2" x14ac:dyDescent="0.2">
      <c r="A61" s="1" t="s">
        <v>75</v>
      </c>
      <c r="B61">
        <v>0</v>
      </c>
    </row>
    <row r="62" spans="1:2" x14ac:dyDescent="0.2">
      <c r="A62" s="1" t="s">
        <v>205</v>
      </c>
      <c r="B62">
        <v>0</v>
      </c>
    </row>
    <row r="63" spans="1:2" x14ac:dyDescent="0.2">
      <c r="A63" s="1" t="s">
        <v>210</v>
      </c>
      <c r="B63">
        <v>60</v>
      </c>
    </row>
    <row r="64" spans="1:2" x14ac:dyDescent="0.2">
      <c r="A64" s="1" t="s">
        <v>90</v>
      </c>
      <c r="B64">
        <v>0</v>
      </c>
    </row>
    <row r="65" spans="1:2" x14ac:dyDescent="0.2">
      <c r="A65" s="1" t="s">
        <v>213</v>
      </c>
      <c r="B65">
        <v>0</v>
      </c>
    </row>
    <row r="66" spans="1:2" x14ac:dyDescent="0.2">
      <c r="A66" s="1" t="s">
        <v>208</v>
      </c>
      <c r="B66">
        <v>0</v>
      </c>
    </row>
    <row r="67" spans="1:2" x14ac:dyDescent="0.2">
      <c r="A67" s="1" t="s">
        <v>71</v>
      </c>
      <c r="B67">
        <v>0</v>
      </c>
    </row>
    <row r="68" spans="1:2" x14ac:dyDescent="0.2">
      <c r="A68" s="1" t="s">
        <v>220</v>
      </c>
      <c r="B68">
        <v>0</v>
      </c>
    </row>
    <row r="69" spans="1:2" x14ac:dyDescent="0.2">
      <c r="A69" s="1" t="s">
        <v>219</v>
      </c>
      <c r="B69">
        <v>0</v>
      </c>
    </row>
    <row r="70" spans="1:2" x14ac:dyDescent="0.2">
      <c r="A70" s="1" t="s">
        <v>222</v>
      </c>
      <c r="B70">
        <v>0</v>
      </c>
    </row>
    <row r="71" spans="1:2" x14ac:dyDescent="0.2">
      <c r="A71" s="1" t="s">
        <v>229</v>
      </c>
      <c r="B71">
        <v>0</v>
      </c>
    </row>
    <row r="72" spans="1:2" x14ac:dyDescent="0.2">
      <c r="A72" s="1" t="s">
        <v>234</v>
      </c>
      <c r="B72">
        <v>0</v>
      </c>
    </row>
    <row r="73" spans="1:2" x14ac:dyDescent="0.2">
      <c r="A73" s="1" t="s">
        <v>235</v>
      </c>
      <c r="B73">
        <v>67</v>
      </c>
    </row>
    <row r="74" spans="1:2" x14ac:dyDescent="0.2">
      <c r="A74" s="1" t="s">
        <v>237</v>
      </c>
      <c r="B74">
        <v>0</v>
      </c>
    </row>
    <row r="75" spans="1:2" x14ac:dyDescent="0.2">
      <c r="A75" s="1" t="s">
        <v>240</v>
      </c>
      <c r="B75">
        <v>0</v>
      </c>
    </row>
    <row r="76" spans="1:2" x14ac:dyDescent="0.2">
      <c r="A76" s="1" t="s">
        <v>244</v>
      </c>
      <c r="B76">
        <v>0</v>
      </c>
    </row>
    <row r="77" spans="1:2" x14ac:dyDescent="0.2">
      <c r="A77" s="1" t="s">
        <v>124</v>
      </c>
      <c r="B77">
        <v>0</v>
      </c>
    </row>
    <row r="78" spans="1:2" x14ac:dyDescent="0.2">
      <c r="A78" s="1" t="s">
        <v>201</v>
      </c>
      <c r="B78">
        <v>0</v>
      </c>
    </row>
    <row r="79" spans="1:2" x14ac:dyDescent="0.2">
      <c r="A79" s="1" t="s">
        <v>248</v>
      </c>
      <c r="B79">
        <v>0</v>
      </c>
    </row>
    <row r="80" spans="1:2" x14ac:dyDescent="0.2">
      <c r="A80" s="1" t="s">
        <v>253</v>
      </c>
      <c r="B80">
        <v>0</v>
      </c>
    </row>
    <row r="81" spans="1:2" x14ac:dyDescent="0.2">
      <c r="A81" s="1" t="s">
        <v>250</v>
      </c>
      <c r="B81">
        <v>0</v>
      </c>
    </row>
    <row r="82" spans="1:2" x14ac:dyDescent="0.2">
      <c r="A82" s="1" t="s">
        <v>258</v>
      </c>
      <c r="B82">
        <v>0</v>
      </c>
    </row>
    <row r="83" spans="1:2" x14ac:dyDescent="0.2">
      <c r="A83" s="1" t="s">
        <v>260</v>
      </c>
      <c r="B83">
        <v>0</v>
      </c>
    </row>
    <row r="84" spans="1:2" x14ac:dyDescent="0.2">
      <c r="A84" s="1" t="s">
        <v>262</v>
      </c>
      <c r="B84">
        <v>0</v>
      </c>
    </row>
    <row r="85" spans="1:2" x14ac:dyDescent="0.2">
      <c r="A85" s="1" t="s">
        <v>63</v>
      </c>
      <c r="B85">
        <v>0</v>
      </c>
    </row>
    <row r="86" spans="1:2" x14ac:dyDescent="0.2">
      <c r="A86" s="1" t="s">
        <v>266</v>
      </c>
      <c r="B86">
        <v>0</v>
      </c>
    </row>
    <row r="87" spans="1:2" x14ac:dyDescent="0.2">
      <c r="A87" s="1" t="s">
        <v>273</v>
      </c>
      <c r="B87">
        <v>0</v>
      </c>
    </row>
    <row r="88" spans="1:2" x14ac:dyDescent="0.2">
      <c r="A88" s="1" t="s">
        <v>64</v>
      </c>
      <c r="B88">
        <v>0</v>
      </c>
    </row>
    <row r="89" spans="1:2" x14ac:dyDescent="0.2">
      <c r="A89" s="1" t="s">
        <v>239</v>
      </c>
      <c r="B89">
        <v>0</v>
      </c>
    </row>
    <row r="90" spans="1:2" x14ac:dyDescent="0.2">
      <c r="A90" s="1" t="s">
        <v>88</v>
      </c>
      <c r="B90">
        <v>0</v>
      </c>
    </row>
    <row r="91" spans="1:2" x14ac:dyDescent="0.2">
      <c r="A91" s="1" t="s">
        <v>143</v>
      </c>
      <c r="B91">
        <v>0</v>
      </c>
    </row>
    <row r="92" spans="1:2" x14ac:dyDescent="0.2">
      <c r="A92" s="1" t="s">
        <v>289</v>
      </c>
      <c r="B92">
        <v>0</v>
      </c>
    </row>
    <row r="93" spans="1:2" x14ac:dyDescent="0.2">
      <c r="A93" s="1" t="s">
        <v>320</v>
      </c>
      <c r="B93">
        <v>0</v>
      </c>
    </row>
    <row r="94" spans="1:2" x14ac:dyDescent="0.2">
      <c r="A94" s="1" t="s">
        <v>291</v>
      </c>
      <c r="B94">
        <v>0</v>
      </c>
    </row>
    <row r="95" spans="1:2" x14ac:dyDescent="0.2">
      <c r="A95" s="1" t="s">
        <v>303</v>
      </c>
      <c r="B95">
        <v>0</v>
      </c>
    </row>
    <row r="96" spans="1:2" x14ac:dyDescent="0.2">
      <c r="A96" s="1" t="s">
        <v>269</v>
      </c>
      <c r="B96">
        <v>0</v>
      </c>
    </row>
    <row r="97" spans="1:2" x14ac:dyDescent="0.2">
      <c r="A97" s="1" t="s">
        <v>106</v>
      </c>
      <c r="B97">
        <v>0</v>
      </c>
    </row>
    <row r="98" spans="1:2" x14ac:dyDescent="0.2">
      <c r="A98" s="1" t="s">
        <v>318</v>
      </c>
      <c r="B98">
        <v>0</v>
      </c>
    </row>
    <row r="99" spans="1:2" x14ac:dyDescent="0.2">
      <c r="A99" s="1" t="s">
        <v>149</v>
      </c>
      <c r="B99">
        <v>0</v>
      </c>
    </row>
    <row r="100" spans="1:2" x14ac:dyDescent="0.2">
      <c r="A100" s="1" t="s">
        <v>279</v>
      </c>
      <c r="B100">
        <v>0</v>
      </c>
    </row>
    <row r="101" spans="1:2" x14ac:dyDescent="0.2">
      <c r="A101" s="1" t="s">
        <v>282</v>
      </c>
      <c r="B101">
        <v>0</v>
      </c>
    </row>
    <row r="102" spans="1:2" x14ac:dyDescent="0.2">
      <c r="A102" s="1" t="s">
        <v>286</v>
      </c>
      <c r="B102">
        <v>0</v>
      </c>
    </row>
    <row r="103" spans="1:2" x14ac:dyDescent="0.2">
      <c r="A103" s="1" t="s">
        <v>287</v>
      </c>
      <c r="B103">
        <v>0</v>
      </c>
    </row>
    <row r="104" spans="1:2" x14ac:dyDescent="0.2">
      <c r="A104" s="1" t="s">
        <v>294</v>
      </c>
      <c r="B104">
        <v>0</v>
      </c>
    </row>
    <row r="105" spans="1:2" x14ac:dyDescent="0.2">
      <c r="A105" s="1" t="s">
        <v>305</v>
      </c>
      <c r="B105">
        <v>0</v>
      </c>
    </row>
    <row r="106" spans="1:2" x14ac:dyDescent="0.2">
      <c r="A106" s="1" t="s">
        <v>276</v>
      </c>
      <c r="B106">
        <v>0</v>
      </c>
    </row>
    <row r="107" spans="1:2" x14ac:dyDescent="0.2">
      <c r="A107" s="1" t="s">
        <v>326</v>
      </c>
      <c r="B107">
        <v>0</v>
      </c>
    </row>
    <row r="108" spans="1:2" x14ac:dyDescent="0.2">
      <c r="A108" s="1" t="s">
        <v>298</v>
      </c>
      <c r="B108">
        <v>0</v>
      </c>
    </row>
    <row r="109" spans="1:2" x14ac:dyDescent="0.2">
      <c r="A109" s="1" t="s">
        <v>301</v>
      </c>
      <c r="B109">
        <v>0</v>
      </c>
    </row>
    <row r="110" spans="1:2" x14ac:dyDescent="0.2">
      <c r="A110" s="1" t="s">
        <v>284</v>
      </c>
      <c r="B110">
        <v>0</v>
      </c>
    </row>
    <row r="111" spans="1:2" x14ac:dyDescent="0.2">
      <c r="A111" s="1" t="s">
        <v>296</v>
      </c>
      <c r="B111">
        <v>0</v>
      </c>
    </row>
    <row r="112" spans="1:2" x14ac:dyDescent="0.2">
      <c r="A112" s="1" t="s">
        <v>92</v>
      </c>
      <c r="B112">
        <v>0</v>
      </c>
    </row>
    <row r="113" spans="1:2" x14ac:dyDescent="0.2">
      <c r="A113" s="1" t="s">
        <v>280</v>
      </c>
      <c r="B113">
        <v>0</v>
      </c>
    </row>
    <row r="114" spans="1:2" x14ac:dyDescent="0.2">
      <c r="A114" s="1" t="s">
        <v>329</v>
      </c>
      <c r="B114">
        <v>0</v>
      </c>
    </row>
    <row r="115" spans="1:2" x14ac:dyDescent="0.2">
      <c r="A115" s="1" t="s">
        <v>232</v>
      </c>
      <c r="B115">
        <v>0</v>
      </c>
    </row>
    <row r="116" spans="1:2" x14ac:dyDescent="0.2">
      <c r="A116" s="1" t="s">
        <v>211</v>
      </c>
      <c r="B116">
        <v>0</v>
      </c>
    </row>
    <row r="117" spans="1:2" x14ac:dyDescent="0.2">
      <c r="A117" s="1" t="s">
        <v>59</v>
      </c>
      <c r="B117">
        <v>0</v>
      </c>
    </row>
    <row r="118" spans="1:2" x14ac:dyDescent="0.2">
      <c r="A118" s="1" t="s">
        <v>200</v>
      </c>
      <c r="B118">
        <v>0</v>
      </c>
    </row>
    <row r="119" spans="1:2" x14ac:dyDescent="0.2">
      <c r="A119" s="1" t="s">
        <v>226</v>
      </c>
      <c r="B119">
        <v>0</v>
      </c>
    </row>
    <row r="120" spans="1:2" x14ac:dyDescent="0.2">
      <c r="A120" s="1" t="s">
        <v>225</v>
      </c>
      <c r="B120">
        <v>0</v>
      </c>
    </row>
    <row r="121" spans="1:2" x14ac:dyDescent="0.2">
      <c r="A121" s="1" t="s">
        <v>246</v>
      </c>
      <c r="B121">
        <v>0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CF4A-6251-AE4E-96D1-BFEC726D02C4}">
  <dimension ref="A1:B121"/>
  <sheetViews>
    <sheetView topLeftCell="A46" workbookViewId="0">
      <selection activeCell="B74" sqref="B74"/>
    </sheetView>
  </sheetViews>
  <sheetFormatPr baseColWidth="10" defaultRowHeight="16" x14ac:dyDescent="0.2"/>
  <sheetData>
    <row r="1" spans="1:2" x14ac:dyDescent="0.2">
      <c r="B1" s="1">
        <v>0</v>
      </c>
    </row>
    <row r="2" spans="1:2" x14ac:dyDescent="0.2">
      <c r="A2" s="1" t="s">
        <v>0</v>
      </c>
      <c r="B2">
        <v>0</v>
      </c>
    </row>
    <row r="3" spans="1:2" x14ac:dyDescent="0.2">
      <c r="A3" s="1" t="s">
        <v>1</v>
      </c>
      <c r="B3">
        <v>0</v>
      </c>
    </row>
    <row r="4" spans="1:2" x14ac:dyDescent="0.2">
      <c r="A4" s="1" t="s">
        <v>2</v>
      </c>
      <c r="B4">
        <v>0</v>
      </c>
    </row>
    <row r="5" spans="1:2" x14ac:dyDescent="0.2">
      <c r="A5" s="1" t="s">
        <v>3</v>
      </c>
      <c r="B5">
        <v>0</v>
      </c>
    </row>
    <row r="6" spans="1:2" x14ac:dyDescent="0.2">
      <c r="A6" s="1" t="s">
        <v>4</v>
      </c>
      <c r="B6">
        <v>110</v>
      </c>
    </row>
    <row r="7" spans="1:2" x14ac:dyDescent="0.2">
      <c r="A7" s="1" t="s">
        <v>5</v>
      </c>
      <c r="B7">
        <v>0</v>
      </c>
    </row>
    <row r="8" spans="1:2" x14ac:dyDescent="0.2">
      <c r="A8" s="1" t="s">
        <v>6</v>
      </c>
      <c r="B8">
        <v>0</v>
      </c>
    </row>
    <row r="9" spans="1:2" x14ac:dyDescent="0.2">
      <c r="A9" s="1" t="s">
        <v>7</v>
      </c>
      <c r="B9">
        <v>78</v>
      </c>
    </row>
    <row r="10" spans="1:2" x14ac:dyDescent="0.2">
      <c r="A10" s="1" t="s">
        <v>8</v>
      </c>
      <c r="B10">
        <v>0</v>
      </c>
    </row>
    <row r="11" spans="1:2" x14ac:dyDescent="0.2">
      <c r="A11" s="1" t="s">
        <v>9</v>
      </c>
      <c r="B11">
        <v>0</v>
      </c>
    </row>
    <row r="12" spans="1:2" x14ac:dyDescent="0.2">
      <c r="A12" s="1" t="s">
        <v>10</v>
      </c>
      <c r="B12">
        <v>0</v>
      </c>
    </row>
    <row r="13" spans="1:2" x14ac:dyDescent="0.2">
      <c r="A13" s="1" t="s">
        <v>11</v>
      </c>
      <c r="B13">
        <v>172</v>
      </c>
    </row>
    <row r="14" spans="1:2" x14ac:dyDescent="0.2">
      <c r="A14" s="1" t="s">
        <v>12</v>
      </c>
      <c r="B14">
        <v>0</v>
      </c>
    </row>
    <row r="15" spans="1:2" x14ac:dyDescent="0.2">
      <c r="A15" s="1" t="s">
        <v>13</v>
      </c>
      <c r="B15">
        <v>0</v>
      </c>
    </row>
    <row r="16" spans="1:2" x14ac:dyDescent="0.2">
      <c r="A16" s="1" t="s">
        <v>14</v>
      </c>
      <c r="B16">
        <v>0</v>
      </c>
    </row>
    <row r="17" spans="1:2" x14ac:dyDescent="0.2">
      <c r="A17" s="1" t="s">
        <v>87</v>
      </c>
      <c r="B17">
        <v>0</v>
      </c>
    </row>
    <row r="18" spans="1:2" x14ac:dyDescent="0.2">
      <c r="A18" s="1" t="s">
        <v>100</v>
      </c>
      <c r="B18">
        <v>0</v>
      </c>
    </row>
    <row r="19" spans="1:2" x14ac:dyDescent="0.2">
      <c r="A19" s="1" t="s">
        <v>103</v>
      </c>
      <c r="B19">
        <v>0</v>
      </c>
    </row>
    <row r="20" spans="1:2" x14ac:dyDescent="0.2">
      <c r="A20" s="1" t="s">
        <v>97</v>
      </c>
      <c r="B20">
        <v>0</v>
      </c>
    </row>
    <row r="21" spans="1:2" x14ac:dyDescent="0.2">
      <c r="A21" s="1" t="s">
        <v>94</v>
      </c>
      <c r="B21">
        <v>0</v>
      </c>
    </row>
    <row r="22" spans="1:2" x14ac:dyDescent="0.2">
      <c r="A22" s="1" t="s">
        <v>98</v>
      </c>
      <c r="B22">
        <v>0</v>
      </c>
    </row>
    <row r="23" spans="1:2" x14ac:dyDescent="0.2">
      <c r="A23" s="1" t="s">
        <v>95</v>
      </c>
      <c r="B23">
        <v>0</v>
      </c>
    </row>
    <row r="24" spans="1:2" x14ac:dyDescent="0.2">
      <c r="A24" s="1" t="s">
        <v>105</v>
      </c>
      <c r="B24">
        <v>0</v>
      </c>
    </row>
    <row r="25" spans="1:2" x14ac:dyDescent="0.2">
      <c r="A25" s="1" t="s">
        <v>119</v>
      </c>
      <c r="B25">
        <v>0</v>
      </c>
    </row>
    <row r="26" spans="1:2" x14ac:dyDescent="0.2">
      <c r="A26" s="1" t="s">
        <v>101</v>
      </c>
      <c r="B26">
        <v>0</v>
      </c>
    </row>
    <row r="27" spans="1:2" x14ac:dyDescent="0.2">
      <c r="A27" s="1" t="s">
        <v>115</v>
      </c>
      <c r="B27">
        <v>229</v>
      </c>
    </row>
    <row r="28" spans="1:2" x14ac:dyDescent="0.2">
      <c r="A28" s="1" t="s">
        <v>108</v>
      </c>
      <c r="B28">
        <v>0</v>
      </c>
    </row>
    <row r="29" spans="1:2" x14ac:dyDescent="0.2">
      <c r="A29" s="1" t="s">
        <v>112</v>
      </c>
      <c r="B29">
        <v>0</v>
      </c>
    </row>
    <row r="30" spans="1:2" x14ac:dyDescent="0.2">
      <c r="A30" s="1" t="s">
        <v>117</v>
      </c>
      <c r="B30">
        <v>0</v>
      </c>
    </row>
    <row r="31" spans="1:2" x14ac:dyDescent="0.2">
      <c r="A31" s="1" t="s">
        <v>122</v>
      </c>
      <c r="B31">
        <v>0</v>
      </c>
    </row>
    <row r="32" spans="1:2" x14ac:dyDescent="0.2">
      <c r="A32" s="1" t="s">
        <v>127</v>
      </c>
      <c r="B32">
        <v>0</v>
      </c>
    </row>
    <row r="33" spans="1:2" x14ac:dyDescent="0.2">
      <c r="A33" s="1" t="s">
        <v>132</v>
      </c>
      <c r="B33">
        <v>0</v>
      </c>
    </row>
    <row r="34" spans="1:2" x14ac:dyDescent="0.2">
      <c r="A34" s="1" t="s">
        <v>133</v>
      </c>
      <c r="B34">
        <v>0</v>
      </c>
    </row>
    <row r="35" spans="1:2" x14ac:dyDescent="0.2">
      <c r="A35" s="1" t="s">
        <v>138</v>
      </c>
      <c r="B35">
        <v>0</v>
      </c>
    </row>
    <row r="36" spans="1:2" x14ac:dyDescent="0.2">
      <c r="A36" s="1" t="s">
        <v>147</v>
      </c>
      <c r="B36">
        <v>0</v>
      </c>
    </row>
    <row r="37" spans="1:2" x14ac:dyDescent="0.2">
      <c r="A37" s="1" t="s">
        <v>135</v>
      </c>
      <c r="B37">
        <v>0</v>
      </c>
    </row>
    <row r="38" spans="1:2" x14ac:dyDescent="0.2">
      <c r="A38" s="1" t="s">
        <v>150</v>
      </c>
      <c r="B38">
        <v>0</v>
      </c>
    </row>
    <row r="39" spans="1:2" x14ac:dyDescent="0.2">
      <c r="A39" s="1" t="s">
        <v>136</v>
      </c>
      <c r="B39">
        <v>46</v>
      </c>
    </row>
    <row r="40" spans="1:2" x14ac:dyDescent="0.2">
      <c r="A40" s="1" t="s">
        <v>153</v>
      </c>
      <c r="B40">
        <v>0</v>
      </c>
    </row>
    <row r="41" spans="1:2" x14ac:dyDescent="0.2">
      <c r="A41" s="1" t="s">
        <v>168</v>
      </c>
      <c r="B41">
        <v>0</v>
      </c>
    </row>
    <row r="42" spans="1:2" x14ac:dyDescent="0.2">
      <c r="A42" s="1" t="s">
        <v>164</v>
      </c>
      <c r="B42">
        <v>0</v>
      </c>
    </row>
    <row r="43" spans="1:2" x14ac:dyDescent="0.2">
      <c r="A43" s="1" t="s">
        <v>158</v>
      </c>
      <c r="B43">
        <v>0</v>
      </c>
    </row>
    <row r="44" spans="1:2" x14ac:dyDescent="0.2">
      <c r="A44" s="1" t="s">
        <v>161</v>
      </c>
      <c r="B44">
        <v>0</v>
      </c>
    </row>
    <row r="45" spans="1:2" x14ac:dyDescent="0.2">
      <c r="A45" s="1" t="s">
        <v>154</v>
      </c>
      <c r="B45">
        <v>0</v>
      </c>
    </row>
    <row r="46" spans="1:2" x14ac:dyDescent="0.2">
      <c r="A46" s="1" t="s">
        <v>173</v>
      </c>
      <c r="B46">
        <v>0</v>
      </c>
    </row>
    <row r="47" spans="1:2" x14ac:dyDescent="0.2">
      <c r="A47" s="1" t="s">
        <v>176</v>
      </c>
      <c r="B47">
        <v>0</v>
      </c>
    </row>
    <row r="48" spans="1:2" x14ac:dyDescent="0.2">
      <c r="A48" s="1" t="s">
        <v>156</v>
      </c>
      <c r="B48">
        <v>0</v>
      </c>
    </row>
    <row r="49" spans="1:2" x14ac:dyDescent="0.2">
      <c r="A49" s="1" t="s">
        <v>139</v>
      </c>
      <c r="B49">
        <v>199</v>
      </c>
    </row>
    <row r="50" spans="1:2" x14ac:dyDescent="0.2">
      <c r="A50" s="1" t="s">
        <v>182</v>
      </c>
      <c r="B50">
        <v>0</v>
      </c>
    </row>
    <row r="51" spans="1:2" x14ac:dyDescent="0.2">
      <c r="A51" s="1" t="s">
        <v>160</v>
      </c>
      <c r="B51">
        <v>154</v>
      </c>
    </row>
    <row r="52" spans="1:2" x14ac:dyDescent="0.2">
      <c r="A52" s="1" t="s">
        <v>185</v>
      </c>
      <c r="B52">
        <v>0</v>
      </c>
    </row>
    <row r="53" spans="1:2" x14ac:dyDescent="0.2">
      <c r="A53" s="1" t="s">
        <v>180</v>
      </c>
      <c r="B53">
        <v>0</v>
      </c>
    </row>
    <row r="54" spans="1:2" x14ac:dyDescent="0.2">
      <c r="A54" s="1" t="s">
        <v>195</v>
      </c>
      <c r="B54">
        <v>0</v>
      </c>
    </row>
    <row r="55" spans="1:2" x14ac:dyDescent="0.2">
      <c r="A55" s="1" t="s">
        <v>163</v>
      </c>
      <c r="B55">
        <v>0</v>
      </c>
    </row>
    <row r="56" spans="1:2" x14ac:dyDescent="0.2">
      <c r="A56" s="1" t="s">
        <v>188</v>
      </c>
      <c r="B56">
        <v>0</v>
      </c>
    </row>
    <row r="57" spans="1:2" x14ac:dyDescent="0.2">
      <c r="A57" s="1" t="s">
        <v>191</v>
      </c>
      <c r="B57">
        <v>0</v>
      </c>
    </row>
    <row r="58" spans="1:2" x14ac:dyDescent="0.2">
      <c r="A58" s="1" t="s">
        <v>197</v>
      </c>
      <c r="B58">
        <v>0</v>
      </c>
    </row>
    <row r="59" spans="1:2" x14ac:dyDescent="0.2">
      <c r="A59" s="1" t="s">
        <v>198</v>
      </c>
      <c r="B59">
        <v>0</v>
      </c>
    </row>
    <row r="60" spans="1:2" x14ac:dyDescent="0.2">
      <c r="A60" s="1" t="s">
        <v>79</v>
      </c>
      <c r="B60">
        <v>0</v>
      </c>
    </row>
    <row r="61" spans="1:2" x14ac:dyDescent="0.2">
      <c r="A61" s="1" t="s">
        <v>75</v>
      </c>
      <c r="B61">
        <v>0</v>
      </c>
    </row>
    <row r="62" spans="1:2" x14ac:dyDescent="0.2">
      <c r="A62" s="1" t="s">
        <v>205</v>
      </c>
      <c r="B62">
        <v>0</v>
      </c>
    </row>
    <row r="63" spans="1:2" x14ac:dyDescent="0.2">
      <c r="A63" s="1" t="s">
        <v>210</v>
      </c>
      <c r="B63">
        <v>79</v>
      </c>
    </row>
    <row r="64" spans="1:2" x14ac:dyDescent="0.2">
      <c r="A64" s="1" t="s">
        <v>90</v>
      </c>
      <c r="B64">
        <v>0</v>
      </c>
    </row>
    <row r="65" spans="1:2" x14ac:dyDescent="0.2">
      <c r="A65" s="1" t="s">
        <v>213</v>
      </c>
      <c r="B65">
        <v>0</v>
      </c>
    </row>
    <row r="66" spans="1:2" x14ac:dyDescent="0.2">
      <c r="A66" s="1" t="s">
        <v>208</v>
      </c>
      <c r="B66">
        <v>0</v>
      </c>
    </row>
    <row r="67" spans="1:2" x14ac:dyDescent="0.2">
      <c r="A67" s="1" t="s">
        <v>71</v>
      </c>
      <c r="B67">
        <v>0</v>
      </c>
    </row>
    <row r="68" spans="1:2" x14ac:dyDescent="0.2">
      <c r="A68" s="1" t="s">
        <v>220</v>
      </c>
      <c r="B68">
        <v>0</v>
      </c>
    </row>
    <row r="69" spans="1:2" x14ac:dyDescent="0.2">
      <c r="A69" s="1" t="s">
        <v>219</v>
      </c>
      <c r="B69">
        <v>0</v>
      </c>
    </row>
    <row r="70" spans="1:2" x14ac:dyDescent="0.2">
      <c r="A70" s="1" t="s">
        <v>222</v>
      </c>
      <c r="B70">
        <v>0</v>
      </c>
    </row>
    <row r="71" spans="1:2" x14ac:dyDescent="0.2">
      <c r="A71" s="1" t="s">
        <v>229</v>
      </c>
      <c r="B71">
        <v>0</v>
      </c>
    </row>
    <row r="72" spans="1:2" x14ac:dyDescent="0.2">
      <c r="A72" s="1" t="s">
        <v>234</v>
      </c>
      <c r="B72">
        <v>0</v>
      </c>
    </row>
    <row r="73" spans="1:2" x14ac:dyDescent="0.2">
      <c r="A73" s="1" t="s">
        <v>235</v>
      </c>
      <c r="B73">
        <v>88</v>
      </c>
    </row>
    <row r="74" spans="1:2" x14ac:dyDescent="0.2">
      <c r="A74" s="1" t="s">
        <v>237</v>
      </c>
      <c r="B74">
        <v>0</v>
      </c>
    </row>
    <row r="75" spans="1:2" x14ac:dyDescent="0.2">
      <c r="A75" s="1" t="s">
        <v>240</v>
      </c>
      <c r="B75">
        <v>0</v>
      </c>
    </row>
    <row r="76" spans="1:2" x14ac:dyDescent="0.2">
      <c r="A76" s="1" t="s">
        <v>244</v>
      </c>
      <c r="B76">
        <v>0</v>
      </c>
    </row>
    <row r="77" spans="1:2" x14ac:dyDescent="0.2">
      <c r="A77" s="1" t="s">
        <v>124</v>
      </c>
      <c r="B77">
        <v>0</v>
      </c>
    </row>
    <row r="78" spans="1:2" x14ac:dyDescent="0.2">
      <c r="A78" s="1" t="s">
        <v>201</v>
      </c>
      <c r="B78">
        <v>0</v>
      </c>
    </row>
    <row r="79" spans="1:2" x14ac:dyDescent="0.2">
      <c r="A79" s="1" t="s">
        <v>248</v>
      </c>
      <c r="B79">
        <v>0</v>
      </c>
    </row>
    <row r="80" spans="1:2" x14ac:dyDescent="0.2">
      <c r="A80" s="1" t="s">
        <v>253</v>
      </c>
      <c r="B80">
        <v>0</v>
      </c>
    </row>
    <row r="81" spans="1:2" x14ac:dyDescent="0.2">
      <c r="A81" s="1" t="s">
        <v>250</v>
      </c>
      <c r="B81">
        <v>0</v>
      </c>
    </row>
    <row r="82" spans="1:2" x14ac:dyDescent="0.2">
      <c r="A82" s="1" t="s">
        <v>258</v>
      </c>
      <c r="B82">
        <v>0</v>
      </c>
    </row>
    <row r="83" spans="1:2" x14ac:dyDescent="0.2">
      <c r="A83" s="1" t="s">
        <v>260</v>
      </c>
      <c r="B83">
        <v>0</v>
      </c>
    </row>
    <row r="84" spans="1:2" x14ac:dyDescent="0.2">
      <c r="A84" s="1" t="s">
        <v>262</v>
      </c>
      <c r="B84">
        <v>0</v>
      </c>
    </row>
    <row r="85" spans="1:2" x14ac:dyDescent="0.2">
      <c r="A85" s="1" t="s">
        <v>63</v>
      </c>
      <c r="B85">
        <v>0</v>
      </c>
    </row>
    <row r="86" spans="1:2" x14ac:dyDescent="0.2">
      <c r="A86" s="1" t="s">
        <v>266</v>
      </c>
      <c r="B86">
        <v>0</v>
      </c>
    </row>
    <row r="87" spans="1:2" x14ac:dyDescent="0.2">
      <c r="A87" s="1" t="s">
        <v>273</v>
      </c>
      <c r="B87">
        <v>0</v>
      </c>
    </row>
    <row r="88" spans="1:2" x14ac:dyDescent="0.2">
      <c r="A88" s="1" t="s">
        <v>64</v>
      </c>
      <c r="B88">
        <v>0</v>
      </c>
    </row>
    <row r="89" spans="1:2" x14ac:dyDescent="0.2">
      <c r="A89" s="1" t="s">
        <v>239</v>
      </c>
      <c r="B89">
        <v>0</v>
      </c>
    </row>
    <row r="90" spans="1:2" x14ac:dyDescent="0.2">
      <c r="A90" s="1" t="s">
        <v>88</v>
      </c>
      <c r="B90">
        <v>0</v>
      </c>
    </row>
    <row r="91" spans="1:2" x14ac:dyDescent="0.2">
      <c r="A91" s="1" t="s">
        <v>143</v>
      </c>
      <c r="B91">
        <v>0</v>
      </c>
    </row>
    <row r="92" spans="1:2" x14ac:dyDescent="0.2">
      <c r="A92" s="1" t="s">
        <v>289</v>
      </c>
      <c r="B92">
        <v>0</v>
      </c>
    </row>
    <row r="93" spans="1:2" x14ac:dyDescent="0.2">
      <c r="A93" s="1" t="s">
        <v>320</v>
      </c>
      <c r="B93">
        <v>0</v>
      </c>
    </row>
    <row r="94" spans="1:2" x14ac:dyDescent="0.2">
      <c r="A94" s="1" t="s">
        <v>291</v>
      </c>
      <c r="B94">
        <v>0</v>
      </c>
    </row>
    <row r="95" spans="1:2" x14ac:dyDescent="0.2">
      <c r="A95" s="1" t="s">
        <v>303</v>
      </c>
      <c r="B95">
        <v>0</v>
      </c>
    </row>
    <row r="96" spans="1:2" x14ac:dyDescent="0.2">
      <c r="A96" s="1" t="s">
        <v>269</v>
      </c>
      <c r="B96">
        <v>0</v>
      </c>
    </row>
    <row r="97" spans="1:2" x14ac:dyDescent="0.2">
      <c r="A97" s="1" t="s">
        <v>106</v>
      </c>
      <c r="B97">
        <v>0</v>
      </c>
    </row>
    <row r="98" spans="1:2" x14ac:dyDescent="0.2">
      <c r="A98" s="1" t="s">
        <v>318</v>
      </c>
      <c r="B98">
        <v>0</v>
      </c>
    </row>
    <row r="99" spans="1:2" x14ac:dyDescent="0.2">
      <c r="A99" s="1" t="s">
        <v>149</v>
      </c>
      <c r="B99">
        <v>0</v>
      </c>
    </row>
    <row r="100" spans="1:2" x14ac:dyDescent="0.2">
      <c r="A100" s="1" t="s">
        <v>279</v>
      </c>
      <c r="B100">
        <v>0</v>
      </c>
    </row>
    <row r="101" spans="1:2" x14ac:dyDescent="0.2">
      <c r="A101" s="1" t="s">
        <v>282</v>
      </c>
      <c r="B101">
        <v>0</v>
      </c>
    </row>
    <row r="102" spans="1:2" x14ac:dyDescent="0.2">
      <c r="A102" s="1" t="s">
        <v>286</v>
      </c>
      <c r="B102">
        <v>0</v>
      </c>
    </row>
    <row r="103" spans="1:2" x14ac:dyDescent="0.2">
      <c r="A103" s="1" t="s">
        <v>287</v>
      </c>
      <c r="B103">
        <v>0</v>
      </c>
    </row>
    <row r="104" spans="1:2" x14ac:dyDescent="0.2">
      <c r="A104" s="1" t="s">
        <v>294</v>
      </c>
      <c r="B104">
        <v>0</v>
      </c>
    </row>
    <row r="105" spans="1:2" x14ac:dyDescent="0.2">
      <c r="A105" s="1" t="s">
        <v>305</v>
      </c>
      <c r="B105">
        <v>0</v>
      </c>
    </row>
    <row r="106" spans="1:2" x14ac:dyDescent="0.2">
      <c r="A106" s="1" t="s">
        <v>276</v>
      </c>
      <c r="B106">
        <v>0</v>
      </c>
    </row>
    <row r="107" spans="1:2" x14ac:dyDescent="0.2">
      <c r="A107" s="1" t="s">
        <v>326</v>
      </c>
      <c r="B107">
        <v>0</v>
      </c>
    </row>
    <row r="108" spans="1:2" x14ac:dyDescent="0.2">
      <c r="A108" s="1" t="s">
        <v>298</v>
      </c>
      <c r="B108">
        <v>0</v>
      </c>
    </row>
    <row r="109" spans="1:2" x14ac:dyDescent="0.2">
      <c r="A109" s="1" t="s">
        <v>301</v>
      </c>
      <c r="B109">
        <v>0</v>
      </c>
    </row>
    <row r="110" spans="1:2" x14ac:dyDescent="0.2">
      <c r="A110" s="1" t="s">
        <v>284</v>
      </c>
      <c r="B110">
        <v>0</v>
      </c>
    </row>
    <row r="111" spans="1:2" x14ac:dyDescent="0.2">
      <c r="A111" s="1" t="s">
        <v>296</v>
      </c>
      <c r="B111">
        <v>0</v>
      </c>
    </row>
    <row r="112" spans="1:2" x14ac:dyDescent="0.2">
      <c r="A112" s="1" t="s">
        <v>92</v>
      </c>
      <c r="B112">
        <v>0</v>
      </c>
    </row>
    <row r="113" spans="1:2" x14ac:dyDescent="0.2">
      <c r="A113" s="1" t="s">
        <v>280</v>
      </c>
      <c r="B113">
        <v>0</v>
      </c>
    </row>
    <row r="114" spans="1:2" x14ac:dyDescent="0.2">
      <c r="A114" s="1" t="s">
        <v>329</v>
      </c>
      <c r="B114">
        <v>0</v>
      </c>
    </row>
    <row r="115" spans="1:2" x14ac:dyDescent="0.2">
      <c r="A115" s="1" t="s">
        <v>232</v>
      </c>
      <c r="B115">
        <v>0</v>
      </c>
    </row>
    <row r="116" spans="1:2" x14ac:dyDescent="0.2">
      <c r="A116" s="1" t="s">
        <v>211</v>
      </c>
      <c r="B116">
        <v>0</v>
      </c>
    </row>
    <row r="117" spans="1:2" x14ac:dyDescent="0.2">
      <c r="A117" s="1" t="s">
        <v>59</v>
      </c>
      <c r="B117">
        <v>0</v>
      </c>
    </row>
    <row r="118" spans="1:2" x14ac:dyDescent="0.2">
      <c r="A118" s="1" t="s">
        <v>200</v>
      </c>
      <c r="B118">
        <v>0</v>
      </c>
    </row>
    <row r="119" spans="1:2" x14ac:dyDescent="0.2">
      <c r="A119" s="1" t="s">
        <v>226</v>
      </c>
      <c r="B119">
        <v>0</v>
      </c>
    </row>
    <row r="120" spans="1:2" x14ac:dyDescent="0.2">
      <c r="A120" s="1" t="s">
        <v>225</v>
      </c>
      <c r="B120">
        <v>0</v>
      </c>
    </row>
    <row r="121" spans="1:2" x14ac:dyDescent="0.2">
      <c r="A121" s="1" t="s">
        <v>246</v>
      </c>
      <c r="B1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4E13-4CED-1E41-88CE-F14D2A499C03}">
  <dimension ref="A1:AR658"/>
  <sheetViews>
    <sheetView workbookViewId="0">
      <selection activeCell="B24" sqref="B24"/>
    </sheetView>
  </sheetViews>
  <sheetFormatPr baseColWidth="10" defaultColWidth="8.6640625" defaultRowHeight="11" x14ac:dyDescent="0.15"/>
  <cols>
    <col min="1" max="1" width="5.5" style="10" bestFit="1" customWidth="1"/>
    <col min="2" max="2" width="38.5" style="10" bestFit="1" customWidth="1"/>
    <col min="3" max="3" width="9.83203125" style="10" customWidth="1"/>
    <col min="4" max="4" width="7.83203125" style="10" customWidth="1"/>
    <col min="5" max="5" width="11.1640625" style="10" customWidth="1"/>
    <col min="6" max="6" width="12.83203125" style="2" customWidth="1"/>
    <col min="7" max="7" width="13" style="2" customWidth="1"/>
    <col min="8" max="8" width="11" style="2" customWidth="1"/>
    <col min="9" max="9" width="11.1640625" style="2" customWidth="1"/>
    <col min="10" max="10" width="7.83203125" style="2" customWidth="1"/>
    <col min="11" max="11" width="14.83203125" style="2" customWidth="1"/>
    <col min="12" max="12" width="7" style="2" customWidth="1"/>
    <col min="13" max="13" width="7.5" style="2" customWidth="1"/>
    <col min="14" max="14" width="11.83203125" style="2" customWidth="1"/>
    <col min="15" max="15" width="13.83203125" style="2" customWidth="1"/>
    <col min="16" max="16" width="14" style="2" customWidth="1"/>
    <col min="17" max="17" width="12" style="2" customWidth="1"/>
    <col min="18" max="18" width="8.1640625" style="2" customWidth="1"/>
    <col min="19" max="19" width="12.1640625" style="2" customWidth="1"/>
    <col min="20" max="20" width="10.33203125" style="2" customWidth="1"/>
    <col min="21" max="21" width="8" style="2" customWidth="1"/>
    <col min="22" max="22" width="10.33203125" style="2" customWidth="1"/>
    <col min="23" max="30" width="8.6640625" style="2"/>
    <col min="31" max="31" width="15.5" style="2" customWidth="1"/>
    <col min="32" max="32" width="15.6640625" style="2" customWidth="1"/>
    <col min="33" max="33" width="18" style="2" customWidth="1"/>
    <col min="34" max="39" width="8.6640625" style="2"/>
    <col min="40" max="41" width="10.1640625" style="2" customWidth="1"/>
    <col min="42" max="16384" width="8.6640625" style="2"/>
  </cols>
  <sheetData>
    <row r="1" spans="1:44" ht="15" x14ac:dyDescent="0.15">
      <c r="A1" s="1"/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2" t="s">
        <v>49</v>
      </c>
      <c r="AK1" s="2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</row>
    <row r="2" spans="1:44" ht="16" x14ac:dyDescent="0.2">
      <c r="A2" s="1" t="s">
        <v>58</v>
      </c>
      <c r="B2" s="4" t="str">
        <f>_xlfn.CONCAT(_xlfn.XLOOKUP($C2,[1]Bus!$A$2:$A$121,[1]Bus!$C$2:$C$121,0)," - ",_xlfn.XLOOKUP($D2,[1]Bus!$A$2:$A$121,[1]Bus!$C$2:$C$121,0))</f>
        <v>El_Rio_220 - Flores_220</v>
      </c>
      <c r="C2" s="4" t="s">
        <v>59</v>
      </c>
      <c r="D2" s="4" t="s">
        <v>0</v>
      </c>
      <c r="E2">
        <f t="shared" ref="E2:F33" si="0">$N2*V2/$S2</f>
        <v>1.4621322314049589E-3</v>
      </c>
      <c r="F2">
        <f t="shared" si="0"/>
        <v>7.6987933884297534E-3</v>
      </c>
      <c r="G2">
        <v>320</v>
      </c>
      <c r="H2">
        <v>320</v>
      </c>
      <c r="I2">
        <v>320</v>
      </c>
      <c r="N2" s="4">
        <v>8</v>
      </c>
      <c r="P2" s="2">
        <v>0</v>
      </c>
      <c r="S2">
        <f t="shared" ref="S2:S65" si="1">$T2^2/100</f>
        <v>484</v>
      </c>
      <c r="T2">
        <v>220</v>
      </c>
      <c r="U2">
        <v>1</v>
      </c>
      <c r="V2" s="4">
        <v>8.845900000000001E-2</v>
      </c>
      <c r="W2" s="4">
        <v>0.46577700000000011</v>
      </c>
      <c r="X2" s="4">
        <v>9.495E-3</v>
      </c>
      <c r="Y2" s="4">
        <v>0</v>
      </c>
      <c r="Z2" s="4">
        <v>0.84</v>
      </c>
      <c r="AA2" s="4">
        <v>1</v>
      </c>
      <c r="AB2" s="4">
        <v>1</v>
      </c>
      <c r="AC2" s="4" t="s">
        <v>60</v>
      </c>
      <c r="AD2" s="4" t="b">
        <v>1</v>
      </c>
      <c r="AE2" s="4">
        <v>0.25908399999999998</v>
      </c>
      <c r="AF2" s="4">
        <v>1.6223050000000001</v>
      </c>
      <c r="AG2" s="4">
        <v>5.5850000000000014E-3</v>
      </c>
      <c r="AH2" s="4">
        <v>100</v>
      </c>
      <c r="AI2" s="4">
        <v>4.0299999999999997E-3</v>
      </c>
      <c r="AJ2" s="2" t="str">
        <f>_xlfn.XLOOKUP($C2,[1]Bus!$A$2:$A$121,[1]Bus!$J$2:$J$121,0)</f>
        <v>CARIBE</v>
      </c>
      <c r="AK2" s="2" t="str">
        <f>_xlfn.XLOOKUP($C2,[1]Bus!$A$2:$A$121,[1]Bus!$K$2:$K$121,0)</f>
        <v>ATLANTIC</v>
      </c>
      <c r="AL2" s="2">
        <v>1.385986E-2</v>
      </c>
      <c r="AM2" s="2">
        <f>1/F2</f>
        <v>129.89048407285028</v>
      </c>
      <c r="AN2" s="2">
        <f>+SQRT(E2^2+F2^2)</f>
        <v>7.8364054450904292E-3</v>
      </c>
      <c r="AO2" s="2">
        <f>+F2/E2</f>
        <v>5.2654563130942016</v>
      </c>
      <c r="AP2" s="2">
        <f>+E2/(E2^2+F2^2)</f>
        <v>23.809641450853192</v>
      </c>
      <c r="AQ2" s="2">
        <v>0</v>
      </c>
      <c r="AR2" s="2">
        <v>1.385986E-2</v>
      </c>
    </row>
    <row r="3" spans="1:44" ht="16" x14ac:dyDescent="0.2">
      <c r="A3" s="1" t="s">
        <v>61</v>
      </c>
      <c r="B3" s="4" t="str">
        <f>_xlfn.CONCAT(_xlfn.XLOOKUP($C3,[1]Bus!$A$2:$A$121,[1]Bus!$C$2:$C$121,0)," - ",_xlfn.XLOOKUP($D3,[1]Bus!$A$2:$A$121,[1]Bus!$C$2:$C$121,0))</f>
        <v>El_Rio_220 - Tebsa_220</v>
      </c>
      <c r="C3" s="4" t="s">
        <v>59</v>
      </c>
      <c r="D3" s="4" t="s">
        <v>4</v>
      </c>
      <c r="E3">
        <f t="shared" si="0"/>
        <v>1.3524723140495869E-3</v>
      </c>
      <c r="F3">
        <f t="shared" si="0"/>
        <v>7.1213838842975226E-3</v>
      </c>
      <c r="G3">
        <v>320</v>
      </c>
      <c r="H3">
        <v>320</v>
      </c>
      <c r="I3">
        <v>320</v>
      </c>
      <c r="N3" s="4">
        <v>7.4</v>
      </c>
      <c r="P3" s="2">
        <v>0</v>
      </c>
      <c r="S3">
        <f t="shared" si="1"/>
        <v>484</v>
      </c>
      <c r="T3">
        <v>220</v>
      </c>
      <c r="U3">
        <v>1</v>
      </c>
      <c r="V3" s="4">
        <v>8.845900000000001E-2</v>
      </c>
      <c r="W3" s="4">
        <v>0.46577700000000011</v>
      </c>
      <c r="X3" s="4">
        <v>9.495E-3</v>
      </c>
      <c r="Y3" s="4">
        <v>0</v>
      </c>
      <c r="Z3" s="4">
        <v>0.84</v>
      </c>
      <c r="AA3" s="4">
        <v>1</v>
      </c>
      <c r="AB3" s="4">
        <v>1</v>
      </c>
      <c r="AC3" s="4" t="s">
        <v>60</v>
      </c>
      <c r="AD3" s="4" t="b">
        <v>1</v>
      </c>
      <c r="AE3" s="4">
        <v>0.25908399999999998</v>
      </c>
      <c r="AF3" s="4">
        <v>1.6223050000000001</v>
      </c>
      <c r="AG3" s="4">
        <v>5.5850000000000014E-3</v>
      </c>
      <c r="AH3" s="4">
        <v>100</v>
      </c>
      <c r="AI3" s="4">
        <v>4.0299999999999997E-3</v>
      </c>
      <c r="AJ3" s="2" t="str">
        <f>_xlfn.XLOOKUP($C3,[1]Bus!$A$2:$A$121,[1]Bus!$J$2:$J$121,0)</f>
        <v>CARIBE</v>
      </c>
      <c r="AK3" s="2" t="str">
        <f>_xlfn.XLOOKUP($C3,[1]Bus!$A$2:$A$121,[1]Bus!$K$2:$K$121,0)</f>
        <v>ATLANTIC</v>
      </c>
      <c r="AL3" s="2">
        <v>1.2820369999999999E-2</v>
      </c>
      <c r="AM3" s="2">
        <f t="shared" ref="AM3:AM66" si="2">1/F3</f>
        <v>140.42214494362193</v>
      </c>
      <c r="AN3" s="2">
        <f t="shared" ref="AN3:AN66" si="3">+SQRT(E3^2+F3^2)</f>
        <v>7.2486750367086478E-3</v>
      </c>
      <c r="AO3" s="2">
        <f t="shared" ref="AO3:AO66" si="4">+F3/E3</f>
        <v>5.2654563130942034</v>
      </c>
      <c r="AP3" s="2">
        <f t="shared" ref="AP3:AP66" si="5">+E3/(E3^2+F3^2)</f>
        <v>25.740152919841279</v>
      </c>
      <c r="AQ3" s="2">
        <v>0</v>
      </c>
      <c r="AR3" s="2">
        <v>1.2820369999999999E-2</v>
      </c>
    </row>
    <row r="4" spans="1:44" ht="16" x14ac:dyDescent="0.2">
      <c r="A4" s="1" t="s">
        <v>62</v>
      </c>
      <c r="B4" s="4" t="str">
        <f>_xlfn.CONCAT(_xlfn.XLOOKUP($C4,[1]Bus!$A$2:$A$121,[1]Bus!$C$2:$C$121,0)," - ",_xlfn.XLOOKUP($D4,[1]Bus!$A$2:$A$121,[1]Bus!$C$2:$C$121,0))</f>
        <v>Guatiguara_220 - Sogamoso_220</v>
      </c>
      <c r="C4" s="4" t="s">
        <v>63</v>
      </c>
      <c r="D4" s="4" t="s">
        <v>64</v>
      </c>
      <c r="E4">
        <f t="shared" si="0"/>
        <v>2.9394359504132232E-3</v>
      </c>
      <c r="F4">
        <f t="shared" si="0"/>
        <v>2.7629563016528927E-2</v>
      </c>
      <c r="G4">
        <v>388</v>
      </c>
      <c r="H4">
        <v>388</v>
      </c>
      <c r="I4">
        <v>388</v>
      </c>
      <c r="N4" s="4">
        <v>54.93</v>
      </c>
      <c r="P4" s="2">
        <v>0</v>
      </c>
      <c r="S4">
        <f t="shared" si="1"/>
        <v>484</v>
      </c>
      <c r="T4">
        <v>220</v>
      </c>
      <c r="U4">
        <v>2</v>
      </c>
      <c r="V4" s="4">
        <f>0.0518/2</f>
        <v>2.5899999999999999E-2</v>
      </c>
      <c r="W4" s="4">
        <f>0.4869/2</f>
        <v>0.24345</v>
      </c>
      <c r="X4" s="4">
        <v>0</v>
      </c>
      <c r="Y4" s="4">
        <v>0</v>
      </c>
      <c r="Z4" s="4">
        <v>1.0169999999999999</v>
      </c>
      <c r="AA4" s="4">
        <v>1</v>
      </c>
      <c r="AB4" s="4">
        <v>1</v>
      </c>
      <c r="AC4" s="4" t="s">
        <v>60</v>
      </c>
      <c r="AD4" s="4" t="b">
        <v>1</v>
      </c>
      <c r="AE4" s="4">
        <f>0.3394/2</f>
        <v>0.16969999999999999</v>
      </c>
      <c r="AF4" s="4">
        <f>1.4546/2</f>
        <v>0.72729999999999995</v>
      </c>
      <c r="AG4" s="4">
        <v>0</v>
      </c>
      <c r="AH4" s="4">
        <v>100</v>
      </c>
      <c r="AI4" s="4">
        <v>4.0299999999999997E-3</v>
      </c>
      <c r="AJ4" s="2" t="str">
        <f>_xlfn.XLOOKUP($C4,[1]Bus!$A$2:$A$121,[1]Bus!$J$2:$J$121,0)</f>
        <v>NORDEST</v>
      </c>
      <c r="AK4" s="2" t="str">
        <f>_xlfn.XLOOKUP($C4,[1]Bus!$A$2:$A$121,[1]Bus!$K$2:$K$121,0)</f>
        <v>SANTANDER</v>
      </c>
      <c r="AL4" s="2">
        <v>9.1368519999999995E-2</v>
      </c>
      <c r="AM4" s="2">
        <f t="shared" si="2"/>
        <v>36.193116749684627</v>
      </c>
      <c r="AN4" s="2">
        <f t="shared" si="3"/>
        <v>2.7785482471803954E-2</v>
      </c>
      <c r="AO4" s="2">
        <f t="shared" si="4"/>
        <v>9.3996138996139003</v>
      </c>
      <c r="AP4" s="2">
        <f t="shared" si="5"/>
        <v>3.8073965913633483</v>
      </c>
      <c r="AQ4" s="2">
        <v>0</v>
      </c>
      <c r="AR4" s="2">
        <v>9.1368519999999995E-2</v>
      </c>
    </row>
    <row r="5" spans="1:44" ht="16" x14ac:dyDescent="0.2">
      <c r="A5" s="1" t="s">
        <v>65</v>
      </c>
      <c r="B5" s="4" t="str">
        <f>_xlfn.CONCAT(_xlfn.XLOOKUP($C5,[1]Bus!$A$2:$A$121,[1]Bus!$C$2:$C$121,0)," - ",_xlfn.XLOOKUP($D5,[1]Bus!$A$2:$A$121,[1]Bus!$C$2:$C$121,0))</f>
        <v>Flores_220 - Nva_Barranquilla_220</v>
      </c>
      <c r="C5" s="4" t="s">
        <v>0</v>
      </c>
      <c r="D5" s="4" t="s">
        <v>1</v>
      </c>
      <c r="E5">
        <f t="shared" si="0"/>
        <v>1.3524723140495869E-3</v>
      </c>
      <c r="F5">
        <f t="shared" si="0"/>
        <v>7.1213838842975226E-3</v>
      </c>
      <c r="G5">
        <v>640</v>
      </c>
      <c r="H5">
        <v>640</v>
      </c>
      <c r="I5">
        <v>640</v>
      </c>
      <c r="N5" s="4">
        <v>7.4</v>
      </c>
      <c r="P5" s="2">
        <v>0</v>
      </c>
      <c r="S5">
        <f t="shared" si="1"/>
        <v>484</v>
      </c>
      <c r="T5">
        <v>220</v>
      </c>
      <c r="U5">
        <v>2</v>
      </c>
      <c r="V5" s="4">
        <v>8.845900000000001E-2</v>
      </c>
      <c r="W5" s="4">
        <v>0.46577700000000011</v>
      </c>
      <c r="X5" s="4">
        <v>9.495E-3</v>
      </c>
      <c r="Y5" s="4">
        <v>0</v>
      </c>
      <c r="Z5" s="4">
        <v>0.84</v>
      </c>
      <c r="AA5" s="4">
        <v>1</v>
      </c>
      <c r="AB5" s="4">
        <v>1</v>
      </c>
      <c r="AC5" s="4" t="s">
        <v>60</v>
      </c>
      <c r="AD5" s="4" t="b">
        <v>1</v>
      </c>
      <c r="AE5" s="4">
        <v>0.25908399999999998</v>
      </c>
      <c r="AF5" s="4">
        <v>1.6223050000000001</v>
      </c>
      <c r="AG5" s="4">
        <v>5.5850000000000014E-3</v>
      </c>
      <c r="AH5" s="4">
        <v>105.9524</v>
      </c>
      <c r="AI5" s="4">
        <v>4.0299999999999997E-3</v>
      </c>
      <c r="AJ5" s="2" t="str">
        <f>_xlfn.XLOOKUP($C5,[1]Bus!$A$2:$A$121,[1]Bus!$J$2:$J$121,0)</f>
        <v>CARIBE</v>
      </c>
      <c r="AK5" s="2" t="str">
        <f>_xlfn.XLOOKUP($C5,[1]Bus!$A$2:$A$121,[1]Bus!$K$2:$K$121,0)</f>
        <v>ATLANTIC</v>
      </c>
      <c r="AL5" s="2">
        <v>1.2820369999999999E-2</v>
      </c>
      <c r="AM5" s="2">
        <f t="shared" si="2"/>
        <v>140.42214494362193</v>
      </c>
      <c r="AN5" s="2">
        <f t="shared" si="3"/>
        <v>7.2486750367086478E-3</v>
      </c>
      <c r="AO5" s="2">
        <f t="shared" si="4"/>
        <v>5.2654563130942034</v>
      </c>
      <c r="AP5" s="2">
        <f t="shared" si="5"/>
        <v>25.740152919841279</v>
      </c>
      <c r="AQ5" s="2">
        <v>0</v>
      </c>
      <c r="AR5" s="2">
        <v>1.2820369999999999E-2</v>
      </c>
    </row>
    <row r="6" spans="1:44" ht="16" x14ac:dyDescent="0.2">
      <c r="A6" s="1" t="s">
        <v>66</v>
      </c>
      <c r="B6" s="4" t="str">
        <f>_xlfn.CONCAT(_xlfn.XLOOKUP($C6,[1]Bus!$A$2:$A$121,[1]Bus!$C$2:$C$121,0)," - ",_xlfn.XLOOKUP($D6,[1]Bus!$A$2:$A$121,[1]Bus!$C$2:$C$121,0))</f>
        <v>Sabanalarga_220 - Tebsa_220</v>
      </c>
      <c r="C6" s="4" t="s">
        <v>2</v>
      </c>
      <c r="D6" s="4" t="s">
        <v>4</v>
      </c>
      <c r="E6">
        <f t="shared" si="0"/>
        <v>2.298446136853594E-3</v>
      </c>
      <c r="F6">
        <f t="shared" si="0"/>
        <v>1.3099397301262637E-2</v>
      </c>
      <c r="G6">
        <v>800</v>
      </c>
      <c r="H6">
        <v>800</v>
      </c>
      <c r="I6">
        <v>800</v>
      </c>
      <c r="N6" s="4">
        <v>38.419998</v>
      </c>
      <c r="P6" s="2">
        <v>0</v>
      </c>
      <c r="S6">
        <f t="shared" si="1"/>
        <v>484</v>
      </c>
      <c r="T6">
        <v>220</v>
      </c>
      <c r="U6">
        <v>3</v>
      </c>
      <c r="V6" s="4">
        <v>2.8954919004346109E-2</v>
      </c>
      <c r="W6" s="4">
        <v>0.16502104695089043</v>
      </c>
      <c r="X6" s="4">
        <v>8.915000000000001E-3</v>
      </c>
      <c r="Y6" s="4">
        <v>0</v>
      </c>
      <c r="Z6" s="4">
        <v>0.63</v>
      </c>
      <c r="AA6" s="4">
        <v>1</v>
      </c>
      <c r="AB6" s="4">
        <v>1</v>
      </c>
      <c r="AC6" s="4" t="s">
        <v>60</v>
      </c>
      <c r="AD6" s="4" t="b">
        <v>1</v>
      </c>
      <c r="AE6" s="4">
        <v>0.13024178786803831</v>
      </c>
      <c r="AF6" s="4">
        <v>0.40475981847722559</v>
      </c>
      <c r="AG6" s="4">
        <v>5.5829999999999994E-3</v>
      </c>
      <c r="AH6" s="4">
        <v>115.08000199999999</v>
      </c>
      <c r="AI6" s="4">
        <v>4.0299999999999997E-3</v>
      </c>
      <c r="AJ6" s="2" t="str">
        <f>_xlfn.XLOOKUP($C6,[1]Bus!$A$2:$A$121,[1]Bus!$J$2:$J$121,0)</f>
        <v>CARIBE</v>
      </c>
      <c r="AK6" s="2" t="str">
        <f>_xlfn.XLOOKUP($C6,[1]Bus!$A$2:$A$121,[1]Bus!$K$2:$K$121,0)</f>
        <v>ATLANTIC</v>
      </c>
      <c r="AL6" s="2">
        <v>6.2495019999999998E-2</v>
      </c>
      <c r="AM6" s="2">
        <f t="shared" si="2"/>
        <v>76.339390049923225</v>
      </c>
      <c r="AN6" s="2">
        <f t="shared" si="3"/>
        <v>1.3299513686610653E-2</v>
      </c>
      <c r="AO6" s="2">
        <f t="shared" si="4"/>
        <v>5.6992404961008836</v>
      </c>
      <c r="AP6" s="2">
        <f t="shared" si="5"/>
        <v>12.99459681754297</v>
      </c>
      <c r="AQ6" s="2">
        <v>0</v>
      </c>
      <c r="AR6" s="2">
        <v>6.2495019999999998E-2</v>
      </c>
    </row>
    <row r="7" spans="1:44" ht="16" x14ac:dyDescent="0.2">
      <c r="A7" s="1" t="s">
        <v>67</v>
      </c>
      <c r="B7" s="4" t="str">
        <f>_xlfn.CONCAT(_xlfn.XLOOKUP($C7,[1]Bus!$A$2:$A$121,[1]Bus!$C$2:$C$121,0)," - ",_xlfn.XLOOKUP($D7,[1]Bus!$A$2:$A$121,[1]Bus!$C$2:$C$121,0))</f>
        <v>Nva_Barranquilla_220 - Sabanalarga_220</v>
      </c>
      <c r="C7" s="4" t="s">
        <v>1</v>
      </c>
      <c r="D7" s="4" t="s">
        <v>2</v>
      </c>
      <c r="E7">
        <f t="shared" si="0"/>
        <v>2.1687661181237165E-3</v>
      </c>
      <c r="F7">
        <f t="shared" si="0"/>
        <v>1.5212940315872803E-2</v>
      </c>
      <c r="G7">
        <v>1060</v>
      </c>
      <c r="H7">
        <v>1060</v>
      </c>
      <c r="I7">
        <v>1060</v>
      </c>
      <c r="N7" s="4">
        <v>45.279998999999997</v>
      </c>
      <c r="P7" s="2">
        <v>0</v>
      </c>
      <c r="S7">
        <f t="shared" si="1"/>
        <v>484</v>
      </c>
      <c r="T7">
        <v>220</v>
      </c>
      <c r="U7">
        <v>3</v>
      </c>
      <c r="V7" s="4">
        <v>2.3182041173893997E-2</v>
      </c>
      <c r="W7" s="4">
        <v>0.1626118214552619</v>
      </c>
      <c r="X7" s="4">
        <v>8.8959999999999994E-3</v>
      </c>
      <c r="Y7" s="4">
        <v>0</v>
      </c>
      <c r="Z7" s="4">
        <v>0.84</v>
      </c>
      <c r="AA7" s="4">
        <v>1</v>
      </c>
      <c r="AB7" s="4">
        <v>1</v>
      </c>
      <c r="AC7" s="4" t="s">
        <v>60</v>
      </c>
      <c r="AD7" s="4" t="b">
        <v>1</v>
      </c>
      <c r="AE7" s="4">
        <v>0.11240403862222637</v>
      </c>
      <c r="AF7" s="4">
        <v>0.37789157430477999</v>
      </c>
      <c r="AG7" s="4">
        <v>5.6270000000000001E-3</v>
      </c>
      <c r="AH7" s="4">
        <v>100</v>
      </c>
      <c r="AI7" s="4">
        <v>4.0299999999999997E-3</v>
      </c>
      <c r="AJ7" s="2" t="str">
        <f>_xlfn.XLOOKUP($C7,[1]Bus!$A$2:$A$121,[1]Bus!$J$2:$J$121,0)</f>
        <v>CARIBE</v>
      </c>
      <c r="AK7" s="2" t="str">
        <f>_xlfn.XLOOKUP($C7,[1]Bus!$A$2:$A$121,[1]Bus!$K$2:$K$121,0)</f>
        <v>ATLANTIC</v>
      </c>
      <c r="AL7" s="2">
        <v>7.1947499999999998E-2</v>
      </c>
      <c r="AM7" s="2">
        <f t="shared" si="2"/>
        <v>65.733512341241806</v>
      </c>
      <c r="AN7" s="2">
        <f t="shared" si="3"/>
        <v>1.5366753057475398E-2</v>
      </c>
      <c r="AO7" s="2">
        <f t="shared" si="4"/>
        <v>7.0145601172680188</v>
      </c>
      <c r="AP7" s="2">
        <f t="shared" si="5"/>
        <v>9.1843514739767755</v>
      </c>
      <c r="AQ7" s="2">
        <v>0</v>
      </c>
      <c r="AR7" s="2">
        <v>7.1947510000000006E-2</v>
      </c>
    </row>
    <row r="8" spans="1:44" ht="16" x14ac:dyDescent="0.2">
      <c r="A8" s="1" t="s">
        <v>68</v>
      </c>
      <c r="B8" s="4" t="str">
        <f>_xlfn.CONCAT(_xlfn.XLOOKUP($C8,[1]Bus!$A$2:$A$121,[1]Bus!$C$2:$C$121,0)," - ",_xlfn.XLOOKUP($D8,[1]Bus!$A$2:$A$121,[1]Bus!$C$2:$C$121,0))</f>
        <v>Caracoli_220 - Nva_Barranquilla_220</v>
      </c>
      <c r="C8" s="4" t="s">
        <v>5</v>
      </c>
      <c r="D8" s="4" t="s">
        <v>1</v>
      </c>
      <c r="E8">
        <f t="shared" si="0"/>
        <v>2.2717809917355372E-3</v>
      </c>
      <c r="F8">
        <f t="shared" si="0"/>
        <v>1.3766652892561985E-2</v>
      </c>
      <c r="G8">
        <v>320</v>
      </c>
      <c r="H8">
        <v>320</v>
      </c>
      <c r="I8">
        <v>320</v>
      </c>
      <c r="N8" s="4">
        <v>13.71</v>
      </c>
      <c r="P8" s="2">
        <v>0</v>
      </c>
      <c r="S8">
        <f t="shared" si="1"/>
        <v>484</v>
      </c>
      <c r="T8">
        <v>220</v>
      </c>
      <c r="U8">
        <v>1</v>
      </c>
      <c r="V8" s="4">
        <v>8.0199999999999994E-2</v>
      </c>
      <c r="W8" s="4">
        <v>0.48599999999999999</v>
      </c>
      <c r="X8" s="4">
        <v>9.0410000000000004E-3</v>
      </c>
      <c r="Y8" s="4">
        <v>0</v>
      </c>
      <c r="Z8" s="4">
        <v>0.83899999999999997</v>
      </c>
      <c r="AA8" s="4">
        <v>1</v>
      </c>
      <c r="AB8" s="4">
        <v>1</v>
      </c>
      <c r="AC8" s="4" t="s">
        <v>60</v>
      </c>
      <c r="AD8" s="4" t="b">
        <v>1</v>
      </c>
      <c r="AE8" s="4">
        <v>0.38009999999999999</v>
      </c>
      <c r="AF8" s="4">
        <v>1.1740999999999999</v>
      </c>
      <c r="AG8" s="4">
        <v>5.7229999999999998E-3</v>
      </c>
      <c r="AH8" s="4">
        <v>100.119186</v>
      </c>
      <c r="AI8" s="4">
        <v>4.0299999999999997E-3</v>
      </c>
      <c r="AJ8" s="2" t="str">
        <f>_xlfn.XLOOKUP($C8,[1]Bus!$A$2:$A$121,[1]Bus!$J$2:$J$121,0)</f>
        <v>CARIBE</v>
      </c>
      <c r="AK8" s="2" t="str">
        <f>_xlfn.XLOOKUP($C8,[1]Bus!$A$2:$A$121,[1]Bus!$K$2:$K$121,0)</f>
        <v>ATLANTIC</v>
      </c>
      <c r="AL8" s="2">
        <v>2.2615590000000001E-2</v>
      </c>
      <c r="AM8" s="2">
        <f t="shared" si="2"/>
        <v>72.639297860142335</v>
      </c>
      <c r="AN8" s="2">
        <f t="shared" si="3"/>
        <v>1.3952839164080412E-2</v>
      </c>
      <c r="AO8" s="2">
        <f t="shared" si="4"/>
        <v>6.0598503740648386</v>
      </c>
      <c r="AP8" s="2">
        <f t="shared" si="5"/>
        <v>11.669205424708286</v>
      </c>
      <c r="AQ8" s="2">
        <v>0</v>
      </c>
      <c r="AR8" s="2">
        <v>2.2615590000000001E-2</v>
      </c>
    </row>
    <row r="9" spans="1:44" ht="16" x14ac:dyDescent="0.2">
      <c r="A9" s="1" t="s">
        <v>69</v>
      </c>
      <c r="B9" s="4" t="str">
        <f>_xlfn.CONCAT(_xlfn.XLOOKUP($C9,[1]Bus!$A$2:$A$121,[1]Bus!$C$2:$C$121,0)," - ",_xlfn.XLOOKUP($D9,[1]Bus!$A$2:$A$121,[1]Bus!$C$2:$C$121,0))</f>
        <v>Caracoli_220 - Tebsa_220</v>
      </c>
      <c r="C9" s="4" t="s">
        <v>5</v>
      </c>
      <c r="D9" s="4" t="s">
        <v>4</v>
      </c>
      <c r="E9">
        <f t="shared" si="0"/>
        <v>1.6676528925619837E-3</v>
      </c>
      <c r="F9">
        <f t="shared" si="0"/>
        <v>1.0127429752066116E-2</v>
      </c>
      <c r="G9">
        <v>320</v>
      </c>
      <c r="H9">
        <v>320</v>
      </c>
      <c r="I9">
        <v>320</v>
      </c>
      <c r="N9" s="4">
        <v>10.14</v>
      </c>
      <c r="P9" s="2">
        <v>0</v>
      </c>
      <c r="S9">
        <f t="shared" si="1"/>
        <v>484</v>
      </c>
      <c r="T9">
        <v>220</v>
      </c>
      <c r="U9">
        <v>1</v>
      </c>
      <c r="V9" s="4">
        <v>7.9600000000000004E-2</v>
      </c>
      <c r="W9" s="4">
        <v>0.4834</v>
      </c>
      <c r="X9" s="4">
        <v>9.1069999999999988E-3</v>
      </c>
      <c r="Y9" s="4">
        <v>0</v>
      </c>
      <c r="Z9" s="4">
        <v>0.83899999999999997</v>
      </c>
      <c r="AA9" s="4">
        <v>1</v>
      </c>
      <c r="AB9" s="4">
        <v>1</v>
      </c>
      <c r="AC9" s="4" t="s">
        <v>60</v>
      </c>
      <c r="AD9" s="4" t="b">
        <v>1</v>
      </c>
      <c r="AE9" s="4">
        <v>0.38019999999999998</v>
      </c>
      <c r="AF9" s="4">
        <v>1.169</v>
      </c>
      <c r="AG9" s="4">
        <v>5.757E-3</v>
      </c>
      <c r="AH9" s="4">
        <v>100.119186</v>
      </c>
      <c r="AI9" s="4">
        <v>4.0299999999999997E-3</v>
      </c>
      <c r="AJ9" s="2" t="str">
        <f>_xlfn.XLOOKUP($C9,[1]Bus!$A$2:$A$121,[1]Bus!$J$2:$J$121,0)</f>
        <v>CARIBE</v>
      </c>
      <c r="AK9" s="2" t="str">
        <f>_xlfn.XLOOKUP($C9,[1]Bus!$A$2:$A$121,[1]Bus!$K$2:$K$121,0)</f>
        <v>ATLANTIC</v>
      </c>
      <c r="AL9" s="2">
        <v>1.6849320000000001E-2</v>
      </c>
      <c r="AM9" s="2">
        <f t="shared" si="2"/>
        <v>98.74173649992369</v>
      </c>
      <c r="AN9" s="2">
        <f t="shared" si="3"/>
        <v>1.0263815058403201E-2</v>
      </c>
      <c r="AO9" s="2">
        <f t="shared" si="4"/>
        <v>6.0728643216080398</v>
      </c>
      <c r="AP9" s="2">
        <f t="shared" si="5"/>
        <v>15.830259171324736</v>
      </c>
      <c r="AQ9" s="2">
        <v>0</v>
      </c>
      <c r="AR9" s="2">
        <v>1.6849320000000001E-2</v>
      </c>
    </row>
    <row r="10" spans="1:44" ht="16" x14ac:dyDescent="0.2">
      <c r="A10" s="1" t="s">
        <v>70</v>
      </c>
      <c r="B10" s="4" t="str">
        <f>_xlfn.CONCAT(_xlfn.XLOOKUP($C10,[1]Bus!$A$2:$A$121,[1]Bus!$C$2:$C$121,0)," - ",_xlfn.XLOOKUP($D10,[1]Bus!$A$2:$A$121,[1]Bus!$C$2:$C$121,0))</f>
        <v>Chinu_500 - Sabanalarga_500</v>
      </c>
      <c r="C10" s="4" t="s">
        <v>71</v>
      </c>
      <c r="D10" s="4" t="s">
        <v>3</v>
      </c>
      <c r="E10">
        <f t="shared" si="0"/>
        <v>9.7143588011294106E-4</v>
      </c>
      <c r="F10">
        <f t="shared" si="0"/>
        <v>1.2051480793246954E-2</v>
      </c>
      <c r="G10">
        <v>4222</v>
      </c>
      <c r="H10">
        <v>4222</v>
      </c>
      <c r="I10">
        <v>4222</v>
      </c>
      <c r="N10" s="4">
        <v>182.520004</v>
      </c>
      <c r="P10" s="2">
        <v>0</v>
      </c>
      <c r="S10">
        <f t="shared" si="1"/>
        <v>2500</v>
      </c>
      <c r="T10">
        <v>500</v>
      </c>
      <c r="U10">
        <v>2</v>
      </c>
      <c r="V10" s="4">
        <v>1.3305882352941176E-2</v>
      </c>
      <c r="W10" s="4">
        <v>0.16507068443367656</v>
      </c>
      <c r="X10" s="4">
        <v>1.307E-2</v>
      </c>
      <c r="Y10" s="4">
        <v>0</v>
      </c>
      <c r="Z10" s="4">
        <v>2.5</v>
      </c>
      <c r="AA10" s="4">
        <v>1</v>
      </c>
      <c r="AB10" s="4">
        <v>1</v>
      </c>
      <c r="AC10" s="4" t="s">
        <v>60</v>
      </c>
      <c r="AD10" s="4" t="b">
        <v>1</v>
      </c>
      <c r="AE10" s="4">
        <v>0.13795421252029585</v>
      </c>
      <c r="AF10" s="4">
        <v>0.48776577666171272</v>
      </c>
      <c r="AG10" s="4">
        <v>7.5040000000000003E-3</v>
      </c>
      <c r="AH10" s="4">
        <v>148.199997</v>
      </c>
      <c r="AI10" s="4">
        <v>4.0299999999999997E-3</v>
      </c>
      <c r="AJ10" s="2" t="str">
        <f>_xlfn.XLOOKUP($C10,[1]Bus!$A$2:$A$121,[1]Bus!$J$2:$J$121,0)</f>
        <v>CARIBE</v>
      </c>
      <c r="AK10" s="2" t="str">
        <f>_xlfn.XLOOKUP($C10,[1]Bus!$A$2:$A$121,[1]Bus!$K$2:$K$121,0)</f>
        <v>CORDOSUC</v>
      </c>
      <c r="AL10" s="2">
        <v>2.379095</v>
      </c>
      <c r="AM10" s="2">
        <f t="shared" si="2"/>
        <v>82.977354995275761</v>
      </c>
      <c r="AN10" s="2">
        <f t="shared" si="3"/>
        <v>1.2090569754117092E-2</v>
      </c>
      <c r="AO10" s="2">
        <f t="shared" si="4"/>
        <v>12.40584277353007</v>
      </c>
      <c r="AP10" s="2">
        <f t="shared" si="5"/>
        <v>6.6453920293509263</v>
      </c>
      <c r="AQ10" s="2">
        <v>0</v>
      </c>
      <c r="AR10" s="2">
        <v>1.1559438039193355</v>
      </c>
    </row>
    <row r="11" spans="1:44" ht="16" x14ac:dyDescent="0.2">
      <c r="A11" s="1" t="s">
        <v>72</v>
      </c>
      <c r="B11" s="4" t="str">
        <f>_xlfn.CONCAT(_xlfn.XLOOKUP($C11,[1]Bus!$A$2:$A$121,[1]Bus!$C$2:$C$121,0)," - ",_xlfn.XLOOKUP($D11,[1]Bus!$A$2:$A$121,[1]Bus!$C$2:$C$121,0))</f>
        <v>Caracoli_220 - Flores_220</v>
      </c>
      <c r="C11" s="4" t="s">
        <v>5</v>
      </c>
      <c r="D11" s="4" t="s">
        <v>0</v>
      </c>
      <c r="E11">
        <f t="shared" si="0"/>
        <v>3.8570250082644629E-3</v>
      </c>
      <c r="F11">
        <f t="shared" si="0"/>
        <v>2.5040993130578514E-2</v>
      </c>
      <c r="G11">
        <v>381</v>
      </c>
      <c r="H11">
        <v>381</v>
      </c>
      <c r="I11">
        <v>381</v>
      </c>
      <c r="N11" s="4">
        <v>35.900002000000001</v>
      </c>
      <c r="P11" s="2">
        <v>0</v>
      </c>
      <c r="S11">
        <f t="shared" si="1"/>
        <v>484</v>
      </c>
      <c r="T11">
        <v>220</v>
      </c>
      <c r="U11">
        <v>1</v>
      </c>
      <c r="V11" s="4">
        <v>5.1999999999999998E-2</v>
      </c>
      <c r="W11" s="4">
        <v>0.33760000000000001</v>
      </c>
      <c r="X11" s="4">
        <v>4.8379999999999999E-2</v>
      </c>
      <c r="Y11" s="4">
        <v>0</v>
      </c>
      <c r="Z11" s="4">
        <v>1</v>
      </c>
      <c r="AA11" s="4">
        <v>1</v>
      </c>
      <c r="AB11" s="4">
        <v>1</v>
      </c>
      <c r="AC11" s="4" t="s">
        <v>60</v>
      </c>
      <c r="AD11" s="4" t="b">
        <v>1</v>
      </c>
      <c r="AE11" s="4">
        <v>0.3382</v>
      </c>
      <c r="AF11" s="4">
        <v>0.99060000000000004</v>
      </c>
      <c r="AG11" s="4">
        <v>4.3986999999999998E-2</v>
      </c>
      <c r="AH11" s="4">
        <v>113.900009</v>
      </c>
      <c r="AI11" s="4">
        <v>4.0299999999999997E-3</v>
      </c>
      <c r="AJ11" s="2" t="str">
        <f>_xlfn.XLOOKUP($C11,[1]Bus!$A$2:$A$121,[1]Bus!$J$2:$J$121,0)</f>
        <v>CARIBE</v>
      </c>
      <c r="AK11" s="2" t="str">
        <f>_xlfn.XLOOKUP($C11,[1]Bus!$A$2:$A$121,[1]Bus!$K$2:$K$121,0)</f>
        <v>ATLANTIC</v>
      </c>
      <c r="AL11" s="2">
        <v>0.31691360000000002</v>
      </c>
      <c r="AM11" s="2">
        <f t="shared" si="2"/>
        <v>39.934518362966273</v>
      </c>
      <c r="AN11" s="2">
        <f t="shared" si="3"/>
        <v>2.5336297655341393E-2</v>
      </c>
      <c r="AO11" s="2">
        <f t="shared" si="4"/>
        <v>6.4923076923076923</v>
      </c>
      <c r="AP11" s="2">
        <f t="shared" si="5"/>
        <v>6.0085011639368595</v>
      </c>
      <c r="AQ11" s="2">
        <v>0</v>
      </c>
      <c r="AR11" s="2">
        <v>0.31691360000000002</v>
      </c>
    </row>
    <row r="12" spans="1:44" ht="16" x14ac:dyDescent="0.2">
      <c r="A12" s="1" t="s">
        <v>73</v>
      </c>
      <c r="B12" s="4" t="str">
        <f>_xlfn.CONCAT(_xlfn.XLOOKUP($C12,[1]Bus!$A$2:$A$121,[1]Bus!$C$2:$C$121,0)," - ",_xlfn.XLOOKUP($D12,[1]Bus!$A$2:$A$121,[1]Bus!$C$2:$C$121,0))</f>
        <v>Caracoli_220 - Sabanalarga_220</v>
      </c>
      <c r="C12" s="4" t="s">
        <v>5</v>
      </c>
      <c r="D12" s="4" t="s">
        <v>2</v>
      </c>
      <c r="E12">
        <f t="shared" si="0"/>
        <v>3.649256198347107E-3</v>
      </c>
      <c r="F12">
        <f t="shared" si="0"/>
        <v>2.2975867768595039E-2</v>
      </c>
      <c r="G12">
        <v>381</v>
      </c>
      <c r="H12">
        <v>381</v>
      </c>
      <c r="I12">
        <v>381</v>
      </c>
      <c r="N12" s="4">
        <v>30.4</v>
      </c>
      <c r="P12" s="2">
        <v>0</v>
      </c>
      <c r="S12">
        <f t="shared" si="1"/>
        <v>484</v>
      </c>
      <c r="T12">
        <v>220</v>
      </c>
      <c r="U12">
        <v>1</v>
      </c>
      <c r="V12" s="4">
        <v>5.8099999999999999E-2</v>
      </c>
      <c r="W12" s="4">
        <v>0.36580000000000001</v>
      </c>
      <c r="X12" s="4">
        <v>1.2156999999999999E-2</v>
      </c>
      <c r="Y12" s="4">
        <v>0</v>
      </c>
      <c r="Z12" s="4">
        <v>1</v>
      </c>
      <c r="AA12" s="4">
        <v>1</v>
      </c>
      <c r="AB12" s="4">
        <v>1</v>
      </c>
      <c r="AC12" s="4" t="s">
        <v>60</v>
      </c>
      <c r="AD12" s="4" t="b">
        <v>1</v>
      </c>
      <c r="AE12" s="4">
        <v>0.38</v>
      </c>
      <c r="AF12" s="4">
        <v>1.1498999999999999</v>
      </c>
      <c r="AG12" s="4">
        <v>6.3439999999999998E-3</v>
      </c>
      <c r="AH12" s="4">
        <v>113.900009</v>
      </c>
      <c r="AI12" s="4">
        <v>4.0299999999999997E-3</v>
      </c>
      <c r="AJ12" s="2" t="str">
        <f>_xlfn.XLOOKUP($C12,[1]Bus!$A$2:$A$121,[1]Bus!$J$2:$J$121,0)</f>
        <v>CARIBE</v>
      </c>
      <c r="AK12" s="2" t="str">
        <f>_xlfn.XLOOKUP($C12,[1]Bus!$A$2:$A$121,[1]Bus!$K$2:$K$121,0)</f>
        <v>ATLANTIC</v>
      </c>
      <c r="AL12" s="2">
        <v>6.7430959999999998E-2</v>
      </c>
      <c r="AM12" s="2">
        <f t="shared" si="2"/>
        <v>43.523927368996581</v>
      </c>
      <c r="AN12" s="2">
        <f t="shared" si="3"/>
        <v>2.3263868348173292E-2</v>
      </c>
      <c r="AO12" s="2">
        <f t="shared" si="4"/>
        <v>6.2960413080895012</v>
      </c>
      <c r="AP12" s="2">
        <f t="shared" si="5"/>
        <v>6.7428033108132031</v>
      </c>
      <c r="AQ12" s="2">
        <v>0</v>
      </c>
      <c r="AR12" s="2">
        <v>6.7430959999999998E-2</v>
      </c>
    </row>
    <row r="13" spans="1:44" ht="16" x14ac:dyDescent="0.2">
      <c r="A13" s="1" t="s">
        <v>74</v>
      </c>
      <c r="B13" s="4" t="str">
        <f>_xlfn.CONCAT(_xlfn.XLOOKUP($C13,[1]Bus!$A$2:$A$121,[1]Bus!$C$2:$C$121,0)," - ",_xlfn.XLOOKUP($D13,[1]Bus!$A$2:$A$121,[1]Bus!$C$2:$C$121,0))</f>
        <v>Cuatricent_220 - Cuestecita_220</v>
      </c>
      <c r="C13" s="4" t="s">
        <v>6</v>
      </c>
      <c r="D13" s="4" t="s">
        <v>75</v>
      </c>
      <c r="E13">
        <f t="shared" si="0"/>
        <v>1.6782753170454544E-2</v>
      </c>
      <c r="F13">
        <f t="shared" si="0"/>
        <v>0.14340385026136362</v>
      </c>
      <c r="G13">
        <v>336</v>
      </c>
      <c r="H13">
        <v>336</v>
      </c>
      <c r="I13">
        <v>336</v>
      </c>
      <c r="N13" s="4">
        <v>132.078903</v>
      </c>
      <c r="P13" s="2">
        <v>0</v>
      </c>
      <c r="S13">
        <f t="shared" si="1"/>
        <v>484</v>
      </c>
      <c r="T13">
        <v>220</v>
      </c>
      <c r="U13">
        <v>1</v>
      </c>
      <c r="V13" s="4">
        <v>6.1499999999999999E-2</v>
      </c>
      <c r="W13" s="4">
        <v>0.52549999999999997</v>
      </c>
      <c r="X13" s="4">
        <v>8.7430000000000008E-3</v>
      </c>
      <c r="Y13" s="4">
        <v>0</v>
      </c>
      <c r="Z13" s="4">
        <v>0.88200000000000001</v>
      </c>
      <c r="AA13" s="4">
        <v>1</v>
      </c>
      <c r="AB13" s="4">
        <v>1</v>
      </c>
      <c r="AC13" s="4" t="s">
        <v>60</v>
      </c>
      <c r="AD13" s="4" t="b">
        <v>1</v>
      </c>
      <c r="AE13" s="4">
        <v>0.36220000000000002</v>
      </c>
      <c r="AF13" s="4">
        <v>1.4247000000000001</v>
      </c>
      <c r="AG13" s="4">
        <v>5.4270000000000004E-3</v>
      </c>
      <c r="AH13" s="4">
        <v>130.04530299999999</v>
      </c>
      <c r="AI13" s="4">
        <v>4.0299999999999997E-3</v>
      </c>
      <c r="AJ13" s="2" t="str">
        <f>_xlfn.XLOOKUP($C13,[1]Bus!$A$2:$A$121,[1]Bus!$J$2:$J$121,0)</f>
        <v>VENEZUELA</v>
      </c>
      <c r="AK13" s="2" t="str">
        <f>_xlfn.XLOOKUP($C13,[1]Bus!$A$2:$A$121,[1]Bus!$K$2:$K$121,0)</f>
        <v>CUATRIC</v>
      </c>
      <c r="AL13" s="2">
        <v>0.21070710000000001</v>
      </c>
      <c r="AM13" s="2">
        <f t="shared" si="2"/>
        <v>6.9733134652760684</v>
      </c>
      <c r="AN13" s="2">
        <f t="shared" si="3"/>
        <v>0.14438256499232865</v>
      </c>
      <c r="AO13" s="2">
        <f t="shared" si="4"/>
        <v>8.5447154471544717</v>
      </c>
      <c r="AP13" s="2">
        <f t="shared" si="5"/>
        <v>0.80507010761222175</v>
      </c>
      <c r="AQ13" s="2">
        <v>0</v>
      </c>
      <c r="AR13" s="2">
        <v>0.21070710000000001</v>
      </c>
    </row>
    <row r="14" spans="1:44" ht="16" x14ac:dyDescent="0.2">
      <c r="A14" s="1" t="s">
        <v>76</v>
      </c>
      <c r="B14" s="4" t="str">
        <f>_xlfn.CONCAT(_xlfn.XLOOKUP($C14,[1]Bus!$A$2:$A$121,[1]Bus!$C$2:$C$121,0)," - ",_xlfn.XLOOKUP($D14,[1]Bus!$A$2:$A$121,[1]Bus!$C$2:$C$121,0))</f>
        <v>Bosque_220 - Ternera_220</v>
      </c>
      <c r="C14" s="4" t="s">
        <v>7</v>
      </c>
      <c r="D14" s="4" t="s">
        <v>11</v>
      </c>
      <c r="E14">
        <f t="shared" si="0"/>
        <v>3.4235641828512398E-3</v>
      </c>
      <c r="F14">
        <f t="shared" si="0"/>
        <v>2.4081722011776857E-2</v>
      </c>
      <c r="G14">
        <v>240</v>
      </c>
      <c r="H14">
        <v>240</v>
      </c>
      <c r="I14">
        <v>240</v>
      </c>
      <c r="N14" s="4">
        <v>25.690000999999999</v>
      </c>
      <c r="P14" s="2">
        <v>0</v>
      </c>
      <c r="S14">
        <f t="shared" si="1"/>
        <v>484</v>
      </c>
      <c r="T14">
        <v>220</v>
      </c>
      <c r="U14">
        <v>1</v>
      </c>
      <c r="V14" s="4">
        <v>6.4500000000000002E-2</v>
      </c>
      <c r="W14" s="4">
        <v>0.45369999999999999</v>
      </c>
      <c r="X14" s="4">
        <v>2.1794999999999998E-2</v>
      </c>
      <c r="Y14" s="4">
        <v>0</v>
      </c>
      <c r="Z14" s="4">
        <v>0.63</v>
      </c>
      <c r="AA14" s="4">
        <v>1</v>
      </c>
      <c r="AB14" s="4">
        <v>1</v>
      </c>
      <c r="AC14" s="4" t="s">
        <v>60</v>
      </c>
      <c r="AD14" s="4" t="b">
        <v>1</v>
      </c>
      <c r="AE14" s="4">
        <v>0.32179999999999997</v>
      </c>
      <c r="AF14" s="4">
        <v>1.1412</v>
      </c>
      <c r="AG14" s="4">
        <v>1.8719E-2</v>
      </c>
      <c r="AH14" s="4">
        <v>120</v>
      </c>
      <c r="AI14" s="4">
        <v>4.0299999999999997E-3</v>
      </c>
      <c r="AJ14" s="2" t="str">
        <f>_xlfn.XLOOKUP($C14,[1]Bus!$A$2:$A$121,[1]Bus!$J$2:$J$121,0)</f>
        <v>CARIBE</v>
      </c>
      <c r="AK14" s="2" t="str">
        <f>_xlfn.XLOOKUP($C14,[1]Bus!$A$2:$A$121,[1]Bus!$K$2:$K$121,0)</f>
        <v>BOLIVAR</v>
      </c>
      <c r="AL14" s="2">
        <v>0.1021624</v>
      </c>
      <c r="AM14" s="2">
        <f t="shared" si="2"/>
        <v>41.525269642717525</v>
      </c>
      <c r="AN14" s="2">
        <f t="shared" si="3"/>
        <v>2.4323859207917641E-2</v>
      </c>
      <c r="AO14" s="2">
        <f t="shared" si="4"/>
        <v>7.0341085271317816</v>
      </c>
      <c r="AP14" s="2">
        <f t="shared" si="5"/>
        <v>5.7864674204689255</v>
      </c>
      <c r="AQ14" s="2">
        <v>0</v>
      </c>
      <c r="AR14" s="2">
        <v>0.1021624</v>
      </c>
    </row>
    <row r="15" spans="1:44" ht="16" x14ac:dyDescent="0.2">
      <c r="A15" s="1" t="s">
        <v>77</v>
      </c>
      <c r="B15" s="4" t="str">
        <f>_xlfn.CONCAT(_xlfn.XLOOKUP($C15,[1]Bus!$A$2:$A$121,[1]Bus!$C$2:$C$121,0)," - ",_xlfn.XLOOKUP($D15,[1]Bus!$A$2:$A$121,[1]Bus!$C$2:$C$121,0))</f>
        <v>Bolivar_220 - Bosque_220</v>
      </c>
      <c r="C15" s="4" t="s">
        <v>9</v>
      </c>
      <c r="D15" s="4" t="s">
        <v>7</v>
      </c>
      <c r="E15">
        <f t="shared" si="0"/>
        <v>2.1132128099173556E-3</v>
      </c>
      <c r="F15">
        <f t="shared" si="0"/>
        <v>1.557232438016529E-2</v>
      </c>
      <c r="G15">
        <v>305</v>
      </c>
      <c r="H15">
        <v>305</v>
      </c>
      <c r="I15">
        <v>305</v>
      </c>
      <c r="N15" s="4">
        <v>16.850000000000001</v>
      </c>
      <c r="P15" s="2">
        <v>0</v>
      </c>
      <c r="S15">
        <f t="shared" si="1"/>
        <v>484</v>
      </c>
      <c r="T15">
        <v>220</v>
      </c>
      <c r="U15">
        <v>1</v>
      </c>
      <c r="V15" s="4">
        <v>6.0699999999999997E-2</v>
      </c>
      <c r="W15" s="4">
        <v>0.44729999999999998</v>
      </c>
      <c r="X15" s="4">
        <v>2.8053999999999999E-2</v>
      </c>
      <c r="Y15" s="4">
        <v>0</v>
      </c>
      <c r="Z15" s="4">
        <v>0.8</v>
      </c>
      <c r="AA15" s="4">
        <v>1</v>
      </c>
      <c r="AB15" s="4">
        <v>1</v>
      </c>
      <c r="AC15" s="4" t="s">
        <v>60</v>
      </c>
      <c r="AD15" s="4" t="b">
        <v>1</v>
      </c>
      <c r="AE15" s="4">
        <v>0.2082</v>
      </c>
      <c r="AF15" s="4">
        <v>0.88619999999999999</v>
      </c>
      <c r="AG15" s="4">
        <v>2.5162E-2</v>
      </c>
      <c r="AH15" s="4">
        <v>120</v>
      </c>
      <c r="AI15" s="4">
        <v>4.0299999999999997E-3</v>
      </c>
      <c r="AJ15" s="2" t="str">
        <f>_xlfn.XLOOKUP($C15,[1]Bus!$A$2:$A$121,[1]Bus!$J$2:$J$121,0)</f>
        <v>CARIBE</v>
      </c>
      <c r="AK15" s="2" t="str">
        <f>_xlfn.XLOOKUP($C15,[1]Bus!$A$2:$A$121,[1]Bus!$K$2:$K$121,0)</f>
        <v>BOLIVAR</v>
      </c>
      <c r="AL15" s="2">
        <v>8.6252330000000002E-2</v>
      </c>
      <c r="AM15" s="2">
        <f t="shared" si="2"/>
        <v>64.216489175740222</v>
      </c>
      <c r="AN15" s="2">
        <f t="shared" si="3"/>
        <v>1.5715055042254514E-2</v>
      </c>
      <c r="AO15" s="2">
        <f t="shared" si="4"/>
        <v>7.3690280065897857</v>
      </c>
      <c r="AP15" s="2">
        <f t="shared" si="5"/>
        <v>8.5568007966181501</v>
      </c>
      <c r="AQ15" s="2">
        <v>0</v>
      </c>
      <c r="AR15" s="2">
        <v>8.6252330000000002E-2</v>
      </c>
    </row>
    <row r="16" spans="1:44" ht="16" x14ac:dyDescent="0.2">
      <c r="A16" s="1" t="s">
        <v>78</v>
      </c>
      <c r="B16" s="4" t="str">
        <f>_xlfn.CONCAT(_xlfn.XLOOKUP($C16,[1]Bus!$A$2:$A$121,[1]Bus!$C$2:$C$121,0)," - ",_xlfn.XLOOKUP($D16,[1]Bus!$A$2:$A$121,[1]Bus!$C$2:$C$121,0))</f>
        <v>Bolivar_500 - Copey_500</v>
      </c>
      <c r="C16" s="4" t="s">
        <v>8</v>
      </c>
      <c r="D16" s="4" t="s">
        <v>79</v>
      </c>
      <c r="E16">
        <f t="shared" si="0"/>
        <v>1.5795575525999999E-3</v>
      </c>
      <c r="F16">
        <f t="shared" si="0"/>
        <v>2.2273760931599999E-2</v>
      </c>
      <c r="G16">
        <v>1650</v>
      </c>
      <c r="H16">
        <v>1650</v>
      </c>
      <c r="I16">
        <v>1650</v>
      </c>
      <c r="N16" s="4">
        <v>166.61999499999999</v>
      </c>
      <c r="P16" s="2">
        <v>0</v>
      </c>
      <c r="S16">
        <f t="shared" si="1"/>
        <v>2500</v>
      </c>
      <c r="T16">
        <v>500</v>
      </c>
      <c r="U16">
        <v>1</v>
      </c>
      <c r="V16" s="4">
        <v>2.3699999999999999E-2</v>
      </c>
      <c r="W16" s="4">
        <v>0.3342</v>
      </c>
      <c r="X16" s="4">
        <v>1.3034E-2</v>
      </c>
      <c r="Y16" s="4">
        <v>0</v>
      </c>
      <c r="Z16" s="4">
        <v>1.905</v>
      </c>
      <c r="AA16" s="4">
        <v>1</v>
      </c>
      <c r="AB16" s="4">
        <v>1</v>
      </c>
      <c r="AC16" s="4" t="s">
        <v>60</v>
      </c>
      <c r="AD16" s="4" t="b">
        <v>1</v>
      </c>
      <c r="AE16" s="4">
        <v>0.39400000000000002</v>
      </c>
      <c r="AF16" s="4">
        <v>0.97829999999999995</v>
      </c>
      <c r="AG16" s="4">
        <v>8.0140000000000003E-3</v>
      </c>
      <c r="AH16" s="4">
        <v>100</v>
      </c>
      <c r="AI16" s="4">
        <v>4.0299999999999997E-3</v>
      </c>
      <c r="AJ16" s="2" t="str">
        <f>_xlfn.XLOOKUP($C16,[1]Bus!$A$2:$A$121,[1]Bus!$J$2:$J$121,0)</f>
        <v>CARIBE</v>
      </c>
      <c r="AK16" s="2" t="str">
        <f>_xlfn.XLOOKUP($C16,[1]Bus!$A$2:$A$121,[1]Bus!$K$2:$K$121,0)</f>
        <v>BOLIVAR</v>
      </c>
      <c r="AL16" s="2">
        <v>2.046843</v>
      </c>
      <c r="AM16" s="2">
        <f t="shared" si="2"/>
        <v>44.895875603176222</v>
      </c>
      <c r="AN16" s="2">
        <f t="shared" si="3"/>
        <v>2.2329698343238901E-2</v>
      </c>
      <c r="AO16" s="2">
        <f t="shared" si="4"/>
        <v>14.101265822784811</v>
      </c>
      <c r="AP16" s="2">
        <f t="shared" si="5"/>
        <v>3.1678874410662337</v>
      </c>
      <c r="AQ16" s="2">
        <v>0</v>
      </c>
      <c r="AR16" s="2">
        <v>2.046843</v>
      </c>
    </row>
    <row r="17" spans="1:44" ht="16" x14ac:dyDescent="0.2">
      <c r="A17" s="1" t="s">
        <v>80</v>
      </c>
      <c r="B17" s="4" t="str">
        <f>_xlfn.CONCAT(_xlfn.XLOOKUP($C17,[1]Bus!$A$2:$A$121,[1]Bus!$C$2:$C$121,0)," - ",_xlfn.XLOOKUP($D17,[1]Bus!$A$2:$A$121,[1]Bus!$C$2:$C$121,0))</f>
        <v>Sabanalarga_220 - Ternera_220</v>
      </c>
      <c r="C17" s="4" t="s">
        <v>2</v>
      </c>
      <c r="D17" s="4" t="s">
        <v>11</v>
      </c>
      <c r="E17">
        <f t="shared" si="0"/>
        <v>1.4793541322314051E-2</v>
      </c>
      <c r="F17">
        <f t="shared" si="0"/>
        <v>8.2167933884297523E-2</v>
      </c>
      <c r="G17">
        <v>240</v>
      </c>
      <c r="H17">
        <v>240</v>
      </c>
      <c r="I17">
        <v>240</v>
      </c>
      <c r="N17" s="4">
        <v>80.180000000000007</v>
      </c>
      <c r="P17" s="2">
        <v>0</v>
      </c>
      <c r="S17">
        <f t="shared" si="1"/>
        <v>484</v>
      </c>
      <c r="T17">
        <v>220</v>
      </c>
      <c r="U17">
        <v>1</v>
      </c>
      <c r="V17" s="4">
        <v>8.9300000000000004E-2</v>
      </c>
      <c r="W17" s="4">
        <v>0.496</v>
      </c>
      <c r="X17" s="4">
        <v>8.8970000000000004E-3</v>
      </c>
      <c r="Y17" s="4">
        <v>0</v>
      </c>
      <c r="Z17" s="4">
        <v>0.63</v>
      </c>
      <c r="AA17" s="4">
        <v>1</v>
      </c>
      <c r="AB17" s="4">
        <v>1</v>
      </c>
      <c r="AC17" s="4" t="s">
        <v>60</v>
      </c>
      <c r="AD17" s="4" t="b">
        <v>1</v>
      </c>
      <c r="AE17" s="4">
        <v>0.35780000000000001</v>
      </c>
      <c r="AF17" s="4">
        <v>1.2020999999999999</v>
      </c>
      <c r="AG17" s="4">
        <v>5.5130000000000014E-3</v>
      </c>
      <c r="AH17" s="4">
        <v>100</v>
      </c>
      <c r="AI17" s="4">
        <v>4.0299999999999997E-3</v>
      </c>
      <c r="AJ17" s="2" t="str">
        <f>_xlfn.XLOOKUP($C17,[1]Bus!$A$2:$A$121,[1]Bus!$J$2:$J$121,0)</f>
        <v>CARIBE</v>
      </c>
      <c r="AK17" s="2" t="str">
        <f>_xlfn.XLOOKUP($C17,[1]Bus!$A$2:$A$121,[1]Bus!$K$2:$K$121,0)</f>
        <v>ATLANTIC</v>
      </c>
      <c r="AL17" s="2">
        <v>0.130163</v>
      </c>
      <c r="AM17" s="2">
        <f t="shared" si="2"/>
        <v>12.170197700335535</v>
      </c>
      <c r="AN17" s="2">
        <f t="shared" si="3"/>
        <v>8.3489030558926133E-2</v>
      </c>
      <c r="AO17" s="2">
        <f t="shared" si="4"/>
        <v>5.5543113101903696</v>
      </c>
      <c r="AP17" s="2">
        <f t="shared" si="5"/>
        <v>2.1223319530641551</v>
      </c>
      <c r="AQ17" s="2">
        <v>0</v>
      </c>
      <c r="AR17" s="2">
        <v>0.130163</v>
      </c>
    </row>
    <row r="18" spans="1:44" ht="16" x14ac:dyDescent="0.2">
      <c r="A18" s="1" t="s">
        <v>81</v>
      </c>
      <c r="B18" s="4" t="str">
        <f>_xlfn.CONCAT(_xlfn.XLOOKUP($C18,[1]Bus!$A$2:$A$121,[1]Bus!$C$2:$C$121,0)," - ",_xlfn.XLOOKUP($D18,[1]Bus!$A$2:$A$121,[1]Bus!$C$2:$C$121,0))</f>
        <v>Bolivar_220 - Cartagena_220</v>
      </c>
      <c r="C18" s="4" t="s">
        <v>9</v>
      </c>
      <c r="D18" s="4" t="s">
        <v>10</v>
      </c>
      <c r="E18">
        <f t="shared" si="0"/>
        <v>1.0610074644286172E-3</v>
      </c>
      <c r="F18">
        <f t="shared" si="0"/>
        <v>6.9454814244254643E-3</v>
      </c>
      <c r="G18">
        <v>735</v>
      </c>
      <c r="H18">
        <v>735</v>
      </c>
      <c r="I18">
        <v>735</v>
      </c>
      <c r="N18" s="4">
        <v>18.299999</v>
      </c>
      <c r="P18" s="2">
        <v>0</v>
      </c>
      <c r="S18">
        <f t="shared" si="1"/>
        <v>484</v>
      </c>
      <c r="T18">
        <v>220</v>
      </c>
      <c r="U18">
        <v>2</v>
      </c>
      <c r="V18" s="4">
        <v>2.8061619718309859E-2</v>
      </c>
      <c r="W18" s="4">
        <v>0.1836947100063735</v>
      </c>
      <c r="X18" s="4">
        <v>8.9420000000000003E-3</v>
      </c>
      <c r="Y18" s="4">
        <v>0</v>
      </c>
      <c r="Z18" s="4">
        <v>0.92900000000000005</v>
      </c>
      <c r="AA18" s="4">
        <v>1</v>
      </c>
      <c r="AB18" s="4">
        <v>1</v>
      </c>
      <c r="AC18" s="4" t="s">
        <v>60</v>
      </c>
      <c r="AD18" s="4" t="b">
        <v>1</v>
      </c>
      <c r="AE18" s="4">
        <v>0.12039676873943264</v>
      </c>
      <c r="AF18" s="4">
        <v>0.48026241391808627</v>
      </c>
      <c r="AG18" s="4">
        <v>5.0799999999999986E-3</v>
      </c>
      <c r="AH18" s="4">
        <v>110.65660099999999</v>
      </c>
      <c r="AI18" s="4">
        <v>4.0299999999999997E-3</v>
      </c>
      <c r="AJ18" s="2" t="str">
        <f>_xlfn.XLOOKUP($C18,[1]Bus!$A$2:$A$121,[1]Bus!$J$2:$J$121,0)</f>
        <v>CARIBE</v>
      </c>
      <c r="AK18" s="2" t="str">
        <f>_xlfn.XLOOKUP($C18,[1]Bus!$A$2:$A$121,[1]Bus!$K$2:$K$121,0)</f>
        <v>BOLIVAR</v>
      </c>
      <c r="AL18" s="2">
        <v>2.359843E-2</v>
      </c>
      <c r="AM18" s="2">
        <f t="shared" si="2"/>
        <v>143.97850039354483</v>
      </c>
      <c r="AN18" s="2">
        <f t="shared" si="3"/>
        <v>7.0260550137763948E-3</v>
      </c>
      <c r="AO18" s="2">
        <f t="shared" si="4"/>
        <v>6.546119285000322</v>
      </c>
      <c r="AP18" s="2">
        <f t="shared" si="5"/>
        <v>21.492916294792565</v>
      </c>
      <c r="AQ18" s="2">
        <v>0</v>
      </c>
      <c r="AR18" s="2">
        <v>1.0969128857487553E-2</v>
      </c>
    </row>
    <row r="19" spans="1:44" ht="16" x14ac:dyDescent="0.2">
      <c r="A19" s="1" t="s">
        <v>82</v>
      </c>
      <c r="B19" s="4" t="str">
        <f>_xlfn.CONCAT(_xlfn.XLOOKUP($C19,[1]Bus!$A$2:$A$121,[1]Bus!$C$2:$C$121,0)," - ",_xlfn.XLOOKUP($D19,[1]Bus!$A$2:$A$121,[1]Bus!$C$2:$C$121,0))</f>
        <v>Bolivar_220 - Sabanalarga_220</v>
      </c>
      <c r="C19" s="4" t="s">
        <v>9</v>
      </c>
      <c r="D19" s="4" t="s">
        <v>2</v>
      </c>
      <c r="E19">
        <f t="shared" si="0"/>
        <v>5.3356344793551239E-3</v>
      </c>
      <c r="F19">
        <f t="shared" si="0"/>
        <v>3.5893730706619886E-2</v>
      </c>
      <c r="G19">
        <v>594</v>
      </c>
      <c r="H19">
        <v>594</v>
      </c>
      <c r="I19">
        <v>594</v>
      </c>
      <c r="N19" s="4">
        <v>69.910004000000001</v>
      </c>
      <c r="P19" s="2">
        <v>0</v>
      </c>
      <c r="S19">
        <f t="shared" si="1"/>
        <v>484</v>
      </c>
      <c r="T19">
        <v>220</v>
      </c>
      <c r="U19">
        <v>2</v>
      </c>
      <c r="V19" s="4">
        <v>3.693959290873277E-2</v>
      </c>
      <c r="W19" s="4">
        <v>0.24849899396378269</v>
      </c>
      <c r="X19" s="4">
        <v>8.8970000000000004E-3</v>
      </c>
      <c r="Y19" s="4">
        <v>0</v>
      </c>
      <c r="Z19" s="4">
        <v>0.63</v>
      </c>
      <c r="AA19" s="4">
        <v>1</v>
      </c>
      <c r="AB19" s="4">
        <v>1</v>
      </c>
      <c r="AC19" s="4" t="s">
        <v>60</v>
      </c>
      <c r="AD19" s="4" t="b">
        <v>1</v>
      </c>
      <c r="AE19" s="4">
        <v>0.12452587463556854</v>
      </c>
      <c r="AF19" s="4">
        <v>0.57275266756674359</v>
      </c>
      <c r="AG19" s="4">
        <v>5.5130000000000014E-3</v>
      </c>
      <c r="AH19" s="4">
        <v>100</v>
      </c>
      <c r="AI19" s="4">
        <v>4.0299999999999997E-3</v>
      </c>
      <c r="AJ19" s="2" t="str">
        <f>_xlfn.XLOOKUP($C19,[1]Bus!$A$2:$A$121,[1]Bus!$J$2:$J$121,0)</f>
        <v>CARIBE</v>
      </c>
      <c r="AK19" s="2" t="str">
        <f>_xlfn.XLOOKUP($C19,[1]Bus!$A$2:$A$121,[1]Bus!$K$2:$K$121,0)</f>
        <v>BOLIVAR</v>
      </c>
      <c r="AL19" s="2">
        <v>0.108158</v>
      </c>
      <c r="AM19" s="2">
        <f t="shared" si="2"/>
        <v>27.860018457640287</v>
      </c>
      <c r="AN19" s="2">
        <f t="shared" si="3"/>
        <v>3.62881371709355E-2</v>
      </c>
      <c r="AO19" s="2">
        <f t="shared" si="4"/>
        <v>6.727171969051013</v>
      </c>
      <c r="AP19" s="2">
        <f t="shared" si="5"/>
        <v>4.0518813659413295</v>
      </c>
      <c r="AQ19" s="2">
        <v>0</v>
      </c>
      <c r="AR19" s="2">
        <v>5.3947531426986446E-2</v>
      </c>
    </row>
    <row r="20" spans="1:44" ht="16" x14ac:dyDescent="0.2">
      <c r="A20" s="1" t="s">
        <v>83</v>
      </c>
      <c r="B20" s="4" t="str">
        <f>_xlfn.CONCAT(_xlfn.XLOOKUP($C20,[1]Bus!$A$2:$A$121,[1]Bus!$C$2:$C$121,0)," - ",_xlfn.XLOOKUP($D20,[1]Bus!$A$2:$A$121,[1]Bus!$C$2:$C$121,0))</f>
        <v>Candelaria_220 - Ternera_220</v>
      </c>
      <c r="C20" s="4" t="s">
        <v>12</v>
      </c>
      <c r="D20" s="4" t="s">
        <v>11</v>
      </c>
      <c r="E20">
        <f t="shared" si="0"/>
        <v>2.8879338842975209E-4</v>
      </c>
      <c r="F20">
        <f t="shared" si="0"/>
        <v>1.5970661157024793E-3</v>
      </c>
      <c r="G20">
        <v>600</v>
      </c>
      <c r="H20">
        <v>600</v>
      </c>
      <c r="I20">
        <v>600</v>
      </c>
      <c r="N20" s="4">
        <v>3.12</v>
      </c>
      <c r="P20" s="2">
        <v>0</v>
      </c>
      <c r="S20">
        <f t="shared" si="1"/>
        <v>484</v>
      </c>
      <c r="T20">
        <v>220</v>
      </c>
      <c r="U20">
        <v>2</v>
      </c>
      <c r="V20" s="4">
        <v>4.48E-2</v>
      </c>
      <c r="W20" s="4">
        <v>0.24775</v>
      </c>
      <c r="X20" s="4">
        <v>8.915000000000001E-3</v>
      </c>
      <c r="Y20" s="4">
        <v>0</v>
      </c>
      <c r="Z20" s="4">
        <v>0.78700000000000003</v>
      </c>
      <c r="AA20" s="4">
        <v>1</v>
      </c>
      <c r="AB20" s="4">
        <v>1</v>
      </c>
      <c r="AC20" s="4" t="s">
        <v>60</v>
      </c>
      <c r="AD20" s="4" t="b">
        <v>1</v>
      </c>
      <c r="AE20" s="4">
        <v>0.16980000000000001</v>
      </c>
      <c r="AF20" s="4">
        <v>0.56884999999999997</v>
      </c>
      <c r="AG20" s="4">
        <v>5.5829999999999994E-3</v>
      </c>
      <c r="AH20" s="4">
        <v>100.381203</v>
      </c>
      <c r="AI20" s="4">
        <v>4.0299999999999997E-3</v>
      </c>
      <c r="AJ20" s="2" t="str">
        <f>_xlfn.XLOOKUP($C20,[1]Bus!$A$2:$A$121,[1]Bus!$J$2:$J$121,0)</f>
        <v>CARIBE</v>
      </c>
      <c r="AK20" s="2" t="str">
        <f>_xlfn.XLOOKUP($C20,[1]Bus!$A$2:$A$121,[1]Bus!$K$2:$K$121,0)</f>
        <v>BOLIVAR</v>
      </c>
      <c r="AL20" s="2">
        <v>5.07508E-3</v>
      </c>
      <c r="AM20" s="2">
        <f t="shared" si="2"/>
        <v>626.14815389790158</v>
      </c>
      <c r="AN20" s="2">
        <f t="shared" si="3"/>
        <v>1.6229669741327896E-3</v>
      </c>
      <c r="AO20" s="2">
        <f t="shared" si="4"/>
        <v>5.5301339285714279</v>
      </c>
      <c r="AP20" s="2">
        <f t="shared" si="5"/>
        <v>109.63971085038301</v>
      </c>
      <c r="AQ20" s="2">
        <v>0</v>
      </c>
      <c r="AR20" s="2">
        <v>2.53754E-3</v>
      </c>
    </row>
    <row r="21" spans="1:44" ht="16" x14ac:dyDescent="0.2">
      <c r="A21" s="1" t="s">
        <v>84</v>
      </c>
      <c r="B21" s="4" t="str">
        <f>_xlfn.CONCAT(_xlfn.XLOOKUP($C21,[1]Bus!$A$2:$A$121,[1]Bus!$C$2:$C$121,0)," - ",_xlfn.XLOOKUP($D21,[1]Bus!$A$2:$A$121,[1]Bus!$C$2:$C$121,0))</f>
        <v>Candelaria_220 - Cartagena_220</v>
      </c>
      <c r="C21" s="4" t="s">
        <v>12</v>
      </c>
      <c r="D21" s="4" t="s">
        <v>10</v>
      </c>
      <c r="E21">
        <f t="shared" si="0"/>
        <v>2.6538842975206616E-4</v>
      </c>
      <c r="F21">
        <f t="shared" si="0"/>
        <v>1.4795702479338843E-3</v>
      </c>
      <c r="G21">
        <v>600</v>
      </c>
      <c r="H21">
        <v>600</v>
      </c>
      <c r="I21">
        <v>600</v>
      </c>
      <c r="N21" s="4">
        <v>2.88</v>
      </c>
      <c r="P21" s="2">
        <v>0</v>
      </c>
      <c r="S21">
        <f t="shared" si="1"/>
        <v>484</v>
      </c>
      <c r="T21">
        <v>220</v>
      </c>
      <c r="U21">
        <v>2</v>
      </c>
      <c r="V21" s="4">
        <f>0.0892/2</f>
        <v>4.4600000000000001E-2</v>
      </c>
      <c r="W21" s="4">
        <f>0.4973/2</f>
        <v>0.24865000000000001</v>
      </c>
      <c r="X21" s="4">
        <v>8.8709999999999987E-3</v>
      </c>
      <c r="Y21" s="4">
        <v>0</v>
      </c>
      <c r="Z21" s="4">
        <v>0.78700000000000003</v>
      </c>
      <c r="AA21" s="4">
        <v>1</v>
      </c>
      <c r="AB21" s="4">
        <v>1</v>
      </c>
      <c r="AC21" s="4" t="s">
        <v>60</v>
      </c>
      <c r="AD21" s="4" t="b">
        <v>1</v>
      </c>
      <c r="AE21" s="4">
        <f>0.352/2</f>
        <v>0.17599999999999999</v>
      </c>
      <c r="AF21" s="4">
        <f>1.2115/2</f>
        <v>0.60575000000000001</v>
      </c>
      <c r="AG21" s="4">
        <v>5.509E-3</v>
      </c>
      <c r="AH21" s="4">
        <v>100.381203</v>
      </c>
      <c r="AI21" s="4">
        <v>4.0299999999999997E-3</v>
      </c>
      <c r="AJ21" s="2" t="str">
        <f>_xlfn.XLOOKUP($C21,[1]Bus!$A$2:$A$121,[1]Bus!$J$2:$J$121,0)</f>
        <v>CARIBE</v>
      </c>
      <c r="AK21" s="2" t="str">
        <f>_xlfn.XLOOKUP($C21,[1]Bus!$A$2:$A$121,[1]Bus!$K$2:$K$121,0)</f>
        <v>BOLIVAR</v>
      </c>
      <c r="AL21" s="2">
        <v>4.6618299999999996E-3</v>
      </c>
      <c r="AM21" s="2">
        <f t="shared" si="2"/>
        <v>675.87193064771986</v>
      </c>
      <c r="AN21" s="2">
        <f t="shared" si="3"/>
        <v>1.5031830019054243E-3</v>
      </c>
      <c r="AO21" s="2">
        <f t="shared" si="4"/>
        <v>5.5751121076233172</v>
      </c>
      <c r="AP21" s="2">
        <f t="shared" si="5"/>
        <v>117.45142022655186</v>
      </c>
      <c r="AQ21" s="2">
        <v>0</v>
      </c>
      <c r="AR21" s="2">
        <v>2.3309149999999998E-3</v>
      </c>
    </row>
    <row r="22" spans="1:44" ht="16" x14ac:dyDescent="0.2">
      <c r="A22" s="1" t="s">
        <v>85</v>
      </c>
      <c r="B22" s="4" t="str">
        <f>_xlfn.CONCAT(_xlfn.XLOOKUP($C22,[1]Bus!$A$2:$A$121,[1]Bus!$C$2:$C$121,0)," - ",_xlfn.XLOOKUP($D22,[1]Bus!$A$2:$A$121,[1]Bus!$C$2:$C$121,0))</f>
        <v>Corozo_220 - San_Mateo_220</v>
      </c>
      <c r="C22" s="4" t="s">
        <v>14</v>
      </c>
      <c r="D22" s="4" t="s">
        <v>13</v>
      </c>
      <c r="E22">
        <f t="shared" si="0"/>
        <v>4.399751951239669E-3</v>
      </c>
      <c r="F22">
        <f t="shared" si="0"/>
        <v>1.659007188088843E-2</v>
      </c>
      <c r="G22">
        <v>574</v>
      </c>
      <c r="H22">
        <v>574</v>
      </c>
      <c r="I22">
        <v>574</v>
      </c>
      <c r="N22" s="4">
        <v>38.299999</v>
      </c>
      <c r="P22" s="2">
        <v>0</v>
      </c>
      <c r="S22">
        <f t="shared" si="1"/>
        <v>484</v>
      </c>
      <c r="T22">
        <v>220</v>
      </c>
      <c r="U22">
        <v>2</v>
      </c>
      <c r="V22" s="4">
        <f>0.1112/2</f>
        <v>5.5599999999999997E-2</v>
      </c>
      <c r="W22" s="4">
        <f>0.4193/2</f>
        <v>0.20965</v>
      </c>
      <c r="X22" s="4">
        <v>1.1967999999999999E-2</v>
      </c>
      <c r="Y22" s="4">
        <v>0</v>
      </c>
      <c r="Z22" s="4">
        <v>0.753</v>
      </c>
      <c r="AA22" s="4">
        <v>1</v>
      </c>
      <c r="AB22" s="4">
        <v>1</v>
      </c>
      <c r="AC22" s="4" t="s">
        <v>60</v>
      </c>
      <c r="AD22" s="4" t="b">
        <v>1</v>
      </c>
      <c r="AE22" s="4">
        <f>0.34/2</f>
        <v>0.17</v>
      </c>
      <c r="AF22" s="4">
        <f>1.532/2</f>
        <v>0.76600000000000001</v>
      </c>
      <c r="AG22" s="4">
        <v>5.836E-3</v>
      </c>
      <c r="AH22" s="4">
        <v>100</v>
      </c>
      <c r="AI22" s="4">
        <v>4.0299999999999997E-3</v>
      </c>
      <c r="AJ22" s="2" t="str">
        <f>_xlfn.XLOOKUP($C22,[1]Bus!$A$2:$A$121,[1]Bus!$J$2:$J$121,0)</f>
        <v>VENEZUELA</v>
      </c>
      <c r="AK22" s="2" t="str">
        <f>_xlfn.XLOOKUP($C22,[1]Bus!$A$2:$A$121,[1]Bus!$K$2:$K$121,0)</f>
        <v>COROZO</v>
      </c>
      <c r="AL22" s="2">
        <v>0.10373088</v>
      </c>
      <c r="AM22" s="2">
        <f t="shared" si="2"/>
        <v>60.277014299858969</v>
      </c>
      <c r="AN22" s="2">
        <f t="shared" si="3"/>
        <v>1.7163574867884671E-2</v>
      </c>
      <c r="AO22" s="2">
        <f t="shared" si="4"/>
        <v>3.7706834532374103</v>
      </c>
      <c r="AP22" s="2">
        <f t="shared" si="5"/>
        <v>14.935256823515445</v>
      </c>
      <c r="AQ22" s="2">
        <v>0</v>
      </c>
      <c r="AR22" s="2">
        <v>1.6199715413052505E-2</v>
      </c>
    </row>
    <row r="23" spans="1:44" ht="16" x14ac:dyDescent="0.2">
      <c r="A23" s="1" t="s">
        <v>86</v>
      </c>
      <c r="B23" s="4" t="str">
        <f>_xlfn.CONCAT(_xlfn.XLOOKUP($C23,[1]Bus!$A$2:$A$121,[1]Bus!$C$2:$C$121,0)," - ",_xlfn.XLOOKUP($D23,[1]Bus!$A$2:$A$121,[1]Bus!$C$2:$C$121,0))</f>
        <v>Cerromatoso_500 - Primavera_500</v>
      </c>
      <c r="C23" s="4" t="s">
        <v>87</v>
      </c>
      <c r="D23" s="4" t="s">
        <v>88</v>
      </c>
      <c r="E23">
        <f t="shared" si="0"/>
        <v>2.4220819407200001E-3</v>
      </c>
      <c r="F23">
        <f t="shared" si="0"/>
        <v>3.1643961225519997E-2</v>
      </c>
      <c r="G23">
        <v>2165</v>
      </c>
      <c r="H23">
        <v>2165</v>
      </c>
      <c r="I23">
        <v>2165</v>
      </c>
      <c r="N23" s="4">
        <v>245.14999399999999</v>
      </c>
      <c r="P23" s="2">
        <v>0</v>
      </c>
      <c r="S23">
        <f t="shared" si="1"/>
        <v>2500</v>
      </c>
      <c r="T23">
        <v>500</v>
      </c>
      <c r="U23">
        <v>1</v>
      </c>
      <c r="V23" s="4">
        <v>2.47E-2</v>
      </c>
      <c r="W23" s="4">
        <v>0.32269999999999999</v>
      </c>
      <c r="X23" s="4">
        <v>1.3273999999999999E-2</v>
      </c>
      <c r="Y23" s="4">
        <v>0</v>
      </c>
      <c r="Z23" s="4">
        <v>2.5</v>
      </c>
      <c r="AA23" s="4">
        <v>1</v>
      </c>
      <c r="AB23" s="4">
        <v>1</v>
      </c>
      <c r="AC23" s="4" t="s">
        <v>60</v>
      </c>
      <c r="AD23" s="4" t="b">
        <v>1</v>
      </c>
      <c r="AE23" s="4">
        <v>0.32969999999999999</v>
      </c>
      <c r="AF23" s="4">
        <v>0.93730000000000002</v>
      </c>
      <c r="AG23" s="4">
        <v>7.561E-3</v>
      </c>
      <c r="AH23" s="4">
        <v>148.55999800000001</v>
      </c>
      <c r="AI23" s="4">
        <v>4.0299999999999997E-3</v>
      </c>
      <c r="AJ23" s="2" t="str">
        <f>_xlfn.XLOOKUP($C23,[1]Bus!$A$2:$A$121,[1]Bus!$J$2:$J$121,0)</f>
        <v>CARIBE</v>
      </c>
      <c r="AK23" s="2" t="str">
        <f>_xlfn.XLOOKUP($C23,[1]Bus!$A$2:$A$121,[1]Bus!$K$2:$K$121,0)</f>
        <v>CERROMAT</v>
      </c>
      <c r="AL23" s="2">
        <v>3.0668880000000001</v>
      </c>
      <c r="AM23" s="2">
        <f t="shared" si="2"/>
        <v>31.601606160278287</v>
      </c>
      <c r="AN23" s="2">
        <f t="shared" si="3"/>
        <v>3.1736520965124311E-2</v>
      </c>
      <c r="AO23" s="2">
        <f t="shared" si="4"/>
        <v>13.06477732793522</v>
      </c>
      <c r="AP23" s="2">
        <f t="shared" si="5"/>
        <v>2.4047514668968559</v>
      </c>
      <c r="AQ23" s="2">
        <v>0</v>
      </c>
      <c r="AR23" s="2">
        <v>3.0668880000000001</v>
      </c>
    </row>
    <row r="24" spans="1:44" ht="16" x14ac:dyDescent="0.2">
      <c r="A24" s="1" t="s">
        <v>89</v>
      </c>
      <c r="B24" s="4" t="str">
        <f>_xlfn.CONCAT(_xlfn.XLOOKUP($C24,[1]Bus!$A$2:$A$121,[1]Bus!$C$2:$C$121,0)," - ",_xlfn.XLOOKUP($D24,[1]Bus!$A$2:$A$121,[1]Bus!$C$2:$C$121,0))</f>
        <v>Cuestecita_220 - Valledupar_220</v>
      </c>
      <c r="C24" s="4" t="s">
        <v>75</v>
      </c>
      <c r="D24" s="4" t="s">
        <v>90</v>
      </c>
      <c r="E24">
        <f t="shared" si="0"/>
        <v>1.9354927685950415E-2</v>
      </c>
      <c r="F24">
        <f t="shared" si="0"/>
        <v>0.11937542355371902</v>
      </c>
      <c r="G24">
        <v>228</v>
      </c>
      <c r="H24">
        <v>228</v>
      </c>
      <c r="I24">
        <v>228</v>
      </c>
      <c r="N24" s="4">
        <v>116.37</v>
      </c>
      <c r="P24" s="2">
        <v>0</v>
      </c>
      <c r="S24">
        <f t="shared" si="1"/>
        <v>484</v>
      </c>
      <c r="T24">
        <v>220</v>
      </c>
      <c r="U24">
        <v>1</v>
      </c>
      <c r="V24" s="4">
        <v>8.0500000000000002E-2</v>
      </c>
      <c r="W24" s="4">
        <v>0.4965</v>
      </c>
      <c r="X24" s="4">
        <v>0</v>
      </c>
      <c r="Y24" s="4">
        <v>0</v>
      </c>
      <c r="Z24" s="4">
        <v>0.59799999999999998</v>
      </c>
      <c r="AA24" s="4">
        <v>1</v>
      </c>
      <c r="AB24" s="4">
        <v>1</v>
      </c>
      <c r="AC24" s="4" t="s">
        <v>60</v>
      </c>
      <c r="AD24" s="4" t="b">
        <v>1</v>
      </c>
      <c r="AE24" s="4">
        <v>0.40860000000000002</v>
      </c>
      <c r="AF24" s="4">
        <v>1.3199000000000001</v>
      </c>
      <c r="AG24" s="4">
        <v>0</v>
      </c>
      <c r="AH24" s="4">
        <v>104.166</v>
      </c>
      <c r="AI24" s="4">
        <v>4.0299999999999997E-3</v>
      </c>
      <c r="AJ24" s="2" t="str">
        <f>_xlfn.XLOOKUP($C24,[1]Bus!$A$2:$A$121,[1]Bus!$J$2:$J$121,0)</f>
        <v>CARIBE</v>
      </c>
      <c r="AK24" s="2" t="str">
        <f>_xlfn.XLOOKUP($C24,[1]Bus!$A$2:$A$121,[1]Bus!$K$2:$K$121,0)</f>
        <v>GCM</v>
      </c>
      <c r="AL24" s="2">
        <v>0.18889069999999999</v>
      </c>
      <c r="AM24" s="2">
        <f t="shared" si="2"/>
        <v>8.3769336286375502</v>
      </c>
      <c r="AN24" s="2">
        <f t="shared" si="3"/>
        <v>0.12093430023925464</v>
      </c>
      <c r="AO24" s="2">
        <f t="shared" si="4"/>
        <v>6.1677018633540373</v>
      </c>
      <c r="AP24" s="2">
        <f t="shared" si="5"/>
        <v>1.323404359824077</v>
      </c>
      <c r="AQ24" s="2">
        <v>0</v>
      </c>
      <c r="AR24" s="2">
        <v>0.18889069999999999</v>
      </c>
    </row>
    <row r="25" spans="1:44" ht="16" x14ac:dyDescent="0.2">
      <c r="A25" s="1" t="s">
        <v>91</v>
      </c>
      <c r="B25" s="4" t="str">
        <f>_xlfn.CONCAT(_xlfn.XLOOKUP($C25,[1]Bus!$A$2:$A$121,[1]Bus!$C$2:$C$121,0)," - ",_xlfn.XLOOKUP($D25,[1]Bus!$A$2:$A$121,[1]Bus!$C$2:$C$121,0))</f>
        <v>Cerromatoso_500 - Porce_III_500</v>
      </c>
      <c r="C25" s="4" t="s">
        <v>87</v>
      </c>
      <c r="D25" s="4" t="s">
        <v>92</v>
      </c>
      <c r="E25">
        <f t="shared" si="0"/>
        <v>1.48312956856E-3</v>
      </c>
      <c r="F25">
        <f t="shared" si="0"/>
        <v>1.8680639603999998E-2</v>
      </c>
      <c r="G25">
        <v>1650</v>
      </c>
      <c r="H25">
        <v>1650</v>
      </c>
      <c r="I25">
        <v>1650</v>
      </c>
      <c r="N25" s="4">
        <v>141.51999699999999</v>
      </c>
      <c r="P25" s="2">
        <v>0</v>
      </c>
      <c r="S25">
        <f t="shared" si="1"/>
        <v>2500</v>
      </c>
      <c r="T25">
        <v>500</v>
      </c>
      <c r="U25">
        <v>1</v>
      </c>
      <c r="V25" s="4">
        <v>2.6200000000000001E-2</v>
      </c>
      <c r="W25" s="4">
        <v>0.33</v>
      </c>
      <c r="X25" s="4">
        <v>1.3618E-2</v>
      </c>
      <c r="Y25" s="4">
        <v>0</v>
      </c>
      <c r="Z25" s="4">
        <v>1.905</v>
      </c>
      <c r="AA25" s="4">
        <v>1</v>
      </c>
      <c r="AB25" s="4">
        <v>1</v>
      </c>
      <c r="AC25" s="4" t="s">
        <v>60</v>
      </c>
      <c r="AD25" s="4" t="b">
        <v>1</v>
      </c>
      <c r="AE25" s="4">
        <v>0.37059999999999998</v>
      </c>
      <c r="AF25" s="4">
        <v>1.0253000000000001</v>
      </c>
      <c r="AG25" s="4">
        <v>9.3279999999999995E-3</v>
      </c>
      <c r="AH25" s="4">
        <v>104.98690000000001</v>
      </c>
      <c r="AI25" s="4">
        <v>4.0299999999999997E-3</v>
      </c>
      <c r="AJ25" s="2" t="str">
        <f>_xlfn.XLOOKUP($C25,[1]Bus!$A$2:$A$121,[1]Bus!$J$2:$J$121,0)</f>
        <v>CARIBE</v>
      </c>
      <c r="AK25" s="2" t="str">
        <f>_xlfn.XLOOKUP($C25,[1]Bus!$A$2:$A$121,[1]Bus!$K$2:$K$121,0)</f>
        <v>CERROMAT</v>
      </c>
      <c r="AL25" s="2">
        <v>1.8166879300000001</v>
      </c>
      <c r="AM25" s="2">
        <f t="shared" si="2"/>
        <v>53.531357662179545</v>
      </c>
      <c r="AN25" s="2">
        <f t="shared" si="3"/>
        <v>1.8739422865490553E-2</v>
      </c>
      <c r="AO25" s="2">
        <f t="shared" si="4"/>
        <v>12.595419847328243</v>
      </c>
      <c r="AP25" s="2">
        <f t="shared" si="5"/>
        <v>4.2234433233455198</v>
      </c>
      <c r="AQ25" s="2">
        <v>0</v>
      </c>
      <c r="AR25" s="2">
        <v>1.8166879300000001</v>
      </c>
    </row>
    <row r="26" spans="1:44" ht="16" x14ac:dyDescent="0.2">
      <c r="A26" s="1" t="s">
        <v>93</v>
      </c>
      <c r="B26" s="4" t="str">
        <f>_xlfn.CONCAT(_xlfn.XLOOKUP($C26,[1]Bus!$A$2:$A$121,[1]Bus!$C$2:$C$121,0)," - ",_xlfn.XLOOKUP($D26,[1]Bus!$A$2:$A$121,[1]Bus!$C$2:$C$121,0))</f>
        <v>Guaca_220 - Mesa_220</v>
      </c>
      <c r="C26" s="4" t="s">
        <v>94</v>
      </c>
      <c r="D26" s="4" t="s">
        <v>95</v>
      </c>
      <c r="E26">
        <f t="shared" si="0"/>
        <v>2.1652376033057849E-4</v>
      </c>
      <c r="F26">
        <f t="shared" si="0"/>
        <v>2.3360237603305789E-3</v>
      </c>
      <c r="G26">
        <v>854</v>
      </c>
      <c r="H26">
        <v>854</v>
      </c>
      <c r="I26">
        <v>854</v>
      </c>
      <c r="N26" s="4">
        <v>4.71</v>
      </c>
      <c r="P26" s="2">
        <v>0</v>
      </c>
      <c r="S26">
        <f t="shared" si="1"/>
        <v>484</v>
      </c>
      <c r="T26">
        <v>220</v>
      </c>
      <c r="U26">
        <v>2</v>
      </c>
      <c r="V26" s="4">
        <f>0.0445/2</f>
        <v>2.2249999999999999E-2</v>
      </c>
      <c r="W26" s="4">
        <f>0.4801/2</f>
        <v>0.24005000000000001</v>
      </c>
      <c r="X26" s="4">
        <v>9.2290000000000011E-3</v>
      </c>
      <c r="Y26" s="4">
        <v>0</v>
      </c>
      <c r="Z26" s="4">
        <v>1.1200000000000001</v>
      </c>
      <c r="AA26" s="4">
        <v>1</v>
      </c>
      <c r="AB26" s="4">
        <v>1</v>
      </c>
      <c r="AC26" s="4" t="s">
        <v>60</v>
      </c>
      <c r="AD26" s="4" t="b">
        <v>1</v>
      </c>
      <c r="AE26" s="4">
        <f>0.3678/2</f>
        <v>0.18390000000000001</v>
      </c>
      <c r="AF26" s="4">
        <f>1.3358/2</f>
        <v>0.66790000000000005</v>
      </c>
      <c r="AG26" s="4">
        <v>5.9189999999999998E-3</v>
      </c>
      <c r="AH26" s="4">
        <v>107.142899</v>
      </c>
      <c r="AI26" s="4">
        <v>4.0299999999999997E-3</v>
      </c>
      <c r="AJ26" s="2" t="str">
        <f>_xlfn.XLOOKUP($C26,[1]Bus!$A$2:$A$121,[1]Bus!$J$2:$J$121,0)</f>
        <v>ORIENTAL</v>
      </c>
      <c r="AK26" s="2" t="str">
        <f>_xlfn.XLOOKUP($C26,[1]Bus!$A$2:$A$121,[1]Bus!$K$2:$K$121,0)</f>
        <v>BOGOTA</v>
      </c>
      <c r="AL26" s="2">
        <v>7.9315500000000008E-3</v>
      </c>
      <c r="AM26" s="2">
        <f t="shared" si="2"/>
        <v>428.07783764086651</v>
      </c>
      <c r="AN26" s="2">
        <f t="shared" si="3"/>
        <v>2.346036987691522E-3</v>
      </c>
      <c r="AO26" s="2">
        <f t="shared" si="4"/>
        <v>10.788764044943823</v>
      </c>
      <c r="AP26" s="2">
        <f t="shared" si="5"/>
        <v>39.340135454632694</v>
      </c>
      <c r="AQ26" s="2">
        <v>0</v>
      </c>
      <c r="AR26" s="2">
        <v>3.9657750000000004E-3</v>
      </c>
    </row>
    <row r="27" spans="1:44" ht="16" x14ac:dyDescent="0.2">
      <c r="A27" s="1" t="s">
        <v>96</v>
      </c>
      <c r="B27" s="4" t="str">
        <f>_xlfn.CONCAT(_xlfn.XLOOKUP($C27,[1]Bus!$A$2:$A$121,[1]Bus!$C$2:$C$121,0)," - ",_xlfn.XLOOKUP($D27,[1]Bus!$A$2:$A$121,[1]Bus!$C$2:$C$121,0))</f>
        <v>Circo_220 - Guavio_220</v>
      </c>
      <c r="C27" s="4" t="s">
        <v>97</v>
      </c>
      <c r="D27" s="4" t="s">
        <v>98</v>
      </c>
      <c r="E27">
        <f t="shared" si="0"/>
        <v>4.1446735537190088E-3</v>
      </c>
      <c r="F27">
        <f t="shared" si="0"/>
        <v>4.4981566115702476E-2</v>
      </c>
      <c r="G27">
        <v>732</v>
      </c>
      <c r="H27">
        <v>732</v>
      </c>
      <c r="I27">
        <v>732</v>
      </c>
      <c r="N27" s="4">
        <v>109.32</v>
      </c>
      <c r="P27" s="2">
        <v>0</v>
      </c>
      <c r="S27">
        <f t="shared" si="1"/>
        <v>484</v>
      </c>
      <c r="T27">
        <v>220</v>
      </c>
      <c r="U27">
        <v>2</v>
      </c>
      <c r="V27" s="4">
        <f>0.0367/2</f>
        <v>1.8350000000000002E-2</v>
      </c>
      <c r="W27" s="4">
        <f>0.3983/2</f>
        <v>0.19914999999999999</v>
      </c>
      <c r="X27" s="4">
        <v>1.1401E-2</v>
      </c>
      <c r="Y27" s="4">
        <v>0</v>
      </c>
      <c r="Z27" s="4">
        <v>0.96</v>
      </c>
      <c r="AA27" s="4">
        <v>1</v>
      </c>
      <c r="AB27" s="4">
        <v>1</v>
      </c>
      <c r="AC27" s="4" t="s">
        <v>60</v>
      </c>
      <c r="AD27" s="4" t="b">
        <v>1</v>
      </c>
      <c r="AE27" s="4">
        <f>0.2884/2</f>
        <v>0.14419999999999999</v>
      </c>
      <c r="AF27" s="4">
        <f>0.923/2</f>
        <v>0.46150000000000002</v>
      </c>
      <c r="AG27" s="4">
        <v>8.881E-3</v>
      </c>
      <c r="AH27" s="4">
        <v>100</v>
      </c>
      <c r="AI27" s="4">
        <v>4.0299999999999997E-3</v>
      </c>
      <c r="AJ27" s="2" t="str">
        <f>_xlfn.XLOOKUP($C27,[1]Bus!$A$2:$A$121,[1]Bus!$J$2:$J$121,0)</f>
        <v>ORIENTAL</v>
      </c>
      <c r="AK27" s="2" t="str">
        <f>_xlfn.XLOOKUP($C27,[1]Bus!$A$2:$A$121,[1]Bus!$K$2:$K$121,0)</f>
        <v>BOGOTA</v>
      </c>
      <c r="AL27" s="2">
        <v>0.22790635000000001</v>
      </c>
      <c r="AM27" s="2">
        <f t="shared" si="2"/>
        <v>22.231329105522477</v>
      </c>
      <c r="AN27" s="2">
        <f t="shared" si="3"/>
        <v>4.5172110965597027E-2</v>
      </c>
      <c r="AO27" s="2">
        <f t="shared" si="4"/>
        <v>10.852861035422341</v>
      </c>
      <c r="AP27" s="2">
        <f t="shared" si="5"/>
        <v>2.031185358503377</v>
      </c>
      <c r="AQ27" s="2">
        <v>0</v>
      </c>
      <c r="AR27" s="2">
        <v>0.1139526479260012</v>
      </c>
    </row>
    <row r="28" spans="1:44" ht="16" x14ac:dyDescent="0.2">
      <c r="A28" s="1" t="s">
        <v>99</v>
      </c>
      <c r="B28" s="4" t="str">
        <f>_xlfn.CONCAT(_xlfn.XLOOKUP($C28,[1]Bus!$A$2:$A$121,[1]Bus!$C$2:$C$121,0)," - ",_xlfn.XLOOKUP($D28,[1]Bus!$A$2:$A$121,[1]Bus!$C$2:$C$121,0))</f>
        <v>Bacata_220 - Torca_220</v>
      </c>
      <c r="C28" s="4" t="s">
        <v>100</v>
      </c>
      <c r="D28" s="4" t="s">
        <v>101</v>
      </c>
      <c r="E28">
        <f t="shared" si="0"/>
        <v>9.8989251219008269E-4</v>
      </c>
      <c r="F28">
        <f t="shared" si="0"/>
        <v>7.8883343139462825E-3</v>
      </c>
      <c r="G28">
        <v>1134</v>
      </c>
      <c r="H28">
        <v>1134</v>
      </c>
      <c r="I28">
        <v>1134</v>
      </c>
      <c r="N28" s="4">
        <v>19.879999000000002</v>
      </c>
      <c r="P28" s="2">
        <v>0</v>
      </c>
      <c r="S28">
        <f t="shared" si="1"/>
        <v>484</v>
      </c>
      <c r="T28">
        <v>220</v>
      </c>
      <c r="U28">
        <v>2</v>
      </c>
      <c r="V28" s="4">
        <f>0.0482/2</f>
        <v>2.41E-2</v>
      </c>
      <c r="W28" s="4">
        <f>0.3841/2</f>
        <v>0.19205</v>
      </c>
      <c r="X28" s="4">
        <v>1.1379999999999999E-2</v>
      </c>
      <c r="Y28" s="4">
        <v>0</v>
      </c>
      <c r="Z28" s="4">
        <v>1.4890000000000001</v>
      </c>
      <c r="AA28" s="4">
        <v>1</v>
      </c>
      <c r="AB28" s="4">
        <v>1</v>
      </c>
      <c r="AC28" s="4" t="s">
        <v>60</v>
      </c>
      <c r="AD28" s="4" t="b">
        <v>1</v>
      </c>
      <c r="AE28" s="4">
        <f>0.2305/2</f>
        <v>0.11525000000000001</v>
      </c>
      <c r="AF28" s="4">
        <f>0.9706/2</f>
        <v>0.48530000000000001</v>
      </c>
      <c r="AG28" s="4">
        <v>6.7909999999999993E-3</v>
      </c>
      <c r="AH28" s="4">
        <v>130.02020300000001</v>
      </c>
      <c r="AI28" s="4">
        <v>4.0299999999999997E-3</v>
      </c>
      <c r="AJ28" s="2" t="str">
        <f>_xlfn.XLOOKUP($C28,[1]Bus!$A$2:$A$121,[1]Bus!$J$2:$J$121,0)</f>
        <v>ORIENTAL</v>
      </c>
      <c r="AK28" s="2" t="str">
        <f>_xlfn.XLOOKUP($C28,[1]Bus!$A$2:$A$121,[1]Bus!$K$2:$K$121,0)</f>
        <v>BOGOTA</v>
      </c>
      <c r="AL28" s="2">
        <v>4.127803E-2</v>
      </c>
      <c r="AM28" s="2">
        <f t="shared" si="2"/>
        <v>126.76947505026975</v>
      </c>
      <c r="AN28" s="2">
        <f t="shared" si="3"/>
        <v>7.9502015970837094E-3</v>
      </c>
      <c r="AO28" s="2">
        <f t="shared" si="4"/>
        <v>7.9688796680497935</v>
      </c>
      <c r="AP28" s="2">
        <f t="shared" si="5"/>
        <v>15.661442355381546</v>
      </c>
      <c r="AQ28" s="2">
        <v>0</v>
      </c>
      <c r="AR28" s="2">
        <v>2.0639015E-2</v>
      </c>
    </row>
    <row r="29" spans="1:44" ht="16" x14ac:dyDescent="0.2">
      <c r="A29" s="1" t="s">
        <v>102</v>
      </c>
      <c r="B29" s="4" t="str">
        <f>_xlfn.CONCAT(_xlfn.XLOOKUP($C29,[1]Bus!$A$2:$A$121,[1]Bus!$C$2:$C$121,0)," - ",_xlfn.XLOOKUP($D29,[1]Bus!$A$2:$A$121,[1]Bus!$C$2:$C$121,0))</f>
        <v>Bacata_500 - Primavera_500</v>
      </c>
      <c r="C29" s="4" t="s">
        <v>103</v>
      </c>
      <c r="D29" s="4" t="s">
        <v>88</v>
      </c>
      <c r="E29">
        <f t="shared" si="0"/>
        <v>1.839459849344E-3</v>
      </c>
      <c r="F29">
        <f t="shared" si="0"/>
        <v>2.6066626452411999E-2</v>
      </c>
      <c r="G29">
        <v>1650</v>
      </c>
      <c r="H29">
        <v>1650</v>
      </c>
      <c r="I29">
        <v>1650</v>
      </c>
      <c r="N29" s="4">
        <v>196.86000100000001</v>
      </c>
      <c r="P29" s="2">
        <v>0</v>
      </c>
      <c r="S29">
        <f t="shared" si="1"/>
        <v>2500</v>
      </c>
      <c r="T29">
        <v>500</v>
      </c>
      <c r="U29">
        <v>1</v>
      </c>
      <c r="V29" s="4">
        <v>2.3359999999999999E-2</v>
      </c>
      <c r="W29" s="4">
        <v>0.33102999999999999</v>
      </c>
      <c r="X29" s="4">
        <v>1.2815E-2</v>
      </c>
      <c r="Y29" s="4">
        <v>0</v>
      </c>
      <c r="Z29" s="4">
        <v>1.905</v>
      </c>
      <c r="AA29" s="4">
        <v>1</v>
      </c>
      <c r="AB29" s="4">
        <v>1</v>
      </c>
      <c r="AC29" s="4" t="s">
        <v>60</v>
      </c>
      <c r="AD29" s="4" t="b">
        <v>1</v>
      </c>
      <c r="AE29" s="4">
        <v>0.38408999999999999</v>
      </c>
      <c r="AF29" s="4">
        <v>0.97628999999999999</v>
      </c>
      <c r="AG29" s="4">
        <v>7.7980000000000002E-3</v>
      </c>
      <c r="AH29" s="4">
        <v>100</v>
      </c>
      <c r="AI29" s="4">
        <v>4.0299999999999997E-3</v>
      </c>
      <c r="AJ29" s="2" t="str">
        <f>_xlfn.XLOOKUP($C29,[1]Bus!$A$2:$A$121,[1]Bus!$J$2:$J$121,0)</f>
        <v>ORIENTAL</v>
      </c>
      <c r="AK29" s="2" t="str">
        <f>_xlfn.XLOOKUP($C29,[1]Bus!$A$2:$A$121,[1]Bus!$K$2:$K$121,0)</f>
        <v>BOGOTA</v>
      </c>
      <c r="AL29" s="2">
        <v>2.3784637000000002</v>
      </c>
      <c r="AM29" s="2">
        <f t="shared" si="2"/>
        <v>38.36323054023233</v>
      </c>
      <c r="AN29" s="2">
        <f t="shared" si="3"/>
        <v>2.6131449005880512E-2</v>
      </c>
      <c r="AO29" s="2">
        <f t="shared" si="4"/>
        <v>14.170804794520548</v>
      </c>
      <c r="AP29" s="2">
        <f t="shared" si="5"/>
        <v>2.6937874677725917</v>
      </c>
      <c r="AQ29" s="2">
        <v>0</v>
      </c>
      <c r="AR29" s="2">
        <v>2.377739</v>
      </c>
    </row>
    <row r="30" spans="1:44" ht="16" x14ac:dyDescent="0.2">
      <c r="A30" s="1" t="s">
        <v>104</v>
      </c>
      <c r="B30" s="4" t="str">
        <f>_xlfn.CONCAT(_xlfn.XLOOKUP($C30,[1]Bus!$A$2:$A$121,[1]Bus!$C$2:$C$121,0)," - ",_xlfn.XLOOKUP($D30,[1]Bus!$A$2:$A$121,[1]Bus!$C$2:$C$121,0))</f>
        <v>Noroeste_220 - Purnio_220</v>
      </c>
      <c r="C30" s="4" t="s">
        <v>105</v>
      </c>
      <c r="D30" s="4" t="s">
        <v>106</v>
      </c>
      <c r="E30">
        <f t="shared" si="0"/>
        <v>5.5333079051652894E-3</v>
      </c>
      <c r="F30">
        <f t="shared" si="0"/>
        <v>4.8623148201136362E-2</v>
      </c>
      <c r="G30">
        <v>740</v>
      </c>
      <c r="H30">
        <v>740</v>
      </c>
      <c r="I30">
        <v>740</v>
      </c>
      <c r="N30" s="4">
        <v>102.610001</v>
      </c>
      <c r="P30" s="2">
        <v>0</v>
      </c>
      <c r="S30">
        <f t="shared" si="1"/>
        <v>484</v>
      </c>
      <c r="T30">
        <v>220</v>
      </c>
      <c r="U30">
        <v>2</v>
      </c>
      <c r="V30" s="4">
        <f>0.0522/2</f>
        <v>2.6100000000000002E-2</v>
      </c>
      <c r="W30" s="4">
        <f>0.4587/2</f>
        <v>0.22935</v>
      </c>
      <c r="X30" s="4">
        <v>9.2969999999999997E-3</v>
      </c>
      <c r="Y30" s="4">
        <v>0</v>
      </c>
      <c r="Z30" s="4">
        <v>0.97</v>
      </c>
      <c r="AA30" s="4">
        <v>1</v>
      </c>
      <c r="AB30" s="4">
        <v>1</v>
      </c>
      <c r="AC30" s="4" t="s">
        <v>60</v>
      </c>
      <c r="AD30" s="4" t="b">
        <v>1</v>
      </c>
      <c r="AE30" s="4">
        <f>0.4001/2</f>
        <v>0.20005000000000001</v>
      </c>
      <c r="AF30" s="4">
        <f>1.3271/2</f>
        <v>0.66354999999999997</v>
      </c>
      <c r="AG30" s="4">
        <v>5.7470000000000004E-3</v>
      </c>
      <c r="AH30" s="4">
        <v>130</v>
      </c>
      <c r="AI30" s="4">
        <v>4.0299999999999997E-3</v>
      </c>
      <c r="AJ30" s="2" t="str">
        <f>_xlfn.XLOOKUP($C30,[1]Bus!$A$2:$A$121,[1]Bus!$J$2:$J$121,0)</f>
        <v>ORIENTAL</v>
      </c>
      <c r="AK30" s="2" t="str">
        <f>_xlfn.XLOOKUP($C30,[1]Bus!$A$2:$A$121,[1]Bus!$K$2:$K$121,0)</f>
        <v>BOGOTA</v>
      </c>
      <c r="AL30" s="2">
        <v>0.17390710000000001</v>
      </c>
      <c r="AM30" s="2">
        <f t="shared" si="2"/>
        <v>20.566335932493757</v>
      </c>
      <c r="AN30" s="2">
        <f t="shared" si="3"/>
        <v>4.8936980264039948E-2</v>
      </c>
      <c r="AO30" s="2">
        <f t="shared" si="4"/>
        <v>8.7873563218390807</v>
      </c>
      <c r="AP30" s="2">
        <f t="shared" si="5"/>
        <v>2.3105241039594895</v>
      </c>
      <c r="AQ30" s="2">
        <v>0</v>
      </c>
      <c r="AR30" s="2">
        <v>8.7029850000000006E-2</v>
      </c>
    </row>
    <row r="31" spans="1:44" ht="16" x14ac:dyDescent="0.2">
      <c r="A31" s="1" t="s">
        <v>107</v>
      </c>
      <c r="B31" s="4" t="str">
        <f>_xlfn.CONCAT(_xlfn.XLOOKUP($C31,[1]Bus!$A$2:$A$121,[1]Bus!$C$2:$C$121,0)," - ",_xlfn.XLOOKUP($D31,[1]Bus!$A$2:$A$121,[1]Bus!$C$2:$C$121,0))</f>
        <v>Chivor_220 - Torca_220</v>
      </c>
      <c r="C31" s="4" t="s">
        <v>108</v>
      </c>
      <c r="D31" s="4" t="s">
        <v>101</v>
      </c>
      <c r="E31">
        <f t="shared" si="0"/>
        <v>5.1526237665289257E-3</v>
      </c>
      <c r="F31">
        <f t="shared" si="0"/>
        <v>5.3141080577685948E-2</v>
      </c>
      <c r="G31">
        <v>732</v>
      </c>
      <c r="H31">
        <v>732</v>
      </c>
      <c r="I31">
        <v>732</v>
      </c>
      <c r="N31" s="4">
        <v>102.839996</v>
      </c>
      <c r="P31" s="2">
        <v>0</v>
      </c>
      <c r="S31">
        <f t="shared" si="1"/>
        <v>484</v>
      </c>
      <c r="T31">
        <v>220</v>
      </c>
      <c r="U31">
        <v>2</v>
      </c>
      <c r="V31" s="4">
        <f>0.0485/2</f>
        <v>2.4250000000000001E-2</v>
      </c>
      <c r="W31" s="4">
        <f>0.5002/2</f>
        <v>0.25009999999999999</v>
      </c>
      <c r="X31" s="4">
        <v>9.0680000000000014E-3</v>
      </c>
      <c r="Y31" s="4">
        <v>0</v>
      </c>
      <c r="Z31" s="4">
        <v>0.96</v>
      </c>
      <c r="AA31" s="4">
        <v>1</v>
      </c>
      <c r="AB31" s="4">
        <v>1</v>
      </c>
      <c r="AC31" s="4" t="s">
        <v>60</v>
      </c>
      <c r="AD31" s="4" t="b">
        <v>1</v>
      </c>
      <c r="AE31" s="4">
        <f>0.2395/2</f>
        <v>0.11975</v>
      </c>
      <c r="AF31" s="4">
        <f>1.1077/2</f>
        <v>0.55384999999999995</v>
      </c>
      <c r="AG31" s="4">
        <v>5.8399999999999997E-3</v>
      </c>
      <c r="AH31" s="4">
        <v>108.333298</v>
      </c>
      <c r="AI31" s="4">
        <v>4.0299999999999997E-3</v>
      </c>
      <c r="AJ31" s="2" t="str">
        <f>_xlfn.XLOOKUP($C31,[1]Bus!$A$2:$A$121,[1]Bus!$J$2:$J$121,0)</f>
        <v>ORIENTAL</v>
      </c>
      <c r="AK31" s="2" t="str">
        <f>_xlfn.XLOOKUP($C31,[1]Bus!$A$2:$A$121,[1]Bus!$K$2:$K$121,0)</f>
        <v>BOGOTA</v>
      </c>
      <c r="AL31" s="2">
        <v>0.17000209999999999</v>
      </c>
      <c r="AM31" s="2">
        <f t="shared" si="2"/>
        <v>18.817833381052889</v>
      </c>
      <c r="AN31" s="2">
        <f t="shared" si="3"/>
        <v>5.3390298525514066E-2</v>
      </c>
      <c r="AO31" s="2">
        <f t="shared" si="4"/>
        <v>10.313402061855669</v>
      </c>
      <c r="AP31" s="2">
        <f t="shared" si="5"/>
        <v>1.8076058327340006</v>
      </c>
      <c r="AQ31" s="2">
        <v>0</v>
      </c>
      <c r="AR31" s="2">
        <v>8.5000977319015472E-2</v>
      </c>
    </row>
    <row r="32" spans="1:44" ht="16" x14ac:dyDescent="0.2">
      <c r="A32" s="1" t="s">
        <v>109</v>
      </c>
      <c r="B32" s="4" t="str">
        <f>_xlfn.CONCAT(_xlfn.XLOOKUP($C32,[1]Bus!$A$2:$A$121,[1]Bus!$C$2:$C$121,0)," - ",_xlfn.XLOOKUP($D32,[1]Bus!$A$2:$A$121,[1]Bus!$C$2:$C$121,0))</f>
        <v>Chivor_220 - Guavio_220</v>
      </c>
      <c r="C32" s="4" t="s">
        <v>108</v>
      </c>
      <c r="D32" s="4" t="s">
        <v>98</v>
      </c>
      <c r="E32">
        <f t="shared" si="0"/>
        <v>1.221228359607438E-3</v>
      </c>
      <c r="F32">
        <f t="shared" si="0"/>
        <v>1.1682537704958678E-2</v>
      </c>
      <c r="G32">
        <v>778</v>
      </c>
      <c r="H32">
        <v>778</v>
      </c>
      <c r="I32">
        <v>778</v>
      </c>
      <c r="J32"/>
      <c r="M32"/>
      <c r="N32" s="4">
        <v>22.690000999999999</v>
      </c>
      <c r="P32" s="2">
        <v>0</v>
      </c>
      <c r="S32">
        <f t="shared" si="1"/>
        <v>484</v>
      </c>
      <c r="T32">
        <v>220</v>
      </c>
      <c r="U32">
        <v>2</v>
      </c>
      <c r="V32" s="4">
        <f>0.0521/2</f>
        <v>2.605E-2</v>
      </c>
      <c r="W32" s="4">
        <f>0.4984/2</f>
        <v>0.2492</v>
      </c>
      <c r="X32" s="4">
        <v>9.1310000000000002E-3</v>
      </c>
      <c r="Y32" s="4">
        <v>0</v>
      </c>
      <c r="Z32" s="4">
        <v>1.0209999999999999</v>
      </c>
      <c r="AA32" s="4">
        <v>1</v>
      </c>
      <c r="AB32" s="4">
        <v>1</v>
      </c>
      <c r="AC32" s="4" t="s">
        <v>60</v>
      </c>
      <c r="AD32" s="4" t="b">
        <v>1</v>
      </c>
      <c r="AE32" s="4">
        <f>0.396/2</f>
        <v>0.19800000000000001</v>
      </c>
      <c r="AF32" s="4">
        <f>1.3448/2</f>
        <v>0.6724</v>
      </c>
      <c r="AG32" s="4">
        <v>5.8560000000000001E-3</v>
      </c>
      <c r="AH32" s="4">
        <v>117.53179900000001</v>
      </c>
      <c r="AI32" s="4">
        <v>4.0299999999999997E-3</v>
      </c>
      <c r="AJ32" s="2" t="str">
        <f>_xlfn.XLOOKUP($C32,[1]Bus!$A$2:$A$121,[1]Bus!$J$2:$J$121,0)</f>
        <v>ORIENTAL</v>
      </c>
      <c r="AK32" s="2" t="str">
        <f>_xlfn.XLOOKUP($C32,[1]Bus!$A$2:$A$121,[1]Bus!$K$2:$K$121,0)</f>
        <v>BOGOTA</v>
      </c>
      <c r="AL32" s="2">
        <v>3.7843749999999995E-2</v>
      </c>
      <c r="AM32" s="2">
        <f t="shared" si="2"/>
        <v>85.597840576670933</v>
      </c>
      <c r="AN32" s="2">
        <f t="shared" si="3"/>
        <v>1.1746194529893103E-2</v>
      </c>
      <c r="AO32" s="2">
        <f t="shared" si="4"/>
        <v>9.566218809980807</v>
      </c>
      <c r="AP32" s="2">
        <f t="shared" si="5"/>
        <v>8.8512071128916787</v>
      </c>
      <c r="AQ32" s="2">
        <v>0</v>
      </c>
      <c r="AR32" s="2">
        <v>1.8942705000000001E-2</v>
      </c>
    </row>
    <row r="33" spans="1:44" ht="16" x14ac:dyDescent="0.2">
      <c r="A33" s="1" t="s">
        <v>110</v>
      </c>
      <c r="B33" s="4" t="str">
        <f>_xlfn.CONCAT(_xlfn.XLOOKUP($C33,[1]Bus!$A$2:$A$121,[1]Bus!$C$2:$C$121,0)," - ",_xlfn.XLOOKUP($D33,[1]Bus!$A$2:$A$121,[1]Bus!$C$2:$C$121,0))</f>
        <v>Bacata_220 - Noroeste_220</v>
      </c>
      <c r="C33" s="4" t="s">
        <v>100</v>
      </c>
      <c r="D33" s="4" t="s">
        <v>105</v>
      </c>
      <c r="E33">
        <f t="shared" si="0"/>
        <v>2.6922086776859502E-4</v>
      </c>
      <c r="F33">
        <f t="shared" si="0"/>
        <v>2.0821326446280996E-3</v>
      </c>
      <c r="G33">
        <v>1134</v>
      </c>
      <c r="H33">
        <v>1134</v>
      </c>
      <c r="I33">
        <v>1134</v>
      </c>
      <c r="N33" s="4">
        <v>5.46</v>
      </c>
      <c r="P33" s="2">
        <v>0</v>
      </c>
      <c r="S33">
        <f t="shared" si="1"/>
        <v>484</v>
      </c>
      <c r="T33">
        <v>220</v>
      </c>
      <c r="U33">
        <v>2</v>
      </c>
      <c r="V33" s="4">
        <f>0.04773/2</f>
        <v>2.3865000000000001E-2</v>
      </c>
      <c r="W33" s="4">
        <f>0.36914/2</f>
        <v>0.18457000000000001</v>
      </c>
      <c r="X33" s="4">
        <v>1.187E-2</v>
      </c>
      <c r="Y33" s="4">
        <v>0</v>
      </c>
      <c r="Z33" s="4">
        <v>1.4890000000000001</v>
      </c>
      <c r="AA33" s="4">
        <v>1</v>
      </c>
      <c r="AB33" s="4">
        <v>1</v>
      </c>
      <c r="AC33" s="4" t="s">
        <v>60</v>
      </c>
      <c r="AD33" s="4" t="b">
        <v>1</v>
      </c>
      <c r="AE33" s="4">
        <f>0.19086/2</f>
        <v>9.5430000000000001E-2</v>
      </c>
      <c r="AF33" s="4">
        <f>0.95077/2</f>
        <v>0.475385</v>
      </c>
      <c r="AG33" s="4">
        <v>6.9700000000000014E-3</v>
      </c>
      <c r="AH33" s="4">
        <v>130.02020300000001</v>
      </c>
      <c r="AI33" s="4">
        <v>4.0299999999999997E-3</v>
      </c>
      <c r="AJ33" s="2" t="str">
        <f>_xlfn.XLOOKUP($C33,[1]Bus!$A$2:$A$121,[1]Bus!$J$2:$J$121,0)</f>
        <v>ORIENTAL</v>
      </c>
      <c r="AK33" s="2" t="str">
        <f>_xlfn.XLOOKUP($C33,[1]Bus!$A$2:$A$121,[1]Bus!$K$2:$K$121,0)</f>
        <v>BOGOTA</v>
      </c>
      <c r="AL33" s="2">
        <v>1.2085749999999999E-2</v>
      </c>
      <c r="AM33" s="2">
        <f t="shared" si="2"/>
        <v>480.27679820495547</v>
      </c>
      <c r="AN33" s="2">
        <f t="shared" si="3"/>
        <v>2.0994656999979971E-3</v>
      </c>
      <c r="AO33" s="2">
        <f t="shared" si="4"/>
        <v>7.7339199664781084</v>
      </c>
      <c r="AP33" s="2">
        <f t="shared" si="5"/>
        <v>61.078892297408139</v>
      </c>
      <c r="AQ33" s="2">
        <v>0</v>
      </c>
      <c r="AR33" s="2">
        <v>6.0400802537864846E-3</v>
      </c>
    </row>
    <row r="34" spans="1:44" ht="16" x14ac:dyDescent="0.2">
      <c r="A34" s="1" t="s">
        <v>111</v>
      </c>
      <c r="B34" s="4" t="str">
        <f>_xlfn.CONCAT(_xlfn.XLOOKUP($C34,[1]Bus!$A$2:$A$121,[1]Bus!$C$2:$C$121,0)," - ",_xlfn.XLOOKUP($D34,[1]Bus!$A$2:$A$121,[1]Bus!$C$2:$C$121,0))</f>
        <v>Balsillas_220 - Mesa_220</v>
      </c>
      <c r="C34" s="4" t="s">
        <v>112</v>
      </c>
      <c r="D34" s="4" t="s">
        <v>95</v>
      </c>
      <c r="E34">
        <f t="shared" ref="E34:F65" si="6">$N34*V34/$S34</f>
        <v>2.829454647933884E-3</v>
      </c>
      <c r="F34">
        <f t="shared" si="6"/>
        <v>2.8522728305785124E-2</v>
      </c>
      <c r="G34">
        <v>400</v>
      </c>
      <c r="H34">
        <v>400</v>
      </c>
      <c r="I34">
        <v>400</v>
      </c>
      <c r="N34" s="4">
        <v>27.610001</v>
      </c>
      <c r="P34" s="2">
        <v>0</v>
      </c>
      <c r="S34">
        <f t="shared" si="1"/>
        <v>484</v>
      </c>
      <c r="T34">
        <v>220</v>
      </c>
      <c r="U34">
        <v>1</v>
      </c>
      <c r="V34" s="4">
        <v>4.9599999999999998E-2</v>
      </c>
      <c r="W34" s="4">
        <v>0.5</v>
      </c>
      <c r="X34" s="4">
        <v>9.0819999999999998E-3</v>
      </c>
      <c r="Y34" s="4">
        <v>0</v>
      </c>
      <c r="Z34" s="4">
        <v>1.0509999999999999</v>
      </c>
      <c r="AA34" s="4">
        <v>1</v>
      </c>
      <c r="AB34" s="4">
        <v>1</v>
      </c>
      <c r="AC34" s="4" t="s">
        <v>60</v>
      </c>
      <c r="AD34" s="4" t="b">
        <v>1</v>
      </c>
      <c r="AE34" s="4">
        <v>0.26179999999999998</v>
      </c>
      <c r="AF34" s="4">
        <v>1.1025</v>
      </c>
      <c r="AG34" s="4">
        <v>5.888E-3</v>
      </c>
      <c r="AH34" s="4">
        <v>129.971497</v>
      </c>
      <c r="AI34" s="4">
        <v>4.0299999999999997E-3</v>
      </c>
      <c r="AJ34" s="2" t="str">
        <f>_xlfn.XLOOKUP($C34,[1]Bus!$A$2:$A$121,[1]Bus!$J$2:$J$121,0)</f>
        <v>ORIENTAL</v>
      </c>
      <c r="AK34" s="2" t="str">
        <f>_xlfn.XLOOKUP($C34,[1]Bus!$A$2:$A$121,[1]Bus!$K$2:$K$121,0)</f>
        <v>BOGOTA</v>
      </c>
      <c r="AL34" s="2">
        <v>4.5754400000000001E-2</v>
      </c>
      <c r="AM34" s="2">
        <f t="shared" si="2"/>
        <v>35.059759686354234</v>
      </c>
      <c r="AN34" s="2">
        <f t="shared" si="3"/>
        <v>2.8662725683548496E-2</v>
      </c>
      <c r="AO34" s="2">
        <f t="shared" si="4"/>
        <v>10.080645161290324</v>
      </c>
      <c r="AP34" s="2">
        <f t="shared" si="5"/>
        <v>3.4440366362026578</v>
      </c>
      <c r="AQ34" s="2">
        <v>0</v>
      </c>
      <c r="AR34" s="2">
        <v>4.5754400000000001E-2</v>
      </c>
    </row>
    <row r="35" spans="1:44" ht="16" x14ac:dyDescent="0.2">
      <c r="A35" s="1" t="s">
        <v>113</v>
      </c>
      <c r="B35" s="4" t="str">
        <f>_xlfn.CONCAT(_xlfn.XLOOKUP($C35,[1]Bus!$A$2:$A$121,[1]Bus!$C$2:$C$121,0)," - ",_xlfn.XLOOKUP($D35,[1]Bus!$A$2:$A$121,[1]Bus!$C$2:$C$121,0))</f>
        <v>Balsillas_220 - Noroeste_220</v>
      </c>
      <c r="C35" s="4" t="s">
        <v>112</v>
      </c>
      <c r="D35" s="4" t="s">
        <v>105</v>
      </c>
      <c r="E35">
        <f t="shared" si="6"/>
        <v>1.5048760330578512E-3</v>
      </c>
      <c r="F35">
        <f t="shared" si="6"/>
        <v>1.4422685950413223E-2</v>
      </c>
      <c r="G35">
        <v>419</v>
      </c>
      <c r="H35">
        <v>419</v>
      </c>
      <c r="I35">
        <v>419</v>
      </c>
      <c r="N35" s="4">
        <v>13.9</v>
      </c>
      <c r="P35" s="2">
        <v>0</v>
      </c>
      <c r="S35">
        <f t="shared" si="1"/>
        <v>484</v>
      </c>
      <c r="T35">
        <v>220</v>
      </c>
      <c r="U35">
        <v>1</v>
      </c>
      <c r="V35" s="4">
        <v>5.2400000000000002E-2</v>
      </c>
      <c r="W35" s="4">
        <v>0.50219999999999998</v>
      </c>
      <c r="X35" s="4">
        <v>9.044E-3</v>
      </c>
      <c r="Y35" s="4">
        <v>0</v>
      </c>
      <c r="Z35" s="4">
        <v>1.1000000000000001</v>
      </c>
      <c r="AA35" s="4">
        <v>1</v>
      </c>
      <c r="AB35" s="4">
        <v>1</v>
      </c>
      <c r="AC35" s="4" t="s">
        <v>60</v>
      </c>
      <c r="AD35" s="4" t="b">
        <v>1</v>
      </c>
      <c r="AE35" s="4">
        <v>0.27450000000000002</v>
      </c>
      <c r="AF35" s="4">
        <v>1.1024</v>
      </c>
      <c r="AG35" s="4">
        <v>5.8910000000000004E-3</v>
      </c>
      <c r="AH35" s="4">
        <v>130</v>
      </c>
      <c r="AI35" s="4">
        <v>4.0299999999999997E-3</v>
      </c>
      <c r="AJ35" s="2" t="str">
        <f>_xlfn.XLOOKUP($C35,[1]Bus!$A$2:$A$121,[1]Bus!$J$2:$J$121,0)</f>
        <v>ORIENTAL</v>
      </c>
      <c r="AK35" s="2" t="str">
        <f>_xlfn.XLOOKUP($C35,[1]Bus!$A$2:$A$121,[1]Bus!$K$2:$K$121,0)</f>
        <v>BOGOTA</v>
      </c>
      <c r="AL35" s="2">
        <v>2.293775E-2</v>
      </c>
      <c r="AM35" s="2">
        <f t="shared" si="2"/>
        <v>69.33521283331757</v>
      </c>
      <c r="AN35" s="2">
        <f t="shared" si="3"/>
        <v>1.4500983480409834E-2</v>
      </c>
      <c r="AO35" s="2">
        <f t="shared" si="4"/>
        <v>9.5839694656488543</v>
      </c>
      <c r="AP35" s="2">
        <f t="shared" si="5"/>
        <v>7.1565846072468364</v>
      </c>
      <c r="AQ35" s="2">
        <v>0</v>
      </c>
      <c r="AR35" s="2">
        <v>2.293775E-2</v>
      </c>
    </row>
    <row r="36" spans="1:44" ht="16" x14ac:dyDescent="0.2">
      <c r="A36" s="1" t="s">
        <v>114</v>
      </c>
      <c r="B36" s="4" t="str">
        <f>_xlfn.CONCAT(_xlfn.XLOOKUP($C36,[1]Bus!$A$2:$A$121,[1]Bus!$C$2:$C$121,0)," - ",_xlfn.XLOOKUP($D36,[1]Bus!$A$2:$A$121,[1]Bus!$C$2:$C$121,0))</f>
        <v>Circo_220 - Tunal_220</v>
      </c>
      <c r="C36" s="4" t="s">
        <v>97</v>
      </c>
      <c r="D36" s="4" t="s">
        <v>115</v>
      </c>
      <c r="E36">
        <f t="shared" si="6"/>
        <v>2.7282148760330578E-3</v>
      </c>
      <c r="F36">
        <f t="shared" si="6"/>
        <v>2.9512648760330579E-2</v>
      </c>
      <c r="G36">
        <v>366</v>
      </c>
      <c r="H36">
        <v>366</v>
      </c>
      <c r="I36">
        <v>366</v>
      </c>
      <c r="N36" s="4">
        <v>29.74</v>
      </c>
      <c r="P36" s="2">
        <v>0</v>
      </c>
      <c r="S36">
        <f t="shared" si="1"/>
        <v>484</v>
      </c>
      <c r="T36">
        <v>220</v>
      </c>
      <c r="U36">
        <v>1</v>
      </c>
      <c r="V36" s="4">
        <v>4.4400000000000002E-2</v>
      </c>
      <c r="W36" s="4">
        <v>0.4803</v>
      </c>
      <c r="X36" s="4">
        <v>9.221E-3</v>
      </c>
      <c r="Y36" s="4">
        <v>0</v>
      </c>
      <c r="Z36" s="4">
        <v>0.96</v>
      </c>
      <c r="AA36" s="4">
        <v>1</v>
      </c>
      <c r="AB36" s="4">
        <v>1</v>
      </c>
      <c r="AC36" s="4" t="s">
        <v>60</v>
      </c>
      <c r="AD36" s="4" t="b">
        <v>1</v>
      </c>
      <c r="AE36" s="4">
        <v>0.37190000000000001</v>
      </c>
      <c r="AF36" s="4">
        <v>1.3326</v>
      </c>
      <c r="AG36" s="4">
        <v>5.9590000000000008E-3</v>
      </c>
      <c r="AH36" s="4">
        <v>100</v>
      </c>
      <c r="AI36" s="4">
        <v>4.0299999999999997E-3</v>
      </c>
      <c r="AJ36" s="2" t="str">
        <f>_xlfn.XLOOKUP($C36,[1]Bus!$A$2:$A$121,[1]Bus!$J$2:$J$121,0)</f>
        <v>ORIENTAL</v>
      </c>
      <c r="AK36" s="2" t="str">
        <f>_xlfn.XLOOKUP($C36,[1]Bus!$A$2:$A$121,[1]Bus!$K$2:$K$121,0)</f>
        <v>BOGOTA</v>
      </c>
      <c r="AL36" s="2">
        <v>5.003842E-2</v>
      </c>
      <c r="AM36" s="2">
        <f t="shared" si="2"/>
        <v>33.883776685749396</v>
      </c>
      <c r="AN36" s="2">
        <f t="shared" si="3"/>
        <v>2.9638481628795527E-2</v>
      </c>
      <c r="AO36" s="2">
        <f t="shared" si="4"/>
        <v>10.817567567567568</v>
      </c>
      <c r="AP36" s="2">
        <f t="shared" si="5"/>
        <v>3.1057512627668693</v>
      </c>
      <c r="AQ36" s="2">
        <v>0</v>
      </c>
      <c r="AR36" s="2">
        <v>5.003842E-2</v>
      </c>
    </row>
    <row r="37" spans="1:44" ht="16" x14ac:dyDescent="0.2">
      <c r="A37" s="1" t="s">
        <v>116</v>
      </c>
      <c r="B37" s="4" t="str">
        <f>_xlfn.CONCAT(_xlfn.XLOOKUP($C37,[1]Bus!$A$2:$A$121,[1]Bus!$C$2:$C$121,0)," - ",_xlfn.XLOOKUP($D37,[1]Bus!$A$2:$A$121,[1]Bus!$C$2:$C$121,0))</f>
        <v>San_Mateo_EEB_220 - Tunal_220</v>
      </c>
      <c r="C37" s="4" t="s">
        <v>117</v>
      </c>
      <c r="D37" s="4" t="s">
        <v>115</v>
      </c>
      <c r="E37">
        <f t="shared" si="6"/>
        <v>1.3723636363636364E-3</v>
      </c>
      <c r="F37">
        <f t="shared" si="6"/>
        <v>1.4845636363636365E-2</v>
      </c>
      <c r="G37">
        <v>366</v>
      </c>
      <c r="H37">
        <v>366</v>
      </c>
      <c r="I37">
        <v>366</v>
      </c>
      <c r="N37" s="4">
        <v>14.96</v>
      </c>
      <c r="P37" s="2">
        <v>0</v>
      </c>
      <c r="S37">
        <f t="shared" si="1"/>
        <v>484</v>
      </c>
      <c r="T37">
        <v>220</v>
      </c>
      <c r="U37">
        <v>1</v>
      </c>
      <c r="V37" s="4">
        <v>4.4400000000000002E-2</v>
      </c>
      <c r="W37" s="4">
        <v>0.4803</v>
      </c>
      <c r="X37" s="4">
        <v>9.4219999999999998E-3</v>
      </c>
      <c r="Y37" s="4">
        <v>0</v>
      </c>
      <c r="Z37" s="4">
        <v>0.96</v>
      </c>
      <c r="AA37" s="4">
        <v>1</v>
      </c>
      <c r="AB37" s="4">
        <v>1</v>
      </c>
      <c r="AC37" s="4" t="s">
        <v>60</v>
      </c>
      <c r="AD37" s="4" t="b">
        <v>1</v>
      </c>
      <c r="AE37" s="4">
        <v>0.37059999999999998</v>
      </c>
      <c r="AF37" s="4">
        <v>1.3327</v>
      </c>
      <c r="AG37" s="4">
        <v>6.11E-3</v>
      </c>
      <c r="AH37" s="4">
        <v>100</v>
      </c>
      <c r="AI37" s="4">
        <v>4.0299999999999997E-3</v>
      </c>
      <c r="AJ37" s="2" t="str">
        <f>_xlfn.XLOOKUP($C37,[1]Bus!$A$2:$A$121,[1]Bus!$J$2:$J$121,0)</f>
        <v>ORIENTAL</v>
      </c>
      <c r="AK37" s="2" t="str">
        <f>_xlfn.XLOOKUP($C37,[1]Bus!$A$2:$A$121,[1]Bus!$K$2:$K$121,0)</f>
        <v>BOGOTA</v>
      </c>
      <c r="AL37" s="2">
        <v>2.5720199999999999E-2</v>
      </c>
      <c r="AM37" s="2">
        <f t="shared" si="2"/>
        <v>67.359860871269177</v>
      </c>
      <c r="AN37" s="2">
        <f t="shared" si="3"/>
        <v>1.4908933596731041E-2</v>
      </c>
      <c r="AO37" s="2">
        <f t="shared" si="4"/>
        <v>10.817567567567568</v>
      </c>
      <c r="AP37" s="2">
        <f t="shared" si="5"/>
        <v>6.1741338606073981</v>
      </c>
      <c r="AQ37" s="2">
        <v>0</v>
      </c>
      <c r="AR37" s="2">
        <v>2.5720199999999999E-2</v>
      </c>
    </row>
    <row r="38" spans="1:44" ht="16" x14ac:dyDescent="0.2">
      <c r="A38" s="1" t="s">
        <v>118</v>
      </c>
      <c r="B38" s="4" t="str">
        <f>_xlfn.CONCAT(_xlfn.XLOOKUP($C38,[1]Bus!$A$2:$A$121,[1]Bus!$C$2:$C$121,0)," - ",_xlfn.XLOOKUP($D38,[1]Bus!$A$2:$A$121,[1]Bus!$C$2:$C$121,0))</f>
        <v>Guaca_220 - Paraiso_220</v>
      </c>
      <c r="C38" s="4" t="s">
        <v>94</v>
      </c>
      <c r="D38" s="4" t="s">
        <v>119</v>
      </c>
      <c r="E38">
        <f t="shared" si="6"/>
        <v>3.5121900826446274E-4</v>
      </c>
      <c r="F38">
        <f t="shared" si="6"/>
        <v>3.7892190082644628E-3</v>
      </c>
      <c r="G38">
        <v>732</v>
      </c>
      <c r="H38">
        <v>732</v>
      </c>
      <c r="I38">
        <v>732</v>
      </c>
      <c r="N38" s="4">
        <v>7.64</v>
      </c>
      <c r="P38" s="2">
        <v>0</v>
      </c>
      <c r="S38">
        <f t="shared" si="1"/>
        <v>484</v>
      </c>
      <c r="T38">
        <v>220</v>
      </c>
      <c r="U38">
        <v>2</v>
      </c>
      <c r="V38" s="4">
        <f>0.0445/2</f>
        <v>2.2249999999999999E-2</v>
      </c>
      <c r="W38" s="4">
        <f>0.4801/2</f>
        <v>0.24005000000000001</v>
      </c>
      <c r="X38" s="4">
        <v>9.2219999999999993E-3</v>
      </c>
      <c r="Y38" s="4">
        <v>0</v>
      </c>
      <c r="Z38" s="4">
        <v>0.96</v>
      </c>
      <c r="AA38" s="4">
        <v>1</v>
      </c>
      <c r="AB38" s="4">
        <v>1</v>
      </c>
      <c r="AC38" s="4" t="s">
        <v>60</v>
      </c>
      <c r="AD38" s="4" t="b">
        <v>1</v>
      </c>
      <c r="AE38" s="4">
        <f>0.3743/2</f>
        <v>0.18715000000000001</v>
      </c>
      <c r="AF38" s="4">
        <f>1.3294/2</f>
        <v>0.66469999999999996</v>
      </c>
      <c r="AG38" s="4">
        <v>5.9919999999999999E-3</v>
      </c>
      <c r="AH38" s="4">
        <v>100</v>
      </c>
      <c r="AI38" s="4">
        <v>4.0299999999999997E-3</v>
      </c>
      <c r="AJ38" s="2" t="str">
        <f>_xlfn.XLOOKUP($C38,[1]Bus!$A$2:$A$121,[1]Bus!$J$2:$J$121,0)</f>
        <v>ORIENTAL</v>
      </c>
      <c r="AK38" s="2" t="str">
        <f>_xlfn.XLOOKUP($C38,[1]Bus!$A$2:$A$121,[1]Bus!$K$2:$K$121,0)</f>
        <v>BOGOTA</v>
      </c>
      <c r="AL38" s="2">
        <v>1.285563E-2</v>
      </c>
      <c r="AM38" s="2">
        <f t="shared" si="2"/>
        <v>263.90662503775934</v>
      </c>
      <c r="AN38" s="2">
        <f t="shared" si="3"/>
        <v>3.8054612709051438E-3</v>
      </c>
      <c r="AO38" s="2">
        <f t="shared" si="4"/>
        <v>10.788764044943823</v>
      </c>
      <c r="AP38" s="2">
        <f t="shared" si="5"/>
        <v>24.252884553837699</v>
      </c>
      <c r="AQ38" s="2">
        <v>0</v>
      </c>
      <c r="AR38" s="2">
        <v>6.4278149999999999E-3</v>
      </c>
    </row>
    <row r="39" spans="1:44" ht="16" x14ac:dyDescent="0.2">
      <c r="A39" s="1" t="s">
        <v>120</v>
      </c>
      <c r="B39" s="4" t="str">
        <f>_xlfn.CONCAT(_xlfn.XLOOKUP($C39,[1]Bus!$A$2:$A$121,[1]Bus!$C$2:$C$121,0)," - ",_xlfn.XLOOKUP($D39,[1]Bus!$A$2:$A$121,[1]Bus!$C$2:$C$121,0))</f>
        <v>Mesa_220 - Noroeste_220</v>
      </c>
      <c r="C39" s="4" t="s">
        <v>95</v>
      </c>
      <c r="D39" s="4" t="s">
        <v>105</v>
      </c>
      <c r="E39">
        <f t="shared" si="6"/>
        <v>4.2089380165289264E-3</v>
      </c>
      <c r="F39">
        <f t="shared" si="6"/>
        <v>4.156637603305785E-2</v>
      </c>
      <c r="G39">
        <v>381</v>
      </c>
      <c r="H39">
        <v>381</v>
      </c>
      <c r="I39">
        <v>381</v>
      </c>
      <c r="N39" s="4">
        <v>40.18</v>
      </c>
      <c r="P39" s="2">
        <v>0</v>
      </c>
      <c r="S39">
        <f t="shared" si="1"/>
        <v>484</v>
      </c>
      <c r="T39">
        <v>220</v>
      </c>
      <c r="U39">
        <v>1</v>
      </c>
      <c r="V39" s="4">
        <v>5.0700000000000002E-2</v>
      </c>
      <c r="W39" s="4">
        <v>0.50070000000000003</v>
      </c>
      <c r="X39" s="4">
        <v>9.0699999999999999E-3</v>
      </c>
      <c r="Y39" s="4">
        <v>0</v>
      </c>
      <c r="Z39" s="4">
        <v>1</v>
      </c>
      <c r="AA39" s="4">
        <v>1</v>
      </c>
      <c r="AB39" s="4">
        <v>1</v>
      </c>
      <c r="AC39" s="4" t="s">
        <v>60</v>
      </c>
      <c r="AD39" s="4" t="b">
        <v>1</v>
      </c>
      <c r="AE39" s="4">
        <v>0.2661</v>
      </c>
      <c r="AF39" s="4">
        <v>1.1025</v>
      </c>
      <c r="AG39" s="4">
        <v>5.8890000000000001E-3</v>
      </c>
      <c r="AH39" s="4">
        <v>136.60000600000001</v>
      </c>
      <c r="AI39" s="4">
        <v>4.0299999999999997E-3</v>
      </c>
      <c r="AJ39" s="2" t="str">
        <f>_xlfn.XLOOKUP($C39,[1]Bus!$A$2:$A$121,[1]Bus!$J$2:$J$121,0)</f>
        <v>ORIENTAL</v>
      </c>
      <c r="AK39" s="2" t="str">
        <f>_xlfn.XLOOKUP($C39,[1]Bus!$A$2:$A$121,[1]Bus!$K$2:$K$121,0)</f>
        <v>BOGOTA</v>
      </c>
      <c r="AL39" s="2">
        <v>6.6493590000000005E-2</v>
      </c>
      <c r="AM39" s="2">
        <f t="shared" si="2"/>
        <v>24.057906785154842</v>
      </c>
      <c r="AN39" s="2">
        <f t="shared" si="3"/>
        <v>4.1778927412614943E-2</v>
      </c>
      <c r="AO39" s="2">
        <f t="shared" si="4"/>
        <v>9.8757396449704125</v>
      </c>
      <c r="AP39" s="2">
        <f t="shared" si="5"/>
        <v>2.4113372645988913</v>
      </c>
      <c r="AQ39" s="2">
        <v>0</v>
      </c>
      <c r="AR39" s="2">
        <v>6.6493590000000005E-2</v>
      </c>
    </row>
    <row r="40" spans="1:44" ht="16" x14ac:dyDescent="0.2">
      <c r="A40" s="1" t="s">
        <v>121</v>
      </c>
      <c r="B40" s="4" t="str">
        <f>_xlfn.CONCAT(_xlfn.XLOOKUP($C40,[1]Bus!$A$2:$A$121,[1]Bus!$C$2:$C$121,0)," - ",_xlfn.XLOOKUP($D40,[1]Bus!$A$2:$A$121,[1]Bus!$C$2:$C$121,0))</f>
        <v>Nva_Esperanza_220 - San_Mateo_EEB_220</v>
      </c>
      <c r="C40" s="4" t="s">
        <v>122</v>
      </c>
      <c r="D40" s="4" t="s">
        <v>117</v>
      </c>
      <c r="E40">
        <f t="shared" si="6"/>
        <v>2.6727560537190072E-3</v>
      </c>
      <c r="F40">
        <f t="shared" si="6"/>
        <v>2.8911212561983472E-2</v>
      </c>
      <c r="G40">
        <v>366</v>
      </c>
      <c r="H40">
        <v>366</v>
      </c>
      <c r="I40">
        <v>366</v>
      </c>
      <c r="N40" s="4">
        <v>29.407</v>
      </c>
      <c r="P40" s="2">
        <v>0</v>
      </c>
      <c r="S40">
        <f t="shared" si="1"/>
        <v>484</v>
      </c>
      <c r="T40">
        <v>220</v>
      </c>
      <c r="U40">
        <v>1</v>
      </c>
      <c r="V40" s="4">
        <v>4.3989999999999987E-2</v>
      </c>
      <c r="W40" s="4">
        <v>0.47583999999999999</v>
      </c>
      <c r="X40" s="4">
        <v>9.11E-3</v>
      </c>
      <c r="Y40" s="4">
        <v>0</v>
      </c>
      <c r="Z40" s="4">
        <v>0.96</v>
      </c>
      <c r="AA40" s="4">
        <v>1</v>
      </c>
      <c r="AB40" s="4">
        <v>1</v>
      </c>
      <c r="AC40" s="4" t="s">
        <v>60</v>
      </c>
      <c r="AD40" s="4" t="b">
        <v>1</v>
      </c>
      <c r="AE40" s="4">
        <v>0.36354999999999998</v>
      </c>
      <c r="AF40" s="4">
        <v>1.29572</v>
      </c>
      <c r="AG40" s="4">
        <v>5.7559999999999998E-3</v>
      </c>
      <c r="AH40" s="4">
        <v>100</v>
      </c>
      <c r="AI40" s="4">
        <v>4.0299999999999997E-3</v>
      </c>
      <c r="AJ40" s="2" t="str">
        <f>_xlfn.XLOOKUP($C40,[1]Bus!$A$2:$A$121,[1]Bus!$J$2:$J$121,0)</f>
        <v>ORIENTAL</v>
      </c>
      <c r="AK40" s="2" t="str">
        <f>_xlfn.XLOOKUP($C40,[1]Bus!$A$2:$A$121,[1]Bus!$K$2:$K$121,0)</f>
        <v>BOGOTA</v>
      </c>
      <c r="AL40" s="2">
        <v>4.8879640000000002E-2</v>
      </c>
      <c r="AM40" s="2">
        <f t="shared" si="2"/>
        <v>34.588656489452838</v>
      </c>
      <c r="AN40" s="2">
        <f t="shared" si="3"/>
        <v>2.9034493912015801E-2</v>
      </c>
      <c r="AO40" s="2">
        <f t="shared" si="4"/>
        <v>10.817003864514668</v>
      </c>
      <c r="AP40" s="2">
        <f t="shared" si="5"/>
        <v>3.1705222186662114</v>
      </c>
      <c r="AQ40" s="2">
        <v>0</v>
      </c>
      <c r="AR40" s="2">
        <v>4.8879640000000002E-2</v>
      </c>
    </row>
    <row r="41" spans="1:44" ht="16" x14ac:dyDescent="0.2">
      <c r="A41" s="1" t="s">
        <v>123</v>
      </c>
      <c r="B41" s="4" t="str">
        <f>_xlfn.CONCAT(_xlfn.XLOOKUP($C41,[1]Bus!$A$2:$A$121,[1]Bus!$C$2:$C$121,0)," - ",_xlfn.XLOOKUP($D41,[1]Bus!$A$2:$A$121,[1]Bus!$C$2:$C$121,0))</f>
        <v>Chivor_220 - Sochagota_220</v>
      </c>
      <c r="C41" s="4" t="s">
        <v>108</v>
      </c>
      <c r="D41" s="4" t="s">
        <v>124</v>
      </c>
      <c r="E41">
        <f t="shared" si="6"/>
        <v>5.945338791735537E-3</v>
      </c>
      <c r="F41">
        <f t="shared" si="6"/>
        <v>5.8110892061157028E-2</v>
      </c>
      <c r="G41">
        <v>732</v>
      </c>
      <c r="H41">
        <v>732</v>
      </c>
      <c r="I41">
        <v>732</v>
      </c>
      <c r="N41" s="4">
        <v>116.029999</v>
      </c>
      <c r="P41" s="2">
        <v>0</v>
      </c>
      <c r="S41">
        <f t="shared" si="1"/>
        <v>484</v>
      </c>
      <c r="T41">
        <v>220</v>
      </c>
      <c r="U41">
        <v>2</v>
      </c>
      <c r="V41" s="4">
        <f>0.0496/2</f>
        <v>2.4799999999999999E-2</v>
      </c>
      <c r="W41" s="4">
        <f>0.4848/2</f>
        <v>0.2424</v>
      </c>
      <c r="X41" s="4">
        <v>9.0739999999999987E-3</v>
      </c>
      <c r="Y41" s="4">
        <v>0</v>
      </c>
      <c r="Z41" s="4">
        <v>0.96</v>
      </c>
      <c r="AA41" s="4">
        <v>1</v>
      </c>
      <c r="AB41" s="4">
        <v>1</v>
      </c>
      <c r="AC41" s="4" t="s">
        <v>60</v>
      </c>
      <c r="AD41" s="4" t="b">
        <v>1</v>
      </c>
      <c r="AE41" s="4">
        <f>0.2899/2</f>
        <v>0.14495</v>
      </c>
      <c r="AF41" s="4">
        <f>1.1766/2</f>
        <v>0.58830000000000005</v>
      </c>
      <c r="AG41" s="4">
        <v>5.8460000000000014E-3</v>
      </c>
      <c r="AH41" s="4">
        <v>138.22920199999999</v>
      </c>
      <c r="AI41" s="4">
        <v>4.0299999999999997E-3</v>
      </c>
      <c r="AJ41" s="2" t="str">
        <f>_xlfn.XLOOKUP($C41,[1]Bus!$A$2:$A$121,[1]Bus!$J$2:$J$121,0)</f>
        <v>ORIENTAL</v>
      </c>
      <c r="AK41" s="2" t="str">
        <f>_xlfn.XLOOKUP($C41,[1]Bus!$A$2:$A$121,[1]Bus!$K$2:$K$121,0)</f>
        <v>BOGOTA</v>
      </c>
      <c r="AL41" s="2">
        <v>0.19210140000000001</v>
      </c>
      <c r="AM41" s="2">
        <f t="shared" si="2"/>
        <v>17.208477869305131</v>
      </c>
      <c r="AN41" s="2">
        <f t="shared" si="3"/>
        <v>5.8414234819022998E-2</v>
      </c>
      <c r="AO41" s="2">
        <f t="shared" si="4"/>
        <v>9.7741935483870979</v>
      </c>
      <c r="AP41" s="2">
        <f t="shared" si="5"/>
        <v>1.742365340372783</v>
      </c>
      <c r="AQ41" s="2">
        <v>0</v>
      </c>
      <c r="AR41" s="2">
        <v>9.6050750000000004E-2</v>
      </c>
    </row>
    <row r="42" spans="1:44" ht="16" x14ac:dyDescent="0.2">
      <c r="A42" s="1" t="s">
        <v>125</v>
      </c>
      <c r="B42" s="4" t="str">
        <f>_xlfn.CONCAT(_xlfn.XLOOKUP($C42,[1]Bus!$A$2:$A$121,[1]Bus!$C$2:$C$121,0)," - ",_xlfn.XLOOKUP($D42,[1]Bus!$A$2:$A$121,[1]Bus!$C$2:$C$121,0))</f>
        <v>Guavio_220 - Torca_220</v>
      </c>
      <c r="C42" s="4" t="s">
        <v>98</v>
      </c>
      <c r="D42" s="4" t="s">
        <v>101</v>
      </c>
      <c r="E42">
        <f t="shared" si="6"/>
        <v>2.8162355713842973E-3</v>
      </c>
      <c r="F42">
        <f t="shared" si="6"/>
        <v>4.0473814541012391E-2</v>
      </c>
      <c r="G42">
        <v>952</v>
      </c>
      <c r="H42">
        <v>952</v>
      </c>
      <c r="I42">
        <v>952</v>
      </c>
      <c r="N42" s="4">
        <v>82.360000999999997</v>
      </c>
      <c r="P42" s="2">
        <v>0</v>
      </c>
      <c r="S42">
        <f t="shared" si="1"/>
        <v>484</v>
      </c>
      <c r="T42">
        <v>220</v>
      </c>
      <c r="U42">
        <v>2</v>
      </c>
      <c r="V42" s="4">
        <f>0.0331/2</f>
        <v>1.6549999999999999E-2</v>
      </c>
      <c r="W42" s="4">
        <f>0.4757/2</f>
        <v>0.23785000000000001</v>
      </c>
      <c r="X42" s="4">
        <v>9.4650000000000012E-3</v>
      </c>
      <c r="Y42" s="4">
        <v>0</v>
      </c>
      <c r="Z42" s="4">
        <v>1.25</v>
      </c>
      <c r="AA42" s="4">
        <v>1</v>
      </c>
      <c r="AB42" s="4">
        <v>1</v>
      </c>
      <c r="AC42" s="4" t="s">
        <v>60</v>
      </c>
      <c r="AD42" s="4" t="b">
        <v>1</v>
      </c>
      <c r="AE42" s="4">
        <f>0.377/2</f>
        <v>0.1885</v>
      </c>
      <c r="AF42" s="4">
        <f>1.3221/2</f>
        <v>0.66105000000000003</v>
      </c>
      <c r="AG42" s="4">
        <v>6.0039999999999998E-3</v>
      </c>
      <c r="AH42" s="4">
        <v>100</v>
      </c>
      <c r="AI42" s="4">
        <v>4.0299999999999997E-3</v>
      </c>
      <c r="AJ42" s="2" t="str">
        <f>_xlfn.XLOOKUP($C42,[1]Bus!$A$2:$A$121,[1]Bus!$J$2:$J$121,0)</f>
        <v>ORIENTAL</v>
      </c>
      <c r="AK42" s="2" t="str">
        <f>_xlfn.XLOOKUP($C42,[1]Bus!$A$2:$A$121,[1]Bus!$K$2:$K$121,0)</f>
        <v>BOGOTA</v>
      </c>
      <c r="AL42" s="2">
        <v>0.14214080000000001</v>
      </c>
      <c r="AM42" s="2">
        <f t="shared" si="2"/>
        <v>24.707332662867572</v>
      </c>
      <c r="AN42" s="2">
        <f t="shared" si="3"/>
        <v>4.0571675418865763E-2</v>
      </c>
      <c r="AO42" s="2">
        <f t="shared" si="4"/>
        <v>14.371601208459214</v>
      </c>
      <c r="AP42" s="2">
        <f t="shared" si="5"/>
        <v>1.7108939670882877</v>
      </c>
      <c r="AQ42" s="2">
        <v>0</v>
      </c>
      <c r="AR42" s="2">
        <v>7.1096290564769196E-2</v>
      </c>
    </row>
    <row r="43" spans="1:44" ht="16" x14ac:dyDescent="0.2">
      <c r="A43" s="1" t="s">
        <v>126</v>
      </c>
      <c r="B43" s="4" t="str">
        <f>_xlfn.CONCAT(_xlfn.XLOOKUP($C43,[1]Bus!$A$2:$A$121,[1]Bus!$C$2:$C$121,0)," - ",_xlfn.XLOOKUP($D43,[1]Bus!$A$2:$A$121,[1]Bus!$C$2:$C$121,0))</f>
        <v>Bacata_500 - Nva_Esperanza_500</v>
      </c>
      <c r="C43" s="4" t="s">
        <v>103</v>
      </c>
      <c r="D43" s="4" t="s">
        <v>127</v>
      </c>
      <c r="E43">
        <f t="shared" si="6"/>
        <v>5.3244002319999999E-4</v>
      </c>
      <c r="F43">
        <f t="shared" si="6"/>
        <v>6.4443602807999992E-3</v>
      </c>
      <c r="G43">
        <v>2165</v>
      </c>
      <c r="H43">
        <v>2165</v>
      </c>
      <c r="I43">
        <v>2165</v>
      </c>
      <c r="N43" s="4">
        <v>45.900002000000001</v>
      </c>
      <c r="P43" s="2">
        <v>0</v>
      </c>
      <c r="S43">
        <f t="shared" si="1"/>
        <v>2500</v>
      </c>
      <c r="T43">
        <v>500</v>
      </c>
      <c r="U43">
        <v>1</v>
      </c>
      <c r="V43" s="4">
        <v>2.9000000000000001E-2</v>
      </c>
      <c r="W43" s="4">
        <v>0.35099999999999998</v>
      </c>
      <c r="X43" s="4">
        <v>1.3491E-2</v>
      </c>
      <c r="Y43" s="4">
        <v>0</v>
      </c>
      <c r="Z43" s="4">
        <v>2.5</v>
      </c>
      <c r="AA43" s="4">
        <v>1</v>
      </c>
      <c r="AB43" s="4">
        <v>1</v>
      </c>
      <c r="AC43" s="4" t="s">
        <v>60</v>
      </c>
      <c r="AD43" s="4" t="b">
        <v>1</v>
      </c>
      <c r="AE43" s="4">
        <v>0.25</v>
      </c>
      <c r="AF43" s="4">
        <v>0.97599999999999998</v>
      </c>
      <c r="AG43" s="4">
        <v>8.2709999999999988E-3</v>
      </c>
      <c r="AH43" s="4">
        <v>120</v>
      </c>
      <c r="AI43" s="4">
        <v>4.0299999999999997E-3</v>
      </c>
      <c r="AJ43" s="2" t="str">
        <f>_xlfn.XLOOKUP($C43,[1]Bus!$A$2:$A$121,[1]Bus!$J$2:$J$121,0)</f>
        <v>ORIENTAL</v>
      </c>
      <c r="AK43" s="2" t="str">
        <f>_xlfn.XLOOKUP($C43,[1]Bus!$A$2:$A$121,[1]Bus!$K$2:$K$121,0)</f>
        <v>BOGOTA</v>
      </c>
      <c r="AL43" s="2">
        <v>0.58361850000000004</v>
      </c>
      <c r="AM43" s="2">
        <f t="shared" si="2"/>
        <v>155.17444035203144</v>
      </c>
      <c r="AN43" s="2">
        <f t="shared" si="3"/>
        <v>6.4663182574829911E-3</v>
      </c>
      <c r="AO43" s="2">
        <f t="shared" si="4"/>
        <v>12.103448275862068</v>
      </c>
      <c r="AP43" s="2">
        <f t="shared" si="5"/>
        <v>12.733756536845004</v>
      </c>
      <c r="AQ43" s="2">
        <v>0</v>
      </c>
      <c r="AR43" s="2">
        <v>0.58361850000000004</v>
      </c>
    </row>
    <row r="44" spans="1:44" ht="16" x14ac:dyDescent="0.2">
      <c r="A44" s="1" t="s">
        <v>128</v>
      </c>
      <c r="B44" s="4" t="str">
        <f>_xlfn.CONCAT(_xlfn.XLOOKUP($C44,[1]Bus!$A$2:$A$121,[1]Bus!$C$2:$C$121,0)," - ",_xlfn.XLOOKUP($D44,[1]Bus!$A$2:$A$121,[1]Bus!$C$2:$C$121,0))</f>
        <v>Guavio_220 - Nva_Esperanza_220</v>
      </c>
      <c r="C44" s="4" t="s">
        <v>98</v>
      </c>
      <c r="D44" s="4" t="s">
        <v>122</v>
      </c>
      <c r="E44">
        <f t="shared" si="6"/>
        <v>9.7850982499173532E-3</v>
      </c>
      <c r="F44">
        <f t="shared" si="6"/>
        <v>0.142524762292562</v>
      </c>
      <c r="G44">
        <v>552</v>
      </c>
      <c r="H44">
        <v>552</v>
      </c>
      <c r="I44">
        <v>552</v>
      </c>
      <c r="N44" s="4">
        <v>149.11799600000001</v>
      </c>
      <c r="P44" s="2">
        <v>0</v>
      </c>
      <c r="S44">
        <f t="shared" si="1"/>
        <v>484</v>
      </c>
      <c r="T44">
        <v>220</v>
      </c>
      <c r="U44">
        <v>1</v>
      </c>
      <c r="V44" s="4">
        <v>3.1759999999999997E-2</v>
      </c>
      <c r="W44" s="4">
        <v>0.46260000000000001</v>
      </c>
      <c r="X44" s="4">
        <v>9.6270000000000001E-3</v>
      </c>
      <c r="Y44" s="4">
        <v>0</v>
      </c>
      <c r="Z44" s="4">
        <v>1.448</v>
      </c>
      <c r="AA44" s="4">
        <v>1</v>
      </c>
      <c r="AB44" s="4">
        <v>1</v>
      </c>
      <c r="AC44" s="4" t="s">
        <v>60</v>
      </c>
      <c r="AD44" s="4" t="b">
        <v>1</v>
      </c>
      <c r="AE44" s="4">
        <v>0.36609999999999998</v>
      </c>
      <c r="AF44" s="4">
        <v>1.4156</v>
      </c>
      <c r="AG44" s="4">
        <v>6.7279999999999996E-3</v>
      </c>
      <c r="AH44" s="4">
        <v>129.97238200000001</v>
      </c>
      <c r="AI44" s="4">
        <v>4.0299999999999997E-3</v>
      </c>
      <c r="AJ44" s="2" t="str">
        <f>_xlfn.XLOOKUP($C44,[1]Bus!$A$2:$A$121,[1]Bus!$J$2:$J$121,0)</f>
        <v>ORIENTAL</v>
      </c>
      <c r="AK44" s="2" t="str">
        <f>_xlfn.XLOOKUP($C44,[1]Bus!$A$2:$A$121,[1]Bus!$K$2:$K$121,0)</f>
        <v>BOGOTA</v>
      </c>
      <c r="AL44" s="2">
        <v>0.26193060000000001</v>
      </c>
      <c r="AM44" s="2">
        <f t="shared" si="2"/>
        <v>7.0163246295916633</v>
      </c>
      <c r="AN44" s="2">
        <f t="shared" si="3"/>
        <v>0.14286026744449221</v>
      </c>
      <c r="AO44" s="2">
        <f t="shared" si="4"/>
        <v>14.565491183879098</v>
      </c>
      <c r="AP44" s="2">
        <f t="shared" si="5"/>
        <v>0.47944884089962608</v>
      </c>
      <c r="AQ44" s="2">
        <v>0</v>
      </c>
      <c r="AR44" s="2">
        <v>0.26193060000000001</v>
      </c>
    </row>
    <row r="45" spans="1:44" ht="16" x14ac:dyDescent="0.2">
      <c r="A45" s="1" t="s">
        <v>129</v>
      </c>
      <c r="B45" s="4" t="str">
        <f>_xlfn.CONCAT(_xlfn.XLOOKUP($C45,[1]Bus!$A$2:$A$121,[1]Bus!$C$2:$C$121,0)," - ",_xlfn.XLOOKUP($D45,[1]Bus!$A$2:$A$121,[1]Bus!$C$2:$C$121,0))</f>
        <v>Circo_220 - Nva_Esperanza_220</v>
      </c>
      <c r="C45" s="4" t="s">
        <v>97</v>
      </c>
      <c r="D45" s="4" t="s">
        <v>122</v>
      </c>
      <c r="E45">
        <f t="shared" si="6"/>
        <v>4.2007679997933881E-3</v>
      </c>
      <c r="F45">
        <f t="shared" si="6"/>
        <v>4.541788348652892E-2</v>
      </c>
      <c r="G45">
        <v>366</v>
      </c>
      <c r="H45">
        <v>366</v>
      </c>
      <c r="I45">
        <v>366</v>
      </c>
      <c r="N45" s="4">
        <v>46.155997999999997</v>
      </c>
      <c r="P45" s="2">
        <v>0</v>
      </c>
      <c r="S45">
        <f t="shared" si="1"/>
        <v>484</v>
      </c>
      <c r="T45">
        <v>220</v>
      </c>
      <c r="U45">
        <v>1</v>
      </c>
      <c r="V45" s="4">
        <v>4.4049999999999999E-2</v>
      </c>
      <c r="W45" s="4">
        <v>0.47626000000000002</v>
      </c>
      <c r="X45" s="4">
        <v>9.136E-3</v>
      </c>
      <c r="Y45" s="4">
        <v>0</v>
      </c>
      <c r="Z45" s="4">
        <v>0.96</v>
      </c>
      <c r="AA45" s="4">
        <v>1</v>
      </c>
      <c r="AB45" s="4">
        <v>1</v>
      </c>
      <c r="AC45" s="4" t="s">
        <v>60</v>
      </c>
      <c r="AD45" s="4" t="b">
        <v>1</v>
      </c>
      <c r="AE45" s="4">
        <v>0.36608000000000002</v>
      </c>
      <c r="AF45" s="4">
        <v>1.30244</v>
      </c>
      <c r="AG45" s="4">
        <v>5.7939999999999997E-3</v>
      </c>
      <c r="AH45" s="4">
        <v>100</v>
      </c>
      <c r="AI45" s="4">
        <v>4.0299999999999997E-3</v>
      </c>
      <c r="AJ45" s="2" t="str">
        <f>_xlfn.XLOOKUP($C45,[1]Bus!$A$2:$A$121,[1]Bus!$J$2:$J$121,0)</f>
        <v>ORIENTAL</v>
      </c>
      <c r="AK45" s="2" t="str">
        <f>_xlfn.XLOOKUP($C45,[1]Bus!$A$2:$A$121,[1]Bus!$K$2:$K$121,0)</f>
        <v>BOGOTA</v>
      </c>
      <c r="AL45" s="2">
        <v>7.694484E-2</v>
      </c>
      <c r="AM45" s="2">
        <f t="shared" si="2"/>
        <v>22.017758716048558</v>
      </c>
      <c r="AN45" s="2">
        <f t="shared" si="3"/>
        <v>4.5611737438777805E-2</v>
      </c>
      <c r="AO45" s="2">
        <f t="shared" si="4"/>
        <v>10.811804767309875</v>
      </c>
      <c r="AP45" s="2">
        <f t="shared" si="5"/>
        <v>2.0191819979841217</v>
      </c>
      <c r="AQ45" s="2">
        <v>0</v>
      </c>
      <c r="AR45" s="2">
        <v>7.694484E-2</v>
      </c>
    </row>
    <row r="46" spans="1:44" ht="16" x14ac:dyDescent="0.2">
      <c r="A46" s="1" t="s">
        <v>130</v>
      </c>
      <c r="B46" s="4" t="str">
        <f>_xlfn.CONCAT(_xlfn.XLOOKUP($C46,[1]Bus!$A$2:$A$121,[1]Bus!$C$2:$C$121,0)," - ",_xlfn.XLOOKUP($D46,[1]Bus!$A$2:$A$121,[1]Bus!$C$2:$C$121,0))</f>
        <v>Nva_Esperanza_220 - Paraiso_220</v>
      </c>
      <c r="C46" s="4" t="s">
        <v>122</v>
      </c>
      <c r="D46" s="4" t="s">
        <v>119</v>
      </c>
      <c r="E46">
        <f t="shared" si="6"/>
        <v>6.9807644628099182E-4</v>
      </c>
      <c r="F46">
        <f t="shared" si="6"/>
        <v>7.5596532024793392E-3</v>
      </c>
      <c r="G46">
        <v>732</v>
      </c>
      <c r="H46">
        <v>732</v>
      </c>
      <c r="I46">
        <v>732</v>
      </c>
      <c r="N46" s="4">
        <v>15.57</v>
      </c>
      <c r="P46" s="2">
        <v>0</v>
      </c>
      <c r="S46">
        <f t="shared" si="1"/>
        <v>484</v>
      </c>
      <c r="T46">
        <v>220</v>
      </c>
      <c r="U46">
        <v>2</v>
      </c>
      <c r="V46" s="4">
        <f>0.0434/2</f>
        <v>2.1700000000000001E-2</v>
      </c>
      <c r="W46" s="4">
        <f>0.46999/2</f>
        <v>0.23499500000000001</v>
      </c>
      <c r="X46" s="4">
        <v>8.9569999999999997E-3</v>
      </c>
      <c r="Y46" s="4">
        <v>0</v>
      </c>
      <c r="Z46" s="4">
        <v>0.96</v>
      </c>
      <c r="AA46" s="4">
        <v>1</v>
      </c>
      <c r="AB46" s="4">
        <v>1</v>
      </c>
      <c r="AC46" s="4" t="s">
        <v>60</v>
      </c>
      <c r="AD46" s="4" t="b">
        <v>1</v>
      </c>
      <c r="AE46" s="4">
        <f>0.35385/2</f>
        <v>0.176925</v>
      </c>
      <c r="AF46" s="4">
        <f>1.26502/2</f>
        <v>0.63251000000000002</v>
      </c>
      <c r="AG46" s="4">
        <v>5.6610000000000002E-3</v>
      </c>
      <c r="AH46" s="4">
        <v>116.66667200000001</v>
      </c>
      <c r="AI46" s="4">
        <v>4.0299999999999997E-3</v>
      </c>
      <c r="AJ46" s="2" t="str">
        <f>_xlfn.XLOOKUP($C46,[1]Bus!$A$2:$A$121,[1]Bus!$J$2:$J$121,0)</f>
        <v>ORIENTAL</v>
      </c>
      <c r="AK46" s="2" t="str">
        <f>_xlfn.XLOOKUP($C46,[1]Bus!$A$2:$A$121,[1]Bus!$K$2:$K$121,0)</f>
        <v>BOGOTA</v>
      </c>
      <c r="AL46" s="2">
        <v>2.544648E-2</v>
      </c>
      <c r="AM46" s="2">
        <f t="shared" si="2"/>
        <v>132.28120036935425</v>
      </c>
      <c r="AN46" s="2">
        <f t="shared" si="3"/>
        <v>7.5918158082640824E-3</v>
      </c>
      <c r="AO46" s="2">
        <f t="shared" si="4"/>
        <v>10.829262672811058</v>
      </c>
      <c r="AP46" s="2">
        <f t="shared" si="5"/>
        <v>12.111882786953117</v>
      </c>
      <c r="AQ46" s="2">
        <v>0</v>
      </c>
      <c r="AR46" s="2">
        <v>1.272324E-2</v>
      </c>
    </row>
    <row r="47" spans="1:44" ht="16" x14ac:dyDescent="0.2">
      <c r="A47" s="1" t="s">
        <v>131</v>
      </c>
      <c r="B47" s="4" t="str">
        <f>_xlfn.CONCAT(_xlfn.XLOOKUP($C47,[1]Bus!$A$2:$A$121,[1]Bus!$C$2:$C$121,0)," - ",_xlfn.XLOOKUP($D47,[1]Bus!$A$2:$A$121,[1]Bus!$C$2:$C$121,0))</f>
        <v>Enea_220 - San_Felipe_220</v>
      </c>
      <c r="C47" s="4" t="s">
        <v>132</v>
      </c>
      <c r="D47" s="4" t="s">
        <v>133</v>
      </c>
      <c r="E47">
        <f t="shared" si="6"/>
        <v>3.4641037027391248E-3</v>
      </c>
      <c r="F47">
        <f t="shared" si="6"/>
        <v>3.2419059180451119E-2</v>
      </c>
      <c r="G47">
        <v>646</v>
      </c>
      <c r="H47">
        <v>646</v>
      </c>
      <c r="I47">
        <v>646</v>
      </c>
      <c r="N47" s="4">
        <v>65.910004000000001</v>
      </c>
      <c r="P47" s="2">
        <v>0</v>
      </c>
      <c r="S47">
        <f t="shared" si="1"/>
        <v>484</v>
      </c>
      <c r="T47">
        <v>220</v>
      </c>
      <c r="U47">
        <v>2</v>
      </c>
      <c r="V47" s="4">
        <v>2.5438113948919445E-2</v>
      </c>
      <c r="W47" s="4">
        <v>0.23806438614900313</v>
      </c>
      <c r="X47" s="4">
        <v>9.2680000000000002E-3</v>
      </c>
      <c r="Y47" s="4">
        <v>0</v>
      </c>
      <c r="Z47" s="4">
        <v>0.8</v>
      </c>
      <c r="AA47" s="4">
        <v>1</v>
      </c>
      <c r="AB47" s="4">
        <v>1</v>
      </c>
      <c r="AC47" s="4" t="s">
        <v>60</v>
      </c>
      <c r="AD47" s="4" t="b">
        <v>1</v>
      </c>
      <c r="AE47" s="4">
        <v>0.12193505535055352</v>
      </c>
      <c r="AF47" s="4">
        <v>0.55766314823107932</v>
      </c>
      <c r="AG47" s="4">
        <v>5.8520000000000004E-3</v>
      </c>
      <c r="AH47" s="4">
        <v>145.5</v>
      </c>
      <c r="AI47" s="4">
        <v>4.0299999999999997E-3</v>
      </c>
      <c r="AJ47" s="2" t="str">
        <f>_xlfn.XLOOKUP($C47,[1]Bus!$A$2:$A$121,[1]Bus!$J$2:$J$121,0)</f>
        <v>SUROCCID</v>
      </c>
      <c r="AK47" s="2" t="str">
        <f>_xlfn.XLOOKUP($C47,[1]Bus!$A$2:$A$121,[1]Bus!$K$2:$K$121,0)</f>
        <v>CQR</v>
      </c>
      <c r="AL47" s="2">
        <v>0.11343159999999999</v>
      </c>
      <c r="AM47" s="2">
        <f t="shared" si="2"/>
        <v>30.846052454323097</v>
      </c>
      <c r="AN47" s="2">
        <f t="shared" si="3"/>
        <v>3.2603610422910573E-2</v>
      </c>
      <c r="AO47" s="2">
        <f t="shared" si="4"/>
        <v>9.3585706325179654</v>
      </c>
      <c r="AP47" s="2">
        <f t="shared" si="5"/>
        <v>3.2588134075170951</v>
      </c>
      <c r="AQ47" s="2">
        <v>0</v>
      </c>
      <c r="AR47" s="2">
        <v>5.6698557481865725E-2</v>
      </c>
    </row>
    <row r="48" spans="1:44" ht="16" x14ac:dyDescent="0.2">
      <c r="A48" s="1" t="s">
        <v>134</v>
      </c>
      <c r="B48" s="4" t="str">
        <f>_xlfn.CONCAT(_xlfn.XLOOKUP($C48,[1]Bus!$A$2:$A$121,[1]Bus!$C$2:$C$121,0)," - ",_xlfn.XLOOKUP($D48,[1]Bus!$A$2:$A$121,[1]Bus!$C$2:$C$121,0))</f>
        <v>Virginia_220 - Hermosa_220</v>
      </c>
      <c r="C48" s="4" t="s">
        <v>135</v>
      </c>
      <c r="D48" s="4" t="s">
        <v>136</v>
      </c>
      <c r="E48">
        <f t="shared" si="6"/>
        <v>3.0146136363636365E-3</v>
      </c>
      <c r="F48">
        <f t="shared" si="6"/>
        <v>2.6935768595041321E-2</v>
      </c>
      <c r="G48">
        <v>381</v>
      </c>
      <c r="H48">
        <v>381</v>
      </c>
      <c r="I48">
        <v>381</v>
      </c>
      <c r="N48" s="4">
        <v>27.07</v>
      </c>
      <c r="P48" s="2">
        <v>0</v>
      </c>
      <c r="S48">
        <f t="shared" si="1"/>
        <v>484</v>
      </c>
      <c r="T48">
        <v>220</v>
      </c>
      <c r="U48">
        <v>1</v>
      </c>
      <c r="V48" s="4">
        <v>5.3900000000000003E-2</v>
      </c>
      <c r="W48" s="4">
        <v>0.48159999999999997</v>
      </c>
      <c r="X48" s="4">
        <v>0</v>
      </c>
      <c r="Y48" s="4">
        <v>0</v>
      </c>
      <c r="Z48" s="4">
        <v>1</v>
      </c>
      <c r="AA48" s="4">
        <v>1</v>
      </c>
      <c r="AB48" s="4">
        <v>1</v>
      </c>
      <c r="AC48" s="4" t="s">
        <v>60</v>
      </c>
      <c r="AD48" s="4" t="b">
        <v>1</v>
      </c>
      <c r="AE48" s="4">
        <v>0.2452</v>
      </c>
      <c r="AF48" s="4">
        <v>1.0792999999999999</v>
      </c>
      <c r="AG48" s="4">
        <v>0</v>
      </c>
      <c r="AH48" s="4">
        <v>132</v>
      </c>
      <c r="AI48" s="4">
        <v>4.0299999999999997E-3</v>
      </c>
      <c r="AJ48" s="2" t="str">
        <f>_xlfn.XLOOKUP($C48,[1]Bus!$A$2:$A$121,[1]Bus!$J$2:$J$121,0)</f>
        <v>SUROCCID</v>
      </c>
      <c r="AK48" s="2" t="str">
        <f>_xlfn.XLOOKUP($C48,[1]Bus!$A$2:$A$121,[1]Bus!$K$2:$K$121,0)</f>
        <v>CQR</v>
      </c>
      <c r="AL48" s="2">
        <v>4.496696E-2</v>
      </c>
      <c r="AM48" s="2">
        <f t="shared" si="2"/>
        <v>37.125356065915</v>
      </c>
      <c r="AN48" s="2">
        <f t="shared" si="3"/>
        <v>2.7103939292696253E-2</v>
      </c>
      <c r="AO48" s="2">
        <f t="shared" si="4"/>
        <v>8.9350649350649345</v>
      </c>
      <c r="AP48" s="2">
        <f t="shared" si="5"/>
        <v>4.1036170678254633</v>
      </c>
      <c r="AQ48" s="2">
        <v>0</v>
      </c>
      <c r="AR48" s="2">
        <v>4.496696E-2</v>
      </c>
    </row>
    <row r="49" spans="1:44" ht="16" x14ac:dyDescent="0.2">
      <c r="A49" s="1" t="s">
        <v>137</v>
      </c>
      <c r="B49" s="4" t="str">
        <f>_xlfn.CONCAT(_xlfn.XLOOKUP($C49,[1]Bus!$A$2:$A$121,[1]Bus!$C$2:$C$121,0)," - ",_xlfn.XLOOKUP($D49,[1]Bus!$A$2:$A$121,[1]Bus!$C$2:$C$121,0))</f>
        <v>Esmeralda_220 - Yumbo_220</v>
      </c>
      <c r="C49" s="4" t="s">
        <v>138</v>
      </c>
      <c r="D49" s="4" t="s">
        <v>139</v>
      </c>
      <c r="E49">
        <f t="shared" si="6"/>
        <v>1.0974470041322314E-2</v>
      </c>
      <c r="F49">
        <f t="shared" si="6"/>
        <v>9.2651010330578515E-2</v>
      </c>
      <c r="G49">
        <v>381</v>
      </c>
      <c r="H49">
        <v>381</v>
      </c>
      <c r="I49">
        <v>381</v>
      </c>
      <c r="N49" s="4">
        <f>185.15+9.06</f>
        <v>194.21</v>
      </c>
      <c r="P49" s="2">
        <v>0</v>
      </c>
      <c r="S49">
        <f t="shared" si="1"/>
        <v>484</v>
      </c>
      <c r="T49">
        <v>220</v>
      </c>
      <c r="U49">
        <v>2</v>
      </c>
      <c r="V49" s="4">
        <f>0.0547/2</f>
        <v>2.7349999999999999E-2</v>
      </c>
      <c r="W49" s="4">
        <f>0.4618/2</f>
        <v>0.23089999999999999</v>
      </c>
      <c r="X49" s="4">
        <v>0</v>
      </c>
      <c r="Y49" s="4">
        <v>0</v>
      </c>
      <c r="Z49" s="4">
        <v>1</v>
      </c>
      <c r="AA49" s="4">
        <v>1</v>
      </c>
      <c r="AB49" s="4">
        <v>1</v>
      </c>
      <c r="AC49" s="4" t="s">
        <v>60</v>
      </c>
      <c r="AD49" s="4" t="b">
        <v>1</v>
      </c>
      <c r="AE49" s="4">
        <f>0.4013/2</f>
        <v>0.20065</v>
      </c>
      <c r="AF49" s="4">
        <f>1.3275/2</f>
        <v>0.66374999999999995</v>
      </c>
      <c r="AG49" s="4">
        <v>0</v>
      </c>
      <c r="AH49" s="4">
        <v>130</v>
      </c>
      <c r="AI49" s="4">
        <v>4.0299999999999997E-3</v>
      </c>
      <c r="AJ49" s="2" t="str">
        <f>_xlfn.XLOOKUP($C49,[1]Bus!$A$2:$A$121,[1]Bus!$J$2:$J$121,0)</f>
        <v>SUROCCID</v>
      </c>
      <c r="AK49" s="2" t="str">
        <f>_xlfn.XLOOKUP($C49,[1]Bus!$A$2:$A$121,[1]Bus!$K$2:$K$121,0)</f>
        <v>CQR</v>
      </c>
      <c r="AL49" s="2">
        <v>0.32786371999999997</v>
      </c>
      <c r="AM49" s="2">
        <f t="shared" si="2"/>
        <v>10.793190451264408</v>
      </c>
      <c r="AN49" s="2">
        <f t="shared" si="3"/>
        <v>9.3298706893315764E-2</v>
      </c>
      <c r="AO49" s="2">
        <f t="shared" si="4"/>
        <v>8.4424131627056678</v>
      </c>
      <c r="AP49" s="2">
        <f t="shared" si="5"/>
        <v>1.2607596710112559</v>
      </c>
      <c r="AQ49" s="2">
        <v>0</v>
      </c>
      <c r="AR49" s="2">
        <v>0.16393186000000001</v>
      </c>
    </row>
    <row r="50" spans="1:44" ht="16" x14ac:dyDescent="0.2">
      <c r="A50" s="1" t="s">
        <v>140</v>
      </c>
      <c r="B50" s="4" t="str">
        <f>_xlfn.CONCAT(_xlfn.XLOOKUP($C50,[1]Bus!$A$2:$A$121,[1]Bus!$C$2:$C$121,0)," - ",_xlfn.XLOOKUP($D50,[1]Bus!$A$2:$A$121,[1]Bus!$C$2:$C$121,0))</f>
        <v>Enea_220 - Esmeralda_220</v>
      </c>
      <c r="C50" s="4" t="s">
        <v>132</v>
      </c>
      <c r="D50" s="4" t="s">
        <v>138</v>
      </c>
      <c r="E50">
        <f t="shared" si="6"/>
        <v>1.7847492449286249E-3</v>
      </c>
      <c r="F50">
        <f t="shared" si="6"/>
        <v>1.5575057204556641E-2</v>
      </c>
      <c r="G50">
        <v>646</v>
      </c>
      <c r="H50">
        <v>646</v>
      </c>
      <c r="I50">
        <v>646</v>
      </c>
      <c r="N50" s="4">
        <v>31.42</v>
      </c>
      <c r="P50" s="2">
        <v>0</v>
      </c>
      <c r="S50">
        <f t="shared" si="1"/>
        <v>484</v>
      </c>
      <c r="T50">
        <v>220</v>
      </c>
      <c r="U50">
        <v>2</v>
      </c>
      <c r="V50" s="4">
        <v>2.7492636363636361E-2</v>
      </c>
      <c r="W50" s="4">
        <v>0.2399213140358184</v>
      </c>
      <c r="X50" s="4">
        <v>9.5300000000000003E-3</v>
      </c>
      <c r="Y50" s="4">
        <v>0</v>
      </c>
      <c r="Z50" s="4">
        <v>0.89600000000000002</v>
      </c>
      <c r="AA50" s="4">
        <v>1</v>
      </c>
      <c r="AB50" s="4">
        <v>1</v>
      </c>
      <c r="AC50" s="4" t="s">
        <v>60</v>
      </c>
      <c r="AD50" s="4" t="b">
        <v>1</v>
      </c>
      <c r="AE50" s="4">
        <v>0.12406189804553697</v>
      </c>
      <c r="AF50" s="4">
        <v>0.55329939027144215</v>
      </c>
      <c r="AG50" s="4">
        <v>6.1739999999999998E-3</v>
      </c>
      <c r="AH50" s="4">
        <v>130</v>
      </c>
      <c r="AI50" s="4">
        <v>4.0299999999999997E-3</v>
      </c>
      <c r="AJ50" s="2" t="str">
        <f>_xlfn.XLOOKUP($C50,[1]Bus!$A$2:$A$121,[1]Bus!$J$2:$J$121,0)</f>
        <v>SUROCCID</v>
      </c>
      <c r="AK50" s="2" t="str">
        <f>_xlfn.XLOOKUP($C50,[1]Bus!$A$2:$A$121,[1]Bus!$K$2:$K$121,0)</f>
        <v>CQR</v>
      </c>
      <c r="AL50" s="2">
        <v>5.3682455000000004E-2</v>
      </c>
      <c r="AM50" s="2">
        <f t="shared" si="2"/>
        <v>64.205221648074584</v>
      </c>
      <c r="AN50" s="2">
        <f t="shared" si="3"/>
        <v>1.5676981112206681E-2</v>
      </c>
      <c r="AO50" s="2">
        <f t="shared" si="4"/>
        <v>8.726748168580686</v>
      </c>
      <c r="AP50" s="2">
        <f t="shared" si="5"/>
        <v>7.2619346551398039</v>
      </c>
      <c r="AQ50" s="2">
        <v>0</v>
      </c>
      <c r="AR50" s="2">
        <v>2.6832746119956698E-2</v>
      </c>
    </row>
    <row r="51" spans="1:44" ht="16" x14ac:dyDescent="0.2">
      <c r="A51" s="1" t="s">
        <v>141</v>
      </c>
      <c r="B51" s="4" t="str">
        <f>_xlfn.CONCAT(_xlfn.XLOOKUP($C51,[1]Bus!$A$2:$A$121,[1]Bus!$C$2:$C$121,0)," - ",_xlfn.XLOOKUP($D51,[1]Bus!$A$2:$A$121,[1]Bus!$C$2:$C$121,0))</f>
        <v>Mesa_220 - San_Felipe_220</v>
      </c>
      <c r="C51" s="4" t="s">
        <v>95</v>
      </c>
      <c r="D51" s="4" t="s">
        <v>133</v>
      </c>
      <c r="E51">
        <f t="shared" si="6"/>
        <v>4.3783882596074375E-3</v>
      </c>
      <c r="F51">
        <f t="shared" si="6"/>
        <v>3.9365618304958674E-2</v>
      </c>
      <c r="G51">
        <v>726</v>
      </c>
      <c r="H51">
        <v>726</v>
      </c>
      <c r="I51">
        <v>726</v>
      </c>
      <c r="N51" s="4">
        <v>77.199996999999996</v>
      </c>
      <c r="P51" s="2">
        <v>0</v>
      </c>
      <c r="S51">
        <f t="shared" si="1"/>
        <v>484</v>
      </c>
      <c r="T51">
        <v>220</v>
      </c>
      <c r="U51">
        <v>2</v>
      </c>
      <c r="V51" s="4">
        <f>0.0549/2</f>
        <v>2.7449999999999999E-2</v>
      </c>
      <c r="W51" s="4">
        <f>0.4936/2</f>
        <v>0.24679999999999999</v>
      </c>
      <c r="X51" s="4">
        <v>9.1859999999999997E-3</v>
      </c>
      <c r="Y51" s="4">
        <v>0</v>
      </c>
      <c r="Z51" s="4">
        <v>0.95199999999999996</v>
      </c>
      <c r="AA51" s="4">
        <v>1</v>
      </c>
      <c r="AB51" s="4">
        <v>1</v>
      </c>
      <c r="AC51" s="4" t="s">
        <v>60</v>
      </c>
      <c r="AD51" s="4" t="b">
        <v>1</v>
      </c>
      <c r="AE51" s="4">
        <f>0.2464/2</f>
        <v>0.1232</v>
      </c>
      <c r="AF51" s="4">
        <f>1.1295/2</f>
        <v>0.56474999999999997</v>
      </c>
      <c r="AG51" s="4">
        <v>5.816E-3</v>
      </c>
      <c r="AH51" s="4">
        <v>130</v>
      </c>
      <c r="AI51" s="4">
        <v>4.0299999999999997E-3</v>
      </c>
      <c r="AJ51" s="2" t="str">
        <f>_xlfn.XLOOKUP($C51,[1]Bus!$A$2:$A$121,[1]Bus!$J$2:$J$121,0)</f>
        <v>ORIENTAL</v>
      </c>
      <c r="AK51" s="2" t="str">
        <f>_xlfn.XLOOKUP($C51,[1]Bus!$A$2:$A$121,[1]Bus!$K$2:$K$121,0)</f>
        <v>BOGOTA</v>
      </c>
      <c r="AL51" s="2">
        <v>0.12939800000000001</v>
      </c>
      <c r="AM51" s="2">
        <f t="shared" si="2"/>
        <v>25.402878020438344</v>
      </c>
      <c r="AN51" s="2">
        <f t="shared" si="3"/>
        <v>3.9608360080714854E-2</v>
      </c>
      <c r="AO51" s="2">
        <f t="shared" si="4"/>
        <v>8.9908925318761383</v>
      </c>
      <c r="AP51" s="2">
        <f t="shared" si="5"/>
        <v>2.7908760421076098</v>
      </c>
      <c r="AQ51" s="2">
        <v>0</v>
      </c>
      <c r="AR51" s="2">
        <v>6.4699000000000007E-2</v>
      </c>
    </row>
    <row r="52" spans="1:44" ht="16" x14ac:dyDescent="0.2">
      <c r="A52" s="1" t="s">
        <v>142</v>
      </c>
      <c r="B52" s="4" t="str">
        <f>_xlfn.CONCAT(_xlfn.XLOOKUP($C52,[1]Bus!$A$2:$A$121,[1]Bus!$C$2:$C$121,0)," - ",_xlfn.XLOOKUP($D52,[1]Bus!$A$2:$A$121,[1]Bus!$C$2:$C$121,0))</f>
        <v>Ancon_ISA_220 - Esmeralda_220</v>
      </c>
      <c r="C52" s="4" t="s">
        <v>143</v>
      </c>
      <c r="D52" s="4" t="s">
        <v>138</v>
      </c>
      <c r="E52">
        <f t="shared" si="6"/>
        <v>1.3831886897727274E-2</v>
      </c>
      <c r="F52">
        <f t="shared" si="6"/>
        <v>0.12967728393285124</v>
      </c>
      <c r="G52">
        <v>381</v>
      </c>
      <c r="H52">
        <v>381</v>
      </c>
      <c r="I52">
        <v>381</v>
      </c>
      <c r="N52" s="4">
        <v>129.490005</v>
      </c>
      <c r="P52" s="2">
        <v>0</v>
      </c>
      <c r="S52">
        <f t="shared" si="1"/>
        <v>484</v>
      </c>
      <c r="T52">
        <v>220</v>
      </c>
      <c r="U52">
        <v>1</v>
      </c>
      <c r="V52" s="4">
        <v>5.1700000000000003E-2</v>
      </c>
      <c r="W52" s="4">
        <v>0.48470000000000002</v>
      </c>
      <c r="X52" s="4">
        <v>9.1900000000000003E-3</v>
      </c>
      <c r="Y52" s="4">
        <v>0</v>
      </c>
      <c r="Z52" s="4">
        <v>1</v>
      </c>
      <c r="AA52" s="4">
        <v>1</v>
      </c>
      <c r="AB52" s="4">
        <v>1</v>
      </c>
      <c r="AC52" s="4" t="s">
        <v>60</v>
      </c>
      <c r="AD52" s="4" t="b">
        <v>1</v>
      </c>
      <c r="AE52" s="4">
        <v>0.26740000000000003</v>
      </c>
      <c r="AF52" s="4">
        <v>1.1362000000000001</v>
      </c>
      <c r="AG52" s="4">
        <v>5.8139999999999997E-3</v>
      </c>
      <c r="AH52" s="4">
        <v>130.779999</v>
      </c>
      <c r="AI52" s="4">
        <v>4.0299999999999997E-3</v>
      </c>
      <c r="AJ52" s="2" t="str">
        <f>_xlfn.XLOOKUP($C52,[1]Bus!$A$2:$A$121,[1]Bus!$J$2:$J$121,0)</f>
        <v>ANTIOQUI</v>
      </c>
      <c r="AK52" s="2" t="str">
        <f>_xlfn.XLOOKUP($C52,[1]Bus!$A$2:$A$121,[1]Bus!$K$2:$K$121,0)</f>
        <v>ANTIOQUI</v>
      </c>
      <c r="AL52" s="2">
        <v>0.21712490000000001</v>
      </c>
      <c r="AM52" s="2">
        <f t="shared" si="2"/>
        <v>7.7114508391293448</v>
      </c>
      <c r="AN52" s="2">
        <f t="shared" si="3"/>
        <v>0.13041287920812439</v>
      </c>
      <c r="AO52" s="2">
        <f t="shared" si="4"/>
        <v>9.3752417794970988</v>
      </c>
      <c r="AP52" s="2">
        <f t="shared" si="5"/>
        <v>0.81328069345115139</v>
      </c>
      <c r="AQ52" s="2">
        <v>0</v>
      </c>
      <c r="AR52" s="2">
        <v>0.21712490000000001</v>
      </c>
    </row>
    <row r="53" spans="1:44" ht="16" x14ac:dyDescent="0.2">
      <c r="A53" s="1" t="s">
        <v>144</v>
      </c>
      <c r="B53" s="4" t="str">
        <f>_xlfn.CONCAT(_xlfn.XLOOKUP($C53,[1]Bus!$A$2:$A$121,[1]Bus!$C$2:$C$121,0)," - ",_xlfn.XLOOKUP($D53,[1]Bus!$A$2:$A$121,[1]Bus!$C$2:$C$121,0))</f>
        <v>Esmeralda_220 - Hermosa_220</v>
      </c>
      <c r="C53" s="4" t="s">
        <v>138</v>
      </c>
      <c r="D53" s="4" t="s">
        <v>136</v>
      </c>
      <c r="E53">
        <f t="shared" si="6"/>
        <v>1.1845041322314047E-3</v>
      </c>
      <c r="F53">
        <f t="shared" si="6"/>
        <v>1.0669561983471073E-2</v>
      </c>
      <c r="G53">
        <v>779</v>
      </c>
      <c r="H53">
        <v>779</v>
      </c>
      <c r="I53">
        <v>779</v>
      </c>
      <c r="N53" s="4">
        <v>21.84</v>
      </c>
      <c r="P53" s="2">
        <v>0</v>
      </c>
      <c r="S53">
        <f t="shared" si="1"/>
        <v>484</v>
      </c>
      <c r="T53">
        <v>220</v>
      </c>
      <c r="U53">
        <v>2</v>
      </c>
      <c r="V53" s="4">
        <f>0.0525/2</f>
        <v>2.6249999999999999E-2</v>
      </c>
      <c r="W53" s="4">
        <f>0.4729/2</f>
        <v>0.23644999999999999</v>
      </c>
      <c r="X53" s="4">
        <v>9.332E-3</v>
      </c>
      <c r="Y53" s="4">
        <v>0</v>
      </c>
      <c r="Z53" s="4">
        <v>1.0456799999999999</v>
      </c>
      <c r="AA53" s="4">
        <v>1</v>
      </c>
      <c r="AB53" s="4">
        <v>1</v>
      </c>
      <c r="AC53" s="4" t="s">
        <v>60</v>
      </c>
      <c r="AD53" s="4" t="b">
        <v>1</v>
      </c>
      <c r="AE53" s="4">
        <f>0.2547/2</f>
        <v>0.12734999999999999</v>
      </c>
      <c r="AF53" s="4">
        <f>1.0621/2</f>
        <v>0.53105000000000002</v>
      </c>
      <c r="AG53" s="4">
        <v>6.169E-3</v>
      </c>
      <c r="AH53" s="4">
        <v>129.99960300000001</v>
      </c>
      <c r="AI53" s="4">
        <v>4.0299999999999997E-3</v>
      </c>
      <c r="AJ53" s="2" t="str">
        <f>_xlfn.XLOOKUP($C53,[1]Bus!$A$2:$A$121,[1]Bus!$J$2:$J$121,0)</f>
        <v>SUROCCID</v>
      </c>
      <c r="AK53" s="2" t="str">
        <f>_xlfn.XLOOKUP($C53,[1]Bus!$A$2:$A$121,[1]Bus!$K$2:$K$121,0)</f>
        <v>CQR</v>
      </c>
      <c r="AL53" s="2">
        <v>3.7188289999999999E-2</v>
      </c>
      <c r="AM53" s="2">
        <f t="shared" si="2"/>
        <v>93.724559785037698</v>
      </c>
      <c r="AN53" s="2">
        <f t="shared" si="3"/>
        <v>1.0735110756690145E-2</v>
      </c>
      <c r="AO53" s="2">
        <f t="shared" si="4"/>
        <v>9.0076190476190483</v>
      </c>
      <c r="AP53" s="2">
        <f t="shared" si="5"/>
        <v>10.278352812448521</v>
      </c>
      <c r="AQ53" s="2">
        <v>0</v>
      </c>
      <c r="AR53" s="2">
        <v>1.8704170085431165E-2</v>
      </c>
    </row>
    <row r="54" spans="1:44" ht="16" x14ac:dyDescent="0.2">
      <c r="A54" s="1" t="s">
        <v>145</v>
      </c>
      <c r="B54" s="4" t="str">
        <f>_xlfn.CONCAT(_xlfn.XLOOKUP($C54,[1]Bus!$A$2:$A$121,[1]Bus!$C$2:$C$121,0)," - ",_xlfn.XLOOKUP($D54,[1]Bus!$A$2:$A$121,[1]Bus!$C$2:$C$121,0))</f>
        <v>Esmeralda_220 - Virginia_220</v>
      </c>
      <c r="C54" s="4" t="s">
        <v>138</v>
      </c>
      <c r="D54" s="4" t="s">
        <v>135</v>
      </c>
      <c r="E54">
        <f t="shared" si="6"/>
        <v>1.3723605371900828E-3</v>
      </c>
      <c r="F54">
        <f t="shared" si="6"/>
        <v>1.2183703512396693E-2</v>
      </c>
      <c r="G54">
        <v>750</v>
      </c>
      <c r="H54">
        <v>750</v>
      </c>
      <c r="I54">
        <v>750</v>
      </c>
      <c r="N54" s="4">
        <v>23.85</v>
      </c>
      <c r="P54" s="2">
        <v>0</v>
      </c>
      <c r="S54">
        <f t="shared" si="1"/>
        <v>484</v>
      </c>
      <c r="T54">
        <v>220</v>
      </c>
      <c r="U54">
        <v>2</v>
      </c>
      <c r="V54" s="4">
        <f>0.0557/2</f>
        <v>2.785E-2</v>
      </c>
      <c r="W54" s="4">
        <f>0.4945/2</f>
        <v>0.24725</v>
      </c>
      <c r="X54" s="4">
        <v>9.1739999999999999E-3</v>
      </c>
      <c r="Y54" s="4">
        <v>0</v>
      </c>
      <c r="Z54" s="4">
        <v>0.98499999999999999</v>
      </c>
      <c r="AA54" s="4">
        <v>1</v>
      </c>
      <c r="AB54" s="4">
        <v>1</v>
      </c>
      <c r="AC54" s="4" t="s">
        <v>60</v>
      </c>
      <c r="AD54" s="4" t="b">
        <v>1</v>
      </c>
      <c r="AE54" s="4">
        <f>0.2472/2</f>
        <v>0.1236</v>
      </c>
      <c r="AF54" s="4">
        <f>1.1305/2</f>
        <v>0.56525000000000003</v>
      </c>
      <c r="AG54" s="4">
        <v>5.8069999999999997E-3</v>
      </c>
      <c r="AH54" s="4">
        <v>130</v>
      </c>
      <c r="AI54" s="4">
        <v>4.0299999999999997E-3</v>
      </c>
      <c r="AJ54" s="2" t="str">
        <f>_xlfn.XLOOKUP($C54,[1]Bus!$A$2:$A$121,[1]Bus!$J$2:$J$121,0)</f>
        <v>SUROCCID</v>
      </c>
      <c r="AK54" s="2" t="str">
        <f>_xlfn.XLOOKUP($C54,[1]Bus!$A$2:$A$121,[1]Bus!$K$2:$K$121,0)</f>
        <v>CQR</v>
      </c>
      <c r="AL54" s="2">
        <v>3.9922850000000003E-2</v>
      </c>
      <c r="AM54" s="2">
        <f t="shared" si="2"/>
        <v>82.076849537787794</v>
      </c>
      <c r="AN54" s="2">
        <f t="shared" si="3"/>
        <v>1.2260750577433022E-2</v>
      </c>
      <c r="AO54" s="2">
        <f t="shared" si="4"/>
        <v>8.8779174147217219</v>
      </c>
      <c r="AP54" s="2">
        <f t="shared" si="5"/>
        <v>9.1292291026279031</v>
      </c>
      <c r="AQ54" s="2">
        <v>0</v>
      </c>
      <c r="AR54" s="2">
        <v>1.9961425000000001E-2</v>
      </c>
    </row>
    <row r="55" spans="1:44" ht="16" x14ac:dyDescent="0.2">
      <c r="A55" s="1" t="s">
        <v>146</v>
      </c>
      <c r="B55" s="4" t="str">
        <f>_xlfn.CONCAT(_xlfn.XLOOKUP($C55,[1]Bus!$A$2:$A$121,[1]Bus!$C$2:$C$121,0)," - ",_xlfn.XLOOKUP($D55,[1]Bus!$A$2:$A$121,[1]Bus!$C$2:$C$121,0))</f>
        <v>La_Miel_220 - San_Felipe_220</v>
      </c>
      <c r="C55" s="4" t="s">
        <v>147</v>
      </c>
      <c r="D55" s="4" t="s">
        <v>133</v>
      </c>
      <c r="E55">
        <f t="shared" si="6"/>
        <v>3.3005289256198343E-3</v>
      </c>
      <c r="F55">
        <f t="shared" si="6"/>
        <v>2.925579132231405E-2</v>
      </c>
      <c r="G55">
        <v>760</v>
      </c>
      <c r="H55">
        <v>760</v>
      </c>
      <c r="I55">
        <v>760</v>
      </c>
      <c r="N55" s="4">
        <v>58.73</v>
      </c>
      <c r="P55" s="2">
        <v>0</v>
      </c>
      <c r="S55">
        <f t="shared" si="1"/>
        <v>484</v>
      </c>
      <c r="T55">
        <v>220</v>
      </c>
      <c r="U55">
        <v>2</v>
      </c>
      <c r="V55" s="4">
        <f>0.0544/2</f>
        <v>2.7199999999999998E-2</v>
      </c>
      <c r="W55" s="4">
        <f>0.4822/2</f>
        <v>0.24110000000000001</v>
      </c>
      <c r="X55" s="4">
        <v>9.1979999999999996E-3</v>
      </c>
      <c r="Y55" s="4">
        <v>0</v>
      </c>
      <c r="Z55" s="4">
        <v>0.996</v>
      </c>
      <c r="AA55" s="4">
        <v>1</v>
      </c>
      <c r="AB55" s="4">
        <v>1</v>
      </c>
      <c r="AC55" s="4" t="s">
        <v>60</v>
      </c>
      <c r="AD55" s="4" t="b">
        <v>1</v>
      </c>
      <c r="AE55" s="4">
        <f>0.4366/2</f>
        <v>0.21829999999999999</v>
      </c>
      <c r="AF55" s="4">
        <f>1.4963/2</f>
        <v>0.74814999999999998</v>
      </c>
      <c r="AG55" s="4">
        <v>5.757E-3</v>
      </c>
      <c r="AH55" s="4">
        <v>130</v>
      </c>
      <c r="AI55" s="4">
        <v>4.0299999999999997E-3</v>
      </c>
      <c r="AJ55" s="2" t="str">
        <f>_xlfn.XLOOKUP($C55,[1]Bus!$A$2:$A$121,[1]Bus!$J$2:$J$121,0)</f>
        <v>SUROCCID</v>
      </c>
      <c r="AK55" s="2" t="str">
        <f>_xlfn.XLOOKUP($C55,[1]Bus!$A$2:$A$121,[1]Bus!$K$2:$K$121,0)</f>
        <v>CQR</v>
      </c>
      <c r="AL55" s="2">
        <v>9.8570480000000002E-2</v>
      </c>
      <c r="AM55" s="2">
        <f t="shared" si="2"/>
        <v>34.181266504908294</v>
      </c>
      <c r="AN55" s="2">
        <f t="shared" si="3"/>
        <v>2.9441379333917751E-2</v>
      </c>
      <c r="AO55" s="2">
        <f t="shared" si="4"/>
        <v>8.8639705882352953</v>
      </c>
      <c r="AP55" s="2">
        <f t="shared" si="5"/>
        <v>3.80773957177614</v>
      </c>
      <c r="AQ55" s="2">
        <v>0</v>
      </c>
      <c r="AR55" s="2">
        <v>4.9285240000000001E-2</v>
      </c>
    </row>
    <row r="56" spans="1:44" ht="16" x14ac:dyDescent="0.2">
      <c r="A56" s="1" t="s">
        <v>148</v>
      </c>
      <c r="B56" s="4" t="str">
        <f>_xlfn.CONCAT(_xlfn.XLOOKUP($C56,[1]Bus!$A$2:$A$121,[1]Bus!$C$2:$C$121,0)," - ",_xlfn.XLOOKUP($D56,[1]Bus!$A$2:$A$121,[1]Bus!$C$2:$C$121,0))</f>
        <v>San_Carlos_500 - Virginia_500</v>
      </c>
      <c r="C56" s="4" t="s">
        <v>149</v>
      </c>
      <c r="D56" s="4" t="s">
        <v>150</v>
      </c>
      <c r="E56">
        <f t="shared" si="6"/>
        <v>1.7568503337600002E-3</v>
      </c>
      <c r="F56">
        <f t="shared" si="6"/>
        <v>2.6777114990400003E-2</v>
      </c>
      <c r="G56">
        <v>1732</v>
      </c>
      <c r="H56">
        <v>1732</v>
      </c>
      <c r="I56">
        <v>1732</v>
      </c>
      <c r="N56" s="4">
        <v>212.17999200000003</v>
      </c>
      <c r="P56" s="2">
        <v>0</v>
      </c>
      <c r="S56">
        <f t="shared" si="1"/>
        <v>2500</v>
      </c>
      <c r="T56">
        <v>500</v>
      </c>
      <c r="U56">
        <v>1</v>
      </c>
      <c r="V56" s="4">
        <v>2.07E-2</v>
      </c>
      <c r="W56" s="4">
        <v>0.3155</v>
      </c>
      <c r="X56" s="4">
        <v>1.3857E-2</v>
      </c>
      <c r="Y56" s="4">
        <v>0</v>
      </c>
      <c r="Z56" s="4">
        <v>2</v>
      </c>
      <c r="AA56" s="4">
        <v>1</v>
      </c>
      <c r="AB56" s="4">
        <v>1</v>
      </c>
      <c r="AC56" s="4" t="s">
        <v>60</v>
      </c>
      <c r="AD56" s="4" t="b">
        <v>1</v>
      </c>
      <c r="AE56" s="4">
        <v>0.3579</v>
      </c>
      <c r="AF56" s="4">
        <v>1.1073</v>
      </c>
      <c r="AG56" s="4">
        <v>8.2970000000000006E-3</v>
      </c>
      <c r="AH56" s="4">
        <v>204.14999399999999</v>
      </c>
      <c r="AI56" s="4">
        <v>4.0299999999999997E-3</v>
      </c>
      <c r="AJ56" s="2" t="str">
        <f>_xlfn.XLOOKUP($C56,[1]Bus!$A$2:$A$121,[1]Bus!$J$2:$J$121,0)</f>
        <v>ANTIOQUI</v>
      </c>
      <c r="AK56" s="2" t="str">
        <f>_xlfn.XLOOKUP($C56,[1]Bus!$A$2:$A$121,[1]Bus!$K$2:$K$121,0)</f>
        <v>ANTIOQUI</v>
      </c>
      <c r="AL56" s="2">
        <v>2.7717485600000002</v>
      </c>
      <c r="AM56" s="2">
        <f t="shared" si="2"/>
        <v>37.345322689114006</v>
      </c>
      <c r="AN56" s="2">
        <f t="shared" si="3"/>
        <v>2.6834686700320114E-2</v>
      </c>
      <c r="AO56" s="2">
        <f t="shared" si="4"/>
        <v>15.241545893719806</v>
      </c>
      <c r="AP56" s="2">
        <f t="shared" si="5"/>
        <v>2.4397296663356989</v>
      </c>
      <c r="AQ56" s="2">
        <v>0</v>
      </c>
      <c r="AR56" s="2">
        <v>2.7717485800000001</v>
      </c>
    </row>
    <row r="57" spans="1:44" ht="16" x14ac:dyDescent="0.2">
      <c r="A57" s="1" t="s">
        <v>151</v>
      </c>
      <c r="B57" s="4" t="str">
        <f>_xlfn.CONCAT(_xlfn.XLOOKUP($C57,[1]Bus!$A$2:$A$121,[1]Bus!$C$2:$C$121,0)," - ",_xlfn.XLOOKUP($D57,[1]Bus!$A$2:$A$121,[1]Bus!$C$2:$C$121,0))</f>
        <v>La_Miel_220 - Purnio_220</v>
      </c>
      <c r="C57" s="4" t="s">
        <v>147</v>
      </c>
      <c r="D57" s="4" t="s">
        <v>106</v>
      </c>
      <c r="E57">
        <f t="shared" si="6"/>
        <v>1.4444473140495869E-3</v>
      </c>
      <c r="F57">
        <f t="shared" si="6"/>
        <v>1.2827117768595043E-2</v>
      </c>
      <c r="G57">
        <v>752</v>
      </c>
      <c r="H57">
        <v>752</v>
      </c>
      <c r="I57">
        <v>752</v>
      </c>
      <c r="N57" s="4">
        <v>25.75</v>
      </c>
      <c r="P57" s="2">
        <v>0</v>
      </c>
      <c r="S57">
        <f t="shared" si="1"/>
        <v>484</v>
      </c>
      <c r="T57">
        <v>220</v>
      </c>
      <c r="U57">
        <v>2</v>
      </c>
      <c r="V57" s="4">
        <f>0.0543/2</f>
        <v>2.7150000000000001E-2</v>
      </c>
      <c r="W57" s="4">
        <f>0.4822/2</f>
        <v>0.24110000000000001</v>
      </c>
      <c r="X57" s="4">
        <v>9.195E-3</v>
      </c>
      <c r="Y57" s="4">
        <v>0</v>
      </c>
      <c r="Z57" s="4">
        <v>0.98799999999999999</v>
      </c>
      <c r="AA57" s="4">
        <v>1</v>
      </c>
      <c r="AB57" s="4">
        <v>1</v>
      </c>
      <c r="AC57" s="4" t="s">
        <v>60</v>
      </c>
      <c r="AD57" s="4" t="b">
        <v>1</v>
      </c>
      <c r="AE57" s="4">
        <f>0.4364/2</f>
        <v>0.21820000000000001</v>
      </c>
      <c r="AF57" s="4">
        <f>1.4973/2</f>
        <v>0.74865000000000004</v>
      </c>
      <c r="AG57" s="4">
        <v>5.7009999999999986E-3</v>
      </c>
      <c r="AH57" s="4">
        <v>130</v>
      </c>
      <c r="AI57" s="4">
        <v>4.0299999999999997E-3</v>
      </c>
      <c r="AJ57" s="2" t="str">
        <f>_xlfn.XLOOKUP($C57,[1]Bus!$A$2:$A$121,[1]Bus!$J$2:$J$121,0)</f>
        <v>SUROCCID</v>
      </c>
      <c r="AK57" s="2" t="str">
        <f>_xlfn.XLOOKUP($C57,[1]Bus!$A$2:$A$121,[1]Bus!$K$2:$K$121,0)</f>
        <v>CQR</v>
      </c>
      <c r="AL57" s="2">
        <v>4.3200500000000003E-2</v>
      </c>
      <c r="AM57" s="2">
        <f t="shared" si="2"/>
        <v>77.95983618769958</v>
      </c>
      <c r="AN57" s="2">
        <f t="shared" si="3"/>
        <v>1.2908190356997055E-2</v>
      </c>
      <c r="AO57" s="2">
        <f t="shared" si="4"/>
        <v>8.8802946593001852</v>
      </c>
      <c r="AP57" s="2">
        <f t="shared" si="5"/>
        <v>8.6690395245329075</v>
      </c>
      <c r="AQ57" s="2">
        <v>0</v>
      </c>
      <c r="AR57" s="2">
        <v>2.1600250000000001E-2</v>
      </c>
    </row>
    <row r="58" spans="1:44" ht="16" x14ac:dyDescent="0.2">
      <c r="A58" s="1" t="s">
        <v>152</v>
      </c>
      <c r="B58" s="4" t="str">
        <f>_xlfn.CONCAT(_xlfn.XLOOKUP($C58,[1]Bus!$A$2:$A$121,[1]Bus!$C$2:$C$121,0)," - ",_xlfn.XLOOKUP($D58,[1]Bus!$A$2:$A$121,[1]Bus!$C$2:$C$121,0))</f>
        <v>Altamira_220 - Betania_220</v>
      </c>
      <c r="C58" s="4" t="s">
        <v>153</v>
      </c>
      <c r="D58" s="4" t="s">
        <v>154</v>
      </c>
      <c r="E58">
        <f t="shared" si="6"/>
        <v>8.1600281171900838E-3</v>
      </c>
      <c r="F58">
        <f t="shared" si="6"/>
        <v>6.1184853235041324E-2</v>
      </c>
      <c r="G58">
        <v>396</v>
      </c>
      <c r="H58">
        <v>396</v>
      </c>
      <c r="I58">
        <v>396</v>
      </c>
      <c r="N58" s="4">
        <v>82.589995999999999</v>
      </c>
      <c r="P58" s="2">
        <v>0</v>
      </c>
      <c r="S58">
        <f t="shared" si="1"/>
        <v>484</v>
      </c>
      <c r="T58">
        <v>220</v>
      </c>
      <c r="U58">
        <v>1</v>
      </c>
      <c r="V58" s="4">
        <v>4.7820000000000001E-2</v>
      </c>
      <c r="W58" s="4">
        <v>0.35855999999999999</v>
      </c>
      <c r="X58" s="4">
        <v>1.2522999999999999E-2</v>
      </c>
      <c r="Y58" s="4">
        <v>0</v>
      </c>
      <c r="Z58" s="4">
        <v>1.04</v>
      </c>
      <c r="AA58" s="4">
        <v>1</v>
      </c>
      <c r="AB58" s="4">
        <v>1</v>
      </c>
      <c r="AC58" s="4" t="s">
        <v>60</v>
      </c>
      <c r="AD58" s="4" t="b">
        <v>1</v>
      </c>
      <c r="AE58" s="4">
        <v>0.41931000000000002</v>
      </c>
      <c r="AF58" s="4">
        <v>1.5654999999999999</v>
      </c>
      <c r="AG58" s="4">
        <v>7.3409999999999986E-3</v>
      </c>
      <c r="AH58" s="4">
        <v>172.59620699999999</v>
      </c>
      <c r="AI58" s="4">
        <v>4.0299999999999997E-3</v>
      </c>
      <c r="AJ58" s="2" t="str">
        <f>_xlfn.XLOOKUP($C58,[1]Bus!$A$2:$A$121,[1]Bus!$J$2:$J$121,0)</f>
        <v>SUROCCID</v>
      </c>
      <c r="AK58" s="2" t="str">
        <f>_xlfn.XLOOKUP($C58,[1]Bus!$A$2:$A$121,[1]Bus!$K$2:$K$121,0)</f>
        <v>CAQUETA</v>
      </c>
      <c r="AL58" s="2">
        <v>0.1887152</v>
      </c>
      <c r="AM58" s="2">
        <f t="shared" si="2"/>
        <v>16.343914337074647</v>
      </c>
      <c r="AN58" s="2">
        <f t="shared" si="3"/>
        <v>6.1726593331131431E-2</v>
      </c>
      <c r="AO58" s="2">
        <f t="shared" si="4"/>
        <v>7.4981179422835629</v>
      </c>
      <c r="AP58" s="2">
        <f t="shared" si="5"/>
        <v>2.1416427979435722</v>
      </c>
      <c r="AQ58" s="2">
        <v>0</v>
      </c>
      <c r="AR58" s="2">
        <v>0.1887152</v>
      </c>
    </row>
    <row r="59" spans="1:44" ht="16" x14ac:dyDescent="0.2">
      <c r="A59" s="1" t="s">
        <v>155</v>
      </c>
      <c r="B59" s="4" t="str">
        <f>_xlfn.CONCAT(_xlfn.XLOOKUP($C59,[1]Bus!$A$2:$A$121,[1]Bus!$C$2:$C$121,0)," - ",_xlfn.XLOOKUP($D59,[1]Bus!$A$2:$A$121,[1]Bus!$C$2:$C$121,0))</f>
        <v>Altamira_220 - Mocoa_220</v>
      </c>
      <c r="C59" s="4" t="s">
        <v>153</v>
      </c>
      <c r="D59" s="4" t="s">
        <v>156</v>
      </c>
      <c r="E59">
        <f t="shared" si="6"/>
        <v>1.4229388627272729E-2</v>
      </c>
      <c r="F59">
        <f t="shared" si="6"/>
        <v>0.10689902627727273</v>
      </c>
      <c r="G59">
        <v>396</v>
      </c>
      <c r="H59">
        <v>396</v>
      </c>
      <c r="I59">
        <v>396</v>
      </c>
      <c r="N59" s="4">
        <v>144.08000200000001</v>
      </c>
      <c r="P59" s="2">
        <v>0</v>
      </c>
      <c r="S59">
        <f t="shared" si="1"/>
        <v>484</v>
      </c>
      <c r="T59">
        <v>220</v>
      </c>
      <c r="U59">
        <v>1</v>
      </c>
      <c r="V59" s="4">
        <v>4.7800000000000002E-2</v>
      </c>
      <c r="W59" s="4">
        <v>0.35909999999999997</v>
      </c>
      <c r="X59" s="4">
        <v>1.2515999999999999E-2</v>
      </c>
      <c r="Y59" s="4">
        <v>0</v>
      </c>
      <c r="Z59" s="4">
        <v>1.04</v>
      </c>
      <c r="AA59" s="4">
        <v>1</v>
      </c>
      <c r="AB59" s="4">
        <v>1</v>
      </c>
      <c r="AC59" s="4" t="s">
        <v>60</v>
      </c>
      <c r="AD59" s="4" t="b">
        <v>1</v>
      </c>
      <c r="AE59" s="4">
        <v>0.42</v>
      </c>
      <c r="AF59" s="4">
        <v>1.5636000000000001</v>
      </c>
      <c r="AG59" s="4">
        <v>7.43E-3</v>
      </c>
      <c r="AH59" s="4">
        <v>172.88459800000001</v>
      </c>
      <c r="AI59" s="4">
        <v>4.0299999999999997E-3</v>
      </c>
      <c r="AJ59" s="2" t="str">
        <f>_xlfn.XLOOKUP($C59,[1]Bus!$A$2:$A$121,[1]Bus!$J$2:$J$121,0)</f>
        <v>SUROCCID</v>
      </c>
      <c r="AK59" s="2" t="str">
        <f>_xlfn.XLOOKUP($C59,[1]Bus!$A$2:$A$121,[1]Bus!$K$2:$K$121,0)</f>
        <v>CAQUETA</v>
      </c>
      <c r="AL59" s="2">
        <v>0.3290363</v>
      </c>
      <c r="AM59" s="2">
        <f t="shared" si="2"/>
        <v>9.3546221591038474</v>
      </c>
      <c r="AN59" s="2">
        <f t="shared" si="3"/>
        <v>0.10784190892104517</v>
      </c>
      <c r="AO59" s="2">
        <f t="shared" si="4"/>
        <v>7.5125523012552291</v>
      </c>
      <c r="AP59" s="2">
        <f t="shared" si="5"/>
        <v>1.2235200970801778</v>
      </c>
      <c r="AQ59" s="2">
        <v>0</v>
      </c>
      <c r="AR59" s="2">
        <v>0.3290363</v>
      </c>
    </row>
    <row r="60" spans="1:44" ht="16" x14ac:dyDescent="0.2">
      <c r="A60" s="1" t="s">
        <v>157</v>
      </c>
      <c r="B60" s="4" t="str">
        <f>_xlfn.CONCAT(_xlfn.XLOOKUP($C60,[1]Bus!$A$2:$A$121,[1]Bus!$C$2:$C$121,0)," - ",_xlfn.XLOOKUP($D60,[1]Bus!$A$2:$A$121,[1]Bus!$C$2:$C$121,0))</f>
        <v>Altamira_220 - Tesalia_220</v>
      </c>
      <c r="C60" s="4" t="s">
        <v>153</v>
      </c>
      <c r="D60" s="4" t="s">
        <v>158</v>
      </c>
      <c r="E60">
        <f t="shared" si="6"/>
        <v>5.1651034097107435E-3</v>
      </c>
      <c r="F60">
        <f t="shared" si="6"/>
        <v>3.8369633003429757E-2</v>
      </c>
      <c r="G60">
        <v>396</v>
      </c>
      <c r="H60">
        <v>396</v>
      </c>
      <c r="I60">
        <v>396</v>
      </c>
      <c r="N60" s="4">
        <v>49.700001</v>
      </c>
      <c r="P60" s="2">
        <v>0</v>
      </c>
      <c r="S60">
        <f t="shared" si="1"/>
        <v>484</v>
      </c>
      <c r="T60">
        <v>220</v>
      </c>
      <c r="U60">
        <v>1</v>
      </c>
      <c r="V60" s="4">
        <v>5.0299999999999997E-2</v>
      </c>
      <c r="W60" s="4">
        <v>0.37365999999999999</v>
      </c>
      <c r="X60" s="4">
        <v>1.1641E-2</v>
      </c>
      <c r="Y60" s="4">
        <v>0</v>
      </c>
      <c r="Z60" s="4">
        <v>1.04</v>
      </c>
      <c r="AA60" s="4">
        <v>1</v>
      </c>
      <c r="AB60" s="4">
        <v>1</v>
      </c>
      <c r="AC60" s="4" t="s">
        <v>60</v>
      </c>
      <c r="AD60" s="4" t="b">
        <v>1</v>
      </c>
      <c r="AE60" s="4">
        <v>0.41770600000000002</v>
      </c>
      <c r="AF60" s="4">
        <v>1.4931099999999999</v>
      </c>
      <c r="AG60" s="4">
        <v>6.9620000000000003E-3</v>
      </c>
      <c r="AH60" s="4">
        <v>135.96154799999999</v>
      </c>
      <c r="AI60" s="4">
        <v>4.0299999999999997E-3</v>
      </c>
      <c r="AJ60" s="2" t="str">
        <f>_xlfn.XLOOKUP($C60,[1]Bus!$A$2:$A$121,[1]Bus!$J$2:$J$121,0)</f>
        <v>SUROCCID</v>
      </c>
      <c r="AK60" s="2" t="str">
        <f>_xlfn.XLOOKUP($C60,[1]Bus!$A$2:$A$121,[1]Bus!$K$2:$K$121,0)</f>
        <v>CAQUETA</v>
      </c>
      <c r="AL60" s="2">
        <v>0.1055623</v>
      </c>
      <c r="AM60" s="2">
        <f t="shared" si="2"/>
        <v>26.062276902951162</v>
      </c>
      <c r="AN60" s="2">
        <f t="shared" si="3"/>
        <v>3.871572070943393E-2</v>
      </c>
      <c r="AO60" s="2">
        <f t="shared" si="4"/>
        <v>7.4286282306163036</v>
      </c>
      <c r="AP60" s="2">
        <f t="shared" si="5"/>
        <v>3.4459131261365661</v>
      </c>
      <c r="AQ60" s="2">
        <v>0</v>
      </c>
      <c r="AR60" s="2">
        <v>0.1055623</v>
      </c>
    </row>
    <row r="61" spans="1:44" ht="16" x14ac:dyDescent="0.2">
      <c r="A61" s="1" t="s">
        <v>159</v>
      </c>
      <c r="B61" s="4" t="str">
        <f>_xlfn.CONCAT(_xlfn.XLOOKUP($C61,[1]Bus!$A$2:$A$121,[1]Bus!$C$2:$C$121,0)," - ",_xlfn.XLOOKUP($D61,[1]Bus!$A$2:$A$121,[1]Bus!$C$2:$C$121,0))</f>
        <v>Juanchito_220 - Paez_220</v>
      </c>
      <c r="C61" s="4" t="s">
        <v>160</v>
      </c>
      <c r="D61" s="4" t="s">
        <v>161</v>
      </c>
      <c r="E61">
        <f t="shared" si="6"/>
        <v>4.0061342975206606E-3</v>
      </c>
      <c r="F61">
        <f t="shared" si="6"/>
        <v>3.4731948347107439E-2</v>
      </c>
      <c r="G61">
        <v>382</v>
      </c>
      <c r="H61">
        <v>382</v>
      </c>
      <c r="I61">
        <v>382</v>
      </c>
      <c r="N61" s="4">
        <v>35.19</v>
      </c>
      <c r="P61" s="2">
        <v>0</v>
      </c>
      <c r="S61">
        <f t="shared" si="1"/>
        <v>484</v>
      </c>
      <c r="T61">
        <v>220</v>
      </c>
      <c r="U61">
        <v>1</v>
      </c>
      <c r="V61" s="4">
        <v>5.5100000000000003E-2</v>
      </c>
      <c r="W61" s="4">
        <v>0.47770000000000001</v>
      </c>
      <c r="X61" s="4">
        <v>9.2540000000000001E-3</v>
      </c>
      <c r="Y61" s="4">
        <v>0</v>
      </c>
      <c r="Z61" s="4">
        <v>1.0029999999999999</v>
      </c>
      <c r="AA61" s="4">
        <v>1</v>
      </c>
      <c r="AB61" s="4">
        <v>1</v>
      </c>
      <c r="AC61" s="4" t="s">
        <v>60</v>
      </c>
      <c r="AD61" s="4" t="b">
        <v>1</v>
      </c>
      <c r="AE61" s="4">
        <v>0.32200000000000001</v>
      </c>
      <c r="AF61" s="4">
        <v>1.1783999999999999</v>
      </c>
      <c r="AG61" s="4">
        <v>5.8370000000000002E-3</v>
      </c>
      <c r="AH61" s="4">
        <v>130.009995</v>
      </c>
      <c r="AI61" s="4">
        <v>4.0299999999999997E-3</v>
      </c>
      <c r="AJ61" s="2" t="str">
        <f>_xlfn.XLOOKUP($C61,[1]Bus!$A$2:$A$121,[1]Bus!$J$2:$J$121,0)</f>
        <v>SUROCCID</v>
      </c>
      <c r="AK61" s="2" t="str">
        <f>_xlfn.XLOOKUP($C61,[1]Bus!$A$2:$A$121,[1]Bus!$K$2:$K$121,0)</f>
        <v>VALLE</v>
      </c>
      <c r="AL61" s="2">
        <v>5.9421099999999998E-2</v>
      </c>
      <c r="AM61" s="2">
        <f t="shared" si="2"/>
        <v>28.791935022075503</v>
      </c>
      <c r="AN61" s="2">
        <f t="shared" si="3"/>
        <v>3.4962227446144085E-2</v>
      </c>
      <c r="AO61" s="2">
        <f t="shared" si="4"/>
        <v>8.6696914700544472</v>
      </c>
      <c r="AP61" s="2">
        <f t="shared" si="5"/>
        <v>3.2773839042149424</v>
      </c>
      <c r="AQ61" s="2">
        <v>0</v>
      </c>
      <c r="AR61" s="2">
        <v>5.9421099999999998E-2</v>
      </c>
    </row>
    <row r="62" spans="1:44" ht="16" x14ac:dyDescent="0.2">
      <c r="A62" s="1" t="s">
        <v>162</v>
      </c>
      <c r="B62" s="4" t="str">
        <f>_xlfn.CONCAT(_xlfn.XLOOKUP($C62,[1]Bus!$A$2:$A$121,[1]Bus!$C$2:$C$121,0)," - ",_xlfn.XLOOKUP($D62,[1]Bus!$A$2:$A$121,[1]Bus!$C$2:$C$121,0))</f>
        <v>Alferez_220 - S_Bernardino_220</v>
      </c>
      <c r="C62" s="4" t="s">
        <v>163</v>
      </c>
      <c r="D62" s="4" t="s">
        <v>164</v>
      </c>
      <c r="E62">
        <f t="shared" si="6"/>
        <v>9.7895029894628088E-3</v>
      </c>
      <c r="F62">
        <f t="shared" si="6"/>
        <v>9.7895029894628088E-2</v>
      </c>
      <c r="G62">
        <v>382</v>
      </c>
      <c r="H62">
        <v>382</v>
      </c>
      <c r="I62">
        <v>382</v>
      </c>
      <c r="N62" s="4">
        <v>101.02600099999999</v>
      </c>
      <c r="P62" s="2">
        <v>0</v>
      </c>
      <c r="S62">
        <f t="shared" si="1"/>
        <v>484</v>
      </c>
      <c r="T62">
        <v>220</v>
      </c>
      <c r="U62">
        <v>1</v>
      </c>
      <c r="V62" s="4">
        <v>4.6899999999999997E-2</v>
      </c>
      <c r="W62" s="4">
        <v>0.46899999999999997</v>
      </c>
      <c r="X62" s="4">
        <v>9.4769999999999993E-3</v>
      </c>
      <c r="Y62" s="4">
        <v>0</v>
      </c>
      <c r="Z62" s="4">
        <v>1.0029999999999999</v>
      </c>
      <c r="AA62" s="4">
        <v>1</v>
      </c>
      <c r="AB62" s="4">
        <v>1</v>
      </c>
      <c r="AC62" s="4" t="s">
        <v>60</v>
      </c>
      <c r="AD62" s="4" t="b">
        <v>1</v>
      </c>
      <c r="AE62" s="4">
        <v>0.37859999999999999</v>
      </c>
      <c r="AF62" s="4">
        <v>1.3304</v>
      </c>
      <c r="AG62" s="4">
        <v>5.7920000000000003E-3</v>
      </c>
      <c r="AH62" s="4">
        <v>130</v>
      </c>
      <c r="AI62" s="4">
        <v>4.0299999999999997E-3</v>
      </c>
      <c r="AJ62" s="2" t="str">
        <f>_xlfn.XLOOKUP($C62,[1]Bus!$A$2:$A$121,[1]Bus!$J$2:$J$121,0)</f>
        <v>SUROCCID</v>
      </c>
      <c r="AK62" s="2" t="str">
        <f>_xlfn.XLOOKUP($C62,[1]Bus!$A$2:$A$121,[1]Bus!$K$2:$K$121,0)</f>
        <v>VALLE</v>
      </c>
      <c r="AL62" s="2">
        <v>0.17468790000000001</v>
      </c>
      <c r="AM62" s="2">
        <f t="shared" si="2"/>
        <v>10.21502318428603</v>
      </c>
      <c r="AN62" s="2">
        <f t="shared" si="3"/>
        <v>9.8383287436692363E-2</v>
      </c>
      <c r="AO62" s="2">
        <f t="shared" si="4"/>
        <v>10</v>
      </c>
      <c r="AP62" s="2">
        <f t="shared" si="5"/>
        <v>1.0113884340877257</v>
      </c>
      <c r="AQ62" s="2">
        <v>0</v>
      </c>
      <c r="AR62" s="2">
        <v>0.17468790000000001</v>
      </c>
    </row>
    <row r="63" spans="1:44" ht="16" x14ac:dyDescent="0.2">
      <c r="A63" s="1" t="s">
        <v>165</v>
      </c>
      <c r="B63" s="4" t="str">
        <f>_xlfn.CONCAT(_xlfn.XLOOKUP($C63,[1]Bus!$A$2:$A$121,[1]Bus!$C$2:$C$121,0)," - ",_xlfn.XLOOKUP($D63,[1]Bus!$A$2:$A$121,[1]Bus!$C$2:$C$121,0))</f>
        <v>Paez_220 - S_Bernardino_220</v>
      </c>
      <c r="C63" s="4" t="s">
        <v>161</v>
      </c>
      <c r="D63" s="4" t="s">
        <v>164</v>
      </c>
      <c r="E63">
        <f t="shared" si="6"/>
        <v>1.3771291439049588E-2</v>
      </c>
      <c r="F63">
        <f t="shared" si="6"/>
        <v>0.1160688315623967</v>
      </c>
      <c r="G63">
        <v>305</v>
      </c>
      <c r="H63">
        <v>305</v>
      </c>
      <c r="I63">
        <v>305</v>
      </c>
      <c r="N63" s="4">
        <v>117.970001</v>
      </c>
      <c r="P63" s="2">
        <v>0</v>
      </c>
      <c r="S63">
        <f t="shared" si="1"/>
        <v>484</v>
      </c>
      <c r="T63">
        <v>220</v>
      </c>
      <c r="U63">
        <v>1</v>
      </c>
      <c r="V63" s="4">
        <v>5.6500000000000002E-2</v>
      </c>
      <c r="W63" s="4">
        <v>0.47620000000000001</v>
      </c>
      <c r="X63" s="4">
        <v>9.3039999999999998E-3</v>
      </c>
      <c r="Y63" s="4">
        <v>0</v>
      </c>
      <c r="Z63" s="4">
        <v>0.8</v>
      </c>
      <c r="AA63" s="4">
        <v>1</v>
      </c>
      <c r="AB63" s="4">
        <v>1</v>
      </c>
      <c r="AC63" s="4" t="s">
        <v>60</v>
      </c>
      <c r="AD63" s="4" t="b">
        <v>1</v>
      </c>
      <c r="AE63" s="4">
        <v>0.37359999999999999</v>
      </c>
      <c r="AF63" s="4">
        <v>1.3003</v>
      </c>
      <c r="AG63" s="4">
        <v>5.7350000000000014E-3</v>
      </c>
      <c r="AH63" s="4">
        <v>163</v>
      </c>
      <c r="AI63" s="4">
        <v>4.0299999999999997E-3</v>
      </c>
      <c r="AJ63" s="2" t="str">
        <f>_xlfn.XLOOKUP($C63,[1]Bus!$A$2:$A$121,[1]Bus!$J$2:$J$121,0)</f>
        <v>SUROCCID</v>
      </c>
      <c r="AK63" s="2" t="str">
        <f>_xlfn.XLOOKUP($C63,[1]Bus!$A$2:$A$121,[1]Bus!$K$2:$K$121,0)</f>
        <v>CAUCANAR</v>
      </c>
      <c r="AL63" s="2">
        <v>0.20026944999999999</v>
      </c>
      <c r="AM63" s="2">
        <f t="shared" si="2"/>
        <v>8.615577382308846</v>
      </c>
      <c r="AN63" s="2">
        <f t="shared" si="3"/>
        <v>0.11688294198966441</v>
      </c>
      <c r="AO63" s="2">
        <f t="shared" si="4"/>
        <v>8.4283185840707961</v>
      </c>
      <c r="AP63" s="2">
        <f t="shared" si="5"/>
        <v>1.0080275467921398</v>
      </c>
      <c r="AQ63" s="2">
        <v>0</v>
      </c>
      <c r="AR63" s="2">
        <v>0.20026944999999999</v>
      </c>
    </row>
    <row r="64" spans="1:44" ht="16" x14ac:dyDescent="0.2">
      <c r="A64" s="1" t="s">
        <v>166</v>
      </c>
      <c r="B64" s="4" t="str">
        <f>_xlfn.CONCAT(_xlfn.XLOOKUP($C64,[1]Bus!$A$2:$A$121,[1]Bus!$C$2:$C$121,0)," - ",_xlfn.XLOOKUP($D64,[1]Bus!$A$2:$A$121,[1]Bus!$C$2:$C$121,0))</f>
        <v>Betania_220 - Tesalia_220</v>
      </c>
      <c r="C64" s="4" t="s">
        <v>154</v>
      </c>
      <c r="D64" s="4" t="s">
        <v>158</v>
      </c>
      <c r="E64">
        <f t="shared" si="6"/>
        <v>5.0097291985537196E-3</v>
      </c>
      <c r="F64">
        <f t="shared" si="6"/>
        <v>2.644768111888017E-2</v>
      </c>
      <c r="G64">
        <v>396</v>
      </c>
      <c r="H64">
        <v>396</v>
      </c>
      <c r="I64">
        <v>396</v>
      </c>
      <c r="N64" s="4">
        <v>35.709999000000003</v>
      </c>
      <c r="P64" s="2">
        <v>0</v>
      </c>
      <c r="S64">
        <f t="shared" si="1"/>
        <v>484</v>
      </c>
      <c r="T64">
        <v>220</v>
      </c>
      <c r="U64">
        <v>1</v>
      </c>
      <c r="V64" s="4">
        <v>6.7900000000000002E-2</v>
      </c>
      <c r="W64" s="4">
        <v>0.358462</v>
      </c>
      <c r="X64" s="4">
        <v>1.2586999999999999E-2</v>
      </c>
      <c r="Y64" s="4">
        <v>0</v>
      </c>
      <c r="Z64" s="4">
        <v>1.04</v>
      </c>
      <c r="AA64" s="4">
        <v>1</v>
      </c>
      <c r="AB64" s="4">
        <v>1</v>
      </c>
      <c r="AC64" s="4" t="s">
        <v>60</v>
      </c>
      <c r="AD64" s="4" t="b">
        <v>1</v>
      </c>
      <c r="AE64" s="4">
        <v>0.42223100000000002</v>
      </c>
      <c r="AF64" s="4">
        <v>1.5496859999999999</v>
      </c>
      <c r="AG64" s="4">
        <v>7.379000000000001E-3</v>
      </c>
      <c r="AH64" s="4">
        <v>132.788467</v>
      </c>
      <c r="AI64" s="4">
        <v>4.0299999999999997E-3</v>
      </c>
      <c r="AJ64" s="2" t="str">
        <f>_xlfn.XLOOKUP($C64,[1]Bus!$A$2:$A$121,[1]Bus!$J$2:$J$121,0)</f>
        <v>SUROCCID</v>
      </c>
      <c r="AK64" s="2" t="str">
        <f>_xlfn.XLOOKUP($C64,[1]Bus!$A$2:$A$121,[1]Bus!$K$2:$K$121,0)</f>
        <v>HUILATOL</v>
      </c>
      <c r="AL64" s="2">
        <v>8.2083519999999993E-2</v>
      </c>
      <c r="AM64" s="2">
        <f t="shared" si="2"/>
        <v>37.810498224970331</v>
      </c>
      <c r="AN64" s="2">
        <f t="shared" si="3"/>
        <v>2.6917972122892399E-2</v>
      </c>
      <c r="AO64" s="2">
        <f t="shared" si="4"/>
        <v>5.2792636229749634</v>
      </c>
      <c r="AP64" s="2">
        <f t="shared" si="5"/>
        <v>6.9140031429196478</v>
      </c>
      <c r="AQ64" s="2">
        <v>0</v>
      </c>
      <c r="AR64" s="2">
        <v>8.2014619999999996E-2</v>
      </c>
    </row>
    <row r="65" spans="1:44" ht="16" x14ac:dyDescent="0.2">
      <c r="A65" s="1" t="s">
        <v>167</v>
      </c>
      <c r="B65" s="4" t="str">
        <f>_xlfn.CONCAT(_xlfn.XLOOKUP($C65,[1]Bus!$A$2:$A$121,[1]Bus!$C$2:$C$121,0)," - ",_xlfn.XLOOKUP($D65,[1]Bus!$A$2:$A$121,[1]Bus!$C$2:$C$121,0))</f>
        <v>Jamondino_220 - Tesalia_220</v>
      </c>
      <c r="C65" s="4" t="s">
        <v>168</v>
      </c>
      <c r="D65" s="4" t="s">
        <v>158</v>
      </c>
      <c r="E65">
        <f t="shared" si="6"/>
        <v>2.774912591685124E-2</v>
      </c>
      <c r="F65">
        <f t="shared" si="6"/>
        <v>0.1986432991706529</v>
      </c>
      <c r="G65">
        <v>266</v>
      </c>
      <c r="H65">
        <v>266</v>
      </c>
      <c r="I65">
        <v>266</v>
      </c>
      <c r="N65" s="4">
        <v>263.66000400000001</v>
      </c>
      <c r="P65" s="2">
        <v>0</v>
      </c>
      <c r="S65">
        <f t="shared" si="1"/>
        <v>484</v>
      </c>
      <c r="T65">
        <v>220</v>
      </c>
      <c r="U65">
        <v>1</v>
      </c>
      <c r="V65" s="4">
        <v>5.0938999999999998E-2</v>
      </c>
      <c r="W65" s="4">
        <v>0.364649</v>
      </c>
      <c r="X65" s="4">
        <v>1.2482E-2</v>
      </c>
      <c r="Y65" s="4">
        <v>0</v>
      </c>
      <c r="Z65" s="4">
        <v>0.69899999999999995</v>
      </c>
      <c r="AA65" s="4">
        <v>1</v>
      </c>
      <c r="AB65" s="4">
        <v>1</v>
      </c>
      <c r="AC65" s="4" t="s">
        <v>60</v>
      </c>
      <c r="AD65" s="4" t="b">
        <v>1</v>
      </c>
      <c r="AE65" s="4">
        <v>0.42537799999999998</v>
      </c>
      <c r="AF65" s="4">
        <v>1.5642769999999999</v>
      </c>
      <c r="AG65" s="4">
        <v>7.3550000000000004E-3</v>
      </c>
      <c r="AH65" s="4">
        <v>100</v>
      </c>
      <c r="AI65" s="4">
        <v>4.0299999999999997E-3</v>
      </c>
      <c r="AJ65" s="2" t="str">
        <f>_xlfn.XLOOKUP($C65,[1]Bus!$A$2:$A$121,[1]Bus!$J$2:$J$121,0)</f>
        <v>SUROCCID</v>
      </c>
      <c r="AK65" s="2" t="str">
        <f>_xlfn.XLOOKUP($C65,[1]Bus!$A$2:$A$121,[1]Bus!$K$2:$K$121,0)</f>
        <v>CAUCANAR</v>
      </c>
      <c r="AL65" s="2">
        <v>0.60063615999999986</v>
      </c>
      <c r="AM65" s="2">
        <f t="shared" si="2"/>
        <v>5.0341491717820688</v>
      </c>
      <c r="AN65" s="2">
        <f t="shared" si="3"/>
        <v>0.20057211744046272</v>
      </c>
      <c r="AO65" s="2">
        <f t="shared" si="4"/>
        <v>7.1585425705255306</v>
      </c>
      <c r="AP65" s="2">
        <f t="shared" si="5"/>
        <v>0.68977617372101985</v>
      </c>
      <c r="AQ65" s="2">
        <v>0</v>
      </c>
      <c r="AR65" s="2">
        <v>0.60049949999999996</v>
      </c>
    </row>
    <row r="66" spans="1:44" ht="16" x14ac:dyDescent="0.2">
      <c r="A66" s="1" t="s">
        <v>169</v>
      </c>
      <c r="B66" s="4" t="str">
        <f>_xlfn.CONCAT(_xlfn.XLOOKUP($C66,[1]Bus!$A$2:$A$121,[1]Bus!$C$2:$C$121,0)," - ",_xlfn.XLOOKUP($D66,[1]Bus!$A$2:$A$121,[1]Bus!$C$2:$C$121,0))</f>
        <v>Jamondino_220 - Mocoa_220</v>
      </c>
      <c r="C66" s="4" t="s">
        <v>168</v>
      </c>
      <c r="D66" s="4" t="s">
        <v>156</v>
      </c>
      <c r="E66">
        <f t="shared" ref="E66:F97" si="7">$N66*V66/$S66</f>
        <v>1.3603339566942148E-2</v>
      </c>
      <c r="F66">
        <f t="shared" si="7"/>
        <v>8.0269020800826457E-2</v>
      </c>
      <c r="G66">
        <v>266</v>
      </c>
      <c r="H66">
        <v>266</v>
      </c>
      <c r="I66">
        <v>266</v>
      </c>
      <c r="N66" s="4">
        <v>75.160004000000001</v>
      </c>
      <c r="P66" s="2">
        <v>0</v>
      </c>
      <c r="S66">
        <f t="shared" ref="S66:S129" si="8">$T66^2/100</f>
        <v>484</v>
      </c>
      <c r="T66">
        <v>220</v>
      </c>
      <c r="U66">
        <v>1</v>
      </c>
      <c r="V66" s="4">
        <v>8.7599999999999997E-2</v>
      </c>
      <c r="W66" s="4">
        <v>0.51690000000000003</v>
      </c>
      <c r="X66" s="4">
        <v>9.2840000000000006E-3</v>
      </c>
      <c r="Y66" s="4">
        <v>0</v>
      </c>
      <c r="Z66" s="4">
        <v>0.69899999999999995</v>
      </c>
      <c r="AA66" s="4">
        <v>1</v>
      </c>
      <c r="AB66" s="4">
        <v>1</v>
      </c>
      <c r="AC66" s="4" t="s">
        <v>60</v>
      </c>
      <c r="AD66" s="4" t="b">
        <v>1</v>
      </c>
      <c r="AE66" s="4">
        <v>0.53869999999999996</v>
      </c>
      <c r="AF66" s="4">
        <v>1.4049</v>
      </c>
      <c r="AG66" s="4">
        <v>5.9709999999999997E-3</v>
      </c>
      <c r="AH66" s="4">
        <v>100</v>
      </c>
      <c r="AI66" s="4">
        <v>4.0299999999999997E-3</v>
      </c>
      <c r="AJ66" s="2" t="str">
        <f>_xlfn.XLOOKUP($C66,[1]Bus!$A$2:$A$121,[1]Bus!$J$2:$J$121,0)</f>
        <v>SUROCCID</v>
      </c>
      <c r="AK66" s="2" t="str">
        <f>_xlfn.XLOOKUP($C66,[1]Bus!$A$2:$A$121,[1]Bus!$K$2:$K$121,0)</f>
        <v>CAUCANAR</v>
      </c>
      <c r="AL66" s="2">
        <v>0.12732099999999999</v>
      </c>
      <c r="AM66" s="2">
        <f t="shared" si="2"/>
        <v>12.45810637806739</v>
      </c>
      <c r="AN66" s="2">
        <f t="shared" si="3"/>
        <v>8.1413552604569742E-2</v>
      </c>
      <c r="AO66" s="2">
        <f t="shared" si="4"/>
        <v>5.9006849315068504</v>
      </c>
      <c r="AP66" s="2">
        <f t="shared" si="5"/>
        <v>2.0523533120435284</v>
      </c>
      <c r="AQ66" s="2">
        <v>0</v>
      </c>
      <c r="AR66" s="2">
        <v>0.12732099999999999</v>
      </c>
    </row>
    <row r="67" spans="1:44" ht="16" x14ac:dyDescent="0.2">
      <c r="A67" s="1" t="s">
        <v>170</v>
      </c>
      <c r="B67" s="4" t="str">
        <f>_xlfn.CONCAT(_xlfn.XLOOKUP($C67,[1]Bus!$A$2:$A$121,[1]Bus!$C$2:$C$121,0)," - ",_xlfn.XLOOKUP($D67,[1]Bus!$A$2:$A$121,[1]Bus!$C$2:$C$121,0))</f>
        <v>Betania_220 - S_Bernardino_220</v>
      </c>
      <c r="C67" s="4" t="s">
        <v>154</v>
      </c>
      <c r="D67" s="4" t="s">
        <v>164</v>
      </c>
      <c r="E67">
        <f t="shared" si="7"/>
        <v>4.9077275113636361E-3</v>
      </c>
      <c r="F67">
        <f t="shared" si="7"/>
        <v>6.9659986858264453E-2</v>
      </c>
      <c r="G67">
        <v>610</v>
      </c>
      <c r="H67">
        <v>610</v>
      </c>
      <c r="I67">
        <v>610</v>
      </c>
      <c r="N67" s="4">
        <v>143.96000699999999</v>
      </c>
      <c r="P67" s="2">
        <v>0</v>
      </c>
      <c r="S67">
        <f t="shared" si="8"/>
        <v>484</v>
      </c>
      <c r="T67">
        <v>220</v>
      </c>
      <c r="U67">
        <v>2</v>
      </c>
      <c r="V67" s="4">
        <f>0.033/2</f>
        <v>1.6500000000000001E-2</v>
      </c>
      <c r="W67" s="4">
        <f>0.4684/2</f>
        <v>0.23419999999999999</v>
      </c>
      <c r="X67" s="4">
        <v>9.5999999999999992E-3</v>
      </c>
      <c r="Y67" s="4">
        <v>0</v>
      </c>
      <c r="Z67" s="4">
        <v>0.8</v>
      </c>
      <c r="AA67" s="4">
        <v>1</v>
      </c>
      <c r="AB67" s="4">
        <v>1</v>
      </c>
      <c r="AC67" s="4" t="s">
        <v>60</v>
      </c>
      <c r="AD67" s="4" t="b">
        <v>1</v>
      </c>
      <c r="AE67" s="4">
        <f>0.3809/2</f>
        <v>0.19045000000000001</v>
      </c>
      <c r="AF67" s="4">
        <f>1.3354/2</f>
        <v>0.66769999999999996</v>
      </c>
      <c r="AG67" s="4">
        <v>5.7549999999999997E-3</v>
      </c>
      <c r="AH67" s="4">
        <v>217.75</v>
      </c>
      <c r="AI67" s="4">
        <v>4.0299999999999997E-3</v>
      </c>
      <c r="AJ67" s="2" t="str">
        <f>_xlfn.XLOOKUP($C67,[1]Bus!$A$2:$A$121,[1]Bus!$J$2:$J$121,0)</f>
        <v>SUROCCID</v>
      </c>
      <c r="AK67" s="2" t="str">
        <f>_xlfn.XLOOKUP($C67,[1]Bus!$A$2:$A$121,[1]Bus!$K$2:$K$121,0)</f>
        <v>HUILATOL</v>
      </c>
      <c r="AL67" s="2">
        <v>0.25216670000000002</v>
      </c>
      <c r="AM67" s="2">
        <f t="shared" ref="AM67:AM130" si="9">1/F67</f>
        <v>14.355443420261858</v>
      </c>
      <c r="AN67" s="2">
        <f t="shared" ref="AN67:AN130" si="10">+SQRT(E67^2+F67^2)</f>
        <v>6.9832653955147456E-2</v>
      </c>
      <c r="AO67" s="2">
        <f t="shared" ref="AO67:AO130" si="11">+F67/E67</f>
        <v>14.193939393939393</v>
      </c>
      <c r="AP67" s="2">
        <f t="shared" ref="AP67:AP130" si="12">+E67/(E67^2+F67^2)</f>
        <v>1.0063831267200363</v>
      </c>
      <c r="AQ67" s="2">
        <v>0</v>
      </c>
      <c r="AR67" s="2">
        <v>0.12608335000000001</v>
      </c>
    </row>
    <row r="68" spans="1:44" ht="16" x14ac:dyDescent="0.2">
      <c r="A68" s="1" t="s">
        <v>171</v>
      </c>
      <c r="B68" s="4" t="str">
        <f>_xlfn.CONCAT(_xlfn.XLOOKUP($C68,[1]Bus!$A$2:$A$121,[1]Bus!$C$2:$C$121,0)," - ",_xlfn.XLOOKUP($D68,[1]Bus!$A$2:$A$121,[1]Bus!$C$2:$C$121,0))</f>
        <v>Jamondino_220 - S_Bernardino_220</v>
      </c>
      <c r="C68" s="4" t="s">
        <v>168</v>
      </c>
      <c r="D68" s="4" t="s">
        <v>164</v>
      </c>
      <c r="E68">
        <f t="shared" si="7"/>
        <v>1.1600795638636365E-2</v>
      </c>
      <c r="F68">
        <f t="shared" si="7"/>
        <v>9.3528973591632231E-2</v>
      </c>
      <c r="G68">
        <v>610</v>
      </c>
      <c r="H68">
        <v>610</v>
      </c>
      <c r="I68">
        <v>610</v>
      </c>
      <c r="N68" s="4">
        <v>189.050003</v>
      </c>
      <c r="P68" s="2">
        <v>0</v>
      </c>
      <c r="S68">
        <f t="shared" si="8"/>
        <v>484</v>
      </c>
      <c r="T68">
        <v>220</v>
      </c>
      <c r="U68">
        <v>2</v>
      </c>
      <c r="V68" s="4">
        <f>0.0594/2</f>
        <v>2.9700000000000001E-2</v>
      </c>
      <c r="W68" s="4">
        <f>0.4789/2</f>
        <v>0.23945</v>
      </c>
      <c r="X68" s="4">
        <v>9.2779999999999998E-3</v>
      </c>
      <c r="Y68" s="4">
        <v>0</v>
      </c>
      <c r="Z68" s="4">
        <v>0.8</v>
      </c>
      <c r="AA68" s="4">
        <v>1</v>
      </c>
      <c r="AB68" s="4">
        <v>1</v>
      </c>
      <c r="AC68" s="4" t="s">
        <v>60</v>
      </c>
      <c r="AD68" s="4" t="b">
        <v>1</v>
      </c>
      <c r="AE68" s="4">
        <f>0.4199/2</f>
        <v>0.20995</v>
      </c>
      <c r="AF68" s="4">
        <f>1.3576/2</f>
        <v>0.67879999999999996</v>
      </c>
      <c r="AG68" s="4">
        <v>5.7930000000000004E-3</v>
      </c>
      <c r="AH68" s="4">
        <v>152.75</v>
      </c>
      <c r="AI68" s="4">
        <v>4.0299999999999997E-3</v>
      </c>
      <c r="AJ68" s="2" t="str">
        <f>_xlfn.XLOOKUP($C68,[1]Bus!$A$2:$A$121,[1]Bus!$J$2:$J$121,0)</f>
        <v>SUROCCID</v>
      </c>
      <c r="AK68" s="2" t="str">
        <f>_xlfn.XLOOKUP($C68,[1]Bus!$A$2:$A$121,[1]Bus!$K$2:$K$121,0)</f>
        <v>CAUCANAR</v>
      </c>
      <c r="AL68" s="2">
        <v>0.32004939999999998</v>
      </c>
      <c r="AM68" s="2">
        <f t="shared" si="9"/>
        <v>10.691873989403719</v>
      </c>
      <c r="AN68" s="2">
        <f t="shared" si="10"/>
        <v>9.4245675553595795E-2</v>
      </c>
      <c r="AO68" s="2">
        <f t="shared" si="11"/>
        <v>8.0622895622895623</v>
      </c>
      <c r="AP68" s="2">
        <f t="shared" si="12"/>
        <v>1.3060653647359435</v>
      </c>
      <c r="AQ68" s="2">
        <v>0</v>
      </c>
      <c r="AR68" s="2">
        <v>0.16002469999999999</v>
      </c>
    </row>
    <row r="69" spans="1:44" ht="16" x14ac:dyDescent="0.2">
      <c r="A69" s="1" t="s">
        <v>172</v>
      </c>
      <c r="B69" s="4" t="str">
        <f>_xlfn.CONCAT(_xlfn.XLOOKUP($C69,[1]Bus!$A$2:$A$121,[1]Bus!$C$2:$C$121,0)," - ",_xlfn.XLOOKUP($D69,[1]Bus!$A$2:$A$121,[1]Bus!$C$2:$C$121,0))</f>
        <v>Mesa_220 - Mirolindo(Ibague)_220</v>
      </c>
      <c r="C69" s="4" t="s">
        <v>95</v>
      </c>
      <c r="D69" s="4" t="s">
        <v>173</v>
      </c>
      <c r="E69">
        <f t="shared" si="7"/>
        <v>4.7967614189049594E-3</v>
      </c>
      <c r="F69">
        <f t="shared" si="7"/>
        <v>4.3278443680475204E-2</v>
      </c>
      <c r="G69">
        <v>736</v>
      </c>
      <c r="H69">
        <v>736</v>
      </c>
      <c r="I69">
        <v>736</v>
      </c>
      <c r="N69" s="4">
        <v>86.790001000000004</v>
      </c>
      <c r="P69" s="2">
        <v>0</v>
      </c>
      <c r="S69">
        <f t="shared" si="8"/>
        <v>484</v>
      </c>
      <c r="T69">
        <v>220</v>
      </c>
      <c r="U69">
        <v>2</v>
      </c>
      <c r="V69" s="4">
        <f>0.0535/2</f>
        <v>2.6749999999999999E-2</v>
      </c>
      <c r="W69" s="4">
        <f>0.4827/2</f>
        <v>0.24135000000000001</v>
      </c>
      <c r="X69" s="4">
        <v>9.2029999999999994E-3</v>
      </c>
      <c r="Y69" s="4">
        <v>0</v>
      </c>
      <c r="Z69" s="4">
        <v>0.96599999999999997</v>
      </c>
      <c r="AA69" s="4">
        <v>1</v>
      </c>
      <c r="AB69" s="4">
        <v>1</v>
      </c>
      <c r="AC69" s="4" t="s">
        <v>60</v>
      </c>
      <c r="AD69" s="4" t="b">
        <v>1</v>
      </c>
      <c r="AE69" s="4">
        <f>0.3948/2</f>
        <v>0.19739999999999999</v>
      </c>
      <c r="AF69" s="4">
        <f>1.3741/2</f>
        <v>0.68705000000000005</v>
      </c>
      <c r="AG69" s="4">
        <v>5.7829999999999999E-3</v>
      </c>
      <c r="AH69" s="4">
        <v>130</v>
      </c>
      <c r="AI69" s="4">
        <v>4.0299999999999997E-3</v>
      </c>
      <c r="AJ69" s="2" t="str">
        <f>_xlfn.XLOOKUP($C69,[1]Bus!$A$2:$A$121,[1]Bus!$J$2:$J$121,0)</f>
        <v>ORIENTAL</v>
      </c>
      <c r="AK69" s="2" t="str">
        <f>_xlfn.XLOOKUP($C69,[1]Bus!$A$2:$A$121,[1]Bus!$K$2:$K$121,0)</f>
        <v>BOGOTA</v>
      </c>
      <c r="AL69" s="2">
        <v>0.14573269999999999</v>
      </c>
      <c r="AM69" s="2">
        <f t="shared" si="9"/>
        <v>23.10619132663367</v>
      </c>
      <c r="AN69" s="2">
        <f t="shared" si="10"/>
        <v>4.3543456540724453E-2</v>
      </c>
      <c r="AO69" s="2">
        <f t="shared" si="11"/>
        <v>9.0224299065420546</v>
      </c>
      <c r="AP69" s="2">
        <f t="shared" si="12"/>
        <v>2.529893947970852</v>
      </c>
      <c r="AQ69" s="2">
        <v>0</v>
      </c>
      <c r="AR69" s="2">
        <v>7.2811734094107711E-2</v>
      </c>
    </row>
    <row r="70" spans="1:44" ht="16" x14ac:dyDescent="0.2">
      <c r="A70" s="1" t="s">
        <v>174</v>
      </c>
      <c r="B70" s="4" t="str">
        <f>_xlfn.CONCAT(_xlfn.XLOOKUP($C70,[1]Bus!$A$2:$A$121,[1]Bus!$C$2:$C$121,0)," - ",_xlfn.XLOOKUP($D70,[1]Bus!$A$2:$A$121,[1]Bus!$C$2:$C$121,0))</f>
        <v>Betania_220 - Mirolindo(Ibague)_220</v>
      </c>
      <c r="C70" s="4" t="s">
        <v>154</v>
      </c>
      <c r="D70" s="4" t="s">
        <v>173</v>
      </c>
      <c r="E70">
        <f t="shared" si="7"/>
        <v>2.6998706742561985E-2</v>
      </c>
      <c r="F70">
        <f t="shared" si="7"/>
        <v>0.20551381504669422</v>
      </c>
      <c r="G70">
        <v>341</v>
      </c>
      <c r="H70">
        <v>341</v>
      </c>
      <c r="I70">
        <v>341</v>
      </c>
      <c r="N70" s="4">
        <v>206.11000100000001</v>
      </c>
      <c r="P70" s="2">
        <v>0</v>
      </c>
      <c r="S70">
        <f t="shared" si="8"/>
        <v>484</v>
      </c>
      <c r="T70">
        <v>220</v>
      </c>
      <c r="U70">
        <v>1</v>
      </c>
      <c r="V70" s="4">
        <v>6.3399999999999998E-2</v>
      </c>
      <c r="W70" s="4">
        <v>0.48259999999999997</v>
      </c>
      <c r="X70" s="4">
        <v>9.0810000000000005E-3</v>
      </c>
      <c r="Y70" s="4">
        <v>0</v>
      </c>
      <c r="Z70" s="4">
        <v>0.89500000000000002</v>
      </c>
      <c r="AA70" s="4">
        <v>1</v>
      </c>
      <c r="AB70" s="4">
        <v>1</v>
      </c>
      <c r="AC70" s="4" t="s">
        <v>60</v>
      </c>
      <c r="AD70" s="4" t="b">
        <v>1</v>
      </c>
      <c r="AE70" s="4">
        <v>0.35360000000000003</v>
      </c>
      <c r="AF70" s="4">
        <v>1.1862999999999999</v>
      </c>
      <c r="AG70" s="4">
        <v>5.8509999999999994E-3</v>
      </c>
      <c r="AH70" s="4">
        <v>130.055893</v>
      </c>
      <c r="AI70" s="4">
        <v>4.0299999999999997E-3</v>
      </c>
      <c r="AJ70" s="2" t="str">
        <f>_xlfn.XLOOKUP($C70,[1]Bus!$A$2:$A$121,[1]Bus!$J$2:$J$121,0)</f>
        <v>SUROCCID</v>
      </c>
      <c r="AK70" s="2" t="str">
        <f>_xlfn.XLOOKUP($C70,[1]Bus!$A$2:$A$121,[1]Bus!$K$2:$K$121,0)</f>
        <v>HUILATOL</v>
      </c>
      <c r="AL70" s="2">
        <v>0.34151890000000001</v>
      </c>
      <c r="AM70" s="2">
        <f t="shared" si="9"/>
        <v>4.8658529343771502</v>
      </c>
      <c r="AN70" s="2">
        <f t="shared" si="10"/>
        <v>0.20727966214951649</v>
      </c>
      <c r="AO70" s="2">
        <f t="shared" si="11"/>
        <v>7.6119873817034698</v>
      </c>
      <c r="AP70" s="2">
        <f t="shared" si="12"/>
        <v>0.62839045175932839</v>
      </c>
      <c r="AQ70" s="2">
        <v>0</v>
      </c>
      <c r="AR70" s="2">
        <v>0.34151890000000001</v>
      </c>
    </row>
    <row r="71" spans="1:44" ht="16" x14ac:dyDescent="0.2">
      <c r="A71" s="1" t="s">
        <v>175</v>
      </c>
      <c r="B71" s="4" t="str">
        <f>_xlfn.CONCAT(_xlfn.XLOOKUP($C71,[1]Bus!$A$2:$A$121,[1]Bus!$C$2:$C$121,0)," - ",_xlfn.XLOOKUP($D71,[1]Bus!$A$2:$A$121,[1]Bus!$C$2:$C$121,0))</f>
        <v>Betania_220 - Tuluni_220</v>
      </c>
      <c r="C71" s="4" t="s">
        <v>154</v>
      </c>
      <c r="D71" s="4" t="s">
        <v>176</v>
      </c>
      <c r="E71">
        <f t="shared" si="7"/>
        <v>2.1884358950413227E-2</v>
      </c>
      <c r="F71">
        <f t="shared" si="7"/>
        <v>0.16266284712396695</v>
      </c>
      <c r="G71">
        <v>341</v>
      </c>
      <c r="H71">
        <v>341</v>
      </c>
      <c r="I71">
        <v>341</v>
      </c>
      <c r="N71" s="4">
        <v>158.08999600000001</v>
      </c>
      <c r="P71" s="2">
        <v>0</v>
      </c>
      <c r="S71">
        <f t="shared" si="8"/>
        <v>484</v>
      </c>
      <c r="T71">
        <v>220</v>
      </c>
      <c r="U71">
        <v>1</v>
      </c>
      <c r="V71" s="4">
        <v>6.7000000000000004E-2</v>
      </c>
      <c r="W71" s="4">
        <v>0.498</v>
      </c>
      <c r="X71" s="4">
        <v>5.326E-3</v>
      </c>
      <c r="Y71" s="4">
        <v>0</v>
      </c>
      <c r="Z71" s="4">
        <v>0.89500000000000002</v>
      </c>
      <c r="AA71" s="4">
        <v>1</v>
      </c>
      <c r="AB71" s="4">
        <v>1</v>
      </c>
      <c r="AC71" s="4" t="s">
        <v>60</v>
      </c>
      <c r="AD71" s="4" t="b">
        <v>1</v>
      </c>
      <c r="AE71" s="4">
        <v>0.29599999999999999</v>
      </c>
      <c r="AF71" s="4">
        <v>1.1839999999999999</v>
      </c>
      <c r="AG71" s="4">
        <v>2.2409999999999999E-3</v>
      </c>
      <c r="AH71" s="4">
        <v>130.055893</v>
      </c>
      <c r="AI71" s="4">
        <v>4.0299999999999997E-3</v>
      </c>
      <c r="AJ71" s="2" t="str">
        <f>_xlfn.XLOOKUP($C71,[1]Bus!$A$2:$A$121,[1]Bus!$J$2:$J$121,0)</f>
        <v>SUROCCID</v>
      </c>
      <c r="AK71" s="2" t="str">
        <f>_xlfn.XLOOKUP($C71,[1]Bus!$A$2:$A$121,[1]Bus!$K$2:$K$121,0)</f>
        <v>HUILATOL</v>
      </c>
      <c r="AL71" s="2">
        <v>0.15364320000000001</v>
      </c>
      <c r="AM71" s="2">
        <f t="shared" si="9"/>
        <v>6.1476853361474131</v>
      </c>
      <c r="AN71" s="2">
        <f t="shared" si="10"/>
        <v>0.1641283857263745</v>
      </c>
      <c r="AO71" s="2">
        <f t="shared" si="11"/>
        <v>7.4328358208955212</v>
      </c>
      <c r="AP71" s="2">
        <f t="shared" si="12"/>
        <v>0.81239348784280985</v>
      </c>
      <c r="AQ71" s="2">
        <v>0</v>
      </c>
      <c r="AR71" s="2">
        <v>0.15364320000000001</v>
      </c>
    </row>
    <row r="72" spans="1:44" ht="16" x14ac:dyDescent="0.2">
      <c r="A72" s="1" t="s">
        <v>177</v>
      </c>
      <c r="B72" s="4" t="str">
        <f>_xlfn.CONCAT(_xlfn.XLOOKUP($C72,[1]Bus!$A$2:$A$121,[1]Bus!$C$2:$C$121,0)," - ",_xlfn.XLOOKUP($D72,[1]Bus!$A$2:$A$121,[1]Bus!$C$2:$C$121,0))</f>
        <v>Mirolindo(Ibague)_220 - Tuluni_220</v>
      </c>
      <c r="C72" s="4" t="s">
        <v>173</v>
      </c>
      <c r="D72" s="4" t="s">
        <v>176</v>
      </c>
      <c r="E72">
        <f t="shared" si="7"/>
        <v>1.3977272727272729E-2</v>
      </c>
      <c r="F72">
        <f t="shared" si="7"/>
        <v>0.10461776859504132</v>
      </c>
      <c r="G72">
        <v>341</v>
      </c>
      <c r="H72">
        <v>341</v>
      </c>
      <c r="I72">
        <v>341</v>
      </c>
      <c r="N72" s="4">
        <v>102.5</v>
      </c>
      <c r="P72" s="2">
        <v>0</v>
      </c>
      <c r="S72">
        <f t="shared" si="8"/>
        <v>484</v>
      </c>
      <c r="T72">
        <v>220</v>
      </c>
      <c r="U72">
        <v>1</v>
      </c>
      <c r="V72" s="4">
        <v>6.6000000000000003E-2</v>
      </c>
      <c r="W72" s="4">
        <v>0.49399999999999999</v>
      </c>
      <c r="X72" s="4">
        <v>5.3689999999999996E-3</v>
      </c>
      <c r="Y72" s="4">
        <v>0</v>
      </c>
      <c r="Z72" s="4">
        <v>0.89500000000000002</v>
      </c>
      <c r="AA72" s="4">
        <v>1</v>
      </c>
      <c r="AB72" s="4">
        <v>1</v>
      </c>
      <c r="AC72" s="4" t="s">
        <v>60</v>
      </c>
      <c r="AD72" s="4" t="b">
        <v>1</v>
      </c>
      <c r="AE72" s="4">
        <v>0.27100000000000002</v>
      </c>
      <c r="AF72" s="4">
        <v>1.1419999999999999</v>
      </c>
      <c r="AG72" s="4">
        <v>2.3240000000000001E-3</v>
      </c>
      <c r="AH72" s="4">
        <v>130.055893</v>
      </c>
      <c r="AI72" s="4">
        <v>4.0299999999999997E-3</v>
      </c>
      <c r="AJ72" s="2" t="str">
        <f>_xlfn.XLOOKUP($C72,[1]Bus!$A$2:$A$121,[1]Bus!$J$2:$J$121,0)</f>
        <v>SUROCCID</v>
      </c>
      <c r="AK72" s="2" t="str">
        <f>_xlfn.XLOOKUP($C72,[1]Bus!$A$2:$A$121,[1]Bus!$K$2:$K$121,0)</f>
        <v>HUILATOL</v>
      </c>
      <c r="AL72" s="2">
        <v>0.1004106</v>
      </c>
      <c r="AM72" s="2">
        <f t="shared" si="9"/>
        <v>9.5586057075145643</v>
      </c>
      <c r="AN72" s="2">
        <f t="shared" si="10"/>
        <v>0.10554734321004094</v>
      </c>
      <c r="AO72" s="2">
        <f t="shared" si="11"/>
        <v>7.4848484848484844</v>
      </c>
      <c r="AP72" s="2">
        <f t="shared" si="12"/>
        <v>1.2546651280548686</v>
      </c>
      <c r="AQ72" s="2">
        <v>0</v>
      </c>
      <c r="AR72" s="2">
        <v>0.1004106</v>
      </c>
    </row>
    <row r="73" spans="1:44" ht="16" x14ac:dyDescent="0.2">
      <c r="A73" s="1" t="s">
        <v>178</v>
      </c>
      <c r="B73" s="4" t="str">
        <f>_xlfn.CONCAT(_xlfn.XLOOKUP($C73,[1]Bus!$A$2:$A$121,[1]Bus!$C$2:$C$121,0)," - ",_xlfn.XLOOKUP($D73,[1]Bus!$A$2:$A$121,[1]Bus!$C$2:$C$121,0))</f>
        <v>Alferez_220 - Yumbo_220</v>
      </c>
      <c r="C73" s="4" t="s">
        <v>163</v>
      </c>
      <c r="D73" s="4" t="s">
        <v>139</v>
      </c>
      <c r="E73">
        <f t="shared" si="7"/>
        <v>2.3774617768595042E-3</v>
      </c>
      <c r="F73">
        <f t="shared" si="7"/>
        <v>2.377461776859504E-2</v>
      </c>
      <c r="G73">
        <v>382</v>
      </c>
      <c r="H73">
        <v>382</v>
      </c>
      <c r="I73">
        <v>382</v>
      </c>
      <c r="N73" s="4">
        <v>24.535</v>
      </c>
      <c r="P73" s="2">
        <v>0</v>
      </c>
      <c r="S73">
        <f t="shared" si="8"/>
        <v>484</v>
      </c>
      <c r="T73">
        <v>220</v>
      </c>
      <c r="U73">
        <v>1</v>
      </c>
      <c r="V73" s="4">
        <v>4.6899999999999997E-2</v>
      </c>
      <c r="W73" s="4">
        <v>0.46899999999999997</v>
      </c>
      <c r="X73" s="4">
        <v>9.4769999999999993E-3</v>
      </c>
      <c r="Y73" s="4">
        <v>0</v>
      </c>
      <c r="Z73" s="4">
        <v>1.0029999999999999</v>
      </c>
      <c r="AA73" s="4">
        <v>1</v>
      </c>
      <c r="AB73" s="4">
        <v>1</v>
      </c>
      <c r="AC73" s="4" t="s">
        <v>60</v>
      </c>
      <c r="AD73" s="4" t="b">
        <v>1</v>
      </c>
      <c r="AE73" s="4">
        <v>0.37859999999999999</v>
      </c>
      <c r="AF73" s="4">
        <v>1.3304</v>
      </c>
      <c r="AG73" s="4">
        <v>5.7920000000000003E-3</v>
      </c>
      <c r="AH73" s="4">
        <v>130</v>
      </c>
      <c r="AI73" s="4">
        <v>4.0299999999999997E-3</v>
      </c>
      <c r="AJ73" s="2" t="str">
        <f>_xlfn.XLOOKUP($C73,[1]Bus!$A$2:$A$121,[1]Bus!$J$2:$J$121,0)</f>
        <v>SUROCCID</v>
      </c>
      <c r="AK73" s="2" t="str">
        <f>_xlfn.XLOOKUP($C73,[1]Bus!$A$2:$A$121,[1]Bus!$K$2:$K$121,0)</f>
        <v>VALLE</v>
      </c>
      <c r="AL73" s="2">
        <v>4.2424410000000003E-2</v>
      </c>
      <c r="AM73" s="2">
        <f t="shared" si="9"/>
        <v>42.061664659902334</v>
      </c>
      <c r="AN73" s="2">
        <f t="shared" si="10"/>
        <v>2.389319515140708E-2</v>
      </c>
      <c r="AO73" s="2">
        <f t="shared" si="11"/>
        <v>9.9999999999999982</v>
      </c>
      <c r="AP73" s="2">
        <f t="shared" si="12"/>
        <v>4.1645212534556775</v>
      </c>
      <c r="AQ73" s="2">
        <v>0</v>
      </c>
      <c r="AR73" s="2">
        <v>4.2424410000000003E-2</v>
      </c>
    </row>
    <row r="74" spans="1:44" ht="16" x14ac:dyDescent="0.2">
      <c r="A74" s="1" t="s">
        <v>179</v>
      </c>
      <c r="B74" s="4" t="str">
        <f>_xlfn.CONCAT(_xlfn.XLOOKUP($C74,[1]Bus!$A$2:$A$121,[1]Bus!$C$2:$C$121,0)," - ",_xlfn.XLOOKUP($D74,[1]Bus!$A$2:$A$121,[1]Bus!$C$2:$C$121,0))</f>
        <v>Pance_220 - Juanchito_220</v>
      </c>
      <c r="C74" s="4" t="s">
        <v>180</v>
      </c>
      <c r="D74" s="4" t="s">
        <v>160</v>
      </c>
      <c r="E74">
        <f t="shared" si="7"/>
        <v>3.0010206611570246E-3</v>
      </c>
      <c r="F74">
        <f t="shared" si="7"/>
        <v>2.3028336776859504E-2</v>
      </c>
      <c r="G74">
        <v>421</v>
      </c>
      <c r="H74">
        <v>421</v>
      </c>
      <c r="I74">
        <v>421</v>
      </c>
      <c r="N74" s="4">
        <v>22.91</v>
      </c>
      <c r="P74" s="2">
        <v>0</v>
      </c>
      <c r="S74">
        <f t="shared" si="8"/>
        <v>484</v>
      </c>
      <c r="T74">
        <v>220</v>
      </c>
      <c r="U74">
        <v>1</v>
      </c>
      <c r="V74" s="4">
        <v>6.3399999999999998E-2</v>
      </c>
      <c r="W74" s="4">
        <v>0.48649999999999999</v>
      </c>
      <c r="X74" s="4">
        <v>0</v>
      </c>
      <c r="Y74" s="4">
        <v>0</v>
      </c>
      <c r="Z74" s="4">
        <v>1.1060000000000001</v>
      </c>
      <c r="AA74" s="4">
        <v>1</v>
      </c>
      <c r="AB74" s="4">
        <v>1</v>
      </c>
      <c r="AC74" s="4" t="s">
        <v>60</v>
      </c>
      <c r="AD74" s="4" t="b">
        <v>1</v>
      </c>
      <c r="AE74" s="4">
        <v>0.51290000000000002</v>
      </c>
      <c r="AF74" s="4">
        <v>1.5324</v>
      </c>
      <c r="AG74" s="4">
        <v>0</v>
      </c>
      <c r="AH74" s="4">
        <v>130</v>
      </c>
      <c r="AI74" s="4">
        <v>4.0299999999999997E-3</v>
      </c>
      <c r="AJ74" s="2" t="str">
        <f>_xlfn.XLOOKUP($C74,[1]Bus!$A$2:$A$121,[1]Bus!$J$2:$J$121,0)</f>
        <v>SUROCCID</v>
      </c>
      <c r="AK74" s="2" t="str">
        <f>_xlfn.XLOOKUP($C74,[1]Bus!$A$2:$A$121,[1]Bus!$K$2:$K$121,0)</f>
        <v>VALLE</v>
      </c>
      <c r="AL74" s="2">
        <v>3.8493520000000003E-2</v>
      </c>
      <c r="AM74" s="2">
        <f t="shared" si="9"/>
        <v>43.424760098387587</v>
      </c>
      <c r="AN74" s="2">
        <f t="shared" si="10"/>
        <v>2.3223057932088773E-2</v>
      </c>
      <c r="AO74" s="2">
        <f t="shared" si="11"/>
        <v>7.6735015772870669</v>
      </c>
      <c r="AP74" s="2">
        <f t="shared" si="12"/>
        <v>5.564551604122447</v>
      </c>
      <c r="AQ74" s="2">
        <v>0</v>
      </c>
      <c r="AR74" s="2">
        <v>3.8493520000000003E-2</v>
      </c>
    </row>
    <row r="75" spans="1:44" ht="16" x14ac:dyDescent="0.2">
      <c r="A75" s="1" t="s">
        <v>181</v>
      </c>
      <c r="B75" s="4" t="str">
        <f>_xlfn.CONCAT(_xlfn.XLOOKUP($C75,[1]Bus!$A$2:$A$121,[1]Bus!$C$2:$C$121,0)," - ",_xlfn.XLOOKUP($D75,[1]Bus!$A$2:$A$121,[1]Bus!$C$2:$C$121,0))</f>
        <v>San_Marcos_220 - Yumbo_220</v>
      </c>
      <c r="C75" s="4" t="s">
        <v>182</v>
      </c>
      <c r="D75" s="4" t="s">
        <v>139</v>
      </c>
      <c r="E75">
        <f t="shared" si="7"/>
        <v>7.2371900826446274E-4</v>
      </c>
      <c r="F75">
        <f t="shared" si="7"/>
        <v>6.2830785123966946E-3</v>
      </c>
      <c r="G75">
        <v>376</v>
      </c>
      <c r="H75">
        <v>376</v>
      </c>
      <c r="I75">
        <v>376</v>
      </c>
      <c r="N75" s="4">
        <v>6.3</v>
      </c>
      <c r="P75" s="2">
        <v>0</v>
      </c>
      <c r="S75">
        <f t="shared" si="8"/>
        <v>484</v>
      </c>
      <c r="T75">
        <v>220</v>
      </c>
      <c r="U75">
        <v>1</v>
      </c>
      <c r="V75" s="4">
        <v>5.5599999999999997E-2</v>
      </c>
      <c r="W75" s="4">
        <v>0.48270000000000002</v>
      </c>
      <c r="X75" s="4">
        <v>9.1900000000000003E-3</v>
      </c>
      <c r="Y75" s="4">
        <v>0</v>
      </c>
      <c r="Z75" s="4">
        <v>0.98599999999999999</v>
      </c>
      <c r="AA75" s="4">
        <v>1</v>
      </c>
      <c r="AB75" s="4">
        <v>1</v>
      </c>
      <c r="AC75" s="4" t="s">
        <v>60</v>
      </c>
      <c r="AD75" s="4" t="b">
        <v>1</v>
      </c>
      <c r="AE75" s="4">
        <v>0.2442</v>
      </c>
      <c r="AF75" s="4">
        <v>1.1031</v>
      </c>
      <c r="AG75" s="4">
        <v>5.8180000000000003E-3</v>
      </c>
      <c r="AH75" s="4">
        <v>130</v>
      </c>
      <c r="AI75" s="4">
        <v>4.0299999999999997E-3</v>
      </c>
      <c r="AJ75" s="2" t="str">
        <f>_xlfn.XLOOKUP($C75,[1]Bus!$A$2:$A$121,[1]Bus!$J$2:$J$121,0)</f>
        <v>SUROCCID</v>
      </c>
      <c r="AK75" s="2" t="str">
        <f>_xlfn.XLOOKUP($C75,[1]Bus!$A$2:$A$121,[1]Bus!$K$2:$K$121,0)</f>
        <v>VALLE</v>
      </c>
      <c r="AL75" s="2">
        <v>1.0564560000000001E-2</v>
      </c>
      <c r="AM75" s="2">
        <f t="shared" si="9"/>
        <v>159.15764828132757</v>
      </c>
      <c r="AN75" s="2">
        <f t="shared" si="10"/>
        <v>6.3246221069613601E-3</v>
      </c>
      <c r="AO75" s="2">
        <f t="shared" si="11"/>
        <v>8.6816546762589937</v>
      </c>
      <c r="AP75" s="2">
        <f t="shared" si="12"/>
        <v>18.092593092916058</v>
      </c>
      <c r="AQ75" s="2">
        <v>0</v>
      </c>
      <c r="AR75" s="2">
        <v>1.0564560000000001E-2</v>
      </c>
    </row>
    <row r="76" spans="1:44" ht="16" x14ac:dyDescent="0.2">
      <c r="A76" s="1" t="s">
        <v>183</v>
      </c>
      <c r="B76" s="4" t="str">
        <f>_xlfn.CONCAT(_xlfn.XLOOKUP($C76,[1]Bus!$A$2:$A$121,[1]Bus!$C$2:$C$121,0)," - ",_xlfn.XLOOKUP($D76,[1]Bus!$A$2:$A$121,[1]Bus!$C$2:$C$121,0))</f>
        <v>Juanchito_220 - San_Marcos_220</v>
      </c>
      <c r="C76" s="4" t="s">
        <v>160</v>
      </c>
      <c r="D76" s="4" t="s">
        <v>182</v>
      </c>
      <c r="E76">
        <f t="shared" si="7"/>
        <v>2.4026652892561984E-3</v>
      </c>
      <c r="F76">
        <f t="shared" si="7"/>
        <v>2.1660185950413222E-2</v>
      </c>
      <c r="G76">
        <v>375</v>
      </c>
      <c r="H76">
        <v>375</v>
      </c>
      <c r="I76">
        <v>375</v>
      </c>
      <c r="N76" s="4">
        <v>21.9</v>
      </c>
      <c r="P76" s="2">
        <v>0</v>
      </c>
      <c r="S76">
        <f t="shared" si="8"/>
        <v>484</v>
      </c>
      <c r="T76">
        <v>220</v>
      </c>
      <c r="U76">
        <v>1</v>
      </c>
      <c r="V76" s="4">
        <v>5.3100000000000001E-2</v>
      </c>
      <c r="W76" s="4">
        <v>0.47870000000000001</v>
      </c>
      <c r="X76" s="4">
        <v>9.2189999999999998E-3</v>
      </c>
      <c r="Y76" s="4">
        <v>0</v>
      </c>
      <c r="Z76" s="4">
        <v>0.98399999999999999</v>
      </c>
      <c r="AA76" s="4">
        <v>1</v>
      </c>
      <c r="AB76" s="4">
        <v>1</v>
      </c>
      <c r="AC76" s="4" t="s">
        <v>60</v>
      </c>
      <c r="AD76" s="4" t="b">
        <v>1</v>
      </c>
      <c r="AE76" s="4">
        <v>0.34460000000000002</v>
      </c>
      <c r="AF76" s="4">
        <v>1.2804</v>
      </c>
      <c r="AG76" s="4">
        <v>5.8190000000000004E-3</v>
      </c>
      <c r="AH76" s="4">
        <v>129.97970599999999</v>
      </c>
      <c r="AI76" s="4">
        <v>4.0299999999999997E-3</v>
      </c>
      <c r="AJ76" s="2" t="str">
        <f>_xlfn.XLOOKUP($C76,[1]Bus!$A$2:$A$121,[1]Bus!$J$2:$J$121,0)</f>
        <v>SUROCCID</v>
      </c>
      <c r="AK76" s="2" t="str">
        <f>_xlfn.XLOOKUP($C76,[1]Bus!$A$2:$A$121,[1]Bus!$K$2:$K$121,0)</f>
        <v>VALLE</v>
      </c>
      <c r="AL76" s="2">
        <v>3.6836790000000001E-2</v>
      </c>
      <c r="AM76" s="2">
        <f t="shared" si="9"/>
        <v>46.167655360360492</v>
      </c>
      <c r="AN76" s="2">
        <f t="shared" si="10"/>
        <v>2.1793036867281141E-2</v>
      </c>
      <c r="AO76" s="2">
        <f t="shared" si="11"/>
        <v>9.0150659133709983</v>
      </c>
      <c r="AP76" s="2">
        <f t="shared" si="12"/>
        <v>5.0589194815754333</v>
      </c>
      <c r="AQ76" s="2">
        <v>0</v>
      </c>
      <c r="AR76" s="2">
        <v>3.6836790000000001E-2</v>
      </c>
    </row>
    <row r="77" spans="1:44" ht="16" x14ac:dyDescent="0.2">
      <c r="A77" s="1" t="s">
        <v>184</v>
      </c>
      <c r="B77" s="4" t="str">
        <f>_xlfn.CONCAT(_xlfn.XLOOKUP($C77,[1]Bus!$A$2:$A$121,[1]Bus!$C$2:$C$121,0)," - ",_xlfn.XLOOKUP($D77,[1]Bus!$A$2:$A$121,[1]Bus!$C$2:$C$121,0))</f>
        <v>Alto_Anchya_220 - Pance_220</v>
      </c>
      <c r="C77" s="4" t="s">
        <v>185</v>
      </c>
      <c r="D77" s="4" t="s">
        <v>180</v>
      </c>
      <c r="E77">
        <f t="shared" si="7"/>
        <v>7.2733946280991724E-3</v>
      </c>
      <c r="F77">
        <f t="shared" si="7"/>
        <v>5.4065938016528925E-2</v>
      </c>
      <c r="G77">
        <v>404</v>
      </c>
      <c r="H77">
        <v>404</v>
      </c>
      <c r="I77">
        <v>404</v>
      </c>
      <c r="N77" s="4">
        <v>53.91</v>
      </c>
      <c r="P77" s="2">
        <v>0</v>
      </c>
      <c r="S77">
        <f t="shared" si="8"/>
        <v>484</v>
      </c>
      <c r="T77">
        <v>220</v>
      </c>
      <c r="U77">
        <v>1</v>
      </c>
      <c r="V77" s="4">
        <v>6.5299999999999997E-2</v>
      </c>
      <c r="W77" s="4">
        <v>0.4854</v>
      </c>
      <c r="X77" s="4">
        <v>9.1389999999999996E-3</v>
      </c>
      <c r="Y77" s="4">
        <v>0</v>
      </c>
      <c r="Z77" s="4">
        <v>1.06</v>
      </c>
      <c r="AA77" s="4">
        <v>1</v>
      </c>
      <c r="AB77" s="4">
        <v>1</v>
      </c>
      <c r="AC77" s="4" t="s">
        <v>60</v>
      </c>
      <c r="AD77" s="4" t="b">
        <v>1</v>
      </c>
      <c r="AE77" s="4">
        <v>0.48380000000000001</v>
      </c>
      <c r="AF77" s="4">
        <v>1.6464000000000001</v>
      </c>
      <c r="AG77" s="4">
        <v>6.3290000000000004E-3</v>
      </c>
      <c r="AH77" s="4">
        <v>100</v>
      </c>
      <c r="AI77" s="4">
        <v>4.0299999999999997E-3</v>
      </c>
      <c r="AJ77" s="2" t="str">
        <f>_xlfn.XLOOKUP($C77,[1]Bus!$A$2:$A$121,[1]Bus!$J$2:$J$121,0)</f>
        <v>SUROCCID</v>
      </c>
      <c r="AK77" s="2" t="str">
        <f>_xlfn.XLOOKUP($C77,[1]Bus!$A$2:$A$121,[1]Bus!$K$2:$K$121,0)</f>
        <v>VALLE</v>
      </c>
      <c r="AL77" s="2">
        <v>8.9901499999999995E-2</v>
      </c>
      <c r="AM77" s="2">
        <f t="shared" si="9"/>
        <v>18.495933607852731</v>
      </c>
      <c r="AN77" s="2">
        <f t="shared" si="10"/>
        <v>5.4552982714267874E-2</v>
      </c>
      <c r="AO77" s="2">
        <f t="shared" si="11"/>
        <v>7.4333843797856058</v>
      </c>
      <c r="AP77" s="2">
        <f t="shared" si="12"/>
        <v>2.4439940807781353</v>
      </c>
      <c r="AQ77" s="2">
        <v>0</v>
      </c>
      <c r="AR77" s="2">
        <v>8.9901499999999995E-2</v>
      </c>
    </row>
    <row r="78" spans="1:44" ht="16" x14ac:dyDescent="0.2">
      <c r="A78" s="1" t="s">
        <v>186</v>
      </c>
      <c r="B78" s="4" t="str">
        <f>_xlfn.CONCAT(_xlfn.XLOOKUP($C78,[1]Bus!$A$2:$A$121,[1]Bus!$C$2:$C$121,0)," - ",_xlfn.XLOOKUP($D78,[1]Bus!$A$2:$A$121,[1]Bus!$C$2:$C$121,0))</f>
        <v>Alto_Anchya_220 - Yumbo_220</v>
      </c>
      <c r="C78" s="4" t="s">
        <v>185</v>
      </c>
      <c r="D78" s="4" t="s">
        <v>139</v>
      </c>
      <c r="E78">
        <f t="shared" si="7"/>
        <v>7.3759315483471069E-3</v>
      </c>
      <c r="F78">
        <f t="shared" si="7"/>
        <v>5.4636111637603305E-2</v>
      </c>
      <c r="G78">
        <v>381</v>
      </c>
      <c r="H78">
        <v>381</v>
      </c>
      <c r="I78">
        <v>381</v>
      </c>
      <c r="N78" s="4">
        <v>54.669998</v>
      </c>
      <c r="P78" s="2">
        <v>0</v>
      </c>
      <c r="S78">
        <f t="shared" si="8"/>
        <v>484</v>
      </c>
      <c r="T78">
        <v>220</v>
      </c>
      <c r="U78">
        <v>1</v>
      </c>
      <c r="V78" s="4">
        <v>6.5299999999999997E-2</v>
      </c>
      <c r="W78" s="4">
        <v>0.48370000000000002</v>
      </c>
      <c r="X78" s="4">
        <v>9.1389999999999996E-3</v>
      </c>
      <c r="Y78" s="4">
        <v>0</v>
      </c>
      <c r="Z78" s="4">
        <v>1</v>
      </c>
      <c r="AA78" s="4">
        <v>1</v>
      </c>
      <c r="AB78" s="4">
        <v>1</v>
      </c>
      <c r="AC78" s="4" t="s">
        <v>60</v>
      </c>
      <c r="AD78" s="4" t="b">
        <v>1</v>
      </c>
      <c r="AE78" s="4">
        <v>0.48380000000000001</v>
      </c>
      <c r="AF78" s="4">
        <v>1.6464000000000001</v>
      </c>
      <c r="AG78" s="4">
        <v>6.3290000000000004E-3</v>
      </c>
      <c r="AH78" s="4">
        <v>100</v>
      </c>
      <c r="AI78" s="4">
        <v>4.0299999999999997E-3</v>
      </c>
      <c r="AJ78" s="2" t="str">
        <f>_xlfn.XLOOKUP($C78,[1]Bus!$A$2:$A$121,[1]Bus!$J$2:$J$121,0)</f>
        <v>SUROCCID</v>
      </c>
      <c r="AK78" s="2" t="str">
        <f>_xlfn.XLOOKUP($C78,[1]Bus!$A$2:$A$121,[1]Bus!$K$2:$K$121,0)</f>
        <v>VALLE</v>
      </c>
      <c r="AL78" s="2">
        <v>9.1168890000000002E-2</v>
      </c>
      <c r="AM78" s="2">
        <f t="shared" si="9"/>
        <v>18.302913037313402</v>
      </c>
      <c r="AN78" s="2">
        <f t="shared" si="10"/>
        <v>5.5131742772041525E-2</v>
      </c>
      <c r="AO78" s="2">
        <f t="shared" si="11"/>
        <v>7.4073506891271057</v>
      </c>
      <c r="AP78" s="2">
        <f t="shared" si="12"/>
        <v>2.4266851653076142</v>
      </c>
      <c r="AQ78" s="2">
        <v>0</v>
      </c>
      <c r="AR78" s="2">
        <v>9.1168890000000002E-2</v>
      </c>
    </row>
    <row r="79" spans="1:44" ht="16" x14ac:dyDescent="0.2">
      <c r="A79" s="1" t="s">
        <v>187</v>
      </c>
      <c r="B79" s="4" t="str">
        <f>_xlfn.CONCAT(_xlfn.XLOOKUP($C79,[1]Bus!$A$2:$A$121,[1]Bus!$C$2:$C$121,0)," - ",_xlfn.XLOOKUP($D79,[1]Bus!$A$2:$A$121,[1]Bus!$C$2:$C$121,0))</f>
        <v>Cartago_220 - San_Marcos_220</v>
      </c>
      <c r="C79" s="4" t="s">
        <v>188</v>
      </c>
      <c r="D79" s="4" t="s">
        <v>182</v>
      </c>
      <c r="E79">
        <f t="shared" si="7"/>
        <v>8.4424628674586773E-3</v>
      </c>
      <c r="F79">
        <f t="shared" si="7"/>
        <v>7.495904747152983E-2</v>
      </c>
      <c r="G79">
        <v>750</v>
      </c>
      <c r="H79">
        <v>750</v>
      </c>
      <c r="I79">
        <v>750</v>
      </c>
      <c r="N79" s="4">
        <v>146.720001</v>
      </c>
      <c r="P79" s="2">
        <v>0</v>
      </c>
      <c r="S79">
        <f t="shared" si="8"/>
        <v>484</v>
      </c>
      <c r="T79">
        <v>220</v>
      </c>
      <c r="U79">
        <v>2</v>
      </c>
      <c r="V79" s="4">
        <v>2.785E-2</v>
      </c>
      <c r="W79" s="4">
        <v>0.24727493681124255</v>
      </c>
      <c r="X79" s="4">
        <v>9.1799999999999989E-3</v>
      </c>
      <c r="Y79" s="4">
        <v>0</v>
      </c>
      <c r="Z79" s="4">
        <v>0.98399999999999999</v>
      </c>
      <c r="AA79" s="4">
        <v>1</v>
      </c>
      <c r="AB79" s="4">
        <v>1</v>
      </c>
      <c r="AC79" s="4" t="s">
        <v>60</v>
      </c>
      <c r="AD79" s="4" t="b">
        <v>1</v>
      </c>
      <c r="AE79" s="4">
        <v>0.12944517248024667</v>
      </c>
      <c r="AF79" s="4">
        <v>0.5693746399719003</v>
      </c>
      <c r="AG79" s="4">
        <v>5.8110000000000002E-3</v>
      </c>
      <c r="AH79" s="4">
        <v>129.97970599999999</v>
      </c>
      <c r="AI79" s="4">
        <v>4.0299999999999997E-3</v>
      </c>
      <c r="AJ79" s="2" t="str">
        <f>_xlfn.XLOOKUP($C79,[1]Bus!$A$2:$A$121,[1]Bus!$J$2:$J$121,0)</f>
        <v>SUROCCID</v>
      </c>
      <c r="AK79" s="2" t="str">
        <f>_xlfn.XLOOKUP($C79,[1]Bus!$A$2:$A$121,[1]Bus!$K$2:$K$121,0)</f>
        <v>VALLE</v>
      </c>
      <c r="AL79" s="2">
        <v>0.24574579999999999</v>
      </c>
      <c r="AM79" s="2">
        <f t="shared" si="9"/>
        <v>13.340617760381889</v>
      </c>
      <c r="AN79" s="2">
        <f t="shared" si="10"/>
        <v>7.5432976721772557E-2</v>
      </c>
      <c r="AO79" s="2">
        <f t="shared" si="11"/>
        <v>8.8788128118938072</v>
      </c>
      <c r="AP79" s="2">
        <f t="shared" si="12"/>
        <v>1.4837019482185045</v>
      </c>
      <c r="AQ79" s="2">
        <v>0</v>
      </c>
      <c r="AR79" s="2">
        <v>0.12354079965874629</v>
      </c>
    </row>
    <row r="80" spans="1:44" ht="16" x14ac:dyDescent="0.2">
      <c r="A80" s="1" t="s">
        <v>189</v>
      </c>
      <c r="B80" s="4" t="str">
        <f>_xlfn.CONCAT(_xlfn.XLOOKUP($C80,[1]Bus!$A$2:$A$121,[1]Bus!$C$2:$C$121,0)," - ",_xlfn.XLOOKUP($D80,[1]Bus!$A$2:$A$121,[1]Bus!$C$2:$C$121,0))</f>
        <v>Cartago_220 - Virginia_220</v>
      </c>
      <c r="C80" s="4" t="s">
        <v>188</v>
      </c>
      <c r="D80" s="4" t="s">
        <v>135</v>
      </c>
      <c r="E80">
        <f t="shared" si="7"/>
        <v>1.0107558442712077E-3</v>
      </c>
      <c r="F80">
        <f t="shared" si="7"/>
        <v>8.951747946880426E-3</v>
      </c>
      <c r="G80">
        <v>750</v>
      </c>
      <c r="H80">
        <v>750</v>
      </c>
      <c r="I80">
        <v>750</v>
      </c>
      <c r="N80" s="4">
        <v>17.549999</v>
      </c>
      <c r="P80" s="2">
        <v>0</v>
      </c>
      <c r="S80">
        <f t="shared" si="8"/>
        <v>484</v>
      </c>
      <c r="T80">
        <v>220</v>
      </c>
      <c r="U80">
        <v>2</v>
      </c>
      <c r="V80" s="4">
        <v>2.7874977578475336E-2</v>
      </c>
      <c r="W80" s="4">
        <v>0.24687443037974682</v>
      </c>
      <c r="X80" s="4">
        <v>9.1739999999999999E-3</v>
      </c>
      <c r="Y80" s="4">
        <v>0</v>
      </c>
      <c r="Z80" s="4">
        <v>0.98399999999999999</v>
      </c>
      <c r="AA80" s="4">
        <v>1</v>
      </c>
      <c r="AB80" s="4">
        <v>1</v>
      </c>
      <c r="AC80" s="4" t="s">
        <v>60</v>
      </c>
      <c r="AD80" s="4" t="b">
        <v>1</v>
      </c>
      <c r="AE80" s="4">
        <v>0.12900301740812378</v>
      </c>
      <c r="AF80" s="4">
        <v>0.56828363100475099</v>
      </c>
      <c r="AG80" s="4">
        <v>5.8069999999999997E-3</v>
      </c>
      <c r="AH80" s="4">
        <v>129.97970599999999</v>
      </c>
      <c r="AI80" s="4">
        <v>4.0299999999999997E-3</v>
      </c>
      <c r="AJ80" s="2" t="str">
        <f>_xlfn.XLOOKUP($C80,[1]Bus!$A$2:$A$121,[1]Bus!$J$2:$J$121,0)</f>
        <v>SUROCCID</v>
      </c>
      <c r="AK80" s="2" t="str">
        <f>_xlfn.XLOOKUP($C80,[1]Bus!$A$2:$A$121,[1]Bus!$K$2:$K$121,0)</f>
        <v>VALLE</v>
      </c>
      <c r="AL80" s="2">
        <v>2.9377190000000001E-2</v>
      </c>
      <c r="AM80" s="2">
        <f t="shared" si="9"/>
        <v>111.71002645896522</v>
      </c>
      <c r="AN80" s="2">
        <f t="shared" si="10"/>
        <v>9.0086302333488143E-3</v>
      </c>
      <c r="AO80" s="2">
        <f t="shared" si="11"/>
        <v>8.8564889311473305</v>
      </c>
      <c r="AP80" s="2">
        <f t="shared" si="12"/>
        <v>12.454570017581279</v>
      </c>
      <c r="AQ80" s="2">
        <v>0</v>
      </c>
      <c r="AR80" s="2">
        <v>1.4615207664102792E-2</v>
      </c>
    </row>
    <row r="81" spans="1:44" ht="16" x14ac:dyDescent="0.2">
      <c r="A81" s="1" t="s">
        <v>190</v>
      </c>
      <c r="B81" s="4" t="str">
        <f>_xlfn.CONCAT(_xlfn.XLOOKUP($C81,[1]Bus!$A$2:$A$121,[1]Bus!$C$2:$C$121,0)," - ",_xlfn.XLOOKUP($D81,[1]Bus!$A$2:$A$121,[1]Bus!$C$2:$C$121,0))</f>
        <v>Juanchito_220 - Salvajina_220</v>
      </c>
      <c r="C81" s="4" t="s">
        <v>160</v>
      </c>
      <c r="D81" s="4" t="s">
        <v>191</v>
      </c>
      <c r="E81">
        <f t="shared" si="7"/>
        <v>8.3271446280991732E-3</v>
      </c>
      <c r="F81">
        <f t="shared" si="7"/>
        <v>6.3898357438016529E-2</v>
      </c>
      <c r="G81">
        <v>421</v>
      </c>
      <c r="H81">
        <v>421</v>
      </c>
      <c r="I81">
        <v>421</v>
      </c>
      <c r="N81" s="4">
        <v>63.57</v>
      </c>
      <c r="P81" s="2">
        <v>0</v>
      </c>
      <c r="S81">
        <f t="shared" si="8"/>
        <v>484</v>
      </c>
      <c r="T81">
        <v>220</v>
      </c>
      <c r="U81">
        <v>1</v>
      </c>
      <c r="V81" s="4">
        <v>6.3399999999999998E-2</v>
      </c>
      <c r="W81" s="4">
        <v>0.48649999999999999</v>
      </c>
      <c r="X81" s="4">
        <v>9.2079999999999992E-3</v>
      </c>
      <c r="Y81" s="4">
        <v>0</v>
      </c>
      <c r="Z81" s="4">
        <v>1.1060000000000001</v>
      </c>
      <c r="AA81" s="4">
        <v>1</v>
      </c>
      <c r="AB81" s="4">
        <v>1</v>
      </c>
      <c r="AC81" s="4" t="s">
        <v>60</v>
      </c>
      <c r="AD81" s="4" t="b">
        <v>1</v>
      </c>
      <c r="AE81" s="4">
        <v>0.51290000000000002</v>
      </c>
      <c r="AF81" s="4">
        <v>1.5324</v>
      </c>
      <c r="AG81" s="4">
        <v>6.3590000000000001E-3</v>
      </c>
      <c r="AH81" s="4">
        <v>100</v>
      </c>
      <c r="AI81" s="4">
        <v>4.0299999999999997E-3</v>
      </c>
      <c r="AJ81" s="2" t="str">
        <f>_xlfn.XLOOKUP($C81,[1]Bus!$A$2:$A$121,[1]Bus!$J$2:$J$121,0)</f>
        <v>SUROCCID</v>
      </c>
      <c r="AK81" s="2" t="str">
        <f>_xlfn.XLOOKUP($C81,[1]Bus!$A$2:$A$121,[1]Bus!$K$2:$K$121,0)</f>
        <v>VALLE</v>
      </c>
      <c r="AL81" s="2">
        <v>0.10681069999999999</v>
      </c>
      <c r="AM81" s="2">
        <f t="shared" si="9"/>
        <v>15.649854551739178</v>
      </c>
      <c r="AN81" s="2">
        <f t="shared" si="10"/>
        <v>6.4438664021950393E-2</v>
      </c>
      <c r="AO81" s="2">
        <f t="shared" si="11"/>
        <v>7.6735015772870669</v>
      </c>
      <c r="AP81" s="2">
        <f t="shared" si="12"/>
        <v>2.0054094266233324</v>
      </c>
      <c r="AQ81" s="2">
        <v>0</v>
      </c>
      <c r="AR81" s="2">
        <v>0.10681069999999999</v>
      </c>
    </row>
    <row r="82" spans="1:44" ht="16" x14ac:dyDescent="0.2">
      <c r="A82" s="1" t="s">
        <v>192</v>
      </c>
      <c r="B82" s="4" t="str">
        <f>_xlfn.CONCAT(_xlfn.XLOOKUP($C82,[1]Bus!$A$2:$A$121,[1]Bus!$C$2:$C$121,0)," - ",_xlfn.XLOOKUP($D82,[1]Bus!$A$2:$A$121,[1]Bus!$C$2:$C$121,0))</f>
        <v>Pance_220 - Salvajina_220</v>
      </c>
      <c r="C82" s="4" t="s">
        <v>180</v>
      </c>
      <c r="D82" s="4" t="s">
        <v>191</v>
      </c>
      <c r="E82">
        <f t="shared" si="7"/>
        <v>6.5244938016528918E-3</v>
      </c>
      <c r="F82">
        <f t="shared" si="7"/>
        <v>4.9997144628099163E-2</v>
      </c>
      <c r="G82">
        <v>421</v>
      </c>
      <c r="H82">
        <v>421</v>
      </c>
      <c r="I82">
        <v>421</v>
      </c>
      <c r="N82" s="4">
        <v>49.73</v>
      </c>
      <c r="P82" s="2">
        <v>0</v>
      </c>
      <c r="S82">
        <f t="shared" si="8"/>
        <v>484</v>
      </c>
      <c r="T82">
        <v>220</v>
      </c>
      <c r="U82">
        <v>1</v>
      </c>
      <c r="V82" s="4">
        <v>6.3500000000000001E-2</v>
      </c>
      <c r="W82" s="4">
        <v>0.48659999999999998</v>
      </c>
      <c r="X82" s="4">
        <v>9.2079999999999992E-3</v>
      </c>
      <c r="Y82" s="4">
        <v>0</v>
      </c>
      <c r="Z82" s="4">
        <v>1.1060000000000001</v>
      </c>
      <c r="AA82" s="4">
        <v>1</v>
      </c>
      <c r="AB82" s="4">
        <v>1</v>
      </c>
      <c r="AC82" s="4" t="s">
        <v>60</v>
      </c>
      <c r="AD82" s="4" t="b">
        <v>1</v>
      </c>
      <c r="AE82" s="4">
        <v>0.51290000000000002</v>
      </c>
      <c r="AF82" s="4">
        <v>1.5324</v>
      </c>
      <c r="AG82" s="4">
        <v>6.3590000000000001E-3</v>
      </c>
      <c r="AH82" s="4">
        <v>100</v>
      </c>
      <c r="AI82" s="4">
        <v>4.0299999999999997E-3</v>
      </c>
      <c r="AJ82" s="2" t="str">
        <f>_xlfn.XLOOKUP($C82,[1]Bus!$A$2:$A$121,[1]Bus!$J$2:$J$121,0)</f>
        <v>SUROCCID</v>
      </c>
      <c r="AK82" s="2" t="str">
        <f>_xlfn.XLOOKUP($C82,[1]Bus!$A$2:$A$121,[1]Bus!$K$2:$K$121,0)</f>
        <v>VALLE</v>
      </c>
      <c r="AL82" s="2">
        <v>8.3556640000000001E-2</v>
      </c>
      <c r="AM82" s="2">
        <f t="shared" si="9"/>
        <v>20.001142213989251</v>
      </c>
      <c r="AN82" s="2">
        <f t="shared" si="10"/>
        <v>5.0421061971470532E-2</v>
      </c>
      <c r="AO82" s="2">
        <f t="shared" si="11"/>
        <v>7.6629921259842515</v>
      </c>
      <c r="AP82" s="2">
        <f t="shared" si="12"/>
        <v>2.5663911308348011</v>
      </c>
      <c r="AQ82" s="2">
        <v>0</v>
      </c>
      <c r="AR82" s="2">
        <v>8.3556640000000001E-2</v>
      </c>
    </row>
    <row r="83" spans="1:44" ht="16" x14ac:dyDescent="0.2">
      <c r="A83" s="1" t="s">
        <v>193</v>
      </c>
      <c r="B83" s="4" t="str">
        <f>_xlfn.CONCAT(_xlfn.XLOOKUP($C83,[1]Bus!$A$2:$A$121,[1]Bus!$C$2:$C$121,0)," - ",_xlfn.XLOOKUP($D83,[1]Bus!$A$2:$A$121,[1]Bus!$C$2:$C$121,0))</f>
        <v>Pance_220 - Yumbo_220</v>
      </c>
      <c r="C83" s="4" t="s">
        <v>180</v>
      </c>
      <c r="D83" s="4" t="s">
        <v>139</v>
      </c>
      <c r="E83">
        <f t="shared" si="7"/>
        <v>3.7156241018595037E-3</v>
      </c>
      <c r="F83">
        <f t="shared" si="7"/>
        <v>2.7613972077066118E-2</v>
      </c>
      <c r="G83">
        <v>381</v>
      </c>
      <c r="H83">
        <v>381</v>
      </c>
      <c r="I83">
        <v>381</v>
      </c>
      <c r="N83" s="4">
        <v>27.540001</v>
      </c>
      <c r="P83" s="2">
        <v>0</v>
      </c>
      <c r="S83">
        <f t="shared" si="8"/>
        <v>484</v>
      </c>
      <c r="T83">
        <v>220</v>
      </c>
      <c r="U83">
        <v>1</v>
      </c>
      <c r="V83" s="4">
        <v>6.5299999999999997E-2</v>
      </c>
      <c r="W83" s="4">
        <v>0.48530000000000001</v>
      </c>
      <c r="X83" s="4">
        <v>9.1389999999999996E-3</v>
      </c>
      <c r="Y83" s="4">
        <v>0</v>
      </c>
      <c r="Z83" s="4">
        <v>1</v>
      </c>
      <c r="AA83" s="4">
        <v>1</v>
      </c>
      <c r="AB83" s="4">
        <v>1</v>
      </c>
      <c r="AC83" s="4" t="s">
        <v>60</v>
      </c>
      <c r="AD83" s="4" t="b">
        <v>1</v>
      </c>
      <c r="AE83" s="4">
        <v>0.48380000000000001</v>
      </c>
      <c r="AF83" s="4">
        <v>1.6464000000000001</v>
      </c>
      <c r="AG83" s="4">
        <v>6.3290000000000004E-3</v>
      </c>
      <c r="AH83" s="4">
        <v>100</v>
      </c>
      <c r="AI83" s="4">
        <v>4.0299999999999997E-3</v>
      </c>
      <c r="AJ83" s="2" t="str">
        <f>_xlfn.XLOOKUP($C83,[1]Bus!$A$2:$A$121,[1]Bus!$J$2:$J$121,0)</f>
        <v>SUROCCID</v>
      </c>
      <c r="AK83" s="2" t="str">
        <f>_xlfn.XLOOKUP($C83,[1]Bus!$A$2:$A$121,[1]Bus!$K$2:$K$121,0)</f>
        <v>VALLE</v>
      </c>
      <c r="AL83" s="2">
        <v>4.5926309999999998E-2</v>
      </c>
      <c r="AM83" s="2">
        <f t="shared" si="9"/>
        <v>36.21355150244819</v>
      </c>
      <c r="AN83" s="2">
        <f t="shared" si="10"/>
        <v>2.786283037200827E-2</v>
      </c>
      <c r="AO83" s="2">
        <f t="shared" si="11"/>
        <v>7.4318529862174589</v>
      </c>
      <c r="AP83" s="2">
        <f t="shared" si="12"/>
        <v>4.7860949405085025</v>
      </c>
      <c r="AQ83" s="2">
        <v>0</v>
      </c>
      <c r="AR83" s="2">
        <v>4.5926309999999998E-2</v>
      </c>
    </row>
    <row r="84" spans="1:44" ht="16" x14ac:dyDescent="0.2">
      <c r="A84" s="1" t="s">
        <v>194</v>
      </c>
      <c r="B84" s="4" t="str">
        <f>_xlfn.CONCAT(_xlfn.XLOOKUP($C84,[1]Bus!$A$2:$A$121,[1]Bus!$C$2:$C$121,0)," - ",_xlfn.XLOOKUP($D84,[1]Bus!$A$2:$A$121,[1]Bus!$C$2:$C$121,0))</f>
        <v>San_Marcos_500 - Virginia_500</v>
      </c>
      <c r="C84" s="4" t="s">
        <v>195</v>
      </c>
      <c r="D84" s="4" t="s">
        <v>150</v>
      </c>
      <c r="E84">
        <f t="shared" si="7"/>
        <v>1.4314751395199999E-3</v>
      </c>
      <c r="F84">
        <f t="shared" si="7"/>
        <v>2.1041359111E-2</v>
      </c>
      <c r="G84">
        <v>1732</v>
      </c>
      <c r="H84">
        <v>1732</v>
      </c>
      <c r="I84">
        <v>1732</v>
      </c>
      <c r="N84" s="4">
        <v>165.679993</v>
      </c>
      <c r="P84" s="2">
        <v>0</v>
      </c>
      <c r="S84">
        <f t="shared" si="8"/>
        <v>2500</v>
      </c>
      <c r="T84">
        <v>500</v>
      </c>
      <c r="U84">
        <v>1</v>
      </c>
      <c r="V84" s="4">
        <v>2.1600000000000001E-2</v>
      </c>
      <c r="W84" s="4">
        <v>0.3175</v>
      </c>
      <c r="X84" s="4">
        <v>1.3861999999999999E-2</v>
      </c>
      <c r="Y84" s="4">
        <v>0</v>
      </c>
      <c r="Z84" s="4">
        <v>2</v>
      </c>
      <c r="AA84" s="4">
        <v>1</v>
      </c>
      <c r="AB84" s="4">
        <v>1</v>
      </c>
      <c r="AC84" s="4" t="s">
        <v>60</v>
      </c>
      <c r="AD84" s="4" t="b">
        <v>1</v>
      </c>
      <c r="AE84" s="4">
        <v>0.35880000000000001</v>
      </c>
      <c r="AF84" s="4">
        <v>1.1093</v>
      </c>
      <c r="AG84" s="4">
        <v>8.2989999999999991E-3</v>
      </c>
      <c r="AH84" s="4">
        <v>204.14999399999999</v>
      </c>
      <c r="AI84" s="4">
        <v>4.0299999999999997E-3</v>
      </c>
      <c r="AJ84" s="2" t="str">
        <f>_xlfn.XLOOKUP($C84,[1]Bus!$A$2:$A$121,[1]Bus!$J$2:$J$121,0)</f>
        <v>SUROCCID</v>
      </c>
      <c r="AK84" s="2" t="str">
        <f>_xlfn.XLOOKUP($C84,[1]Bus!$A$2:$A$121,[1]Bus!$K$2:$K$121,0)</f>
        <v>VALLE</v>
      </c>
      <c r="AL84" s="2">
        <v>2.1659155000000001</v>
      </c>
      <c r="AM84" s="2">
        <f t="shared" si="9"/>
        <v>47.525447131274902</v>
      </c>
      <c r="AN84" s="2">
        <f t="shared" si="10"/>
        <v>2.1089995597750287E-2</v>
      </c>
      <c r="AO84" s="2">
        <f t="shared" si="11"/>
        <v>14.699074074074074</v>
      </c>
      <c r="AP84" s="2">
        <f t="shared" si="12"/>
        <v>3.2183319138304074</v>
      </c>
      <c r="AQ84" s="2">
        <v>0</v>
      </c>
      <c r="AR84" s="2">
        <v>2.1659155000000001</v>
      </c>
    </row>
    <row r="85" spans="1:44" ht="16" x14ac:dyDescent="0.2">
      <c r="A85" s="1" t="s">
        <v>196</v>
      </c>
      <c r="B85" s="4" t="str">
        <f>_xlfn.CONCAT(_xlfn.XLOOKUP($C85,[1]Bus!$A$2:$A$121,[1]Bus!$C$2:$C$121,0)," - ",_xlfn.XLOOKUP($D85,[1]Bus!$A$2:$A$121,[1]Bus!$C$2:$C$121,0))</f>
        <v>Copey_220 - Fundacion_220</v>
      </c>
      <c r="C85" s="4" t="s">
        <v>197</v>
      </c>
      <c r="D85" s="4" t="s">
        <v>198</v>
      </c>
      <c r="E85">
        <f t="shared" si="7"/>
        <v>9.1571838842975199E-3</v>
      </c>
      <c r="F85">
        <f t="shared" si="7"/>
        <v>5.2646150826446282E-2</v>
      </c>
      <c r="G85">
        <v>456</v>
      </c>
      <c r="H85">
        <v>456</v>
      </c>
      <c r="I85">
        <v>456</v>
      </c>
      <c r="N85" s="4">
        <v>49.41</v>
      </c>
      <c r="P85" s="2">
        <v>0</v>
      </c>
      <c r="S85">
        <f t="shared" si="8"/>
        <v>484</v>
      </c>
      <c r="T85">
        <v>220</v>
      </c>
      <c r="U85">
        <v>1</v>
      </c>
      <c r="V85" s="4">
        <f>0.0897</f>
        <v>8.9700000000000002E-2</v>
      </c>
      <c r="W85" s="4">
        <f>0.5157</f>
        <v>0.51570000000000005</v>
      </c>
      <c r="X85" s="4">
        <v>8.565999999999999E-3</v>
      </c>
      <c r="Y85" s="4">
        <v>0</v>
      </c>
      <c r="Z85" s="4">
        <v>0.59799999999999998</v>
      </c>
      <c r="AA85" s="4">
        <v>1</v>
      </c>
      <c r="AB85" s="4">
        <v>1</v>
      </c>
      <c r="AC85" s="4" t="s">
        <v>60</v>
      </c>
      <c r="AD85" s="4" t="b">
        <v>1</v>
      </c>
      <c r="AE85" s="4">
        <f>0.4409</f>
        <v>0.44090000000000001</v>
      </c>
      <c r="AF85" s="4">
        <f>1.1543</f>
        <v>1.1543000000000001</v>
      </c>
      <c r="AG85" s="4">
        <v>6.0390000000000001E-3</v>
      </c>
      <c r="AH85" s="4">
        <v>120.066895</v>
      </c>
      <c r="AI85" s="4">
        <v>4.0299999999999997E-3</v>
      </c>
      <c r="AJ85" s="2" t="str">
        <f>_xlfn.XLOOKUP($C85,[1]Bus!$A$2:$A$121,[1]Bus!$J$2:$J$121,0)</f>
        <v>CARIBE</v>
      </c>
      <c r="AK85" s="2" t="str">
        <f>_xlfn.XLOOKUP($C85,[1]Bus!$A$2:$A$121,[1]Bus!$K$2:$K$121,0)</f>
        <v>GCM</v>
      </c>
      <c r="AL85" s="2">
        <v>7.7224509999999996E-2</v>
      </c>
      <c r="AM85" s="2">
        <f t="shared" si="9"/>
        <v>18.994741007687495</v>
      </c>
      <c r="AN85" s="2">
        <f t="shared" si="10"/>
        <v>5.3436609300476473E-2</v>
      </c>
      <c r="AO85" s="2">
        <f t="shared" si="11"/>
        <v>5.7491638795986626</v>
      </c>
      <c r="AP85" s="2">
        <f t="shared" si="12"/>
        <v>3.2068906318868207</v>
      </c>
      <c r="AQ85" s="2">
        <v>0</v>
      </c>
      <c r="AR85" s="2">
        <v>7.7224509999999996E-2</v>
      </c>
    </row>
    <row r="86" spans="1:44" ht="16" x14ac:dyDescent="0.2">
      <c r="A86" s="1" t="s">
        <v>199</v>
      </c>
      <c r="B86" s="4" t="str">
        <f>_xlfn.CONCAT(_xlfn.XLOOKUP($C86,[1]Bus!$A$2:$A$121,[1]Bus!$C$2:$C$121,0)," - ",_xlfn.XLOOKUP($D86,[1]Bus!$A$2:$A$121,[1]Bus!$C$2:$C$121,0))</f>
        <v>La_Loma_500 - Ocaña_500</v>
      </c>
      <c r="C86" s="4" t="s">
        <v>200</v>
      </c>
      <c r="D86" s="4" t="s">
        <v>201</v>
      </c>
      <c r="E86">
        <f t="shared" si="7"/>
        <v>1.0750080064E-3</v>
      </c>
      <c r="F86">
        <f t="shared" si="7"/>
        <v>2.3918928142399997E-2</v>
      </c>
      <c r="G86">
        <v>1650</v>
      </c>
      <c r="H86">
        <v>1650</v>
      </c>
      <c r="I86">
        <v>1650</v>
      </c>
      <c r="N86" s="4">
        <v>167.970001</v>
      </c>
      <c r="P86" s="2">
        <v>0</v>
      </c>
      <c r="S86">
        <f t="shared" si="8"/>
        <v>2500</v>
      </c>
      <c r="T86">
        <v>500</v>
      </c>
      <c r="U86">
        <v>1</v>
      </c>
      <c r="V86" s="4">
        <v>1.6E-2</v>
      </c>
      <c r="W86" s="4">
        <v>0.35599999999999998</v>
      </c>
      <c r="X86" s="4">
        <v>1.3034E-2</v>
      </c>
      <c r="Y86" s="4">
        <v>0</v>
      </c>
      <c r="Z86" s="4">
        <v>1.905</v>
      </c>
      <c r="AA86" s="4">
        <v>1</v>
      </c>
      <c r="AB86" s="4">
        <v>1</v>
      </c>
      <c r="AC86" s="4" t="s">
        <v>60</v>
      </c>
      <c r="AD86" s="4" t="b">
        <v>1</v>
      </c>
      <c r="AE86" s="4">
        <v>0.35399999999999998</v>
      </c>
      <c r="AF86" s="4">
        <v>1.2170000000000001</v>
      </c>
      <c r="AG86" s="4">
        <v>8.0140000000000003E-3</v>
      </c>
      <c r="AH86" s="4">
        <v>100</v>
      </c>
      <c r="AI86" s="4">
        <v>4.0299999999999997E-3</v>
      </c>
      <c r="AJ86" s="2" t="str">
        <f>_xlfn.XLOOKUP($C86,[1]Bus!$A$2:$A$121,[1]Bus!$J$2:$J$121,0)</f>
        <v>CARIBE</v>
      </c>
      <c r="AK86" s="2" t="str">
        <f>_xlfn.XLOOKUP($C86,[1]Bus!$A$2:$A$121,[1]Bus!$K$2:$K$121,0)</f>
        <v>GCM</v>
      </c>
      <c r="AL86" s="2">
        <v>2.0637955299999997</v>
      </c>
      <c r="AM86" s="2">
        <f t="shared" si="9"/>
        <v>41.807893482791371</v>
      </c>
      <c r="AN86" s="2">
        <f t="shared" si="10"/>
        <v>2.3943073438786398E-2</v>
      </c>
      <c r="AO86" s="2">
        <f t="shared" si="11"/>
        <v>22.249999999999996</v>
      </c>
      <c r="AP86" s="2">
        <f t="shared" si="12"/>
        <v>1.8752186065104863</v>
      </c>
      <c r="AQ86" s="2">
        <v>0</v>
      </c>
      <c r="AR86" s="2">
        <v>2.0637955299999997</v>
      </c>
    </row>
    <row r="87" spans="1:44" ht="16" x14ac:dyDescent="0.2">
      <c r="A87" s="1" t="s">
        <v>202</v>
      </c>
      <c r="B87" s="4" t="str">
        <f>_xlfn.CONCAT(_xlfn.XLOOKUP($C87,[1]Bus!$A$2:$A$121,[1]Bus!$C$2:$C$121,0)," - ",_xlfn.XLOOKUP($D87,[1]Bus!$A$2:$A$121,[1]Bus!$C$2:$C$121,0))</f>
        <v>Copey_500 - La_Loma_500</v>
      </c>
      <c r="C87" s="4" t="s">
        <v>79</v>
      </c>
      <c r="D87" s="4" t="s">
        <v>200</v>
      </c>
      <c r="E87">
        <f t="shared" si="7"/>
        <v>4.6700800639999993E-4</v>
      </c>
      <c r="F87">
        <f t="shared" si="7"/>
        <v>1.0390928142399999E-2</v>
      </c>
      <c r="G87">
        <v>1650</v>
      </c>
      <c r="H87">
        <v>1650</v>
      </c>
      <c r="I87">
        <v>1650</v>
      </c>
      <c r="N87" s="4">
        <v>72.970000999999996</v>
      </c>
      <c r="P87" s="2">
        <v>0</v>
      </c>
      <c r="S87">
        <f t="shared" si="8"/>
        <v>2500</v>
      </c>
      <c r="T87">
        <v>500</v>
      </c>
      <c r="U87">
        <v>1</v>
      </c>
      <c r="V87" s="4">
        <v>1.6E-2</v>
      </c>
      <c r="W87" s="4">
        <v>0.35599999999999998</v>
      </c>
      <c r="X87" s="4">
        <v>1.3034E-2</v>
      </c>
      <c r="Y87" s="4">
        <v>0</v>
      </c>
      <c r="Z87" s="4">
        <v>1.905</v>
      </c>
      <c r="AA87" s="4">
        <v>1</v>
      </c>
      <c r="AB87" s="4">
        <v>1</v>
      </c>
      <c r="AC87" s="4" t="s">
        <v>60</v>
      </c>
      <c r="AD87" s="4" t="b">
        <v>1</v>
      </c>
      <c r="AE87" s="4">
        <v>0.35399999999999998</v>
      </c>
      <c r="AF87" s="4">
        <v>1.2170000000000001</v>
      </c>
      <c r="AG87" s="4">
        <v>8.0140000000000003E-3</v>
      </c>
      <c r="AH87" s="4">
        <v>100</v>
      </c>
      <c r="AI87" s="4">
        <v>4.0299999999999997E-3</v>
      </c>
      <c r="AJ87" s="2" t="str">
        <f>_xlfn.XLOOKUP($C87,[1]Bus!$A$2:$A$121,[1]Bus!$J$2:$J$121,0)</f>
        <v>CARIBE</v>
      </c>
      <c r="AK87" s="2" t="str">
        <f>_xlfn.XLOOKUP($C87,[1]Bus!$A$2:$A$121,[1]Bus!$K$2:$K$121,0)</f>
        <v>GCM</v>
      </c>
      <c r="AL87" s="2">
        <v>0.89676843000000006</v>
      </c>
      <c r="AM87" s="2">
        <f t="shared" si="9"/>
        <v>96.237793803954588</v>
      </c>
      <c r="AN87" s="2">
        <f t="shared" si="10"/>
        <v>1.0401417410072628E-2</v>
      </c>
      <c r="AO87" s="2">
        <f t="shared" si="11"/>
        <v>22.25</v>
      </c>
      <c r="AP87" s="2">
        <f t="shared" si="12"/>
        <v>4.3165748512294106</v>
      </c>
      <c r="AQ87" s="2">
        <v>0</v>
      </c>
      <c r="AR87" s="2">
        <v>0.89639990000000003</v>
      </c>
    </row>
    <row r="88" spans="1:44" ht="16" x14ac:dyDescent="0.2">
      <c r="A88" s="1" t="s">
        <v>203</v>
      </c>
      <c r="B88" s="4" t="str">
        <f>_xlfn.CONCAT(_xlfn.XLOOKUP($C88,[1]Bus!$A$2:$A$121,[1]Bus!$C$2:$C$121,0)," - ",_xlfn.XLOOKUP($D88,[1]Bus!$A$2:$A$121,[1]Bus!$C$2:$C$121,0))</f>
        <v>Copey_220 - Valledupar_220</v>
      </c>
      <c r="C88" s="4" t="s">
        <v>197</v>
      </c>
      <c r="D88" s="4" t="s">
        <v>90</v>
      </c>
      <c r="E88">
        <f t="shared" si="7"/>
        <v>7.5503702962444177E-3</v>
      </c>
      <c r="F88">
        <f t="shared" si="7"/>
        <v>4.7480273438301947E-2</v>
      </c>
      <c r="G88">
        <v>452</v>
      </c>
      <c r="H88">
        <v>452</v>
      </c>
      <c r="I88">
        <v>452</v>
      </c>
      <c r="N88" s="4">
        <v>90.800003000000004</v>
      </c>
      <c r="P88" s="2">
        <v>0</v>
      </c>
      <c r="S88">
        <f t="shared" si="8"/>
        <v>484</v>
      </c>
      <c r="T88">
        <v>220</v>
      </c>
      <c r="U88">
        <v>2</v>
      </c>
      <c r="V88" s="4">
        <v>4.024646588813767E-2</v>
      </c>
      <c r="W88" s="4">
        <v>0.25308867384220396</v>
      </c>
      <c r="X88" s="4">
        <v>8.565999999999999E-3</v>
      </c>
      <c r="Y88" s="4">
        <v>0</v>
      </c>
      <c r="Z88" s="4">
        <v>0.59799999999999998</v>
      </c>
      <c r="AA88" s="4">
        <v>1</v>
      </c>
      <c r="AB88" s="4">
        <v>1</v>
      </c>
      <c r="AC88" s="4" t="s">
        <v>60</v>
      </c>
      <c r="AD88" s="4" t="b">
        <v>1</v>
      </c>
      <c r="AE88" s="4">
        <v>0.18222693280106453</v>
      </c>
      <c r="AF88" s="4">
        <v>0.61072604030678845</v>
      </c>
      <c r="AG88" s="4">
        <v>6.0390000000000001E-3</v>
      </c>
      <c r="AH88" s="4">
        <v>100</v>
      </c>
      <c r="AI88" s="4">
        <v>4.0299999999999997E-3</v>
      </c>
      <c r="AJ88" s="2" t="str">
        <f>_xlfn.XLOOKUP($C88,[1]Bus!$A$2:$A$121,[1]Bus!$J$2:$J$121,0)</f>
        <v>CARIBE</v>
      </c>
      <c r="AK88" s="2" t="str">
        <f>_xlfn.XLOOKUP($C88,[1]Bus!$A$2:$A$121,[1]Bus!$K$2:$K$121,0)</f>
        <v>GCM</v>
      </c>
      <c r="AL88" s="2">
        <v>0.14780195000000002</v>
      </c>
      <c r="AM88" s="2">
        <f t="shared" si="9"/>
        <v>21.061378285856883</v>
      </c>
      <c r="AN88" s="2">
        <f t="shared" si="10"/>
        <v>4.807685989523787E-2</v>
      </c>
      <c r="AO88" s="2">
        <f t="shared" si="11"/>
        <v>6.2884695154512897</v>
      </c>
      <c r="AP88" s="2">
        <f t="shared" si="12"/>
        <v>3.266600790758206</v>
      </c>
      <c r="AQ88" s="2">
        <v>0</v>
      </c>
      <c r="AR88" s="2">
        <v>7.0957149999999997E-2</v>
      </c>
    </row>
    <row r="89" spans="1:44" ht="16" x14ac:dyDescent="0.2">
      <c r="A89" s="1" t="s">
        <v>204</v>
      </c>
      <c r="B89" s="4" t="str">
        <f>_xlfn.CONCAT(_xlfn.XLOOKUP($C89,[1]Bus!$A$2:$A$121,[1]Bus!$C$2:$C$121,0)," - ",_xlfn.XLOOKUP($D89,[1]Bus!$A$2:$A$121,[1]Bus!$C$2:$C$121,0))</f>
        <v>Cuestecita_220 - Guajira_220</v>
      </c>
      <c r="C89" s="4" t="s">
        <v>75</v>
      </c>
      <c r="D89" s="4" t="s">
        <v>205</v>
      </c>
      <c r="E89">
        <f t="shared" si="7"/>
        <v>8.8449015815082639E-3</v>
      </c>
      <c r="F89">
        <f t="shared" si="7"/>
        <v>4.8425096618491731E-2</v>
      </c>
      <c r="G89">
        <v>480</v>
      </c>
      <c r="H89">
        <v>480</v>
      </c>
      <c r="I89">
        <v>480</v>
      </c>
      <c r="N89" s="4">
        <v>95.449996999999996</v>
      </c>
      <c r="P89" s="2">
        <v>0</v>
      </c>
      <c r="S89">
        <f t="shared" si="8"/>
        <v>484</v>
      </c>
      <c r="T89">
        <v>220</v>
      </c>
      <c r="U89">
        <v>2</v>
      </c>
      <c r="V89" s="4">
        <f>0.0897/2</f>
        <v>4.4850000000000001E-2</v>
      </c>
      <c r="W89" s="4">
        <f>0.4911/2</f>
        <v>0.24554999999999999</v>
      </c>
      <c r="X89" s="4">
        <v>8.9999999999999993E-3</v>
      </c>
      <c r="Y89" s="4">
        <v>0</v>
      </c>
      <c r="Z89" s="4">
        <v>0.63</v>
      </c>
      <c r="AA89" s="4">
        <v>1</v>
      </c>
      <c r="AB89" s="4">
        <v>1</v>
      </c>
      <c r="AC89" s="4" t="s">
        <v>60</v>
      </c>
      <c r="AD89" s="4" t="b">
        <v>1</v>
      </c>
      <c r="AE89" s="4">
        <f>0.4766/2</f>
        <v>0.23830000000000001</v>
      </c>
      <c r="AF89" s="4">
        <f>1.164/2</f>
        <v>0.58199999999999996</v>
      </c>
      <c r="AG89" s="4">
        <v>5.9680000000000002E-3</v>
      </c>
      <c r="AH89" s="4">
        <v>114.60320299999999</v>
      </c>
      <c r="AI89" s="4">
        <v>4.0299999999999997E-3</v>
      </c>
      <c r="AJ89" s="2" t="str">
        <f>_xlfn.XLOOKUP($C89,[1]Bus!$A$2:$A$121,[1]Bus!$J$2:$J$121,0)</f>
        <v>CARIBE</v>
      </c>
      <c r="AK89" s="2" t="str">
        <f>_xlfn.XLOOKUP($C89,[1]Bus!$A$2:$A$121,[1]Bus!$K$2:$K$121,0)</f>
        <v>GCM</v>
      </c>
      <c r="AL89" s="2">
        <v>0.15674450000000001</v>
      </c>
      <c r="AM89" s="2">
        <f t="shared" si="9"/>
        <v>20.6504492469745</v>
      </c>
      <c r="AN89" s="2">
        <f t="shared" si="10"/>
        <v>4.9226235550738864E-2</v>
      </c>
      <c r="AO89" s="2">
        <f t="shared" si="11"/>
        <v>5.4749163879598663</v>
      </c>
      <c r="AP89" s="2">
        <f t="shared" si="12"/>
        <v>3.6500579017438004</v>
      </c>
      <c r="AQ89" s="2">
        <v>0</v>
      </c>
      <c r="AR89" s="2">
        <v>7.8372250000000004E-2</v>
      </c>
    </row>
    <row r="90" spans="1:44" ht="16" x14ac:dyDescent="0.2">
      <c r="A90" s="1" t="s">
        <v>206</v>
      </c>
      <c r="B90" s="4" t="str">
        <f>_xlfn.CONCAT(_xlfn.XLOOKUP($C90,[1]Bus!$A$2:$A$121,[1]Bus!$C$2:$C$121,0)," - ",_xlfn.XLOOKUP($D90,[1]Bus!$A$2:$A$121,[1]Bus!$C$2:$C$121,0))</f>
        <v>Fundacion_220 - Sabanalarga_220</v>
      </c>
      <c r="C90" s="4" t="s">
        <v>198</v>
      </c>
      <c r="D90" s="4" t="s">
        <v>2</v>
      </c>
      <c r="E90">
        <f t="shared" si="7"/>
        <v>5.7718418384589392E-3</v>
      </c>
      <c r="F90">
        <f t="shared" si="7"/>
        <v>3.2351339769304939E-2</v>
      </c>
      <c r="G90">
        <v>943</v>
      </c>
      <c r="H90">
        <v>943</v>
      </c>
      <c r="I90">
        <v>943</v>
      </c>
      <c r="N90" s="4">
        <v>93.5</v>
      </c>
      <c r="P90" s="2">
        <v>0</v>
      </c>
      <c r="S90">
        <f t="shared" si="8"/>
        <v>484</v>
      </c>
      <c r="T90">
        <v>220</v>
      </c>
      <c r="U90">
        <v>3</v>
      </c>
      <c r="V90" s="4">
        <v>2.9877769516728627E-2</v>
      </c>
      <c r="W90" s="4">
        <v>0.1674657588058138</v>
      </c>
      <c r="X90" s="4">
        <v>8.5540000000000008E-3</v>
      </c>
      <c r="Y90" s="4">
        <v>0</v>
      </c>
      <c r="Z90" s="4">
        <v>0.65600000000000003</v>
      </c>
      <c r="AA90" s="4">
        <v>1</v>
      </c>
      <c r="AB90" s="4">
        <v>1</v>
      </c>
      <c r="AC90" s="4" t="s">
        <v>60</v>
      </c>
      <c r="AD90" s="4" t="b">
        <v>1</v>
      </c>
      <c r="AE90" s="4">
        <v>0.13043399089529589</v>
      </c>
      <c r="AF90" s="4">
        <v>0.39304971586852855</v>
      </c>
      <c r="AG90" s="4">
        <v>5.8939999999999999E-3</v>
      </c>
      <c r="AH90" s="4">
        <v>119.969498</v>
      </c>
      <c r="AI90" s="4">
        <v>4.0299999999999997E-3</v>
      </c>
      <c r="AJ90" s="2" t="str">
        <f>_xlfn.XLOOKUP($C90,[1]Bus!$A$2:$A$121,[1]Bus!$J$2:$J$121,0)</f>
        <v>CARIBE</v>
      </c>
      <c r="AK90" s="2" t="str">
        <f>_xlfn.XLOOKUP($C90,[1]Bus!$A$2:$A$121,[1]Bus!$K$2:$K$121,0)</f>
        <v>GCM</v>
      </c>
      <c r="AL90" s="2">
        <v>0.14752129999999999</v>
      </c>
      <c r="AM90" s="2">
        <f t="shared" si="9"/>
        <v>30.910620924231502</v>
      </c>
      <c r="AN90" s="2">
        <f t="shared" si="10"/>
        <v>3.2862187131674547E-2</v>
      </c>
      <c r="AO90" s="2">
        <f t="shared" si="11"/>
        <v>5.6050288061847917</v>
      </c>
      <c r="AP90" s="2">
        <f t="shared" si="12"/>
        <v>5.3446773564615402</v>
      </c>
      <c r="AQ90" s="2">
        <v>0</v>
      </c>
      <c r="AR90" s="2">
        <v>4.9170922527191942E-2</v>
      </c>
    </row>
    <row r="91" spans="1:44" ht="16" x14ac:dyDescent="0.2">
      <c r="A91" s="1" t="s">
        <v>207</v>
      </c>
      <c r="B91" s="4" t="str">
        <f>_xlfn.CONCAT(_xlfn.XLOOKUP($C91,[1]Bus!$A$2:$A$121,[1]Bus!$C$2:$C$121,0)," - ",_xlfn.XLOOKUP($D91,[1]Bus!$A$2:$A$121,[1]Bus!$C$2:$C$121,0))</f>
        <v>Fundacion_220 - R_Cordoba_220</v>
      </c>
      <c r="C91" s="4" t="s">
        <v>198</v>
      </c>
      <c r="D91" s="4" t="s">
        <v>208</v>
      </c>
      <c r="E91">
        <f t="shared" si="7"/>
        <v>4.7825558615702474E-3</v>
      </c>
      <c r="F91">
        <f t="shared" si="7"/>
        <v>3.1526091206404955E-2</v>
      </c>
      <c r="G91">
        <v>500</v>
      </c>
      <c r="H91">
        <v>500</v>
      </c>
      <c r="I91">
        <v>500</v>
      </c>
      <c r="N91" s="4">
        <v>62.561000999999997</v>
      </c>
      <c r="P91" s="2">
        <v>0</v>
      </c>
      <c r="S91">
        <f t="shared" si="8"/>
        <v>484</v>
      </c>
      <c r="T91">
        <v>220</v>
      </c>
      <c r="U91">
        <v>2</v>
      </c>
      <c r="V91" s="4">
        <f>0.074/2</f>
        <v>3.6999999999999998E-2</v>
      </c>
      <c r="W91" s="4">
        <f>0.4878/2</f>
        <v>0.24390000000000001</v>
      </c>
      <c r="X91" s="4">
        <v>8.9629999999999987E-3</v>
      </c>
      <c r="Y91" s="4">
        <v>0</v>
      </c>
      <c r="Z91" s="4">
        <v>0.65600000000000003</v>
      </c>
      <c r="AA91" s="4">
        <v>1</v>
      </c>
      <c r="AB91" s="4">
        <v>1</v>
      </c>
      <c r="AC91" s="4" t="s">
        <v>60</v>
      </c>
      <c r="AD91" s="4" t="b">
        <v>1</v>
      </c>
      <c r="AE91" s="4">
        <f>0.4233/2</f>
        <v>0.21165</v>
      </c>
      <c r="AF91" s="4">
        <f>1.1672/2</f>
        <v>0.58360000000000001</v>
      </c>
      <c r="AG91" s="4">
        <v>5.6820000000000004E-3</v>
      </c>
      <c r="AH91" s="4">
        <v>119.969498</v>
      </c>
      <c r="AI91" s="4">
        <v>4.0299999999999997E-3</v>
      </c>
      <c r="AJ91" s="2" t="str">
        <f>_xlfn.XLOOKUP($C91,[1]Bus!$A$2:$A$121,[1]Bus!$J$2:$J$121,0)</f>
        <v>CARIBE</v>
      </c>
      <c r="AK91" s="2" t="str">
        <f>_xlfn.XLOOKUP($C91,[1]Bus!$A$2:$A$121,[1]Bus!$K$2:$K$121,0)</f>
        <v>GCM</v>
      </c>
      <c r="AL91" s="2">
        <v>0.1023145</v>
      </c>
      <c r="AM91" s="2">
        <f t="shared" si="9"/>
        <v>31.719758515347959</v>
      </c>
      <c r="AN91" s="2">
        <f t="shared" si="10"/>
        <v>3.1886788287997958E-2</v>
      </c>
      <c r="AO91" s="2">
        <f t="shared" si="11"/>
        <v>6.5918918918918914</v>
      </c>
      <c r="AP91" s="2">
        <f t="shared" si="12"/>
        <v>4.7036878696529829</v>
      </c>
      <c r="AQ91" s="2">
        <v>0</v>
      </c>
      <c r="AR91" s="2">
        <v>5.1157250000000001E-2</v>
      </c>
    </row>
    <row r="92" spans="1:44" ht="16" x14ac:dyDescent="0.2">
      <c r="A92" s="1" t="s">
        <v>209</v>
      </c>
      <c r="B92" s="4" t="str">
        <f>_xlfn.CONCAT(_xlfn.XLOOKUP($C92,[1]Bus!$A$2:$A$121,[1]Bus!$C$2:$C$121,0)," - ",_xlfn.XLOOKUP($D92,[1]Bus!$A$2:$A$121,[1]Bus!$C$2:$C$121,0))</f>
        <v>Santa_Marta_220 - Drummond_220</v>
      </c>
      <c r="C92" s="4" t="s">
        <v>210</v>
      </c>
      <c r="D92" s="4" t="s">
        <v>211</v>
      </c>
      <c r="E92">
        <f t="shared" si="7"/>
        <v>3.0454545454545452E-3</v>
      </c>
      <c r="F92">
        <f t="shared" si="7"/>
        <v>2.0152892561983472E-2</v>
      </c>
      <c r="G92">
        <v>250</v>
      </c>
      <c r="H92">
        <v>250</v>
      </c>
      <c r="I92">
        <v>250</v>
      </c>
      <c r="N92" s="4">
        <v>20</v>
      </c>
      <c r="P92" s="2">
        <v>0</v>
      </c>
      <c r="S92">
        <f t="shared" si="8"/>
        <v>484</v>
      </c>
      <c r="T92">
        <v>220</v>
      </c>
      <c r="U92">
        <v>1</v>
      </c>
      <c r="V92" s="4">
        <v>7.3700000000000002E-2</v>
      </c>
      <c r="W92" s="4">
        <v>0.48770000000000002</v>
      </c>
      <c r="X92" s="4">
        <v>8.9629999999999987E-3</v>
      </c>
      <c r="Y92" s="4">
        <v>0</v>
      </c>
      <c r="Z92" s="4">
        <v>0.65600000000000003</v>
      </c>
      <c r="AA92" s="4">
        <v>1</v>
      </c>
      <c r="AB92" s="4">
        <v>1</v>
      </c>
      <c r="AC92" s="4" t="s">
        <v>60</v>
      </c>
      <c r="AD92" s="4" t="b">
        <v>1</v>
      </c>
      <c r="AE92" s="4">
        <v>0.4229</v>
      </c>
      <c r="AF92" s="4">
        <v>1.1672</v>
      </c>
      <c r="AG92" s="4">
        <v>5.6820000000000004E-3</v>
      </c>
      <c r="AH92" s="4">
        <v>119.969498</v>
      </c>
      <c r="AI92" s="4">
        <v>4.0299999999999997E-3</v>
      </c>
      <c r="AJ92" s="2" t="str">
        <f>_xlfn.XLOOKUP($C92,[1]Bus!$A$2:$A$121,[1]Bus!$J$2:$J$121,0)</f>
        <v>CARIBE</v>
      </c>
      <c r="AK92" s="2" t="str">
        <f>_xlfn.XLOOKUP($C92,[1]Bus!$A$2:$A$121,[1]Bus!$K$2:$K$121,0)</f>
        <v>GCM</v>
      </c>
      <c r="AL92" s="2">
        <v>3.2708719999999997E-2</v>
      </c>
      <c r="AM92" s="2">
        <f t="shared" si="9"/>
        <v>49.620668443715395</v>
      </c>
      <c r="AN92" s="2">
        <f t="shared" si="10"/>
        <v>2.0381704344908904E-2</v>
      </c>
      <c r="AO92" s="2">
        <f t="shared" si="11"/>
        <v>6.6173677069199464</v>
      </c>
      <c r="AP92" s="2">
        <f t="shared" si="12"/>
        <v>7.3311334808542696</v>
      </c>
      <c r="AQ92" s="2">
        <v>0</v>
      </c>
      <c r="AR92" s="2">
        <v>3.2708719999999997E-2</v>
      </c>
    </row>
    <row r="93" spans="1:44" ht="16" x14ac:dyDescent="0.2">
      <c r="A93" s="1" t="s">
        <v>212</v>
      </c>
      <c r="B93" s="4" t="str">
        <f>_xlfn.CONCAT(_xlfn.XLOOKUP($C93,[1]Bus!$A$2:$A$121,[1]Bus!$C$2:$C$121,0)," - ",_xlfn.XLOOKUP($D93,[1]Bus!$A$2:$A$121,[1]Bus!$C$2:$C$121,0))</f>
        <v>Santa_Marta_220 - Termocol_220</v>
      </c>
      <c r="C93" s="4" t="s">
        <v>210</v>
      </c>
      <c r="D93" s="4" t="s">
        <v>213</v>
      </c>
      <c r="E93">
        <f t="shared" si="7"/>
        <v>2.1185371900826447E-3</v>
      </c>
      <c r="F93">
        <f t="shared" si="7"/>
        <v>1.1784512396694214E-2</v>
      </c>
      <c r="G93">
        <v>250</v>
      </c>
      <c r="H93">
        <v>250</v>
      </c>
      <c r="I93">
        <v>250</v>
      </c>
      <c r="N93" s="4">
        <v>11.56</v>
      </c>
      <c r="P93" s="2">
        <v>0</v>
      </c>
      <c r="S93">
        <f t="shared" si="8"/>
        <v>484</v>
      </c>
      <c r="T93">
        <v>220</v>
      </c>
      <c r="U93">
        <v>1</v>
      </c>
      <c r="V93" s="4">
        <v>8.8700000000000001E-2</v>
      </c>
      <c r="W93" s="4">
        <v>0.49340000000000001</v>
      </c>
      <c r="X93" s="4">
        <v>8.8069999999999989E-3</v>
      </c>
      <c r="Y93" s="4">
        <v>0</v>
      </c>
      <c r="Z93" s="4">
        <v>0.65600000000000003</v>
      </c>
      <c r="AA93" s="4">
        <v>1</v>
      </c>
      <c r="AB93" s="4">
        <v>1</v>
      </c>
      <c r="AC93" s="4" t="s">
        <v>60</v>
      </c>
      <c r="AD93" s="4" t="b">
        <v>1</v>
      </c>
      <c r="AE93" s="4">
        <v>0.41720000000000002</v>
      </c>
      <c r="AF93" s="4">
        <v>1.2423</v>
      </c>
      <c r="AG93" s="4">
        <v>5.1830000000000001E-3</v>
      </c>
      <c r="AH93" s="4">
        <v>119.969498</v>
      </c>
      <c r="AI93" s="4">
        <v>4.0299999999999997E-3</v>
      </c>
      <c r="AJ93" s="2" t="str">
        <f>_xlfn.XLOOKUP($C93,[1]Bus!$A$2:$A$121,[1]Bus!$J$2:$J$121,0)</f>
        <v>CARIBE</v>
      </c>
      <c r="AK93" s="2" t="str">
        <f>_xlfn.XLOOKUP($C93,[1]Bus!$A$2:$A$121,[1]Bus!$K$2:$K$121,0)</f>
        <v>GCM</v>
      </c>
      <c r="AL93" s="2">
        <v>1.857553E-2</v>
      </c>
      <c r="AM93" s="2">
        <f t="shared" si="9"/>
        <v>84.857138448979825</v>
      </c>
      <c r="AN93" s="2">
        <f t="shared" si="10"/>
        <v>1.1973426086697278E-2</v>
      </c>
      <c r="AO93" s="2">
        <f t="shared" si="11"/>
        <v>5.5625704622322427</v>
      </c>
      <c r="AP93" s="2">
        <f t="shared" si="12"/>
        <v>14.77744042187309</v>
      </c>
      <c r="AQ93" s="2">
        <v>0</v>
      </c>
      <c r="AR93" s="2">
        <v>1.857553E-2</v>
      </c>
    </row>
    <row r="94" spans="1:44" ht="16" x14ac:dyDescent="0.2">
      <c r="A94" s="1" t="s">
        <v>214</v>
      </c>
      <c r="B94" s="4" t="str">
        <f>_xlfn.CONCAT(_xlfn.XLOOKUP($C94,[1]Bus!$A$2:$A$121,[1]Bus!$C$2:$C$121,0)," - ",_xlfn.XLOOKUP($D94,[1]Bus!$A$2:$A$121,[1]Bus!$C$2:$C$121,0))</f>
        <v>Guajira_220 - Termocol_220</v>
      </c>
      <c r="C94" s="4" t="s">
        <v>205</v>
      </c>
      <c r="D94" s="4" t="s">
        <v>213</v>
      </c>
      <c r="E94">
        <f t="shared" si="7"/>
        <v>1.5082049771900826E-2</v>
      </c>
      <c r="F94">
        <f t="shared" si="7"/>
        <v>8.306910225929752E-2</v>
      </c>
      <c r="G94">
        <v>250</v>
      </c>
      <c r="H94">
        <v>250</v>
      </c>
      <c r="I94">
        <v>250</v>
      </c>
      <c r="N94" s="4">
        <v>81.470000999999996</v>
      </c>
      <c r="P94" s="2">
        <v>0</v>
      </c>
      <c r="S94">
        <f t="shared" si="8"/>
        <v>484</v>
      </c>
      <c r="T94">
        <v>220</v>
      </c>
      <c r="U94">
        <v>1</v>
      </c>
      <c r="V94" s="4">
        <v>8.9599999999999999E-2</v>
      </c>
      <c r="W94" s="4">
        <v>0.49349999999999999</v>
      </c>
      <c r="X94" s="4">
        <v>8.8069999999999989E-3</v>
      </c>
      <c r="Y94" s="4">
        <v>0</v>
      </c>
      <c r="Z94" s="4">
        <v>0.65600000000000003</v>
      </c>
      <c r="AA94" s="4">
        <v>1</v>
      </c>
      <c r="AB94" s="4">
        <v>1</v>
      </c>
      <c r="AC94" s="4" t="s">
        <v>60</v>
      </c>
      <c r="AD94" s="4" t="b">
        <v>1</v>
      </c>
      <c r="AE94" s="4">
        <v>0.41489999999999999</v>
      </c>
      <c r="AF94" s="4">
        <v>1.2383</v>
      </c>
      <c r="AG94" s="4">
        <v>5.1830000000000001E-3</v>
      </c>
      <c r="AH94" s="4">
        <v>119.969498</v>
      </c>
      <c r="AI94" s="4">
        <v>4.0299999999999997E-3</v>
      </c>
      <c r="AJ94" s="2" t="str">
        <f>_xlfn.XLOOKUP($C94,[1]Bus!$A$2:$A$121,[1]Bus!$J$2:$J$121,0)</f>
        <v>CARIBE</v>
      </c>
      <c r="AK94" s="2" t="str">
        <f>_xlfn.XLOOKUP($C94,[1]Bus!$A$2:$A$121,[1]Bus!$K$2:$K$121,0)</f>
        <v>GCM</v>
      </c>
      <c r="AL94" s="2">
        <v>0.13091249999999999</v>
      </c>
      <c r="AM94" s="2">
        <f t="shared" si="9"/>
        <v>12.038170304026307</v>
      </c>
      <c r="AN94" s="2">
        <f t="shared" si="10"/>
        <v>8.4427151885443363E-2</v>
      </c>
      <c r="AO94" s="2">
        <f t="shared" si="11"/>
        <v>5.5078125</v>
      </c>
      <c r="AP94" s="2">
        <f t="shared" si="12"/>
        <v>2.1159046456827477</v>
      </c>
      <c r="AQ94" s="2">
        <v>0</v>
      </c>
      <c r="AR94" s="2">
        <v>0.13091249999999999</v>
      </c>
    </row>
    <row r="95" spans="1:44" ht="16" x14ac:dyDescent="0.2">
      <c r="A95" s="1" t="s">
        <v>215</v>
      </c>
      <c r="B95" s="4" t="str">
        <f>_xlfn.CONCAT(_xlfn.XLOOKUP($C95,[1]Bus!$A$2:$A$121,[1]Bus!$C$2:$C$121,0)," - ",_xlfn.XLOOKUP($D95,[1]Bus!$A$2:$A$121,[1]Bus!$C$2:$C$121,0))</f>
        <v>Guajira_220 - Santa_Marta_220</v>
      </c>
      <c r="C95" s="4" t="s">
        <v>205</v>
      </c>
      <c r="D95" s="4" t="s">
        <v>210</v>
      </c>
      <c r="E95">
        <f t="shared" si="7"/>
        <v>1.6959601610330579E-2</v>
      </c>
      <c r="F95">
        <f t="shared" si="7"/>
        <v>9.3306169394628102E-2</v>
      </c>
      <c r="G95">
        <v>250</v>
      </c>
      <c r="H95">
        <v>250</v>
      </c>
      <c r="I95">
        <v>250</v>
      </c>
      <c r="N95" s="4">
        <v>91.510002</v>
      </c>
      <c r="P95" s="2">
        <v>0</v>
      </c>
      <c r="S95">
        <f t="shared" si="8"/>
        <v>484</v>
      </c>
      <c r="T95">
        <v>220</v>
      </c>
      <c r="U95">
        <v>1</v>
      </c>
      <c r="V95" s="4">
        <v>8.9700000000000002E-2</v>
      </c>
      <c r="W95" s="4">
        <v>0.49349999999999999</v>
      </c>
      <c r="X95" s="4">
        <v>9.0139999999999994E-3</v>
      </c>
      <c r="Y95" s="4">
        <v>0</v>
      </c>
      <c r="Z95" s="4">
        <v>0.65600000000000003</v>
      </c>
      <c r="AA95" s="4">
        <v>1</v>
      </c>
      <c r="AB95" s="4">
        <v>1</v>
      </c>
      <c r="AC95" s="4" t="s">
        <v>60</v>
      </c>
      <c r="AD95" s="4" t="b">
        <v>1</v>
      </c>
      <c r="AE95" s="4">
        <v>0.41449999999999998</v>
      </c>
      <c r="AF95" s="4">
        <v>1.2377</v>
      </c>
      <c r="AG95" s="4">
        <v>6.0429999999999998E-3</v>
      </c>
      <c r="AH95" s="4">
        <v>119.969498</v>
      </c>
      <c r="AI95" s="4">
        <v>4.0299999999999997E-3</v>
      </c>
      <c r="AJ95" s="2" t="str">
        <f>_xlfn.XLOOKUP($C95,[1]Bus!$A$2:$A$121,[1]Bus!$J$2:$J$121,0)</f>
        <v>CARIBE</v>
      </c>
      <c r="AK95" s="2" t="str">
        <f>_xlfn.XLOOKUP($C95,[1]Bus!$A$2:$A$121,[1]Bus!$K$2:$K$121,0)</f>
        <v>GCM</v>
      </c>
      <c r="AL95" s="2">
        <v>0.15050910000000001</v>
      </c>
      <c r="AM95" s="2">
        <f t="shared" si="9"/>
        <v>10.717404931399669</v>
      </c>
      <c r="AN95" s="2">
        <f t="shared" si="10"/>
        <v>9.4834958395520794E-2</v>
      </c>
      <c r="AO95" s="2">
        <f t="shared" si="11"/>
        <v>5.5016722408026757</v>
      </c>
      <c r="AP95" s="2">
        <f t="shared" si="12"/>
        <v>1.8857266128788901</v>
      </c>
      <c r="AQ95" s="2">
        <v>0</v>
      </c>
      <c r="AR95" s="2">
        <v>0.15050910000000001</v>
      </c>
    </row>
    <row r="96" spans="1:44" ht="16" x14ac:dyDescent="0.2">
      <c r="A96" s="1" t="s">
        <v>216</v>
      </c>
      <c r="B96" s="4" t="str">
        <f>_xlfn.CONCAT(_xlfn.XLOOKUP($C96,[1]Bus!$A$2:$A$121,[1]Bus!$C$2:$C$121,0)," - ",_xlfn.XLOOKUP($D96,[1]Bus!$A$2:$A$121,[1]Bus!$C$2:$C$121,0))</f>
        <v>R_Cordoba_220 - Santa_Marta_220</v>
      </c>
      <c r="C96" s="4" t="s">
        <v>208</v>
      </c>
      <c r="D96" s="4" t="s">
        <v>210</v>
      </c>
      <c r="E96">
        <f t="shared" si="7"/>
        <v>3.4086250000000002E-3</v>
      </c>
      <c r="F96">
        <f t="shared" si="7"/>
        <v>2.2556125000000003E-2</v>
      </c>
      <c r="G96">
        <v>250</v>
      </c>
      <c r="H96">
        <v>250</v>
      </c>
      <c r="I96">
        <v>250</v>
      </c>
      <c r="N96" s="4">
        <v>22.385000000000002</v>
      </c>
      <c r="P96" s="2">
        <v>0</v>
      </c>
      <c r="S96">
        <f t="shared" si="8"/>
        <v>484</v>
      </c>
      <c r="T96">
        <v>220</v>
      </c>
      <c r="U96">
        <v>1</v>
      </c>
      <c r="V96" s="4">
        <v>7.3700000000000002E-2</v>
      </c>
      <c r="W96" s="4">
        <v>0.48770000000000002</v>
      </c>
      <c r="X96" s="4">
        <v>8.9629999999999987E-3</v>
      </c>
      <c r="Y96" s="4">
        <v>0</v>
      </c>
      <c r="Z96" s="4">
        <v>0.65600000000000003</v>
      </c>
      <c r="AA96" s="4">
        <v>1</v>
      </c>
      <c r="AB96" s="4">
        <v>1</v>
      </c>
      <c r="AC96" s="4" t="s">
        <v>60</v>
      </c>
      <c r="AD96" s="4" t="b">
        <v>1</v>
      </c>
      <c r="AE96" s="4">
        <v>0.4229</v>
      </c>
      <c r="AF96" s="4">
        <v>1.1672</v>
      </c>
      <c r="AG96" s="4">
        <v>5.6820000000000004E-3</v>
      </c>
      <c r="AH96" s="4">
        <v>119.969498</v>
      </c>
      <c r="AI96" s="4">
        <v>4.0299999999999997E-3</v>
      </c>
      <c r="AJ96" s="2" t="str">
        <f>_xlfn.XLOOKUP($C96,[1]Bus!$A$2:$A$121,[1]Bus!$J$2:$J$121,0)</f>
        <v>CARIBE</v>
      </c>
      <c r="AK96" s="2" t="str">
        <f>_xlfn.XLOOKUP($C96,[1]Bus!$A$2:$A$121,[1]Bus!$K$2:$K$121,0)</f>
        <v>GCM</v>
      </c>
      <c r="AL96" s="2">
        <v>3.6609240000000001E-2</v>
      </c>
      <c r="AM96" s="2">
        <f t="shared" si="9"/>
        <v>44.333856103386545</v>
      </c>
      <c r="AN96" s="2">
        <f t="shared" si="10"/>
        <v>2.2812222588039291E-2</v>
      </c>
      <c r="AO96" s="2">
        <f t="shared" si="11"/>
        <v>6.6173677069199464</v>
      </c>
      <c r="AP96" s="2">
        <f t="shared" si="12"/>
        <v>6.5500410818443333</v>
      </c>
      <c r="AQ96" s="2">
        <v>0</v>
      </c>
      <c r="AR96" s="2">
        <v>3.6609240000000001E-2</v>
      </c>
    </row>
    <row r="97" spans="1:44" ht="16" x14ac:dyDescent="0.2">
      <c r="A97" s="1" t="s">
        <v>217</v>
      </c>
      <c r="B97" s="4" t="str">
        <f>_xlfn.CONCAT(_xlfn.XLOOKUP($C97,[1]Bus!$A$2:$A$121,[1]Bus!$C$2:$C$121,0)," - ",_xlfn.XLOOKUP($D97,[1]Bus!$A$2:$A$121,[1]Bus!$C$2:$C$121,0))</f>
        <v>R_Cordoba_220 - Drummond_220</v>
      </c>
      <c r="C97" s="4" t="s">
        <v>208</v>
      </c>
      <c r="D97" s="4" t="s">
        <v>211</v>
      </c>
      <c r="E97">
        <f t="shared" si="7"/>
        <v>3.6317045454545456E-4</v>
      </c>
      <c r="F97">
        <f t="shared" si="7"/>
        <v>2.4032324380165288E-3</v>
      </c>
      <c r="G97">
        <v>250</v>
      </c>
      <c r="H97">
        <v>250</v>
      </c>
      <c r="I97">
        <v>250</v>
      </c>
      <c r="N97" s="4">
        <v>2.3849999999999998</v>
      </c>
      <c r="P97" s="2">
        <v>0</v>
      </c>
      <c r="S97">
        <f t="shared" si="8"/>
        <v>484</v>
      </c>
      <c r="T97">
        <v>220</v>
      </c>
      <c r="U97">
        <v>1</v>
      </c>
      <c r="V97" s="4">
        <v>7.3700000000000002E-2</v>
      </c>
      <c r="W97" s="4">
        <v>0.48770000000000002</v>
      </c>
      <c r="X97" s="4">
        <v>8.9629999999999987E-3</v>
      </c>
      <c r="Y97" s="4">
        <v>0</v>
      </c>
      <c r="Z97" s="4">
        <v>0.65600000000000003</v>
      </c>
      <c r="AA97" s="4">
        <v>1</v>
      </c>
      <c r="AB97" s="4">
        <v>1</v>
      </c>
      <c r="AC97" s="4" t="s">
        <v>60</v>
      </c>
      <c r="AD97" s="4" t="b">
        <v>1</v>
      </c>
      <c r="AE97" s="4">
        <v>0.4229</v>
      </c>
      <c r="AF97" s="4">
        <v>1.1672</v>
      </c>
      <c r="AG97" s="4">
        <v>5.6820000000000004E-3</v>
      </c>
      <c r="AH97" s="4">
        <v>119.969498</v>
      </c>
      <c r="AI97" s="4">
        <v>4.0299999999999997E-3</v>
      </c>
      <c r="AJ97" s="2" t="str">
        <f>_xlfn.XLOOKUP($C97,[1]Bus!$A$2:$A$121,[1]Bus!$J$2:$J$121,0)</f>
        <v>CARIBE</v>
      </c>
      <c r="AK97" s="2" t="str">
        <f>_xlfn.XLOOKUP($C97,[1]Bus!$A$2:$A$121,[1]Bus!$K$2:$K$121,0)</f>
        <v>GCM</v>
      </c>
      <c r="AL97" s="2">
        <v>3.9005099999999998E-3</v>
      </c>
      <c r="AM97" s="2">
        <f t="shared" si="9"/>
        <v>416.10623432885035</v>
      </c>
      <c r="AN97" s="2">
        <f t="shared" si="10"/>
        <v>2.4305182431303865E-3</v>
      </c>
      <c r="AO97" s="2">
        <f t="shared" si="11"/>
        <v>6.6173677069199455</v>
      </c>
      <c r="AP97" s="2">
        <f t="shared" si="12"/>
        <v>61.477010321629116</v>
      </c>
      <c r="AQ97" s="2">
        <v>0</v>
      </c>
      <c r="AR97" s="2">
        <v>3.9005099999999998E-3</v>
      </c>
    </row>
    <row r="98" spans="1:44" ht="16" x14ac:dyDescent="0.2">
      <c r="A98" s="1" t="s">
        <v>218</v>
      </c>
      <c r="B98" s="4" t="str">
        <f>_xlfn.CONCAT(_xlfn.XLOOKUP($C98,[1]Bus!$A$2:$A$121,[1]Bus!$C$2:$C$121,0)," - ",_xlfn.XLOOKUP($D98,[1]Bus!$A$2:$A$121,[1]Bus!$C$2:$C$121,0))</f>
        <v>Cerromatoso_220 - Urra_220</v>
      </c>
      <c r="C98" s="4" t="s">
        <v>219</v>
      </c>
      <c r="D98" s="4" t="s">
        <v>220</v>
      </c>
      <c r="E98">
        <f t="shared" ref="E98:F129" si="13">$N98*V98/$S98</f>
        <v>5.3667913857438024E-3</v>
      </c>
      <c r="F98">
        <f t="shared" si="13"/>
        <v>4.5233135865185944E-2</v>
      </c>
      <c r="G98">
        <v>610</v>
      </c>
      <c r="H98">
        <v>610</v>
      </c>
      <c r="I98">
        <v>610</v>
      </c>
      <c r="N98" s="4">
        <v>84.610000999999997</v>
      </c>
      <c r="P98" s="2">
        <v>0</v>
      </c>
      <c r="S98">
        <f t="shared" si="8"/>
        <v>484</v>
      </c>
      <c r="T98">
        <v>220</v>
      </c>
      <c r="U98">
        <v>2</v>
      </c>
      <c r="V98" s="4">
        <f>0.0614/2</f>
        <v>3.0700000000000002E-2</v>
      </c>
      <c r="W98" s="4">
        <f>0.5175/2</f>
        <v>0.25874999999999998</v>
      </c>
      <c r="X98" s="4">
        <v>8.8870000000000008E-3</v>
      </c>
      <c r="Y98" s="4">
        <v>0</v>
      </c>
      <c r="Z98" s="4">
        <v>0.8</v>
      </c>
      <c r="AA98" s="4">
        <v>1</v>
      </c>
      <c r="AB98" s="4">
        <v>1</v>
      </c>
      <c r="AC98" s="4" t="s">
        <v>60</v>
      </c>
      <c r="AD98" s="4" t="b">
        <v>1</v>
      </c>
      <c r="AE98" s="4">
        <f>0.3581/2</f>
        <v>0.17904999999999999</v>
      </c>
      <c r="AF98" s="4">
        <f>1.4443/2</f>
        <v>0.72214999999999996</v>
      </c>
      <c r="AG98" s="4">
        <v>5.0159999999999996E-3</v>
      </c>
      <c r="AH98" s="4">
        <v>143.125</v>
      </c>
      <c r="AI98" s="4">
        <v>4.0299999999999997E-3</v>
      </c>
      <c r="AJ98" s="2" t="str">
        <f>_xlfn.XLOOKUP($C98,[1]Bus!$A$2:$A$121,[1]Bus!$J$2:$J$121,0)</f>
        <v>CARIBE</v>
      </c>
      <c r="AK98" s="2" t="str">
        <f>_xlfn.XLOOKUP($C98,[1]Bus!$A$2:$A$121,[1]Bus!$K$2:$K$121,0)</f>
        <v>CORDOSUC</v>
      </c>
      <c r="AL98" s="2">
        <v>0.13720299999999999</v>
      </c>
      <c r="AM98" s="2">
        <f t="shared" si="9"/>
        <v>22.107686784759451</v>
      </c>
      <c r="AN98" s="2">
        <f t="shared" si="10"/>
        <v>4.5550400985902031E-2</v>
      </c>
      <c r="AO98" s="2">
        <f t="shared" si="11"/>
        <v>8.428338762214981</v>
      </c>
      <c r="AP98" s="2">
        <f t="shared" si="12"/>
        <v>2.5866061454438127</v>
      </c>
      <c r="AQ98" s="2">
        <v>0</v>
      </c>
      <c r="AR98" s="2">
        <v>6.8625850000000002E-2</v>
      </c>
    </row>
    <row r="99" spans="1:44" ht="16" x14ac:dyDescent="0.2">
      <c r="A99" s="1" t="s">
        <v>221</v>
      </c>
      <c r="B99" s="4" t="str">
        <f>_xlfn.CONCAT(_xlfn.XLOOKUP($C99,[1]Bus!$A$2:$A$121,[1]Bus!$C$2:$C$121,0)," - ",_xlfn.XLOOKUP($D99,[1]Bus!$A$2:$A$121,[1]Bus!$C$2:$C$121,0))</f>
        <v>Uraba_220 - Urra_220</v>
      </c>
      <c r="C99" s="4" t="s">
        <v>222</v>
      </c>
      <c r="D99" s="4" t="s">
        <v>220</v>
      </c>
      <c r="E99">
        <f t="shared" si="13"/>
        <v>6.485057724380165E-3</v>
      </c>
      <c r="F99">
        <f t="shared" si="13"/>
        <v>5.4658263393595037E-2</v>
      </c>
      <c r="G99">
        <v>305</v>
      </c>
      <c r="H99">
        <v>305</v>
      </c>
      <c r="I99">
        <v>305</v>
      </c>
      <c r="N99" s="4">
        <v>51.119999</v>
      </c>
      <c r="P99" s="2">
        <v>0</v>
      </c>
      <c r="S99">
        <f t="shared" si="8"/>
        <v>484</v>
      </c>
      <c r="T99">
        <v>220</v>
      </c>
      <c r="U99">
        <v>1</v>
      </c>
      <c r="V99" s="4">
        <v>6.1400000000000003E-2</v>
      </c>
      <c r="W99" s="4">
        <v>0.51749999999999996</v>
      </c>
      <c r="X99" s="4">
        <v>8.8870000000000008E-3</v>
      </c>
      <c r="Y99" s="4">
        <v>0</v>
      </c>
      <c r="Z99" s="4">
        <v>0.8</v>
      </c>
      <c r="AA99" s="4">
        <v>1</v>
      </c>
      <c r="AB99" s="4">
        <v>1</v>
      </c>
      <c r="AC99" s="4" t="s">
        <v>60</v>
      </c>
      <c r="AD99" s="4" t="b">
        <v>1</v>
      </c>
      <c r="AE99" s="4">
        <v>0.35809999999999997</v>
      </c>
      <c r="AF99" s="4">
        <v>1.4442999999999999</v>
      </c>
      <c r="AG99" s="4">
        <v>5.0159999999999996E-3</v>
      </c>
      <c r="AH99" s="4">
        <v>142.875</v>
      </c>
      <c r="AI99" s="4">
        <v>4.0299999999999997E-3</v>
      </c>
      <c r="AJ99" s="2" t="str">
        <f>_xlfn.XLOOKUP($C99,[1]Bus!$A$2:$A$121,[1]Bus!$J$2:$J$121,0)</f>
        <v>CARIBE</v>
      </c>
      <c r="AK99" s="2" t="str">
        <f>_xlfn.XLOOKUP($C99,[1]Bus!$A$2:$A$121,[1]Bus!$K$2:$K$121,0)</f>
        <v>CORDOSUC</v>
      </c>
      <c r="AL99" s="2">
        <v>8.2895860000000002E-2</v>
      </c>
      <c r="AM99" s="2">
        <f t="shared" si="9"/>
        <v>18.295495281271265</v>
      </c>
      <c r="AN99" s="2">
        <f t="shared" si="10"/>
        <v>5.5041636339158324E-2</v>
      </c>
      <c r="AO99" s="2">
        <f t="shared" si="11"/>
        <v>8.4283387622149828</v>
      </c>
      <c r="AP99" s="2">
        <f t="shared" si="12"/>
        <v>2.1405785684053615</v>
      </c>
      <c r="AQ99" s="2">
        <v>0</v>
      </c>
      <c r="AR99" s="2">
        <v>8.2895860000000002E-2</v>
      </c>
    </row>
    <row r="100" spans="1:44" ht="16" x14ac:dyDescent="0.2">
      <c r="A100" s="1" t="s">
        <v>223</v>
      </c>
      <c r="B100" s="4" t="str">
        <f>_xlfn.CONCAT(_xlfn.XLOOKUP($C100,[1]Bus!$A$2:$A$121,[1]Bus!$C$2:$C$121,0)," - ",_xlfn.XLOOKUP($D100,[1]Bus!$A$2:$A$121,[1]Bus!$C$2:$C$121,0))</f>
        <v>Chinu_500 - Cerromatoso_500</v>
      </c>
      <c r="C100" s="4" t="s">
        <v>71</v>
      </c>
      <c r="D100" s="4" t="s">
        <v>87</v>
      </c>
      <c r="E100">
        <f t="shared" si="13"/>
        <v>4.9015836746246679E-4</v>
      </c>
      <c r="F100">
        <f t="shared" si="13"/>
        <v>5.8660727561340399E-3</v>
      </c>
      <c r="G100">
        <v>6348</v>
      </c>
      <c r="H100">
        <v>6348</v>
      </c>
      <c r="I100">
        <v>6348</v>
      </c>
      <c r="N100" s="4">
        <v>136.240005</v>
      </c>
      <c r="P100" s="2">
        <v>0</v>
      </c>
      <c r="S100">
        <f t="shared" si="8"/>
        <v>2500</v>
      </c>
      <c r="T100">
        <v>500</v>
      </c>
      <c r="U100">
        <v>3</v>
      </c>
      <c r="V100" s="4">
        <v>8.9943913218159897E-3</v>
      </c>
      <c r="W100" s="4">
        <v>0.1076422588969745</v>
      </c>
      <c r="X100" s="4">
        <v>1.3901E-2</v>
      </c>
      <c r="Y100" s="4">
        <v>0</v>
      </c>
      <c r="Z100" s="4">
        <v>2.4500000000000002</v>
      </c>
      <c r="AA100" s="4">
        <v>1</v>
      </c>
      <c r="AB100" s="4">
        <v>1</v>
      </c>
      <c r="AC100" s="4" t="s">
        <v>60</v>
      </c>
      <c r="AD100" s="4" t="b">
        <v>1</v>
      </c>
      <c r="AE100" s="4">
        <v>8.8123528311017787E-2</v>
      </c>
      <c r="AF100" s="4">
        <v>0.34003051317354621</v>
      </c>
      <c r="AG100" s="4">
        <v>7.5829999999999986E-3</v>
      </c>
      <c r="AH100" s="4">
        <v>100</v>
      </c>
      <c r="AI100" s="4">
        <v>4.0299999999999997E-3</v>
      </c>
      <c r="AJ100" s="2" t="str">
        <f>_xlfn.XLOOKUP($C100,[1]Bus!$A$2:$A$121,[1]Bus!$J$2:$J$121,0)</f>
        <v>CARIBE</v>
      </c>
      <c r="AK100" s="2" t="str">
        <f>_xlfn.XLOOKUP($C100,[1]Bus!$A$2:$A$121,[1]Bus!$K$2:$K$121,0)</f>
        <v>CORDOSUC</v>
      </c>
      <c r="AL100" s="2">
        <v>1.78488</v>
      </c>
      <c r="AM100" s="2">
        <f t="shared" si="9"/>
        <v>170.47180312489633</v>
      </c>
      <c r="AN100" s="2">
        <f t="shared" si="10"/>
        <v>5.8865155062610246E-3</v>
      </c>
      <c r="AO100" s="2">
        <f t="shared" si="11"/>
        <v>11.967709102881379</v>
      </c>
      <c r="AP100" s="2">
        <f t="shared" si="12"/>
        <v>14.145549933731115</v>
      </c>
      <c r="AQ100" s="2">
        <v>0</v>
      </c>
      <c r="AR100" s="2">
        <v>0.59495999999999993</v>
      </c>
    </row>
    <row r="101" spans="1:44" ht="16" x14ac:dyDescent="0.2">
      <c r="A101" s="1" t="s">
        <v>224</v>
      </c>
      <c r="B101" s="4" t="str">
        <f>_xlfn.CONCAT(_xlfn.XLOOKUP($C101,[1]Bus!$A$2:$A$121,[1]Bus!$C$2:$C$121,0)," - ",_xlfn.XLOOKUP($D101,[1]Bus!$A$2:$A$121,[1]Bus!$C$2:$C$121,0))</f>
        <v>Monteria_220 - Chinu_220</v>
      </c>
      <c r="C101" s="4" t="s">
        <v>225</v>
      </c>
      <c r="D101" s="4" t="s">
        <v>226</v>
      </c>
      <c r="E101">
        <f t="shared" si="13"/>
        <v>7.5773551404958676E-3</v>
      </c>
      <c r="F101">
        <f t="shared" si="13"/>
        <v>4.9658738152892561E-2</v>
      </c>
      <c r="G101">
        <v>381</v>
      </c>
      <c r="H101">
        <v>381</v>
      </c>
      <c r="I101">
        <v>381</v>
      </c>
      <c r="N101" s="4">
        <v>65.489998</v>
      </c>
      <c r="P101" s="2">
        <v>0</v>
      </c>
      <c r="S101">
        <f t="shared" si="8"/>
        <v>484</v>
      </c>
      <c r="T101">
        <v>220</v>
      </c>
      <c r="U101">
        <v>1</v>
      </c>
      <c r="V101" s="4">
        <v>5.6000000000000001E-2</v>
      </c>
      <c r="W101" s="4">
        <v>0.36699999999999999</v>
      </c>
      <c r="X101" s="4">
        <v>1.1955E-2</v>
      </c>
      <c r="Y101" s="4">
        <v>0</v>
      </c>
      <c r="Z101" s="4">
        <v>1</v>
      </c>
      <c r="AA101" s="4">
        <v>1</v>
      </c>
      <c r="AB101" s="4">
        <v>1</v>
      </c>
      <c r="AC101" s="4" t="s">
        <v>60</v>
      </c>
      <c r="AD101" s="4" t="b">
        <v>1</v>
      </c>
      <c r="AE101" s="4">
        <v>0.38</v>
      </c>
      <c r="AF101" s="4">
        <v>1.363</v>
      </c>
      <c r="AG101" s="4">
        <v>5.7140000000000003E-3</v>
      </c>
      <c r="AH101" s="4">
        <v>113.91999800000001</v>
      </c>
      <c r="AI101" s="4">
        <v>4.0299999999999997E-3</v>
      </c>
      <c r="AJ101" s="2" t="str">
        <f>_xlfn.XLOOKUP($C101,[1]Bus!$A$2:$A$121,[1]Bus!$J$2:$J$121,0)</f>
        <v>CARIBE</v>
      </c>
      <c r="AK101" s="2" t="str">
        <f>_xlfn.XLOOKUP($C101,[1]Bus!$A$2:$A$121,[1]Bus!$K$2:$K$121,0)</f>
        <v>CORDOSUC</v>
      </c>
      <c r="AL101" s="2">
        <v>0.14285909999999999</v>
      </c>
      <c r="AM101" s="2">
        <f t="shared" si="9"/>
        <v>20.137442818646232</v>
      </c>
      <c r="AN101" s="2">
        <f t="shared" si="10"/>
        <v>5.0233520540200506E-2</v>
      </c>
      <c r="AO101" s="2">
        <f t="shared" si="11"/>
        <v>6.5535714285714288</v>
      </c>
      <c r="AP101" s="2">
        <f t="shared" si="12"/>
        <v>3.0028276786418822</v>
      </c>
      <c r="AQ101" s="2">
        <v>0</v>
      </c>
      <c r="AR101" s="2">
        <v>0.14285909999999999</v>
      </c>
    </row>
    <row r="102" spans="1:44" ht="16" x14ac:dyDescent="0.2">
      <c r="A102" s="1" t="s">
        <v>227</v>
      </c>
      <c r="B102" s="4" t="str">
        <f>_xlfn.CONCAT(_xlfn.XLOOKUP($C102,[1]Bus!$A$2:$A$121,[1]Bus!$C$2:$C$121,0)," - ",_xlfn.XLOOKUP($D102,[1]Bus!$A$2:$A$121,[1]Bus!$C$2:$C$121,0))</f>
        <v>Monteria_220 - Uraba_220</v>
      </c>
      <c r="C102" s="4" t="s">
        <v>225</v>
      </c>
      <c r="D102" s="4" t="s">
        <v>222</v>
      </c>
      <c r="E102">
        <f t="shared" si="13"/>
        <v>1.5226446975206613E-2</v>
      </c>
      <c r="F102">
        <f t="shared" si="13"/>
        <v>9.9787607855371899E-2</v>
      </c>
      <c r="G102">
        <v>381</v>
      </c>
      <c r="H102">
        <v>381</v>
      </c>
      <c r="I102">
        <v>381</v>
      </c>
      <c r="N102" s="4">
        <v>131.60000600000001</v>
      </c>
      <c r="P102" s="2">
        <v>0</v>
      </c>
      <c r="S102">
        <f t="shared" si="8"/>
        <v>484</v>
      </c>
      <c r="T102">
        <v>220</v>
      </c>
      <c r="U102">
        <v>1</v>
      </c>
      <c r="V102" s="4">
        <v>5.6000000000000001E-2</v>
      </c>
      <c r="W102" s="4">
        <v>0.36699999999999999</v>
      </c>
      <c r="X102" s="4">
        <v>1.1955E-2</v>
      </c>
      <c r="Y102" s="4">
        <v>0</v>
      </c>
      <c r="Z102" s="4">
        <v>1</v>
      </c>
      <c r="AA102" s="4">
        <v>1</v>
      </c>
      <c r="AB102" s="4">
        <v>1</v>
      </c>
      <c r="AC102" s="4" t="s">
        <v>60</v>
      </c>
      <c r="AD102" s="4" t="b">
        <v>1</v>
      </c>
      <c r="AE102" s="4">
        <v>0.38</v>
      </c>
      <c r="AF102" s="4">
        <v>1.363</v>
      </c>
      <c r="AG102" s="4">
        <v>5.7140000000000003E-3</v>
      </c>
      <c r="AH102" s="4">
        <v>113.91999800000001</v>
      </c>
      <c r="AI102" s="4">
        <v>4.0299999999999997E-3</v>
      </c>
      <c r="AJ102" s="2" t="str">
        <f>_xlfn.XLOOKUP($C102,[1]Bus!$A$2:$A$121,[1]Bus!$J$2:$J$121,0)</f>
        <v>CARIBE</v>
      </c>
      <c r="AK102" s="2" t="str">
        <f>_xlfn.XLOOKUP($C102,[1]Bus!$A$2:$A$121,[1]Bus!$K$2:$K$121,0)</f>
        <v>CORDOSUC</v>
      </c>
      <c r="AL102" s="2">
        <v>0.28707070000000001</v>
      </c>
      <c r="AM102" s="2">
        <f t="shared" si="9"/>
        <v>10.021284420900834</v>
      </c>
      <c r="AN102" s="2">
        <f t="shared" si="10"/>
        <v>0.10094261423693295</v>
      </c>
      <c r="AO102" s="2">
        <f t="shared" si="11"/>
        <v>6.5535714285714279</v>
      </c>
      <c r="AP102" s="2">
        <f t="shared" si="12"/>
        <v>1.4943401953082094</v>
      </c>
      <c r="AQ102" s="2">
        <v>0</v>
      </c>
      <c r="AR102" s="2">
        <v>0.28707070000000001</v>
      </c>
    </row>
    <row r="103" spans="1:44" ht="16" x14ac:dyDescent="0.2">
      <c r="A103" s="1" t="s">
        <v>228</v>
      </c>
      <c r="B103" s="4" t="str">
        <f>_xlfn.CONCAT(_xlfn.XLOOKUP($C103,[1]Bus!$A$2:$A$121,[1]Bus!$C$2:$C$121,0)," - ",_xlfn.XLOOKUP($D103,[1]Bus!$A$2:$A$121,[1]Bus!$C$2:$C$121,0))</f>
        <v>Guavio_220 - Reforma_220</v>
      </c>
      <c r="C103" s="4" t="s">
        <v>98</v>
      </c>
      <c r="D103" s="4" t="s">
        <v>229</v>
      </c>
      <c r="E103">
        <f t="shared" si="13"/>
        <v>5.7997890417355374E-3</v>
      </c>
      <c r="F103">
        <f t="shared" si="13"/>
        <v>6.7267495446487607E-2</v>
      </c>
      <c r="G103">
        <v>549</v>
      </c>
      <c r="H103">
        <v>549</v>
      </c>
      <c r="I103">
        <v>549</v>
      </c>
      <c r="N103" s="4">
        <v>81.129997000000003</v>
      </c>
      <c r="P103" s="2">
        <v>0</v>
      </c>
      <c r="S103">
        <f t="shared" si="8"/>
        <v>484</v>
      </c>
      <c r="T103">
        <v>220</v>
      </c>
      <c r="U103">
        <v>1</v>
      </c>
      <c r="V103" s="4">
        <v>3.4599999999999999E-2</v>
      </c>
      <c r="W103" s="4">
        <v>0.40129999999999999</v>
      </c>
      <c r="X103" s="4">
        <v>1.1010000000000001E-2</v>
      </c>
      <c r="Y103" s="4">
        <v>0</v>
      </c>
      <c r="Z103" s="4">
        <v>1.44</v>
      </c>
      <c r="AA103" s="4">
        <v>1</v>
      </c>
      <c r="AB103" s="4">
        <v>1</v>
      </c>
      <c r="AC103" s="4" t="s">
        <v>60</v>
      </c>
      <c r="AD103" s="4" t="b">
        <v>1</v>
      </c>
      <c r="AE103" s="4">
        <v>0.31690000000000002</v>
      </c>
      <c r="AF103" s="4">
        <v>0.93340000000000001</v>
      </c>
      <c r="AG103" s="4">
        <v>6.9980000000000007E-3</v>
      </c>
      <c r="AH103" s="4">
        <v>100</v>
      </c>
      <c r="AI103" s="4">
        <v>4.0299999999999997E-3</v>
      </c>
      <c r="AJ103" s="2" t="str">
        <f>_xlfn.XLOOKUP($C103,[1]Bus!$A$2:$A$121,[1]Bus!$J$2:$J$121,0)</f>
        <v>ORIENTAL</v>
      </c>
      <c r="AK103" s="2" t="str">
        <f>_xlfn.XLOOKUP($C103,[1]Bus!$A$2:$A$121,[1]Bus!$K$2:$K$121,0)</f>
        <v>BOGOTA</v>
      </c>
      <c r="AL103" s="2">
        <v>0.1629852</v>
      </c>
      <c r="AM103" s="2">
        <f t="shared" si="9"/>
        <v>14.8660210011166</v>
      </c>
      <c r="AN103" s="2">
        <f t="shared" si="10"/>
        <v>6.7517060781493346E-2</v>
      </c>
      <c r="AO103" s="2">
        <f t="shared" si="11"/>
        <v>11.598265895953757</v>
      </c>
      <c r="AP103" s="2">
        <f t="shared" si="12"/>
        <v>1.2722871511976568</v>
      </c>
      <c r="AQ103" s="2">
        <v>0</v>
      </c>
      <c r="AR103" s="2">
        <v>0.1629852</v>
      </c>
    </row>
    <row r="104" spans="1:44" ht="16" x14ac:dyDescent="0.2">
      <c r="A104" s="1" t="s">
        <v>230</v>
      </c>
      <c r="B104" s="4" t="str">
        <f>_xlfn.CONCAT(_xlfn.XLOOKUP($C104,[1]Bus!$A$2:$A$121,[1]Bus!$C$2:$C$121,0)," - ",_xlfn.XLOOKUP($D104,[1]Bus!$A$2:$A$121,[1]Bus!$C$2:$C$121,0))</f>
        <v>Reforma_220 - Tunal_220</v>
      </c>
      <c r="C104" s="4" t="s">
        <v>229</v>
      </c>
      <c r="D104" s="4" t="s">
        <v>115</v>
      </c>
      <c r="E104">
        <f t="shared" si="13"/>
        <v>2.6402839852272724E-3</v>
      </c>
      <c r="F104">
        <f t="shared" si="13"/>
        <v>3.0351651677685949E-2</v>
      </c>
      <c r="G104">
        <v>732</v>
      </c>
      <c r="H104">
        <v>732</v>
      </c>
      <c r="I104">
        <v>732</v>
      </c>
      <c r="N104" s="4">
        <v>74.949996999999996</v>
      </c>
      <c r="P104" s="2">
        <v>0</v>
      </c>
      <c r="S104">
        <f t="shared" si="8"/>
        <v>484</v>
      </c>
      <c r="T104">
        <v>220</v>
      </c>
      <c r="U104">
        <v>2</v>
      </c>
      <c r="V104" s="4">
        <f>0.0341/2</f>
        <v>1.7049999999999999E-2</v>
      </c>
      <c r="W104" s="4">
        <f>0.392/2</f>
        <v>0.19600000000000001</v>
      </c>
      <c r="X104" s="4">
        <v>1.1405999999999999E-2</v>
      </c>
      <c r="Y104" s="4">
        <v>0</v>
      </c>
      <c r="Z104" s="4">
        <v>0.96</v>
      </c>
      <c r="AA104" s="4">
        <v>1</v>
      </c>
      <c r="AB104" s="4">
        <v>1</v>
      </c>
      <c r="AC104" s="4" t="s">
        <v>60</v>
      </c>
      <c r="AD104" s="4" t="b">
        <v>1</v>
      </c>
      <c r="AE104" s="4">
        <f>0.3086/2</f>
        <v>0.15429999999999999</v>
      </c>
      <c r="AF104" s="4">
        <f>0.9254/2</f>
        <v>0.4627</v>
      </c>
      <c r="AG104" s="4">
        <v>6.9239999999999996E-3</v>
      </c>
      <c r="AH104" s="4">
        <v>100</v>
      </c>
      <c r="AI104" s="4">
        <v>4.0299999999999997E-3</v>
      </c>
      <c r="AJ104" s="2" t="str">
        <f>_xlfn.XLOOKUP($C104,[1]Bus!$A$2:$A$121,[1]Bus!$J$2:$J$121,0)</f>
        <v>ORIENTAL</v>
      </c>
      <c r="AK104" s="2" t="str">
        <f>_xlfn.XLOOKUP($C104,[1]Bus!$A$2:$A$121,[1]Bus!$K$2:$K$121,0)</f>
        <v>META</v>
      </c>
      <c r="AL104" s="2">
        <v>0.15620339999999999</v>
      </c>
      <c r="AM104" s="2">
        <f t="shared" si="9"/>
        <v>32.947136143341552</v>
      </c>
      <c r="AN104" s="2">
        <f t="shared" si="10"/>
        <v>3.0466274125436212E-2</v>
      </c>
      <c r="AO104" s="2">
        <f t="shared" si="11"/>
        <v>11.495601173020528</v>
      </c>
      <c r="AP104" s="2">
        <f t="shared" si="12"/>
        <v>2.8445393808428601</v>
      </c>
      <c r="AQ104" s="2">
        <v>0</v>
      </c>
      <c r="AR104" s="2">
        <v>7.8045484566796108E-2</v>
      </c>
    </row>
    <row r="105" spans="1:44" ht="16" x14ac:dyDescent="0.2">
      <c r="A105" s="1" t="s">
        <v>231</v>
      </c>
      <c r="B105" s="4" t="str">
        <f>_xlfn.CONCAT(_xlfn.XLOOKUP($C105,[1]Bus!$A$2:$A$121,[1]Bus!$C$2:$C$121,0)," - ",_xlfn.XLOOKUP($D105,[1]Bus!$A$2:$A$121,[1]Bus!$C$2:$C$121,0))</f>
        <v>Jamondino_220 - Pomasqui_220</v>
      </c>
      <c r="C105" s="4" t="s">
        <v>168</v>
      </c>
      <c r="D105" s="4" t="s">
        <v>232</v>
      </c>
      <c r="E105">
        <f t="shared" si="13"/>
        <v>5.4449520289211687E-3</v>
      </c>
      <c r="F105">
        <f t="shared" si="13"/>
        <v>5.4754966619024958E-2</v>
      </c>
      <c r="G105">
        <v>1612</v>
      </c>
      <c r="H105">
        <v>1612</v>
      </c>
      <c r="I105">
        <v>1612</v>
      </c>
      <c r="N105" s="4">
        <v>215.229996</v>
      </c>
      <c r="P105" s="2">
        <v>0</v>
      </c>
      <c r="S105">
        <f t="shared" si="8"/>
        <v>484</v>
      </c>
      <c r="T105">
        <v>220</v>
      </c>
      <c r="U105">
        <v>4</v>
      </c>
      <c r="V105" s="4">
        <v>1.2244374998723905E-2</v>
      </c>
      <c r="W105" s="4">
        <v>0.12313062461613428</v>
      </c>
      <c r="X105" s="4">
        <v>9.0209999999999995E-3</v>
      </c>
      <c r="Y105" s="4">
        <v>0</v>
      </c>
      <c r="Z105" s="4">
        <v>1.0529999999999999</v>
      </c>
      <c r="AA105" s="4">
        <v>1</v>
      </c>
      <c r="AB105" s="4">
        <v>1</v>
      </c>
      <c r="AC105" s="4" t="s">
        <v>60</v>
      </c>
      <c r="AD105" s="4" t="b">
        <v>1</v>
      </c>
      <c r="AE105" s="4">
        <v>4.8232871004932523E-2</v>
      </c>
      <c r="AF105" s="4">
        <v>0.29895948341494349</v>
      </c>
      <c r="AG105" s="4">
        <v>5.9789999999999999E-3</v>
      </c>
      <c r="AH105" s="4">
        <v>130</v>
      </c>
      <c r="AI105" s="4">
        <v>4.0299999999999997E-3</v>
      </c>
      <c r="AJ105" s="2" t="str">
        <f>_xlfn.XLOOKUP($C105,[1]Bus!$A$2:$A$121,[1]Bus!$J$2:$J$121,0)</f>
        <v>SUROCCID</v>
      </c>
      <c r="AK105" s="2" t="str">
        <f>_xlfn.XLOOKUP($C105,[1]Bus!$A$2:$A$121,[1]Bus!$K$2:$K$121,0)</f>
        <v>CAUCANAR</v>
      </c>
      <c r="AL105" s="2">
        <v>0.3542671</v>
      </c>
      <c r="AM105" s="2">
        <f t="shared" si="9"/>
        <v>18.263183447043573</v>
      </c>
      <c r="AN105" s="2">
        <f t="shared" si="10"/>
        <v>5.5025029505196908E-2</v>
      </c>
      <c r="AO105" s="2">
        <f t="shared" si="11"/>
        <v>10.056097157181712</v>
      </c>
      <c r="AP105" s="2">
        <f t="shared" si="12"/>
        <v>1.7983469789895872</v>
      </c>
      <c r="AQ105" s="2">
        <v>0</v>
      </c>
      <c r="AR105" s="2">
        <v>8.8273456786131715E-2</v>
      </c>
    </row>
    <row r="106" spans="1:44" ht="16" x14ac:dyDescent="0.2">
      <c r="A106" s="1" t="s">
        <v>233</v>
      </c>
      <c r="B106" s="4" t="str">
        <f>_xlfn.CONCAT(_xlfn.XLOOKUP($C106,[1]Bus!$A$2:$A$121,[1]Bus!$C$2:$C$121,0)," - ",_xlfn.XLOOKUP($D106,[1]Bus!$A$2:$A$121,[1]Bus!$C$2:$C$121,0))</f>
        <v>Banadia_220 - C_Limon_220</v>
      </c>
      <c r="C106" s="4" t="s">
        <v>234</v>
      </c>
      <c r="D106" s="4" t="s">
        <v>235</v>
      </c>
      <c r="E106">
        <f t="shared" si="13"/>
        <v>1.2200863495247932E-2</v>
      </c>
      <c r="F106">
        <f t="shared" si="13"/>
        <v>9.4766589813016527E-2</v>
      </c>
      <c r="G106">
        <v>305</v>
      </c>
      <c r="H106">
        <v>305</v>
      </c>
      <c r="I106">
        <v>305</v>
      </c>
      <c r="N106" s="4">
        <v>86.459998999999996</v>
      </c>
      <c r="P106" s="2">
        <v>0</v>
      </c>
      <c r="S106">
        <f t="shared" si="8"/>
        <v>484</v>
      </c>
      <c r="T106">
        <v>220</v>
      </c>
      <c r="U106">
        <v>1</v>
      </c>
      <c r="V106" s="4">
        <v>6.83E-2</v>
      </c>
      <c r="W106" s="4">
        <v>0.53049999999999997</v>
      </c>
      <c r="X106" s="4">
        <v>8.4989999999999996E-3</v>
      </c>
      <c r="Y106" s="4">
        <v>0</v>
      </c>
      <c r="Z106" s="4">
        <v>0.8</v>
      </c>
      <c r="AA106" s="4">
        <v>1</v>
      </c>
      <c r="AB106" s="4">
        <v>1</v>
      </c>
      <c r="AC106" s="4" t="s">
        <v>60</v>
      </c>
      <c r="AD106" s="4" t="b">
        <v>1</v>
      </c>
      <c r="AE106" s="4">
        <v>0.30159999999999998</v>
      </c>
      <c r="AF106" s="4">
        <v>1.0370999999999999</v>
      </c>
      <c r="AG106" s="4">
        <v>5.8300000000000001E-3</v>
      </c>
      <c r="AH106" s="4">
        <v>137.125</v>
      </c>
      <c r="AI106" s="4">
        <v>4.0299999999999997E-3</v>
      </c>
      <c r="AJ106" s="2" t="str">
        <f>_xlfn.XLOOKUP($C106,[1]Bus!$A$2:$A$121,[1]Bus!$J$2:$J$121,0)</f>
        <v>NORDEST</v>
      </c>
      <c r="AK106" s="2" t="str">
        <f>_xlfn.XLOOKUP($C106,[1]Bus!$A$2:$A$121,[1]Bus!$K$2:$K$121,0)</f>
        <v>ARAUCA</v>
      </c>
      <c r="AL106" s="2">
        <v>0.13407250000000001</v>
      </c>
      <c r="AM106" s="2">
        <f t="shared" si="9"/>
        <v>10.552242113735389</v>
      </c>
      <c r="AN106" s="2">
        <f t="shared" si="10"/>
        <v>9.5548770870263949E-2</v>
      </c>
      <c r="AO106" s="2">
        <f t="shared" si="11"/>
        <v>7.7672035139092248</v>
      </c>
      <c r="AP106" s="2">
        <f t="shared" si="12"/>
        <v>1.3364119759017623</v>
      </c>
      <c r="AQ106" s="2">
        <v>0</v>
      </c>
      <c r="AR106" s="2">
        <v>0.13407250000000001</v>
      </c>
    </row>
    <row r="107" spans="1:44" ht="16" x14ac:dyDescent="0.2">
      <c r="A107" s="1" t="s">
        <v>236</v>
      </c>
      <c r="B107" s="4" t="str">
        <f>_xlfn.CONCAT(_xlfn.XLOOKUP($C107,[1]Bus!$A$2:$A$121,[1]Bus!$C$2:$C$121,0)," - ",_xlfn.XLOOKUP($D107,[1]Bus!$A$2:$A$121,[1]Bus!$C$2:$C$121,0))</f>
        <v>Banadia_220 - Samore_220</v>
      </c>
      <c r="C107" s="4" t="s">
        <v>234</v>
      </c>
      <c r="D107" s="4" t="s">
        <v>237</v>
      </c>
      <c r="E107">
        <f t="shared" si="13"/>
        <v>7.2251241080578512E-3</v>
      </c>
      <c r="F107">
        <f t="shared" si="13"/>
        <v>5.6108430847933884E-2</v>
      </c>
      <c r="G107">
        <v>305</v>
      </c>
      <c r="H107">
        <v>305</v>
      </c>
      <c r="I107">
        <v>305</v>
      </c>
      <c r="N107" s="4">
        <v>51.200001</v>
      </c>
      <c r="P107" s="2">
        <v>0</v>
      </c>
      <c r="S107">
        <f t="shared" si="8"/>
        <v>484</v>
      </c>
      <c r="T107">
        <v>220</v>
      </c>
      <c r="U107">
        <v>1</v>
      </c>
      <c r="V107" s="4">
        <v>6.83E-2</v>
      </c>
      <c r="W107" s="4">
        <v>0.53039999999999998</v>
      </c>
      <c r="X107" s="4">
        <v>8.5000000000000006E-3</v>
      </c>
      <c r="Y107" s="4">
        <v>0</v>
      </c>
      <c r="Z107" s="4">
        <v>0.8</v>
      </c>
      <c r="AA107" s="4">
        <v>1</v>
      </c>
      <c r="AB107" s="4">
        <v>1</v>
      </c>
      <c r="AC107" s="4" t="s">
        <v>60</v>
      </c>
      <c r="AD107" s="4" t="b">
        <v>1</v>
      </c>
      <c r="AE107" s="4">
        <v>0.30159999999999998</v>
      </c>
      <c r="AF107" s="4">
        <v>1.0374000000000001</v>
      </c>
      <c r="AG107" s="4">
        <v>5.8300000000000001E-3</v>
      </c>
      <c r="AH107" s="4">
        <v>137.5</v>
      </c>
      <c r="AI107" s="4">
        <v>4.0299999999999997E-3</v>
      </c>
      <c r="AJ107" s="2" t="str">
        <f>_xlfn.XLOOKUP($C107,[1]Bus!$A$2:$A$121,[1]Bus!$J$2:$J$121,0)</f>
        <v>NORDEST</v>
      </c>
      <c r="AK107" s="2" t="str">
        <f>_xlfn.XLOOKUP($C107,[1]Bus!$A$2:$A$121,[1]Bus!$K$2:$K$121,0)</f>
        <v>ARAUCA</v>
      </c>
      <c r="AL107" s="2">
        <v>7.9410079999999994E-2</v>
      </c>
      <c r="AM107" s="2">
        <f t="shared" si="9"/>
        <v>17.822633513138491</v>
      </c>
      <c r="AN107" s="2">
        <f t="shared" si="10"/>
        <v>5.65717105150111E-2</v>
      </c>
      <c r="AO107" s="2">
        <f t="shared" si="11"/>
        <v>7.7657393850658858</v>
      </c>
      <c r="AP107" s="2">
        <f t="shared" si="12"/>
        <v>2.257598411161823</v>
      </c>
      <c r="AQ107" s="2">
        <v>0</v>
      </c>
      <c r="AR107" s="2">
        <v>7.9410079999999994E-2</v>
      </c>
    </row>
    <row r="108" spans="1:44" ht="16" x14ac:dyDescent="0.2">
      <c r="A108" s="1" t="s">
        <v>238</v>
      </c>
      <c r="B108" s="4" t="str">
        <f>_xlfn.CONCAT(_xlfn.XLOOKUP($C108,[1]Bus!$A$2:$A$121,[1]Bus!$C$2:$C$121,0)," - ",_xlfn.XLOOKUP($D108,[1]Bus!$A$2:$A$121,[1]Bus!$C$2:$C$121,0))</f>
        <v>Palos_220 - Toledo_220</v>
      </c>
      <c r="C108" s="4" t="s">
        <v>239</v>
      </c>
      <c r="D108" s="4" t="s">
        <v>240</v>
      </c>
      <c r="E108">
        <f t="shared" si="13"/>
        <v>8.1400292590909085E-3</v>
      </c>
      <c r="F108">
        <f t="shared" si="13"/>
        <v>7.8101916422727277E-2</v>
      </c>
      <c r="G108">
        <v>305</v>
      </c>
      <c r="H108">
        <v>305</v>
      </c>
      <c r="I108">
        <v>305</v>
      </c>
      <c r="N108" s="4">
        <v>73.230002999999996</v>
      </c>
      <c r="P108" s="2">
        <v>0</v>
      </c>
      <c r="S108">
        <f t="shared" si="8"/>
        <v>484</v>
      </c>
      <c r="T108">
        <v>220</v>
      </c>
      <c r="U108">
        <v>1</v>
      </c>
      <c r="V108" s="4">
        <v>5.3800000000000001E-2</v>
      </c>
      <c r="W108" s="4">
        <v>0.51619999999999999</v>
      </c>
      <c r="X108" s="4">
        <v>8.7290000000000006E-3</v>
      </c>
      <c r="Y108" s="4">
        <v>0</v>
      </c>
      <c r="Z108" s="4">
        <v>0.8</v>
      </c>
      <c r="AA108" s="4">
        <v>1</v>
      </c>
      <c r="AB108" s="4">
        <v>1</v>
      </c>
      <c r="AC108" s="4" t="s">
        <v>60</v>
      </c>
      <c r="AD108" s="4" t="b">
        <v>1</v>
      </c>
      <c r="AE108" s="4">
        <v>0.28510000000000002</v>
      </c>
      <c r="AF108" s="4">
        <v>1.0412999999999999</v>
      </c>
      <c r="AG108" s="4">
        <v>5.8900000000000003E-3</v>
      </c>
      <c r="AH108" s="4">
        <v>141.25</v>
      </c>
      <c r="AI108" s="4">
        <v>4.0299999999999997E-3</v>
      </c>
      <c r="AJ108" s="2" t="str">
        <f>_xlfn.XLOOKUP($C108,[1]Bus!$A$2:$A$121,[1]Bus!$J$2:$J$121,0)</f>
        <v>NORDEST</v>
      </c>
      <c r="AK108" s="2" t="str">
        <f>_xlfn.XLOOKUP($C108,[1]Bus!$A$2:$A$121,[1]Bus!$K$2:$K$121,0)</f>
        <v>SANTANDER</v>
      </c>
      <c r="AL108" s="2">
        <v>0.1166369</v>
      </c>
      <c r="AM108" s="2">
        <f t="shared" si="9"/>
        <v>12.803783131101312</v>
      </c>
      <c r="AN108" s="2">
        <f t="shared" si="10"/>
        <v>7.8524960523654722E-2</v>
      </c>
      <c r="AO108" s="2">
        <f t="shared" si="11"/>
        <v>9.5947955390334592</v>
      </c>
      <c r="AP108" s="2">
        <f t="shared" si="12"/>
        <v>1.3201111902260225</v>
      </c>
      <c r="AQ108" s="2">
        <v>0</v>
      </c>
      <c r="AR108" s="2">
        <v>0.1166369</v>
      </c>
    </row>
    <row r="109" spans="1:44" ht="16" x14ac:dyDescent="0.2">
      <c r="A109" s="1" t="s">
        <v>241</v>
      </c>
      <c r="B109" s="4" t="str">
        <f>_xlfn.CONCAT(_xlfn.XLOOKUP($C109,[1]Bus!$A$2:$A$121,[1]Bus!$C$2:$C$121,0)," - ",_xlfn.XLOOKUP($D109,[1]Bus!$A$2:$A$121,[1]Bus!$C$2:$C$121,0))</f>
        <v>Samore_220 - Toledo_220</v>
      </c>
      <c r="C109" s="4" t="s">
        <v>237</v>
      </c>
      <c r="D109" s="4" t="s">
        <v>240</v>
      </c>
      <c r="E109">
        <f t="shared" si="13"/>
        <v>6.2972271318181812E-3</v>
      </c>
      <c r="F109">
        <f t="shared" si="13"/>
        <v>4.8623457589669419E-2</v>
      </c>
      <c r="G109">
        <v>331</v>
      </c>
      <c r="H109">
        <v>331</v>
      </c>
      <c r="I109">
        <v>331</v>
      </c>
      <c r="N109" s="4">
        <v>44.689999</v>
      </c>
      <c r="P109" s="2">
        <v>0</v>
      </c>
      <c r="S109">
        <f t="shared" si="8"/>
        <v>484</v>
      </c>
      <c r="T109">
        <v>220</v>
      </c>
      <c r="U109">
        <v>1</v>
      </c>
      <c r="V109" s="4">
        <v>6.8199999999999997E-2</v>
      </c>
      <c r="W109" s="4">
        <v>0.52659999999999996</v>
      </c>
      <c r="X109" s="4">
        <v>8.5719999999999998E-3</v>
      </c>
      <c r="Y109" s="4">
        <v>0</v>
      </c>
      <c r="Z109" s="4">
        <v>0.86799999999999999</v>
      </c>
      <c r="AA109" s="4">
        <v>1</v>
      </c>
      <c r="AB109" s="4">
        <v>1</v>
      </c>
      <c r="AC109" s="4" t="s">
        <v>60</v>
      </c>
      <c r="AD109" s="4" t="b">
        <v>1</v>
      </c>
      <c r="AE109" s="4">
        <v>0.30020000000000002</v>
      </c>
      <c r="AF109" s="4">
        <v>1.0499000000000001</v>
      </c>
      <c r="AG109" s="4">
        <v>5.8209999999999998E-3</v>
      </c>
      <c r="AH109" s="4">
        <v>130</v>
      </c>
      <c r="AI109" s="4">
        <v>4.0299999999999997E-3</v>
      </c>
      <c r="AJ109" s="2" t="str">
        <f>_xlfn.XLOOKUP($C109,[1]Bus!$A$2:$A$121,[1]Bus!$J$2:$J$121,0)</f>
        <v>NORDEST</v>
      </c>
      <c r="AK109" s="2" t="str">
        <f>_xlfn.XLOOKUP($C109,[1]Bus!$A$2:$A$121,[1]Bus!$K$2:$K$121,0)</f>
        <v>ARAUCA</v>
      </c>
      <c r="AL109" s="2">
        <v>6.9897210000000001E-2</v>
      </c>
      <c r="AM109" s="2">
        <f t="shared" si="9"/>
        <v>20.566205069967317</v>
      </c>
      <c r="AN109" s="2">
        <f t="shared" si="10"/>
        <v>4.902953903030384E-2</v>
      </c>
      <c r="AO109" s="2">
        <f t="shared" si="11"/>
        <v>7.7214076246334313</v>
      </c>
      <c r="AP109" s="2">
        <f t="shared" si="12"/>
        <v>2.6195924965896245</v>
      </c>
      <c r="AQ109" s="2">
        <v>0</v>
      </c>
      <c r="AR109" s="2">
        <v>6.9897210000000001E-2</v>
      </c>
    </row>
    <row r="110" spans="1:44" ht="16" x14ac:dyDescent="0.2">
      <c r="A110" s="1" t="s">
        <v>242</v>
      </c>
      <c r="B110" s="4" t="str">
        <f>_xlfn.CONCAT(_xlfn.XLOOKUP($C110,[1]Bus!$A$2:$A$121,[1]Bus!$C$2:$C$121,0)," - ",_xlfn.XLOOKUP($D110,[1]Bus!$A$2:$A$121,[1]Bus!$C$2:$C$121,0))</f>
        <v>Guatiguara_220 - Sochagota_220</v>
      </c>
      <c r="C110" s="4" t="s">
        <v>63</v>
      </c>
      <c r="D110" s="4" t="s">
        <v>124</v>
      </c>
      <c r="E110">
        <f t="shared" si="13"/>
        <v>8.4962973414143741E-3</v>
      </c>
      <c r="F110">
        <f t="shared" si="13"/>
        <v>7.2394746524608769E-2</v>
      </c>
      <c r="G110">
        <v>697</v>
      </c>
      <c r="H110">
        <v>697</v>
      </c>
      <c r="I110">
        <v>697</v>
      </c>
      <c r="N110" s="4">
        <v>142.199997</v>
      </c>
      <c r="P110" s="2">
        <v>0</v>
      </c>
      <c r="S110">
        <f t="shared" si="8"/>
        <v>484</v>
      </c>
      <c r="T110">
        <v>220</v>
      </c>
      <c r="U110">
        <v>2</v>
      </c>
      <c r="V110" s="4">
        <v>2.8918481012658228E-2</v>
      </c>
      <c r="W110" s="4">
        <v>0.24640687803889788</v>
      </c>
      <c r="X110" s="4">
        <v>8.5640000000000004E-3</v>
      </c>
      <c r="Y110" s="4">
        <v>0</v>
      </c>
      <c r="Z110" s="4">
        <v>0.83</v>
      </c>
      <c r="AA110" s="4">
        <v>1</v>
      </c>
      <c r="AB110" s="4">
        <v>1</v>
      </c>
      <c r="AC110" s="4" t="s">
        <v>60</v>
      </c>
      <c r="AD110" s="4" t="b">
        <v>1</v>
      </c>
      <c r="AE110" s="4">
        <v>0.17189014883061657</v>
      </c>
      <c r="AF110" s="4">
        <v>0.62149124739625061</v>
      </c>
      <c r="AG110" s="4">
        <v>5.7990000000000003E-3</v>
      </c>
      <c r="AH110" s="4">
        <v>130</v>
      </c>
      <c r="AI110" s="4">
        <v>4.0299999999999997E-3</v>
      </c>
      <c r="AJ110" s="2" t="str">
        <f>_xlfn.XLOOKUP($C110,[1]Bus!$A$2:$A$121,[1]Bus!$J$2:$J$121,0)</f>
        <v>NORDEST</v>
      </c>
      <c r="AK110" s="2" t="str">
        <f>_xlfn.XLOOKUP($C110,[1]Bus!$A$2:$A$121,[1]Bus!$K$2:$K$121,0)</f>
        <v>SANTANDER</v>
      </c>
      <c r="AL110" s="2">
        <v>0.2403622</v>
      </c>
      <c r="AM110" s="2">
        <f t="shared" si="9"/>
        <v>13.81315700387286</v>
      </c>
      <c r="AN110" s="2">
        <f t="shared" si="10"/>
        <v>7.2891607149767779E-2</v>
      </c>
      <c r="AO110" s="2">
        <f t="shared" si="11"/>
        <v>8.5207406962710248</v>
      </c>
      <c r="AP110" s="2">
        <f t="shared" si="12"/>
        <v>1.5990964203337967</v>
      </c>
      <c r="AQ110" s="2">
        <v>0</v>
      </c>
      <c r="AR110" s="2">
        <v>0.11949549745881424</v>
      </c>
    </row>
    <row r="111" spans="1:44" ht="16" x14ac:dyDescent="0.2">
      <c r="A111" s="1" t="s">
        <v>243</v>
      </c>
      <c r="B111" s="4" t="str">
        <f>_xlfn.CONCAT(_xlfn.XLOOKUP($C111,[1]Bus!$A$2:$A$121,[1]Bus!$C$2:$C$121,0)," - ",_xlfn.XLOOKUP($D111,[1]Bus!$A$2:$A$121,[1]Bus!$C$2:$C$121,0))</f>
        <v>Paipa_220 - Sochagota_220</v>
      </c>
      <c r="C111" s="4" t="s">
        <v>244</v>
      </c>
      <c r="D111" s="4" t="s">
        <v>124</v>
      </c>
      <c r="E111">
        <f t="shared" si="13"/>
        <v>2.2786673553719009E-4</v>
      </c>
      <c r="F111">
        <f t="shared" si="13"/>
        <v>2.5419204545454551E-3</v>
      </c>
      <c r="G111">
        <v>942</v>
      </c>
      <c r="H111">
        <v>942</v>
      </c>
      <c r="I111">
        <v>942</v>
      </c>
      <c r="N111" s="4">
        <v>5.19</v>
      </c>
      <c r="P111" s="2">
        <v>0</v>
      </c>
      <c r="S111">
        <f t="shared" si="8"/>
        <v>484</v>
      </c>
      <c r="T111">
        <v>220</v>
      </c>
      <c r="U111">
        <v>2</v>
      </c>
      <c r="V111" s="4">
        <f>0.0425/2</f>
        <v>2.1250000000000002E-2</v>
      </c>
      <c r="W111" s="4">
        <f>0.4741/2</f>
        <v>0.23705000000000001</v>
      </c>
      <c r="X111" s="4">
        <v>9.2409999999999992E-3</v>
      </c>
      <c r="Y111" s="4">
        <v>0</v>
      </c>
      <c r="Z111" s="4">
        <v>1.2370000000000001</v>
      </c>
      <c r="AA111" s="4">
        <v>1</v>
      </c>
      <c r="AB111" s="4">
        <v>1</v>
      </c>
      <c r="AC111" s="4" t="s">
        <v>60</v>
      </c>
      <c r="AD111" s="4" t="b">
        <v>1</v>
      </c>
      <c r="AE111" s="4">
        <f>0.2907/2</f>
        <v>0.14535000000000001</v>
      </c>
      <c r="AF111" s="4">
        <f>1.2028/2</f>
        <v>0.60140000000000005</v>
      </c>
      <c r="AG111" s="4">
        <v>5.8859999999999997E-3</v>
      </c>
      <c r="AH111" s="4">
        <v>129.99189799999999</v>
      </c>
      <c r="AI111" s="4">
        <v>4.0299999999999997E-3</v>
      </c>
      <c r="AJ111" s="2" t="str">
        <f>_xlfn.XLOOKUP($C111,[1]Bus!$A$2:$A$121,[1]Bus!$J$2:$J$121,0)</f>
        <v>NORDEST</v>
      </c>
      <c r="AK111" s="2" t="str">
        <f>_xlfn.XLOOKUP($C111,[1]Bus!$A$2:$A$121,[1]Bus!$K$2:$K$121,0)</f>
        <v>BOYCASAN</v>
      </c>
      <c r="AL111" s="2">
        <v>8.7509200000000006E-3</v>
      </c>
      <c r="AM111" s="2">
        <f t="shared" si="9"/>
        <v>393.40334124610501</v>
      </c>
      <c r="AN111" s="2">
        <f t="shared" si="10"/>
        <v>2.5521134078251594E-3</v>
      </c>
      <c r="AO111" s="2">
        <f t="shared" si="11"/>
        <v>11.155294117647061</v>
      </c>
      <c r="AP111" s="2">
        <f t="shared" si="12"/>
        <v>34.984928631358706</v>
      </c>
      <c r="AQ111" s="2">
        <v>0</v>
      </c>
      <c r="AR111" s="2">
        <v>4.3754600000000003E-3</v>
      </c>
    </row>
    <row r="112" spans="1:44" ht="16" x14ac:dyDescent="0.2">
      <c r="A112" s="1" t="s">
        <v>245</v>
      </c>
      <c r="B112" s="4" t="str">
        <f>_xlfn.CONCAT(_xlfn.XLOOKUP($C112,[1]Bus!$A$2:$A$121,[1]Bus!$C$2:$C$121,0)," - ",_xlfn.XLOOKUP($D112,[1]Bus!$A$2:$A$121,[1]Bus!$C$2:$C$121,0))</f>
        <v>San_Antonio_220 - Sochagota_220</v>
      </c>
      <c r="C112" s="4" t="s">
        <v>246</v>
      </c>
      <c r="D112" s="4" t="s">
        <v>124</v>
      </c>
      <c r="E112">
        <f t="shared" si="13"/>
        <v>1.675413223140496E-3</v>
      </c>
      <c r="F112">
        <f t="shared" si="13"/>
        <v>1.1557190082644627E-2</v>
      </c>
      <c r="G112">
        <v>762</v>
      </c>
      <c r="H112">
        <v>762</v>
      </c>
      <c r="I112">
        <v>762</v>
      </c>
      <c r="J112"/>
      <c r="M112"/>
      <c r="N112" s="4">
        <v>30.6</v>
      </c>
      <c r="P112" s="2">
        <v>0</v>
      </c>
      <c r="S112">
        <f t="shared" si="8"/>
        <v>484</v>
      </c>
      <c r="T112">
        <v>220</v>
      </c>
      <c r="U112">
        <v>2</v>
      </c>
      <c r="V112" s="4">
        <f>0.053/2</f>
        <v>2.6499999999999999E-2</v>
      </c>
      <c r="W112" s="4">
        <f>0.3656/2</f>
        <v>0.18279999999999999</v>
      </c>
      <c r="X112" s="4">
        <v>1.2151E-2</v>
      </c>
      <c r="Y112" s="4">
        <v>0</v>
      </c>
      <c r="Z112" s="4">
        <v>1</v>
      </c>
      <c r="AA112" s="4">
        <v>1</v>
      </c>
      <c r="AB112" s="4">
        <v>1</v>
      </c>
      <c r="AC112" s="4" t="s">
        <v>60</v>
      </c>
      <c r="AD112" s="4" t="b">
        <v>1</v>
      </c>
      <c r="AE112" s="4">
        <f>0.4087/2</f>
        <v>0.20435</v>
      </c>
      <c r="AF112" s="4">
        <f>1.1787/2</f>
        <v>0.58935000000000004</v>
      </c>
      <c r="AG112" s="4">
        <v>7.5360000000000002E-3</v>
      </c>
      <c r="AH112" s="4">
        <v>130</v>
      </c>
      <c r="AI112" s="4">
        <v>4.0299999999999997E-3</v>
      </c>
      <c r="AJ112" s="2" t="str">
        <f>_xlfn.XLOOKUP($C112,[1]Bus!$A$2:$A$121,[1]Bus!$J$2:$J$121,0)</f>
        <v>NORDEST</v>
      </c>
      <c r="AK112" s="2" t="str">
        <f>_xlfn.XLOOKUP($C112,[1]Bus!$A$2:$A$121,[1]Bus!$K$2:$K$121,0)</f>
        <v>BOYCASAN</v>
      </c>
      <c r="AL112" s="2">
        <v>6.7846439999999994E-2</v>
      </c>
      <c r="AM112" s="2">
        <f t="shared" si="9"/>
        <v>86.526222451051908</v>
      </c>
      <c r="AN112" s="2">
        <f t="shared" si="10"/>
        <v>1.1677998633098626E-2</v>
      </c>
      <c r="AO112" s="2">
        <f t="shared" si="11"/>
        <v>6.8981132075471683</v>
      </c>
      <c r="AP112" s="2">
        <f t="shared" si="12"/>
        <v>12.285281116187504</v>
      </c>
      <c r="AQ112" s="2">
        <v>0</v>
      </c>
      <c r="AR112" s="2">
        <v>3.3923225000000001E-2</v>
      </c>
    </row>
    <row r="113" spans="1:44" ht="16" x14ac:dyDescent="0.2">
      <c r="A113" s="1" t="s">
        <v>247</v>
      </c>
      <c r="B113" s="4" t="str">
        <f>_xlfn.CONCAT(_xlfn.XLOOKUP($C113,[1]Bus!$A$2:$A$121,[1]Bus!$C$2:$C$121,0)," - ",_xlfn.XLOOKUP($D113,[1]Bus!$A$2:$A$121,[1]Bus!$C$2:$C$121,0))</f>
        <v>Cucuta(Belen)_220 - San_Mateo_220</v>
      </c>
      <c r="C113" s="4" t="s">
        <v>248</v>
      </c>
      <c r="D113" s="4" t="s">
        <v>13</v>
      </c>
      <c r="E113">
        <f t="shared" si="13"/>
        <v>1.175518595041322E-3</v>
      </c>
      <c r="F113">
        <f t="shared" si="13"/>
        <v>9.1309772727272715E-3</v>
      </c>
      <c r="G113">
        <v>305</v>
      </c>
      <c r="H113">
        <v>305</v>
      </c>
      <c r="I113">
        <v>305</v>
      </c>
      <c r="N113" s="4">
        <v>8.5299999999999994</v>
      </c>
      <c r="P113" s="2">
        <v>0</v>
      </c>
      <c r="S113">
        <f t="shared" si="8"/>
        <v>484</v>
      </c>
      <c r="T113">
        <v>220</v>
      </c>
      <c r="U113">
        <v>1</v>
      </c>
      <c r="V113" s="4">
        <v>6.6699999999999995E-2</v>
      </c>
      <c r="W113" s="4">
        <v>0.5181</v>
      </c>
      <c r="X113" s="4">
        <v>8.8519999999999988E-3</v>
      </c>
      <c r="Y113" s="4">
        <v>0</v>
      </c>
      <c r="Z113" s="4">
        <v>0.8</v>
      </c>
      <c r="AA113" s="4">
        <v>1</v>
      </c>
      <c r="AB113" s="4">
        <v>1</v>
      </c>
      <c r="AC113" s="4" t="s">
        <v>60</v>
      </c>
      <c r="AD113" s="4" t="b">
        <v>1</v>
      </c>
      <c r="AE113" s="4">
        <v>0.28899999999999998</v>
      </c>
      <c r="AF113" s="4">
        <v>0.92400000000000004</v>
      </c>
      <c r="AG113" s="4">
        <v>7.1510000000000002E-3</v>
      </c>
      <c r="AH113" s="4">
        <v>107.5</v>
      </c>
      <c r="AI113" s="4">
        <v>4.0299999999999997E-3</v>
      </c>
      <c r="AJ113" s="2" t="str">
        <f>_xlfn.XLOOKUP($C113,[1]Bus!$A$2:$A$121,[1]Bus!$J$2:$J$121,0)</f>
        <v>NORDEST</v>
      </c>
      <c r="AK113" s="2" t="str">
        <f>_xlfn.XLOOKUP($C113,[1]Bus!$A$2:$A$121,[1]Bus!$K$2:$K$121,0)</f>
        <v>NSANTAND</v>
      </c>
      <c r="AL113" s="2">
        <v>1.377687E-2</v>
      </c>
      <c r="AM113" s="2">
        <f t="shared" si="9"/>
        <v>109.51730248927852</v>
      </c>
      <c r="AN113" s="2">
        <f t="shared" si="10"/>
        <v>9.2063342282555603E-3</v>
      </c>
      <c r="AO113" s="2">
        <f t="shared" si="11"/>
        <v>7.7676161919040494</v>
      </c>
      <c r="AP113" s="2">
        <f t="shared" si="12"/>
        <v>13.869347458625676</v>
      </c>
      <c r="AQ113" s="2">
        <v>0</v>
      </c>
      <c r="AR113" s="2">
        <v>1.377687E-2</v>
      </c>
    </row>
    <row r="114" spans="1:44" ht="16" x14ac:dyDescent="0.2">
      <c r="A114" s="1" t="s">
        <v>249</v>
      </c>
      <c r="B114" s="4" t="str">
        <f>_xlfn.CONCAT(_xlfn.XLOOKUP($C114,[1]Bus!$A$2:$A$121,[1]Bus!$C$2:$C$121,0)," - ",_xlfn.XLOOKUP($D114,[1]Bus!$A$2:$A$121,[1]Bus!$C$2:$C$121,0))</f>
        <v>Cucuta(Belen)_220 - Tasajero_220</v>
      </c>
      <c r="C114" s="4" t="s">
        <v>248</v>
      </c>
      <c r="D114" s="4" t="s">
        <v>250</v>
      </c>
      <c r="E114">
        <f t="shared" si="13"/>
        <v>1.7245971074380166E-3</v>
      </c>
      <c r="F114">
        <f t="shared" si="13"/>
        <v>1.269909090909091E-2</v>
      </c>
      <c r="G114">
        <v>310</v>
      </c>
      <c r="H114">
        <v>310</v>
      </c>
      <c r="I114">
        <v>310</v>
      </c>
      <c r="N114" s="4">
        <v>11.45</v>
      </c>
      <c r="P114" s="2">
        <v>0</v>
      </c>
      <c r="S114">
        <f t="shared" si="8"/>
        <v>484</v>
      </c>
      <c r="T114">
        <v>220</v>
      </c>
      <c r="U114">
        <v>1</v>
      </c>
      <c r="V114" s="4">
        <v>7.2900000000000006E-2</v>
      </c>
      <c r="W114" s="4">
        <v>0.53680000000000005</v>
      </c>
      <c r="X114" s="4">
        <v>8.5019999999999991E-3</v>
      </c>
      <c r="Y114" s="4">
        <v>0</v>
      </c>
      <c r="Z114" s="4">
        <v>0.81399999999999995</v>
      </c>
      <c r="AA114" s="4">
        <v>1</v>
      </c>
      <c r="AB114" s="4">
        <v>1</v>
      </c>
      <c r="AC114" s="4" t="s">
        <v>60</v>
      </c>
      <c r="AD114" s="4" t="b">
        <v>1</v>
      </c>
      <c r="AE114" s="4">
        <v>0.42780000000000001</v>
      </c>
      <c r="AF114" s="4">
        <v>1.3580000000000001</v>
      </c>
      <c r="AG114" s="4">
        <v>5.8100000000000001E-3</v>
      </c>
      <c r="AH114" s="4">
        <v>129.975403</v>
      </c>
      <c r="AI114" s="4">
        <v>4.0299999999999997E-3</v>
      </c>
      <c r="AJ114" s="2" t="str">
        <f>_xlfn.XLOOKUP($C114,[1]Bus!$A$2:$A$121,[1]Bus!$J$2:$J$121,0)</f>
        <v>NORDEST</v>
      </c>
      <c r="AK114" s="2" t="str">
        <f>_xlfn.XLOOKUP($C114,[1]Bus!$A$2:$A$121,[1]Bus!$K$2:$K$121,0)</f>
        <v>NSANTAND</v>
      </c>
      <c r="AL114" s="2">
        <v>1.776258E-2</v>
      </c>
      <c r="AM114" s="2">
        <f t="shared" si="9"/>
        <v>78.745794258715719</v>
      </c>
      <c r="AN114" s="2">
        <f t="shared" si="10"/>
        <v>1.2815660150781892E-2</v>
      </c>
      <c r="AO114" s="2">
        <f t="shared" si="11"/>
        <v>7.3635116598079557</v>
      </c>
      <c r="AP114" s="2">
        <f t="shared" si="12"/>
        <v>10.500396270279399</v>
      </c>
      <c r="AQ114" s="2">
        <v>0</v>
      </c>
      <c r="AR114" s="2">
        <v>1.776258E-2</v>
      </c>
    </row>
    <row r="115" spans="1:44" ht="16" x14ac:dyDescent="0.2">
      <c r="A115" s="1" t="s">
        <v>251</v>
      </c>
      <c r="B115" s="4" t="str">
        <f>_xlfn.CONCAT(_xlfn.XLOOKUP($C115,[1]Bus!$A$2:$A$121,[1]Bus!$C$2:$C$121,0)," - ",_xlfn.XLOOKUP($D115,[1]Bus!$A$2:$A$121,[1]Bus!$C$2:$C$121,0))</f>
        <v>Guatiguara_220 - Tasajero_220</v>
      </c>
      <c r="C115" s="4" t="s">
        <v>63</v>
      </c>
      <c r="D115" s="4" t="s">
        <v>250</v>
      </c>
      <c r="E115">
        <f t="shared" si="13"/>
        <v>1.4268717226590913E-2</v>
      </c>
      <c r="F115">
        <f t="shared" si="13"/>
        <v>0.12786732550681817</v>
      </c>
      <c r="G115">
        <v>376</v>
      </c>
      <c r="H115">
        <v>376</v>
      </c>
      <c r="I115">
        <v>376</v>
      </c>
      <c r="N115" s="4">
        <v>127.629997</v>
      </c>
      <c r="P115" s="2">
        <v>0</v>
      </c>
      <c r="S115">
        <f t="shared" si="8"/>
        <v>484</v>
      </c>
      <c r="T115">
        <v>220</v>
      </c>
      <c r="U115">
        <v>1</v>
      </c>
      <c r="V115" s="4">
        <v>5.4110000000000012E-2</v>
      </c>
      <c r="W115" s="4">
        <v>0.4849</v>
      </c>
      <c r="X115" s="4">
        <v>9.1590000000000005E-3</v>
      </c>
      <c r="Y115" s="4">
        <v>0</v>
      </c>
      <c r="Z115" s="4">
        <v>0.98699999999999999</v>
      </c>
      <c r="AA115" s="4">
        <v>1</v>
      </c>
      <c r="AB115" s="4">
        <v>1</v>
      </c>
      <c r="AC115" s="4" t="s">
        <v>60</v>
      </c>
      <c r="AD115" s="4" t="b">
        <v>1</v>
      </c>
      <c r="AE115" s="4">
        <v>0.34420000000000001</v>
      </c>
      <c r="AF115" s="4">
        <v>1.6191</v>
      </c>
      <c r="AG115" s="4">
        <v>5.0569999999999999E-3</v>
      </c>
      <c r="AH115" s="4">
        <v>129.98989900000001</v>
      </c>
      <c r="AI115" s="4">
        <v>4.0299999999999997E-3</v>
      </c>
      <c r="AJ115" s="2" t="str">
        <f>_xlfn.XLOOKUP($C115,[1]Bus!$A$2:$A$121,[1]Bus!$J$2:$J$121,0)</f>
        <v>NORDEST</v>
      </c>
      <c r="AK115" s="2" t="str">
        <f>_xlfn.XLOOKUP($C115,[1]Bus!$A$2:$A$121,[1]Bus!$K$2:$K$121,0)</f>
        <v>SANTANDER</v>
      </c>
      <c r="AL115" s="2">
        <v>0.21330189999999999</v>
      </c>
      <c r="AM115" s="2">
        <f t="shared" si="9"/>
        <v>7.8206062106669911</v>
      </c>
      <c r="AN115" s="2">
        <f t="shared" si="10"/>
        <v>0.12866098563107234</v>
      </c>
      <c r="AO115" s="2">
        <f t="shared" si="11"/>
        <v>8.9613749768989059</v>
      </c>
      <c r="AP115" s="2">
        <f t="shared" si="12"/>
        <v>0.86196807929721031</v>
      </c>
      <c r="AQ115" s="2">
        <v>0</v>
      </c>
      <c r="AR115" s="2">
        <v>0.21330189999999999</v>
      </c>
    </row>
    <row r="116" spans="1:44" ht="16" x14ac:dyDescent="0.2">
      <c r="A116" s="1" t="s">
        <v>252</v>
      </c>
      <c r="B116" s="4" t="str">
        <f>_xlfn.CONCAT(_xlfn.XLOOKUP($C116,[1]Bus!$A$2:$A$121,[1]Bus!$C$2:$C$121,0)," - ",_xlfn.XLOOKUP($D116,[1]Bus!$A$2:$A$121,[1]Bus!$C$2:$C$121,0))</f>
        <v>Ocaña_220 - San_Mateo_220</v>
      </c>
      <c r="C116" s="4" t="s">
        <v>253</v>
      </c>
      <c r="D116" s="4" t="s">
        <v>13</v>
      </c>
      <c r="E116">
        <f t="shared" si="13"/>
        <v>1.6117518595041319E-2</v>
      </c>
      <c r="F116">
        <f t="shared" si="13"/>
        <v>0.12781914669421487</v>
      </c>
      <c r="G116">
        <v>333</v>
      </c>
      <c r="H116">
        <v>333</v>
      </c>
      <c r="I116">
        <v>333</v>
      </c>
      <c r="N116" s="4">
        <v>120.57</v>
      </c>
      <c r="P116" s="2">
        <v>0</v>
      </c>
      <c r="S116">
        <f t="shared" si="8"/>
        <v>484</v>
      </c>
      <c r="T116">
        <v>220</v>
      </c>
      <c r="U116">
        <v>1</v>
      </c>
      <c r="V116" s="4">
        <v>6.4699999999999994E-2</v>
      </c>
      <c r="W116" s="4">
        <v>0.5131</v>
      </c>
      <c r="X116" s="4">
        <v>8.820999999999999E-3</v>
      </c>
      <c r="Y116" s="4">
        <v>0</v>
      </c>
      <c r="Z116" s="4">
        <v>0.875</v>
      </c>
      <c r="AA116" s="4">
        <v>1</v>
      </c>
      <c r="AB116" s="4">
        <v>1</v>
      </c>
      <c r="AC116" s="4" t="s">
        <v>60</v>
      </c>
      <c r="AD116" s="4" t="b">
        <v>1</v>
      </c>
      <c r="AE116" s="4">
        <v>0.29199999999999998</v>
      </c>
      <c r="AF116" s="4">
        <v>1.0764</v>
      </c>
      <c r="AG116" s="4">
        <v>5.8340000000000006E-3</v>
      </c>
      <c r="AH116" s="4">
        <v>130</v>
      </c>
      <c r="AI116" s="4">
        <v>4.0299999999999997E-3</v>
      </c>
      <c r="AJ116" s="2" t="str">
        <f>_xlfn.XLOOKUP($C116,[1]Bus!$A$2:$A$121,[1]Bus!$J$2:$J$121,0)</f>
        <v>NORDEST</v>
      </c>
      <c r="AK116" s="2" t="str">
        <f>_xlfn.XLOOKUP($C116,[1]Bus!$A$2:$A$121,[1]Bus!$K$2:$K$121,0)</f>
        <v>NSANTAND</v>
      </c>
      <c r="AL116" s="2">
        <v>0.19405665999999999</v>
      </c>
      <c r="AM116" s="2">
        <f t="shared" si="9"/>
        <v>7.8235540281952156</v>
      </c>
      <c r="AN116" s="2">
        <f t="shared" si="10"/>
        <v>0.12883131865854172</v>
      </c>
      <c r="AO116" s="2">
        <f t="shared" si="11"/>
        <v>7.9304482225656896</v>
      </c>
      <c r="AP116" s="2">
        <f t="shared" si="12"/>
        <v>0.97108059517371392</v>
      </c>
      <c r="AQ116" s="2">
        <v>0</v>
      </c>
      <c r="AR116" s="2">
        <v>0.19405665999999999</v>
      </c>
    </row>
    <row r="117" spans="1:44" ht="16" x14ac:dyDescent="0.2">
      <c r="A117" s="1" t="s">
        <v>254</v>
      </c>
      <c r="B117" s="4" t="str">
        <f>_xlfn.CONCAT(_xlfn.XLOOKUP($C117,[1]Bus!$A$2:$A$121,[1]Bus!$C$2:$C$121,0)," - ",_xlfn.XLOOKUP($D117,[1]Bus!$A$2:$A$121,[1]Bus!$C$2:$C$121,0))</f>
        <v>Ocaña_220 - Palos_220</v>
      </c>
      <c r="C117" s="4" t="s">
        <v>253</v>
      </c>
      <c r="D117" s="4" t="s">
        <v>239</v>
      </c>
      <c r="E117">
        <f t="shared" si="13"/>
        <v>2.1506840775000001E-2</v>
      </c>
      <c r="F117">
        <f t="shared" si="13"/>
        <v>0.17115998860227274</v>
      </c>
      <c r="G117">
        <v>338</v>
      </c>
      <c r="H117">
        <v>338</v>
      </c>
      <c r="I117">
        <v>338</v>
      </c>
      <c r="N117" s="4">
        <v>160.38999900000002</v>
      </c>
      <c r="P117" s="2">
        <v>0</v>
      </c>
      <c r="S117">
        <f t="shared" si="8"/>
        <v>484</v>
      </c>
      <c r="T117">
        <v>220</v>
      </c>
      <c r="U117">
        <v>1</v>
      </c>
      <c r="V117" s="4">
        <v>6.4899999999999999E-2</v>
      </c>
      <c r="W117" s="4">
        <v>0.51649999999999996</v>
      </c>
      <c r="X117" s="4">
        <v>8.7569999999999992E-3</v>
      </c>
      <c r="Y117" s="4">
        <v>0</v>
      </c>
      <c r="Z117" s="4">
        <v>0.88700000000000001</v>
      </c>
      <c r="AA117" s="4">
        <v>1</v>
      </c>
      <c r="AB117" s="4">
        <v>1</v>
      </c>
      <c r="AC117" s="4" t="s">
        <v>60</v>
      </c>
      <c r="AD117" s="4" t="b">
        <v>1</v>
      </c>
      <c r="AE117" s="4">
        <v>0.29370000000000002</v>
      </c>
      <c r="AF117" s="4">
        <v>1.0654999999999999</v>
      </c>
      <c r="AG117" s="4">
        <v>5.8409999999999998E-3</v>
      </c>
      <c r="AH117" s="4">
        <v>130</v>
      </c>
      <c r="AI117" s="4">
        <v>4.0299999999999997E-3</v>
      </c>
      <c r="AJ117" s="2" t="str">
        <f>_xlfn.XLOOKUP($C117,[1]Bus!$A$2:$A$121,[1]Bus!$J$2:$J$121,0)</f>
        <v>NORDEST</v>
      </c>
      <c r="AK117" s="2" t="str">
        <f>_xlfn.XLOOKUP($C117,[1]Bus!$A$2:$A$121,[1]Bus!$K$2:$K$121,0)</f>
        <v>NSANTAND</v>
      </c>
      <c r="AL117" s="2">
        <v>0.25629134999999997</v>
      </c>
      <c r="AM117" s="2">
        <f t="shared" si="9"/>
        <v>5.8424869513383548</v>
      </c>
      <c r="AN117" s="2">
        <f t="shared" si="10"/>
        <v>0.17250590105399682</v>
      </c>
      <c r="AO117" s="2">
        <f t="shared" si="11"/>
        <v>7.9583975346687215</v>
      </c>
      <c r="AP117" s="2">
        <f t="shared" si="12"/>
        <v>0.72271772804357814</v>
      </c>
      <c r="AQ117" s="2">
        <v>0</v>
      </c>
      <c r="AR117" s="2">
        <v>0.25629135999999997</v>
      </c>
    </row>
    <row r="118" spans="1:44" ht="16" x14ac:dyDescent="0.2">
      <c r="A118" s="1" t="s">
        <v>255</v>
      </c>
      <c r="B118" s="4" t="str">
        <f>_xlfn.CONCAT(_xlfn.XLOOKUP($C118,[1]Bus!$A$2:$A$121,[1]Bus!$C$2:$C$121,0)," - ",_xlfn.XLOOKUP($D118,[1]Bus!$A$2:$A$121,[1]Bus!$C$2:$C$121,0))</f>
        <v>Palos_220 - Tasajero_220</v>
      </c>
      <c r="C118" s="4" t="s">
        <v>239</v>
      </c>
      <c r="D118" s="4" t="s">
        <v>250</v>
      </c>
      <c r="E118">
        <f t="shared" si="13"/>
        <v>1.4212784983884296E-2</v>
      </c>
      <c r="F118">
        <f t="shared" si="13"/>
        <v>0.11133348237376033</v>
      </c>
      <c r="G118">
        <v>312</v>
      </c>
      <c r="H118">
        <v>312</v>
      </c>
      <c r="I118">
        <v>312</v>
      </c>
      <c r="N118" s="4">
        <v>101.459999</v>
      </c>
      <c r="P118" s="2">
        <v>0</v>
      </c>
      <c r="S118">
        <f t="shared" si="8"/>
        <v>484</v>
      </c>
      <c r="T118">
        <v>220</v>
      </c>
      <c r="U118">
        <v>1</v>
      </c>
      <c r="V118" s="4">
        <v>6.7799999999999999E-2</v>
      </c>
      <c r="W118" s="4">
        <v>0.53110000000000002</v>
      </c>
      <c r="X118" s="4">
        <v>8.5819999999999994E-3</v>
      </c>
      <c r="Y118" s="4">
        <v>0</v>
      </c>
      <c r="Z118" s="4">
        <v>0.82</v>
      </c>
      <c r="AA118" s="4">
        <v>1</v>
      </c>
      <c r="AB118" s="4">
        <v>1</v>
      </c>
      <c r="AC118" s="4" t="s">
        <v>60</v>
      </c>
      <c r="AD118" s="4" t="b">
        <v>1</v>
      </c>
      <c r="AE118" s="4">
        <v>0.4143</v>
      </c>
      <c r="AF118" s="4">
        <v>1.3398000000000001</v>
      </c>
      <c r="AG118" s="4">
        <v>5.829E-3</v>
      </c>
      <c r="AH118" s="4">
        <v>130</v>
      </c>
      <c r="AI118" s="4">
        <v>4.0299999999999997E-3</v>
      </c>
      <c r="AJ118" s="2" t="str">
        <f>_xlfn.XLOOKUP($C118,[1]Bus!$A$2:$A$121,[1]Bus!$J$2:$J$121,0)</f>
        <v>NORDEST</v>
      </c>
      <c r="AK118" s="2" t="str">
        <f>_xlfn.XLOOKUP($C118,[1]Bus!$A$2:$A$121,[1]Bus!$K$2:$K$121,0)</f>
        <v>SANTANDER</v>
      </c>
      <c r="AL118" s="2">
        <v>0.15886980000000001</v>
      </c>
      <c r="AM118" s="2">
        <f t="shared" si="9"/>
        <v>8.9820239040298393</v>
      </c>
      <c r="AN118" s="2">
        <f t="shared" si="10"/>
        <v>0.11223701508177472</v>
      </c>
      <c r="AO118" s="2">
        <f t="shared" si="11"/>
        <v>7.8333333333333339</v>
      </c>
      <c r="AP118" s="2">
        <f t="shared" si="12"/>
        <v>1.1282542275886034</v>
      </c>
      <c r="AQ118" s="2">
        <v>0</v>
      </c>
      <c r="AR118" s="2">
        <v>0.15886980000000001</v>
      </c>
    </row>
    <row r="119" spans="1:44" ht="16" x14ac:dyDescent="0.2">
      <c r="A119" s="1" t="s">
        <v>256</v>
      </c>
      <c r="B119" s="4" t="str">
        <f>_xlfn.CONCAT(_xlfn.XLOOKUP($C119,[1]Bus!$A$2:$A$121,[1]Bus!$C$2:$C$121,0)," - ",_xlfn.XLOOKUP($D119,[1]Bus!$A$2:$A$121,[1]Bus!$C$2:$C$121,0))</f>
        <v>San_Mateo_220 - Tasajero_220</v>
      </c>
      <c r="C119" s="4" t="s">
        <v>13</v>
      </c>
      <c r="D119" s="4" t="s">
        <v>250</v>
      </c>
      <c r="E119">
        <f t="shared" si="13"/>
        <v>2.5800619834710744E-3</v>
      </c>
      <c r="F119">
        <f t="shared" si="13"/>
        <v>1.9160640495867767E-2</v>
      </c>
      <c r="G119">
        <v>328</v>
      </c>
      <c r="H119">
        <v>328</v>
      </c>
      <c r="I119">
        <v>328</v>
      </c>
      <c r="N119" s="4">
        <v>18.75</v>
      </c>
      <c r="P119" s="2">
        <v>0</v>
      </c>
      <c r="S119">
        <f t="shared" si="8"/>
        <v>484</v>
      </c>
      <c r="T119">
        <v>220</v>
      </c>
      <c r="U119">
        <v>1</v>
      </c>
      <c r="V119" s="4">
        <v>6.6600000000000006E-2</v>
      </c>
      <c r="W119" s="4">
        <v>0.49459999999999998</v>
      </c>
      <c r="X119" s="4">
        <v>8.8650000000000014E-3</v>
      </c>
      <c r="Y119" s="4">
        <v>0</v>
      </c>
      <c r="Z119" s="4">
        <v>0.86</v>
      </c>
      <c r="AA119" s="4">
        <v>1</v>
      </c>
      <c r="AB119" s="4">
        <v>1</v>
      </c>
      <c r="AC119" s="4" t="s">
        <v>60</v>
      </c>
      <c r="AD119" s="4" t="b">
        <v>1</v>
      </c>
      <c r="AE119" s="4">
        <v>0.28899999999999998</v>
      </c>
      <c r="AF119" s="4">
        <v>0.92400000000000004</v>
      </c>
      <c r="AG119" s="4">
        <v>7.1510000000000002E-3</v>
      </c>
      <c r="AH119" s="4">
        <v>100</v>
      </c>
      <c r="AI119" s="4">
        <v>4.0299999999999997E-3</v>
      </c>
      <c r="AJ119" s="2" t="str">
        <f>_xlfn.XLOOKUP($C119,[1]Bus!$A$2:$A$121,[1]Bus!$J$2:$J$121,0)</f>
        <v>VENEZUELA</v>
      </c>
      <c r="AK119" s="2" t="str">
        <f>_xlfn.XLOOKUP($C119,[1]Bus!$A$2:$A$121,[1]Bus!$K$2:$K$121,0)</f>
        <v>COROZO</v>
      </c>
      <c r="AL119" s="2">
        <v>3.0328649999999999E-2</v>
      </c>
      <c r="AM119" s="2">
        <f t="shared" si="9"/>
        <v>52.190322145841762</v>
      </c>
      <c r="AN119" s="2">
        <f t="shared" si="10"/>
        <v>1.9333568321715483E-2</v>
      </c>
      <c r="AO119" s="2">
        <f t="shared" si="11"/>
        <v>7.4264264264264259</v>
      </c>
      <c r="AP119" s="2">
        <f t="shared" si="12"/>
        <v>6.902495062327576</v>
      </c>
      <c r="AQ119" s="2">
        <v>0</v>
      </c>
      <c r="AR119" s="2">
        <v>3.0328649999999999E-2</v>
      </c>
    </row>
    <row r="120" spans="1:44" ht="16" x14ac:dyDescent="0.2">
      <c r="A120" s="1" t="s">
        <v>257</v>
      </c>
      <c r="B120" s="4" t="str">
        <f>_xlfn.CONCAT(_xlfn.XLOOKUP($C120,[1]Bus!$A$2:$A$121,[1]Bus!$C$2:$C$121,0)," - ",_xlfn.XLOOKUP($D120,[1]Bus!$A$2:$A$121,[1]Bus!$C$2:$C$121,0))</f>
        <v>Barranca_220 - Sogamoso_220</v>
      </c>
      <c r="C120" s="4" t="s">
        <v>258</v>
      </c>
      <c r="D120" s="4" t="s">
        <v>64</v>
      </c>
      <c r="E120">
        <f t="shared" si="13"/>
        <v>8.6488137185950411E-3</v>
      </c>
      <c r="F120">
        <f t="shared" si="13"/>
        <v>5.3026621937603304E-2</v>
      </c>
      <c r="G120">
        <v>343</v>
      </c>
      <c r="H120">
        <v>343</v>
      </c>
      <c r="I120">
        <v>343</v>
      </c>
      <c r="N120" s="4">
        <v>52.259998000000003</v>
      </c>
      <c r="P120" s="2">
        <v>0</v>
      </c>
      <c r="S120">
        <f t="shared" si="8"/>
        <v>484</v>
      </c>
      <c r="T120">
        <v>220</v>
      </c>
      <c r="U120">
        <v>1</v>
      </c>
      <c r="V120" s="4">
        <v>8.0100000000000005E-2</v>
      </c>
      <c r="W120" s="4">
        <v>0.49109999999999998</v>
      </c>
      <c r="X120" s="4">
        <v>8.8540000000000008E-3</v>
      </c>
      <c r="Y120" s="4">
        <v>0</v>
      </c>
      <c r="Z120" s="4">
        <v>0.9</v>
      </c>
      <c r="AA120" s="4">
        <v>1</v>
      </c>
      <c r="AB120" s="4">
        <v>1</v>
      </c>
      <c r="AC120" s="4" t="s">
        <v>60</v>
      </c>
      <c r="AD120" s="4" t="b">
        <v>1</v>
      </c>
      <c r="AE120" s="4">
        <v>0.25600000000000001</v>
      </c>
      <c r="AF120" s="4">
        <v>1.3979999999999999</v>
      </c>
      <c r="AG120" s="4">
        <v>5.6690000000000004E-3</v>
      </c>
      <c r="AH120" s="4">
        <v>100</v>
      </c>
      <c r="AI120" s="4">
        <v>4.0299999999999997E-3</v>
      </c>
      <c r="AJ120" s="2" t="str">
        <f>_xlfn.XLOOKUP($C120,[1]Bus!$A$2:$A$121,[1]Bus!$J$2:$J$121,0)</f>
        <v>NORDEST</v>
      </c>
      <c r="AK120" s="2" t="str">
        <f>_xlfn.XLOOKUP($C120,[1]Bus!$A$2:$A$121,[1]Bus!$K$2:$K$121,0)</f>
        <v>SANTANDER</v>
      </c>
      <c r="AL120" s="2">
        <v>8.4430839999999993E-2</v>
      </c>
      <c r="AM120" s="2">
        <f t="shared" si="9"/>
        <v>18.858451914525219</v>
      </c>
      <c r="AN120" s="2">
        <f t="shared" si="10"/>
        <v>5.3727317193886293E-2</v>
      </c>
      <c r="AO120" s="2">
        <f t="shared" si="11"/>
        <v>6.131086142322097</v>
      </c>
      <c r="AP120" s="2">
        <f t="shared" si="12"/>
        <v>2.9961684938481006</v>
      </c>
      <c r="AQ120" s="2">
        <v>0</v>
      </c>
      <c r="AR120" s="2">
        <v>8.4430839999999993E-2</v>
      </c>
    </row>
    <row r="121" spans="1:44" ht="16" x14ac:dyDescent="0.2">
      <c r="A121" s="1" t="s">
        <v>259</v>
      </c>
      <c r="B121" s="4" t="str">
        <f>_xlfn.CONCAT(_xlfn.XLOOKUP($C121,[1]Bus!$A$2:$A$121,[1]Bus!$C$2:$C$121,0)," - ",_xlfn.XLOOKUP($D121,[1]Bus!$A$2:$A$121,[1]Bus!$C$2:$C$121,0))</f>
        <v>Bmanga_220 - Sogamoso_220</v>
      </c>
      <c r="C121" s="4" t="s">
        <v>260</v>
      </c>
      <c r="D121" s="4" t="s">
        <v>64</v>
      </c>
      <c r="E121">
        <f t="shared" si="13"/>
        <v>7.3976654547520662E-3</v>
      </c>
      <c r="F121">
        <f t="shared" si="13"/>
        <v>4.5355724155165283E-2</v>
      </c>
      <c r="G121">
        <v>343</v>
      </c>
      <c r="H121">
        <v>343</v>
      </c>
      <c r="I121">
        <v>343</v>
      </c>
      <c r="N121" s="4">
        <v>44.700001</v>
      </c>
      <c r="P121" s="2">
        <v>0</v>
      </c>
      <c r="S121">
        <f t="shared" si="8"/>
        <v>484</v>
      </c>
      <c r="T121">
        <v>220</v>
      </c>
      <c r="U121">
        <v>1</v>
      </c>
      <c r="V121" s="4">
        <v>8.0100000000000005E-2</v>
      </c>
      <c r="W121" s="4">
        <v>0.49109999999999998</v>
      </c>
      <c r="X121" s="4">
        <v>8.8540000000000008E-3</v>
      </c>
      <c r="Y121" s="4">
        <v>0</v>
      </c>
      <c r="Z121" s="4">
        <v>0.9</v>
      </c>
      <c r="AA121" s="4">
        <v>1</v>
      </c>
      <c r="AB121" s="4">
        <v>1</v>
      </c>
      <c r="AC121" s="4" t="s">
        <v>60</v>
      </c>
      <c r="AD121" s="4" t="b">
        <v>1</v>
      </c>
      <c r="AE121" s="4">
        <v>0.25600000000000001</v>
      </c>
      <c r="AF121" s="4">
        <v>1.3979999999999999</v>
      </c>
      <c r="AG121" s="4">
        <v>5.6690000000000004E-3</v>
      </c>
      <c r="AH121" s="4">
        <v>100</v>
      </c>
      <c r="AI121" s="4">
        <v>4.0299999999999997E-3</v>
      </c>
      <c r="AJ121" s="2" t="str">
        <f>_xlfn.XLOOKUP($C121,[1]Bus!$A$2:$A$121,[1]Bus!$J$2:$J$121,0)</f>
        <v>NORDEST</v>
      </c>
      <c r="AK121" s="2" t="str">
        <f>_xlfn.XLOOKUP($C121,[1]Bus!$A$2:$A$121,[1]Bus!$K$2:$K$121,0)</f>
        <v>SANTANDER</v>
      </c>
      <c r="AL121" s="2">
        <v>7.2216970000000005E-2</v>
      </c>
      <c r="AM121" s="2">
        <f t="shared" si="9"/>
        <v>22.047933720095088</v>
      </c>
      <c r="AN121" s="2">
        <f t="shared" si="10"/>
        <v>4.5955055954920519E-2</v>
      </c>
      <c r="AO121" s="2">
        <f t="shared" si="11"/>
        <v>6.1310861423220961</v>
      </c>
      <c r="AP121" s="2">
        <f t="shared" si="12"/>
        <v>3.502902818641207</v>
      </c>
      <c r="AQ121" s="2">
        <v>0</v>
      </c>
      <c r="AR121" s="2">
        <v>7.2216970000000005E-2</v>
      </c>
    </row>
    <row r="122" spans="1:44" ht="16" x14ac:dyDescent="0.2">
      <c r="A122" s="1" t="s">
        <v>261</v>
      </c>
      <c r="B122" s="4" t="str">
        <f>_xlfn.CONCAT(_xlfn.XLOOKUP($C122,[1]Bus!$A$2:$A$121,[1]Bus!$C$2:$C$121,0)," - ",_xlfn.XLOOKUP($D122,[1]Bus!$A$2:$A$121,[1]Bus!$C$2:$C$121,0))</f>
        <v>Barranca_220 - Comuneros_220</v>
      </c>
      <c r="C122" s="4" t="s">
        <v>258</v>
      </c>
      <c r="D122" s="4" t="s">
        <v>262</v>
      </c>
      <c r="E122">
        <f t="shared" si="13"/>
        <v>1.6319917355371901E-3</v>
      </c>
      <c r="F122">
        <f t="shared" si="13"/>
        <v>1.2046082644628099E-2</v>
      </c>
      <c r="G122">
        <v>308</v>
      </c>
      <c r="H122">
        <v>308</v>
      </c>
      <c r="I122">
        <v>308</v>
      </c>
      <c r="N122" s="4">
        <v>10.91</v>
      </c>
      <c r="P122" s="2">
        <v>0</v>
      </c>
      <c r="S122">
        <f t="shared" si="8"/>
        <v>484</v>
      </c>
      <c r="T122">
        <v>220</v>
      </c>
      <c r="U122">
        <v>1</v>
      </c>
      <c r="V122" s="4">
        <v>7.2400000000000006E-2</v>
      </c>
      <c r="W122" s="4">
        <v>0.53439999999999999</v>
      </c>
      <c r="X122" s="4">
        <v>8.5319999999999997E-3</v>
      </c>
      <c r="Y122" s="4">
        <v>0</v>
      </c>
      <c r="Z122" s="4">
        <v>0.80900000000000005</v>
      </c>
      <c r="AA122" s="4">
        <v>1</v>
      </c>
      <c r="AB122" s="4">
        <v>1</v>
      </c>
      <c r="AC122" s="4" t="s">
        <v>60</v>
      </c>
      <c r="AD122" s="4" t="b">
        <v>1</v>
      </c>
      <c r="AE122" s="4">
        <v>0.41949999999999998</v>
      </c>
      <c r="AF122" s="4">
        <v>1.3440000000000001</v>
      </c>
      <c r="AG122" s="4">
        <v>5.8069999999999997E-3</v>
      </c>
      <c r="AH122" s="4">
        <v>130.037094</v>
      </c>
      <c r="AI122" s="4">
        <v>4.0299999999999997E-3</v>
      </c>
      <c r="AJ122" s="2" t="str">
        <f>_xlfn.XLOOKUP($C122,[1]Bus!$A$2:$A$121,[1]Bus!$J$2:$J$121,0)</f>
        <v>NORDEST</v>
      </c>
      <c r="AK122" s="2" t="str">
        <f>_xlfn.XLOOKUP($C122,[1]Bus!$A$2:$A$121,[1]Bus!$K$2:$K$121,0)</f>
        <v>SANTANDER</v>
      </c>
      <c r="AL122" s="2">
        <v>1.6984010000000001E-2</v>
      </c>
      <c r="AM122" s="2">
        <f t="shared" si="9"/>
        <v>83.014539207561043</v>
      </c>
      <c r="AN122" s="2">
        <f t="shared" si="10"/>
        <v>1.2156130309686219E-2</v>
      </c>
      <c r="AO122" s="2">
        <f t="shared" si="11"/>
        <v>7.3812154696132595</v>
      </c>
      <c r="AP122" s="2">
        <f t="shared" si="12"/>
        <v>11.044021954095621</v>
      </c>
      <c r="AQ122" s="2">
        <v>0</v>
      </c>
      <c r="AR122" s="2">
        <v>1.6984010000000001E-2</v>
      </c>
    </row>
    <row r="123" spans="1:44" ht="16" x14ac:dyDescent="0.2">
      <c r="A123" s="1" t="s">
        <v>263</v>
      </c>
      <c r="B123" s="4" t="str">
        <f>_xlfn.CONCAT(_xlfn.XLOOKUP($C123,[1]Bus!$A$2:$A$121,[1]Bus!$C$2:$C$121,0)," - ",_xlfn.XLOOKUP($D123,[1]Bus!$A$2:$A$121,[1]Bus!$C$2:$C$121,0))</f>
        <v>Bmanga_220 - Guatiguara_220</v>
      </c>
      <c r="C123" s="4" t="s">
        <v>260</v>
      </c>
      <c r="D123" s="4" t="s">
        <v>63</v>
      </c>
      <c r="E123">
        <f t="shared" si="13"/>
        <v>1.7864752066115703E-3</v>
      </c>
      <c r="F123">
        <f t="shared" si="13"/>
        <v>1.2818084710743801E-2</v>
      </c>
      <c r="G123">
        <v>319</v>
      </c>
      <c r="H123">
        <v>319</v>
      </c>
      <c r="I123">
        <v>319</v>
      </c>
      <c r="N123" s="4">
        <v>12.11</v>
      </c>
      <c r="P123" s="2">
        <v>0</v>
      </c>
      <c r="S123">
        <f t="shared" si="8"/>
        <v>484</v>
      </c>
      <c r="T123">
        <v>220</v>
      </c>
      <c r="U123">
        <v>1</v>
      </c>
      <c r="V123" s="4">
        <v>7.1400000000000005E-2</v>
      </c>
      <c r="W123" s="4">
        <v>0.51229999999999998</v>
      </c>
      <c r="X123" s="4">
        <v>8.5650000000000014E-3</v>
      </c>
      <c r="Y123" s="4">
        <v>0</v>
      </c>
      <c r="Z123" s="4">
        <v>0.83699999999999997</v>
      </c>
      <c r="AA123" s="4">
        <v>1</v>
      </c>
      <c r="AB123" s="4">
        <v>1</v>
      </c>
      <c r="AC123" s="4" t="s">
        <v>60</v>
      </c>
      <c r="AD123" s="4" t="b">
        <v>1</v>
      </c>
      <c r="AE123" s="4">
        <v>0.39369999999999999</v>
      </c>
      <c r="AF123" s="4">
        <v>1.359</v>
      </c>
      <c r="AG123" s="4">
        <v>5.7939999999999997E-3</v>
      </c>
      <c r="AH123" s="4">
        <v>129.98809800000001</v>
      </c>
      <c r="AI123" s="4">
        <v>4.0299999999999997E-3</v>
      </c>
      <c r="AJ123" s="2" t="str">
        <f>_xlfn.XLOOKUP($C123,[1]Bus!$A$2:$A$121,[1]Bus!$J$2:$J$121,0)</f>
        <v>NORDEST</v>
      </c>
      <c r="AK123" s="2" t="str">
        <f>_xlfn.XLOOKUP($C123,[1]Bus!$A$2:$A$121,[1]Bus!$K$2:$K$121,0)</f>
        <v>SANTANDER</v>
      </c>
      <c r="AL123" s="2">
        <v>1.892477E-2</v>
      </c>
      <c r="AM123" s="2">
        <f t="shared" si="9"/>
        <v>78.014775418189018</v>
      </c>
      <c r="AN123" s="2">
        <f t="shared" si="10"/>
        <v>1.2941977797679992E-2</v>
      </c>
      <c r="AO123" s="2">
        <f t="shared" si="11"/>
        <v>7.1750700280112039</v>
      </c>
      <c r="AP123" s="2">
        <f t="shared" si="12"/>
        <v>10.665855421000471</v>
      </c>
      <c r="AQ123" s="2">
        <v>0</v>
      </c>
      <c r="AR123" s="2">
        <v>1.892477E-2</v>
      </c>
    </row>
    <row r="124" spans="1:44" ht="16" x14ac:dyDescent="0.2">
      <c r="A124" s="1" t="s">
        <v>264</v>
      </c>
      <c r="B124" s="4" t="str">
        <f>_xlfn.CONCAT(_xlfn.XLOOKUP($C124,[1]Bus!$A$2:$A$121,[1]Bus!$C$2:$C$121,0)," - ",_xlfn.XLOOKUP($D124,[1]Bus!$A$2:$A$121,[1]Bus!$C$2:$C$121,0))</f>
        <v>Bmanga_220 - Palos_220</v>
      </c>
      <c r="C124" s="4" t="s">
        <v>260</v>
      </c>
      <c r="D124" s="4" t="s">
        <v>239</v>
      </c>
      <c r="E124">
        <f t="shared" si="13"/>
        <v>3.8178927247933883E-3</v>
      </c>
      <c r="F124">
        <f t="shared" si="13"/>
        <v>2.3861829529958679E-2</v>
      </c>
      <c r="G124">
        <v>343</v>
      </c>
      <c r="H124">
        <v>343</v>
      </c>
      <c r="I124">
        <v>343</v>
      </c>
      <c r="N124" s="4">
        <v>23.450001</v>
      </c>
      <c r="P124" s="2">
        <v>0</v>
      </c>
      <c r="S124">
        <f t="shared" si="8"/>
        <v>484</v>
      </c>
      <c r="T124">
        <v>220</v>
      </c>
      <c r="U124">
        <v>1</v>
      </c>
      <c r="V124" s="4">
        <v>7.8799999999999995E-2</v>
      </c>
      <c r="W124" s="4">
        <v>0.49249999999999999</v>
      </c>
      <c r="X124" s="4">
        <v>8.7910000000000002E-3</v>
      </c>
      <c r="Y124" s="4">
        <v>0</v>
      </c>
      <c r="Z124" s="4">
        <v>0.9</v>
      </c>
      <c r="AA124" s="4">
        <v>1</v>
      </c>
      <c r="AB124" s="4">
        <v>1</v>
      </c>
      <c r="AC124" s="4" t="s">
        <v>60</v>
      </c>
      <c r="AD124" s="4" t="b">
        <v>1</v>
      </c>
      <c r="AE124" s="4">
        <v>0.25490000000000002</v>
      </c>
      <c r="AF124" s="4">
        <v>1.5566</v>
      </c>
      <c r="AG124" s="4">
        <v>7.2810000000000001E-3</v>
      </c>
      <c r="AH124" s="4">
        <v>100</v>
      </c>
      <c r="AI124" s="4">
        <v>4.0299999999999997E-3</v>
      </c>
      <c r="AJ124" s="2" t="str">
        <f>_xlfn.XLOOKUP($C124,[1]Bus!$A$2:$A$121,[1]Bus!$J$2:$J$121,0)</f>
        <v>NORDEST</v>
      </c>
      <c r="AK124" s="2" t="str">
        <f>_xlfn.XLOOKUP($C124,[1]Bus!$A$2:$A$121,[1]Bus!$K$2:$K$121,0)</f>
        <v>SANTANDER</v>
      </c>
      <c r="AL124" s="2">
        <v>3.7613239999999999E-2</v>
      </c>
      <c r="AM124" s="2">
        <f t="shared" si="9"/>
        <v>41.907934961336203</v>
      </c>
      <c r="AN124" s="2">
        <f t="shared" si="10"/>
        <v>2.4165330814512727E-2</v>
      </c>
      <c r="AO124" s="2">
        <f t="shared" si="11"/>
        <v>6.2500000000000009</v>
      </c>
      <c r="AP124" s="2">
        <f t="shared" si="12"/>
        <v>6.5378993699432462</v>
      </c>
      <c r="AQ124" s="2">
        <v>0</v>
      </c>
      <c r="AR124" s="2">
        <v>3.7613239999999999E-2</v>
      </c>
    </row>
    <row r="125" spans="1:44" ht="16" x14ac:dyDescent="0.2">
      <c r="A125" s="1" t="s">
        <v>265</v>
      </c>
      <c r="B125" s="4" t="str">
        <f>_xlfn.CONCAT(_xlfn.XLOOKUP($C125,[1]Bus!$A$2:$A$121,[1]Bus!$C$2:$C$121,0)," - ",_xlfn.XLOOKUP($D125,[1]Bus!$A$2:$A$121,[1]Bus!$C$2:$C$121,0))</f>
        <v>CiraInfanta_220 - Comuneros_220</v>
      </c>
      <c r="C125" s="4" t="s">
        <v>266</v>
      </c>
      <c r="D125" s="4" t="s">
        <v>262</v>
      </c>
      <c r="E125">
        <f t="shared" si="13"/>
        <v>2.6828080064049587E-3</v>
      </c>
      <c r="F125">
        <f t="shared" si="13"/>
        <v>1.7590075397520659E-2</v>
      </c>
      <c r="G125">
        <v>114</v>
      </c>
      <c r="H125">
        <v>114</v>
      </c>
      <c r="I125">
        <v>114</v>
      </c>
      <c r="N125" s="4">
        <v>17.290001</v>
      </c>
      <c r="P125" s="2">
        <v>0</v>
      </c>
      <c r="S125">
        <f t="shared" si="8"/>
        <v>484</v>
      </c>
      <c r="T125">
        <v>220</v>
      </c>
      <c r="U125">
        <v>1</v>
      </c>
      <c r="V125" s="4">
        <v>7.51E-2</v>
      </c>
      <c r="W125" s="4">
        <v>0.4924</v>
      </c>
      <c r="X125" s="4">
        <v>8.6940000000000003E-3</v>
      </c>
      <c r="Y125" s="4">
        <v>0</v>
      </c>
      <c r="Z125" s="4">
        <v>0.3</v>
      </c>
      <c r="AA125" s="4">
        <v>1</v>
      </c>
      <c r="AB125" s="4">
        <v>1</v>
      </c>
      <c r="AC125" s="4" t="s">
        <v>60</v>
      </c>
      <c r="AD125" s="4" t="b">
        <v>1</v>
      </c>
      <c r="AE125" s="4">
        <v>0.31680000000000003</v>
      </c>
      <c r="AF125" s="4">
        <v>1.3007</v>
      </c>
      <c r="AG125" s="4">
        <v>4.9020000000000001E-3</v>
      </c>
      <c r="AH125" s="4">
        <v>116.66999800000001</v>
      </c>
      <c r="AI125" s="4">
        <v>4.0299999999999997E-3</v>
      </c>
      <c r="AJ125" s="2" t="str">
        <f>_xlfn.XLOOKUP($C125,[1]Bus!$A$2:$A$121,[1]Bus!$J$2:$J$121,0)</f>
        <v>NORDEST</v>
      </c>
      <c r="AK125" s="2" t="str">
        <f>_xlfn.XLOOKUP($C125,[1]Bus!$A$2:$A$121,[1]Bus!$K$2:$K$121,0)</f>
        <v>SANTANDER</v>
      </c>
      <c r="AL125" s="2">
        <v>2.7427300000000002E-2</v>
      </c>
      <c r="AM125" s="2">
        <f t="shared" si="9"/>
        <v>56.850239547065904</v>
      </c>
      <c r="AN125" s="2">
        <f t="shared" si="10"/>
        <v>1.7793487889947043E-2</v>
      </c>
      <c r="AO125" s="2">
        <f t="shared" si="11"/>
        <v>6.5565912117177092</v>
      </c>
      <c r="AP125" s="2">
        <f t="shared" si="12"/>
        <v>8.4735894734903958</v>
      </c>
      <c r="AQ125" s="2">
        <v>0</v>
      </c>
      <c r="AR125" s="2">
        <v>2.7427300000000002E-2</v>
      </c>
    </row>
    <row r="126" spans="1:44" ht="16" x14ac:dyDescent="0.2">
      <c r="A126" s="1" t="s">
        <v>267</v>
      </c>
      <c r="B126" s="4" t="str">
        <f>_xlfn.CONCAT(_xlfn.XLOOKUP($C126,[1]Bus!$A$2:$A$121,[1]Bus!$C$2:$C$121,0)," - ",_xlfn.XLOOKUP($D126,[1]Bus!$A$2:$A$121,[1]Bus!$C$2:$C$121,0))</f>
        <v>Comuneros_220 - Guatiguara_220</v>
      </c>
      <c r="C126" s="4" t="s">
        <v>262</v>
      </c>
      <c r="D126" s="4" t="s">
        <v>63</v>
      </c>
      <c r="E126">
        <f t="shared" si="13"/>
        <v>1.0330784907024793E-2</v>
      </c>
      <c r="F126">
        <f t="shared" si="13"/>
        <v>9.3409973245041328E-2</v>
      </c>
      <c r="G126">
        <v>308</v>
      </c>
      <c r="H126">
        <v>308</v>
      </c>
      <c r="I126">
        <v>308</v>
      </c>
      <c r="N126" s="4">
        <v>95.239998</v>
      </c>
      <c r="P126" s="2">
        <v>0</v>
      </c>
      <c r="S126">
        <f t="shared" si="8"/>
        <v>484</v>
      </c>
      <c r="T126">
        <v>220</v>
      </c>
      <c r="U126">
        <v>1</v>
      </c>
      <c r="V126" s="4">
        <v>5.2499999999999998E-2</v>
      </c>
      <c r="W126" s="4">
        <v>0.47470000000000001</v>
      </c>
      <c r="X126" s="4">
        <v>9.101999999999999E-3</v>
      </c>
      <c r="Y126" s="4">
        <v>0</v>
      </c>
      <c r="Z126" s="4">
        <v>0.80900000000000005</v>
      </c>
      <c r="AA126" s="4">
        <v>1</v>
      </c>
      <c r="AB126" s="4">
        <v>1</v>
      </c>
      <c r="AC126" s="4" t="s">
        <v>60</v>
      </c>
      <c r="AD126" s="4" t="b">
        <v>1</v>
      </c>
      <c r="AE126" s="4">
        <v>0.20899999999999999</v>
      </c>
      <c r="AF126" s="4">
        <v>1.0294000000000001</v>
      </c>
      <c r="AG126" s="4">
        <v>5.836E-3</v>
      </c>
      <c r="AH126" s="4">
        <v>130</v>
      </c>
      <c r="AI126" s="4">
        <v>4.0299999999999997E-3</v>
      </c>
      <c r="AJ126" s="2" t="str">
        <f>_xlfn.XLOOKUP($C126,[1]Bus!$A$2:$A$121,[1]Bus!$J$2:$J$121,0)</f>
        <v>NORDEST</v>
      </c>
      <c r="AK126" s="2" t="str">
        <f>_xlfn.XLOOKUP($C126,[1]Bus!$A$2:$A$121,[1]Bus!$K$2:$K$121,0)</f>
        <v>SANTANDER</v>
      </c>
      <c r="AL126" s="2">
        <v>0.15817439999999999</v>
      </c>
      <c r="AM126" s="2">
        <f t="shared" si="9"/>
        <v>10.705494983674937</v>
      </c>
      <c r="AN126" s="2">
        <f t="shared" si="10"/>
        <v>9.3979509566897337E-2</v>
      </c>
      <c r="AO126" s="2">
        <f t="shared" si="11"/>
        <v>9.0419047619047621</v>
      </c>
      <c r="AP126" s="2">
        <f t="shared" si="12"/>
        <v>1.169679748519423</v>
      </c>
      <c r="AQ126" s="2">
        <v>0</v>
      </c>
      <c r="AR126" s="2">
        <v>0.15817439999999999</v>
      </c>
    </row>
    <row r="127" spans="1:44" ht="16" x14ac:dyDescent="0.2">
      <c r="A127" s="1" t="s">
        <v>268</v>
      </c>
      <c r="B127" s="4" t="str">
        <f>_xlfn.CONCAT(_xlfn.XLOOKUP($C127,[1]Bus!$A$2:$A$121,[1]Bus!$C$2:$C$121,0)," - ",_xlfn.XLOOKUP($D127,[1]Bus!$A$2:$A$121,[1]Bus!$C$2:$C$121,0))</f>
        <v>Comuneros_220 - Primavera_220</v>
      </c>
      <c r="C127" s="4" t="s">
        <v>262</v>
      </c>
      <c r="D127" s="4" t="s">
        <v>269</v>
      </c>
      <c r="E127">
        <f t="shared" si="13"/>
        <v>8.252762271880338E-3</v>
      </c>
      <c r="F127">
        <f t="shared" si="13"/>
        <v>6.2693582065821485E-2</v>
      </c>
      <c r="G127">
        <v>617</v>
      </c>
      <c r="H127">
        <v>617</v>
      </c>
      <c r="I127">
        <v>617</v>
      </c>
      <c r="N127" s="4">
        <v>111.599998</v>
      </c>
      <c r="P127" s="2">
        <v>0</v>
      </c>
      <c r="S127">
        <f t="shared" si="8"/>
        <v>484</v>
      </c>
      <c r="T127">
        <v>220</v>
      </c>
      <c r="U127">
        <v>2</v>
      </c>
      <c r="V127" s="4">
        <v>3.5791550279329606E-2</v>
      </c>
      <c r="W127" s="4">
        <v>0.27189690200404482</v>
      </c>
      <c r="X127" s="4">
        <v>8.8339999999999998E-3</v>
      </c>
      <c r="Y127" s="4">
        <v>0</v>
      </c>
      <c r="Z127" s="4">
        <v>0.81</v>
      </c>
      <c r="AA127" s="4">
        <v>1</v>
      </c>
      <c r="AB127" s="4">
        <v>1</v>
      </c>
      <c r="AC127" s="4" t="s">
        <v>60</v>
      </c>
      <c r="AD127" s="4" t="b">
        <v>1</v>
      </c>
      <c r="AE127" s="4">
        <v>0.19296692781916264</v>
      </c>
      <c r="AF127" s="4">
        <v>0.7182866951003849</v>
      </c>
      <c r="AG127" s="4">
        <v>5.084E-3</v>
      </c>
      <c r="AH127" s="4">
        <v>130</v>
      </c>
      <c r="AI127" s="4">
        <v>4.0299999999999997E-3</v>
      </c>
      <c r="AJ127" s="2" t="str">
        <f>_xlfn.XLOOKUP($C127,[1]Bus!$A$2:$A$121,[1]Bus!$J$2:$J$121,0)</f>
        <v>NORDEST</v>
      </c>
      <c r="AK127" s="2" t="str">
        <f>_xlfn.XLOOKUP($C127,[1]Bus!$A$2:$A$121,[1]Bus!$K$2:$K$121,0)</f>
        <v>SANTANDER</v>
      </c>
      <c r="AL127" s="2">
        <v>0.16874440000000002</v>
      </c>
      <c r="AM127" s="2">
        <f t="shared" si="9"/>
        <v>15.950596010770418</v>
      </c>
      <c r="AN127" s="2">
        <f t="shared" si="10"/>
        <v>6.3234431422762596E-2</v>
      </c>
      <c r="AO127" s="2">
        <f t="shared" si="11"/>
        <v>7.5966785423393954</v>
      </c>
      <c r="AP127" s="2">
        <f t="shared" si="12"/>
        <v>2.0639163868079846</v>
      </c>
      <c r="AQ127" s="2">
        <v>0</v>
      </c>
      <c r="AR127" s="2">
        <v>8.4003785165611411E-2</v>
      </c>
    </row>
    <row r="128" spans="1:44" ht="16" x14ac:dyDescent="0.2">
      <c r="A128" s="1" t="s">
        <v>270</v>
      </c>
      <c r="B128" s="4" t="str">
        <f>_xlfn.CONCAT(_xlfn.XLOOKUP($C128,[1]Bus!$A$2:$A$121,[1]Bus!$C$2:$C$121,0)," - ",_xlfn.XLOOKUP($D128,[1]Bus!$A$2:$A$121,[1]Bus!$C$2:$C$121,0))</f>
        <v>Guatiguara_220 - Palos_220</v>
      </c>
      <c r="C128" s="4" t="s">
        <v>63</v>
      </c>
      <c r="D128" s="4" t="s">
        <v>239</v>
      </c>
      <c r="E128">
        <f t="shared" si="13"/>
        <v>3.8877805785123964E-3</v>
      </c>
      <c r="F128">
        <f t="shared" si="13"/>
        <v>3.0560169421487607E-2</v>
      </c>
      <c r="G128">
        <v>319</v>
      </c>
      <c r="H128">
        <v>319</v>
      </c>
      <c r="I128">
        <v>319</v>
      </c>
      <c r="N128" s="4">
        <v>30.6</v>
      </c>
      <c r="P128" s="2">
        <v>0</v>
      </c>
      <c r="S128">
        <f t="shared" si="8"/>
        <v>484</v>
      </c>
      <c r="T128">
        <v>220</v>
      </c>
      <c r="U128">
        <v>1</v>
      </c>
      <c r="V128" s="4">
        <v>6.1492999999999992E-2</v>
      </c>
      <c r="W128" s="4">
        <v>0.48337000000000002</v>
      </c>
      <c r="X128" s="4">
        <v>9.0080000000000004E-3</v>
      </c>
      <c r="Y128" s="4">
        <v>0</v>
      </c>
      <c r="Z128" s="4">
        <v>0.83599999999999997</v>
      </c>
      <c r="AA128" s="4">
        <v>1</v>
      </c>
      <c r="AB128" s="4">
        <v>1</v>
      </c>
      <c r="AC128" s="4" t="s">
        <v>60</v>
      </c>
      <c r="AD128" s="4" t="b">
        <v>1</v>
      </c>
      <c r="AE128" s="4">
        <v>0.27800000000000002</v>
      </c>
      <c r="AF128" s="4">
        <v>1.1970000000000001</v>
      </c>
      <c r="AG128" s="4">
        <v>5.8300000000000001E-3</v>
      </c>
      <c r="AH128" s="4">
        <v>130.02389500000001</v>
      </c>
      <c r="AI128" s="4">
        <v>4.0299999999999997E-3</v>
      </c>
      <c r="AJ128" s="2" t="str">
        <f>_xlfn.XLOOKUP($C128,[1]Bus!$A$2:$A$121,[1]Bus!$J$2:$J$121,0)</f>
        <v>NORDEST</v>
      </c>
      <c r="AK128" s="2" t="str">
        <f>_xlfn.XLOOKUP($C128,[1]Bus!$A$2:$A$121,[1]Bus!$K$2:$K$121,0)</f>
        <v>SANTANDER</v>
      </c>
      <c r="AL128" s="2">
        <v>5.029612E-2</v>
      </c>
      <c r="AM128" s="2">
        <f t="shared" si="9"/>
        <v>32.722331679773852</v>
      </c>
      <c r="AN128" s="2">
        <f t="shared" si="10"/>
        <v>3.0806473230421627E-2</v>
      </c>
      <c r="AO128" s="2">
        <f t="shared" si="11"/>
        <v>7.8605694957149606</v>
      </c>
      <c r="AP128" s="2">
        <f t="shared" si="12"/>
        <v>4.0965454811873361</v>
      </c>
      <c r="AQ128" s="2">
        <v>0</v>
      </c>
      <c r="AR128" s="2">
        <v>5.029612E-2</v>
      </c>
    </row>
    <row r="129" spans="1:44" ht="16" x14ac:dyDescent="0.2">
      <c r="A129" s="1" t="s">
        <v>271</v>
      </c>
      <c r="B129" s="4" t="str">
        <f>_xlfn.CONCAT(_xlfn.XLOOKUP($C129,[1]Bus!$A$2:$A$121,[1]Bus!$C$2:$C$121,0)," - ",_xlfn.XLOOKUP($D129,[1]Bus!$A$2:$A$121,[1]Bus!$C$2:$C$121,0))</f>
        <v>Guatiguara_220 - Primavera_220</v>
      </c>
      <c r="C129" s="4" t="s">
        <v>63</v>
      </c>
      <c r="D129" s="4" t="s">
        <v>269</v>
      </c>
      <c r="E129">
        <f t="shared" si="13"/>
        <v>1.8279129379958677E-2</v>
      </c>
      <c r="F129">
        <f t="shared" si="13"/>
        <v>0.16043891459462811</v>
      </c>
      <c r="G129">
        <v>373</v>
      </c>
      <c r="H129">
        <v>373</v>
      </c>
      <c r="I129">
        <v>373</v>
      </c>
      <c r="N129" s="4">
        <v>162.929993</v>
      </c>
      <c r="P129" s="2">
        <v>0</v>
      </c>
      <c r="S129">
        <f t="shared" si="8"/>
        <v>484</v>
      </c>
      <c r="T129">
        <v>220</v>
      </c>
      <c r="U129">
        <v>1</v>
      </c>
      <c r="V129" s="4">
        <v>5.4300000000000001E-2</v>
      </c>
      <c r="W129" s="4">
        <v>0.47660000000000002</v>
      </c>
      <c r="X129" s="4">
        <v>9.3760000000000007E-3</v>
      </c>
      <c r="Y129" s="4">
        <v>0</v>
      </c>
      <c r="Z129" s="4">
        <v>0.97899999999999998</v>
      </c>
      <c r="AA129" s="4">
        <v>1</v>
      </c>
      <c r="AB129" s="4">
        <v>1</v>
      </c>
      <c r="AC129" s="4" t="s">
        <v>60</v>
      </c>
      <c r="AD129" s="4" t="b">
        <v>1</v>
      </c>
      <c r="AE129" s="4">
        <v>0.26579999999999998</v>
      </c>
      <c r="AF129" s="4">
        <v>1.2968</v>
      </c>
      <c r="AG129" s="4">
        <v>5.1180000000000002E-3</v>
      </c>
      <c r="AH129" s="4">
        <v>130.03064000000001</v>
      </c>
      <c r="AI129" s="4">
        <v>4.0299999999999997E-3</v>
      </c>
      <c r="AJ129" s="2" t="str">
        <f>_xlfn.XLOOKUP($C129,[1]Bus!$A$2:$A$121,[1]Bus!$J$2:$J$121,0)</f>
        <v>NORDEST</v>
      </c>
      <c r="AK129" s="2" t="str">
        <f>_xlfn.XLOOKUP($C129,[1]Bus!$A$2:$A$121,[1]Bus!$K$2:$K$121,0)</f>
        <v>SANTANDER</v>
      </c>
      <c r="AL129" s="2">
        <v>0.27873979999999998</v>
      </c>
      <c r="AM129" s="2">
        <f t="shared" si="9"/>
        <v>6.2329018026994456</v>
      </c>
      <c r="AN129" s="2">
        <f t="shared" si="10"/>
        <v>0.16147684628822684</v>
      </c>
      <c r="AO129" s="2">
        <f t="shared" si="11"/>
        <v>8.7771639042357279</v>
      </c>
      <c r="AP129" s="2">
        <f t="shared" si="12"/>
        <v>0.70102739379812906</v>
      </c>
      <c r="AQ129" s="2">
        <v>0</v>
      </c>
      <c r="AR129" s="2">
        <v>0.27873979999999998</v>
      </c>
    </row>
    <row r="130" spans="1:44" ht="16" x14ac:dyDescent="0.2">
      <c r="A130" s="1" t="s">
        <v>272</v>
      </c>
      <c r="B130" s="4" t="str">
        <f>_xlfn.CONCAT(_xlfn.XLOOKUP($C130,[1]Bus!$A$2:$A$121,[1]Bus!$C$2:$C$121,0)," - ",_xlfn.XLOOKUP($D130,[1]Bus!$A$2:$A$121,[1]Bus!$C$2:$C$121,0))</f>
        <v>Ocaña_500 - Sogamoso_500</v>
      </c>
      <c r="C130" s="4" t="s">
        <v>201</v>
      </c>
      <c r="D130" s="4" t="s">
        <v>273</v>
      </c>
      <c r="E130">
        <f t="shared" ref="E130:F161" si="14">$N130*V130/$S130</f>
        <v>1.7808383238399998E-3</v>
      </c>
      <c r="F130">
        <f t="shared" si="14"/>
        <v>2.1605759076E-2</v>
      </c>
      <c r="G130">
        <v>1650</v>
      </c>
      <c r="H130">
        <v>1650</v>
      </c>
      <c r="I130">
        <v>1650</v>
      </c>
      <c r="N130" s="4">
        <v>163.679993</v>
      </c>
      <c r="P130" s="2">
        <v>0</v>
      </c>
      <c r="S130">
        <f t="shared" ref="S130:S181" si="15">$T130^2/100</f>
        <v>2500</v>
      </c>
      <c r="T130">
        <v>500</v>
      </c>
      <c r="U130">
        <v>1</v>
      </c>
      <c r="V130" s="4">
        <v>2.7199999999999998E-2</v>
      </c>
      <c r="W130" s="4">
        <v>0.33</v>
      </c>
      <c r="X130" s="4">
        <v>1.3454000000000001E-2</v>
      </c>
      <c r="Y130" s="4">
        <v>0</v>
      </c>
      <c r="Z130" s="4">
        <v>1.905</v>
      </c>
      <c r="AA130" s="4">
        <v>1</v>
      </c>
      <c r="AB130" s="4">
        <v>1</v>
      </c>
      <c r="AC130" s="4" t="s">
        <v>60</v>
      </c>
      <c r="AD130" s="4" t="b">
        <v>1</v>
      </c>
      <c r="AE130" s="4">
        <v>0.41520000000000001</v>
      </c>
      <c r="AF130" s="4">
        <v>0.98</v>
      </c>
      <c r="AG130" s="4">
        <v>8.5889999999999994E-3</v>
      </c>
      <c r="AH130" s="4">
        <v>129.97375500000001</v>
      </c>
      <c r="AI130" s="4">
        <v>4.0299999999999997E-3</v>
      </c>
      <c r="AJ130" s="2" t="str">
        <f>_xlfn.XLOOKUP($C130,[1]Bus!$A$2:$A$121,[1]Bus!$J$2:$J$121,0)</f>
        <v>NORDEST</v>
      </c>
      <c r="AK130" s="2" t="str">
        <f>_xlfn.XLOOKUP($C130,[1]Bus!$A$2:$A$121,[1]Bus!$K$2:$K$121,0)</f>
        <v>NSANTAND</v>
      </c>
      <c r="AL130" s="2">
        <v>2.0758424</v>
      </c>
      <c r="AM130" s="2">
        <f t="shared" si="9"/>
        <v>46.283955887984277</v>
      </c>
      <c r="AN130" s="2">
        <f t="shared" si="10"/>
        <v>2.1679026970457267E-2</v>
      </c>
      <c r="AO130" s="2">
        <f t="shared" si="11"/>
        <v>12.132352941176471</v>
      </c>
      <c r="AP130" s="2">
        <f t="shared" si="12"/>
        <v>3.7891772557361163</v>
      </c>
      <c r="AQ130" s="2">
        <v>0</v>
      </c>
      <c r="AR130" s="2">
        <v>2.0758424</v>
      </c>
    </row>
    <row r="131" spans="1:44" ht="16" x14ac:dyDescent="0.2">
      <c r="A131" s="1" t="s">
        <v>274</v>
      </c>
      <c r="B131" s="4" t="str">
        <f>_xlfn.CONCAT(_xlfn.XLOOKUP($C131,[1]Bus!$A$2:$A$121,[1]Bus!$C$2:$C$121,0)," - ",_xlfn.XLOOKUP($D131,[1]Bus!$A$2:$A$121,[1]Bus!$C$2:$C$121,0))</f>
        <v>Primavera_500 - Sogamoso_500</v>
      </c>
      <c r="C131" s="4" t="s">
        <v>88</v>
      </c>
      <c r="D131" s="4" t="s">
        <v>273</v>
      </c>
      <c r="E131">
        <f t="shared" si="14"/>
        <v>1.51407717768E-3</v>
      </c>
      <c r="F131">
        <f t="shared" si="14"/>
        <v>1.7962707735199999E-2</v>
      </c>
      <c r="G131">
        <v>1650</v>
      </c>
      <c r="H131">
        <v>1650</v>
      </c>
      <c r="I131">
        <v>1650</v>
      </c>
      <c r="N131" s="4">
        <v>135.66999799999999</v>
      </c>
      <c r="P131" s="2">
        <v>0</v>
      </c>
      <c r="S131">
        <f t="shared" si="15"/>
        <v>2500</v>
      </c>
      <c r="T131">
        <v>500</v>
      </c>
      <c r="U131">
        <v>1</v>
      </c>
      <c r="V131" s="4">
        <v>2.7900000000000001E-2</v>
      </c>
      <c r="W131" s="4">
        <v>0.33100000000000002</v>
      </c>
      <c r="X131" s="4">
        <v>1.3602E-2</v>
      </c>
      <c r="Y131" s="4">
        <v>0</v>
      </c>
      <c r="Z131" s="4">
        <v>1.905</v>
      </c>
      <c r="AA131" s="4">
        <v>1</v>
      </c>
      <c r="AB131" s="4">
        <v>1</v>
      </c>
      <c r="AC131" s="4" t="s">
        <v>60</v>
      </c>
      <c r="AD131" s="4" t="b">
        <v>1</v>
      </c>
      <c r="AE131" s="4">
        <v>0.41959999999999997</v>
      </c>
      <c r="AF131" s="4">
        <v>0.98009999999999997</v>
      </c>
      <c r="AG131" s="4">
        <v>8.9420000000000003E-3</v>
      </c>
      <c r="AH131" s="4">
        <v>129.97375500000001</v>
      </c>
      <c r="AI131" s="4">
        <v>4.0299999999999997E-3</v>
      </c>
      <c r="AJ131" s="2" t="str">
        <f>_xlfn.XLOOKUP($C131,[1]Bus!$A$2:$A$121,[1]Bus!$J$2:$J$121,0)</f>
        <v>ANTIOQUI</v>
      </c>
      <c r="AK131" s="2" t="str">
        <f>_xlfn.XLOOKUP($C131,[1]Bus!$A$2:$A$121,[1]Bus!$K$2:$K$121,0)</f>
        <v>ANTIOQUI</v>
      </c>
      <c r="AL131" s="2">
        <v>1.7396736000000002</v>
      </c>
      <c r="AM131" s="2">
        <f t="shared" ref="AM131:AM181" si="16">1/F131</f>
        <v>55.670894095792953</v>
      </c>
      <c r="AN131" s="2">
        <f t="shared" ref="AN131:AN181" si="17">+SQRT(E131^2+F131^2)</f>
        <v>1.8026405600678835E-2</v>
      </c>
      <c r="AO131" s="2">
        <f t="shared" ref="AO131:AO181" si="18">+F131/E131</f>
        <v>11.863799283154121</v>
      </c>
      <c r="AP131" s="2">
        <f t="shared" ref="AP131:AP181" si="19">+E131/(E131^2+F131^2)</f>
        <v>4.6593972170527129</v>
      </c>
      <c r="AQ131" s="2">
        <v>0</v>
      </c>
      <c r="AR131" s="2">
        <v>1.7396736000000002</v>
      </c>
    </row>
    <row r="132" spans="1:44" ht="16" x14ac:dyDescent="0.2">
      <c r="A132" s="1" t="s">
        <v>275</v>
      </c>
      <c r="B132" s="4" t="str">
        <f>_xlfn.CONCAT(_xlfn.XLOOKUP($C132,[1]Bus!$A$2:$A$121,[1]Bus!$C$2:$C$121,0)," - ",_xlfn.XLOOKUP($D132,[1]Bus!$A$2:$A$121,[1]Bus!$C$2:$C$121,0))</f>
        <v>Ancon_EPM_220 - Ancon_ISA_220</v>
      </c>
      <c r="C132" s="4" t="s">
        <v>276</v>
      </c>
      <c r="D132" s="4" t="s">
        <v>143</v>
      </c>
      <c r="E132">
        <f t="shared" si="14"/>
        <v>2.2964876033057855E-5</v>
      </c>
      <c r="F132">
        <f t="shared" si="14"/>
        <v>1.9157024793388429E-4</v>
      </c>
      <c r="G132">
        <v>800</v>
      </c>
      <c r="H132">
        <v>800</v>
      </c>
      <c r="I132">
        <v>800</v>
      </c>
      <c r="N132" s="4">
        <v>0.38</v>
      </c>
      <c r="P132" s="2">
        <v>0</v>
      </c>
      <c r="S132">
        <f t="shared" si="15"/>
        <v>484</v>
      </c>
      <c r="T132">
        <v>220</v>
      </c>
      <c r="U132">
        <v>2</v>
      </c>
      <c r="V132" s="4">
        <f>0.0585/2</f>
        <v>2.9250000000000002E-2</v>
      </c>
      <c r="W132" s="4">
        <f>0.488/2</f>
        <v>0.24399999999999999</v>
      </c>
      <c r="X132" s="4">
        <v>9.0650000000000001E-3</v>
      </c>
      <c r="Y132" s="4">
        <v>0</v>
      </c>
      <c r="Z132" s="4">
        <v>1.05</v>
      </c>
      <c r="AA132" s="4">
        <v>1</v>
      </c>
      <c r="AB132" s="4">
        <v>1</v>
      </c>
      <c r="AC132" s="4" t="s">
        <v>60</v>
      </c>
      <c r="AD132" s="4" t="b">
        <v>1</v>
      </c>
      <c r="AE132" s="4">
        <f>0.3297/2</f>
        <v>0.16485</v>
      </c>
      <c r="AF132" s="4">
        <f>1.4593/2</f>
        <v>0.72965000000000002</v>
      </c>
      <c r="AG132" s="4">
        <v>5.1570000000000001E-3</v>
      </c>
      <c r="AH132" s="4">
        <v>130</v>
      </c>
      <c r="AI132" s="4">
        <v>4.0299999999999997E-3</v>
      </c>
      <c r="AJ132" s="2" t="str">
        <f>_xlfn.XLOOKUP($C132,[1]Bus!$A$2:$A$121,[1]Bus!$J$2:$J$121,0)</f>
        <v>ANTIOQUI</v>
      </c>
      <c r="AK132" s="2" t="str">
        <f>_xlfn.XLOOKUP($C132,[1]Bus!$A$2:$A$121,[1]Bus!$K$2:$K$121,0)</f>
        <v>ANTIOQUI</v>
      </c>
      <c r="AL132" s="2">
        <v>6.2852999999999997E-4</v>
      </c>
      <c r="AM132" s="2">
        <f t="shared" si="16"/>
        <v>5220.0172562553926</v>
      </c>
      <c r="AN132" s="2">
        <f t="shared" si="17"/>
        <v>1.9294181875545701E-4</v>
      </c>
      <c r="AO132" s="2">
        <f t="shared" si="18"/>
        <v>8.3418803418803407</v>
      </c>
      <c r="AP132" s="2">
        <f t="shared" si="19"/>
        <v>616.89516905436483</v>
      </c>
      <c r="AQ132" s="2">
        <v>0</v>
      </c>
      <c r="AR132" s="2">
        <v>3.1426499999999999E-4</v>
      </c>
    </row>
    <row r="133" spans="1:44" ht="16" x14ac:dyDescent="0.2">
      <c r="A133" s="1" t="s">
        <v>277</v>
      </c>
      <c r="B133" s="4" t="str">
        <f>_xlfn.CONCAT(_xlfn.XLOOKUP($C133,[1]Bus!$A$2:$A$121,[1]Bus!$C$2:$C$121,0)," - ",_xlfn.XLOOKUP($D133,[1]Bus!$A$2:$A$121,[1]Bus!$C$2:$C$121,0))</f>
        <v>Primavera_500 - San_Carlos_500</v>
      </c>
      <c r="C133" s="4" t="s">
        <v>88</v>
      </c>
      <c r="D133" s="4" t="s">
        <v>149</v>
      </c>
      <c r="E133">
        <f t="shared" si="14"/>
        <v>8.4493509022799988E-4</v>
      </c>
      <c r="F133">
        <f t="shared" si="14"/>
        <v>1.0733682649932E-2</v>
      </c>
      <c r="G133">
        <v>2165</v>
      </c>
      <c r="H133">
        <v>2165</v>
      </c>
      <c r="I133">
        <v>2165</v>
      </c>
      <c r="N133" s="4">
        <v>82.610000999999997</v>
      </c>
      <c r="P133" s="2">
        <v>0</v>
      </c>
      <c r="S133">
        <f t="shared" si="15"/>
        <v>2500</v>
      </c>
      <c r="T133">
        <v>500</v>
      </c>
      <c r="U133">
        <v>1</v>
      </c>
      <c r="V133" s="4">
        <v>2.5569999999999999E-2</v>
      </c>
      <c r="W133" s="4">
        <v>0.32483000000000001</v>
      </c>
      <c r="X133" s="4">
        <v>1.3310000000000001E-2</v>
      </c>
      <c r="Y133" s="4">
        <v>0</v>
      </c>
      <c r="Z133" s="4">
        <v>2.5</v>
      </c>
      <c r="AA133" s="4">
        <v>1</v>
      </c>
      <c r="AB133" s="4">
        <v>1</v>
      </c>
      <c r="AC133" s="4" t="s">
        <v>60</v>
      </c>
      <c r="AD133" s="4" t="b">
        <v>1</v>
      </c>
      <c r="AE133" s="4">
        <v>0.28943000000000002</v>
      </c>
      <c r="AF133" s="4">
        <v>0.81283000000000005</v>
      </c>
      <c r="AG133" s="4">
        <v>8.0169999999999998E-3</v>
      </c>
      <c r="AH133" s="4">
        <v>148.55999800000001</v>
      </c>
      <c r="AI133" s="4">
        <v>4.0299999999999997E-3</v>
      </c>
      <c r="AJ133" s="2" t="str">
        <f>_xlfn.XLOOKUP($C133,[1]Bus!$A$2:$A$121,[1]Bus!$J$2:$J$121,0)</f>
        <v>ANTIOQUI</v>
      </c>
      <c r="AK133" s="2" t="str">
        <f>_xlfn.XLOOKUP($C133,[1]Bus!$A$2:$A$121,[1]Bus!$K$2:$K$121,0)</f>
        <v>ANTIOQUI</v>
      </c>
      <c r="AL133" s="2">
        <v>1.0366833400000002</v>
      </c>
      <c r="AM133" s="2">
        <f t="shared" si="16"/>
        <v>93.164669816871765</v>
      </c>
      <c r="AN133" s="2">
        <f t="shared" si="17"/>
        <v>1.0766887133064498E-2</v>
      </c>
      <c r="AO133" s="2">
        <f t="shared" si="18"/>
        <v>12.703558858036764</v>
      </c>
      <c r="AP133" s="2">
        <f t="shared" si="19"/>
        <v>7.2885816926213991</v>
      </c>
      <c r="AQ133" s="2">
        <v>0</v>
      </c>
      <c r="AR133" s="2">
        <v>1.0363070000000001</v>
      </c>
    </row>
    <row r="134" spans="1:44" ht="16" x14ac:dyDescent="0.2">
      <c r="A134" s="1" t="s">
        <v>278</v>
      </c>
      <c r="B134" s="4" t="str">
        <f>_xlfn.CONCAT(_xlfn.XLOOKUP($C134,[1]Bus!$A$2:$A$121,[1]Bus!$C$2:$C$121,0)," - ",_xlfn.XLOOKUP($D134,[1]Bus!$A$2:$A$121,[1]Bus!$C$2:$C$121,0))</f>
        <v>Jaguas_220 - Malena_220</v>
      </c>
      <c r="C134" s="4" t="s">
        <v>279</v>
      </c>
      <c r="D134" s="4" t="s">
        <v>280</v>
      </c>
      <c r="E134">
        <f t="shared" si="14"/>
        <v>8.8836774297520668E-3</v>
      </c>
      <c r="F134">
        <f t="shared" si="14"/>
        <v>7.5239016425206612E-2</v>
      </c>
      <c r="G134">
        <v>293</v>
      </c>
      <c r="H134">
        <v>293</v>
      </c>
      <c r="I134">
        <v>293</v>
      </c>
      <c r="N134" s="4">
        <v>69.349997999999999</v>
      </c>
      <c r="P134" s="2">
        <v>0</v>
      </c>
      <c r="S134">
        <f t="shared" si="15"/>
        <v>484</v>
      </c>
      <c r="T134">
        <v>220</v>
      </c>
      <c r="U134">
        <v>1</v>
      </c>
      <c r="V134" s="4">
        <v>6.2E-2</v>
      </c>
      <c r="W134" s="4">
        <v>0.52510000000000001</v>
      </c>
      <c r="X134" s="4">
        <v>8.6379999999999998E-3</v>
      </c>
      <c r="Y134" s="4">
        <v>0</v>
      </c>
      <c r="Z134" s="4">
        <v>0.76800000000000002</v>
      </c>
      <c r="AA134" s="4">
        <v>1</v>
      </c>
      <c r="AB134" s="4">
        <v>1</v>
      </c>
      <c r="AC134" s="4" t="s">
        <v>60</v>
      </c>
      <c r="AD134" s="4" t="b">
        <v>1</v>
      </c>
      <c r="AE134" s="4">
        <v>0.42780000000000001</v>
      </c>
      <c r="AF134" s="4">
        <v>1.2982</v>
      </c>
      <c r="AG134" s="4">
        <v>5.868E-3</v>
      </c>
      <c r="AH134" s="4">
        <v>105.59899900000001</v>
      </c>
      <c r="AI134" s="4">
        <v>4.0299999999999997E-3</v>
      </c>
      <c r="AJ134" s="2" t="str">
        <f>_xlfn.XLOOKUP($C134,[1]Bus!$A$2:$A$121,[1]Bus!$J$2:$J$121,0)</f>
        <v>ANTIOQUI</v>
      </c>
      <c r="AK134" s="2" t="str">
        <f>_xlfn.XLOOKUP($C134,[1]Bus!$A$2:$A$121,[1]Bus!$K$2:$K$121,0)</f>
        <v>ANTIOQUI</v>
      </c>
      <c r="AL134" s="2">
        <v>0.10930910000000001</v>
      </c>
      <c r="AM134" s="2">
        <f t="shared" si="16"/>
        <v>13.290976510758579</v>
      </c>
      <c r="AN134" s="2">
        <f t="shared" si="17"/>
        <v>7.5761661262860366E-2</v>
      </c>
      <c r="AO134" s="2">
        <f t="shared" si="18"/>
        <v>8.4693548387096769</v>
      </c>
      <c r="AP134" s="2">
        <f t="shared" si="19"/>
        <v>1.5477250173560786</v>
      </c>
      <c r="AQ134" s="2">
        <v>0</v>
      </c>
      <c r="AR134" s="2">
        <v>0.10930910000000001</v>
      </c>
    </row>
    <row r="135" spans="1:44" ht="16" x14ac:dyDescent="0.2">
      <c r="A135" s="1" t="s">
        <v>281</v>
      </c>
      <c r="B135" s="4" t="str">
        <f>_xlfn.CONCAT(_xlfn.XLOOKUP($C135,[1]Bus!$A$2:$A$121,[1]Bus!$C$2:$C$121,0)," - ",_xlfn.XLOOKUP($D135,[1]Bus!$A$2:$A$121,[1]Bus!$C$2:$C$121,0))</f>
        <v>Playas_220 - Primavera_220</v>
      </c>
      <c r="C135" s="4" t="s">
        <v>282</v>
      </c>
      <c r="D135" s="4" t="s">
        <v>269</v>
      </c>
      <c r="E135">
        <f t="shared" si="14"/>
        <v>1.2007722680165291E-2</v>
      </c>
      <c r="F135">
        <f t="shared" si="14"/>
        <v>0.10291717787272728</v>
      </c>
      <c r="G135">
        <v>374</v>
      </c>
      <c r="H135">
        <v>374</v>
      </c>
      <c r="I135">
        <v>374</v>
      </c>
      <c r="N135" s="4">
        <v>104.339996</v>
      </c>
      <c r="P135" s="2">
        <v>0</v>
      </c>
      <c r="S135">
        <f t="shared" si="15"/>
        <v>484</v>
      </c>
      <c r="T135">
        <v>220</v>
      </c>
      <c r="U135">
        <v>1</v>
      </c>
      <c r="V135" s="4">
        <v>5.57E-2</v>
      </c>
      <c r="W135" s="4">
        <v>0.47739999999999999</v>
      </c>
      <c r="X135" s="4">
        <v>9.2829999999999996E-3</v>
      </c>
      <c r="Y135" s="4">
        <v>0</v>
      </c>
      <c r="Z135" s="4">
        <v>0.98199999999999998</v>
      </c>
      <c r="AA135" s="4">
        <v>1</v>
      </c>
      <c r="AB135" s="4">
        <v>1</v>
      </c>
      <c r="AC135" s="4" t="s">
        <v>60</v>
      </c>
      <c r="AD135" s="4" t="b">
        <v>1</v>
      </c>
      <c r="AE135" s="4">
        <v>0.2994</v>
      </c>
      <c r="AF135" s="4">
        <v>1.0319</v>
      </c>
      <c r="AG135" s="4">
        <v>5.4250000000000001E-3</v>
      </c>
      <c r="AH135" s="4">
        <v>130</v>
      </c>
      <c r="AI135" s="4">
        <v>4.0299999999999997E-3</v>
      </c>
      <c r="AJ135" s="2" t="str">
        <f>_xlfn.XLOOKUP($C135,[1]Bus!$A$2:$A$121,[1]Bus!$J$2:$J$121,0)</f>
        <v>ANTIOQUI</v>
      </c>
      <c r="AK135" s="2" t="str">
        <f>_xlfn.XLOOKUP($C135,[1]Bus!$A$2:$A$121,[1]Bus!$K$2:$K$121,0)</f>
        <v>ANTIOQUI</v>
      </c>
      <c r="AL135" s="2">
        <v>0.17673179999999999</v>
      </c>
      <c r="AM135" s="2">
        <f t="shared" si="16"/>
        <v>9.7165509263832703</v>
      </c>
      <c r="AN135" s="2">
        <f t="shared" si="17"/>
        <v>0.10361530246662576</v>
      </c>
      <c r="AO135" s="2">
        <f t="shared" si="18"/>
        <v>8.5709156193895861</v>
      </c>
      <c r="AP135" s="2">
        <f t="shared" si="19"/>
        <v>1.1184404126716727</v>
      </c>
      <c r="AQ135" s="2">
        <v>0</v>
      </c>
      <c r="AR135" s="2">
        <v>0.17673179999999999</v>
      </c>
    </row>
    <row r="136" spans="1:44" ht="16" x14ac:dyDescent="0.2">
      <c r="A136" s="1" t="s">
        <v>283</v>
      </c>
      <c r="B136" s="4" t="str">
        <f>_xlfn.CONCAT(_xlfn.XLOOKUP($C136,[1]Bus!$A$2:$A$121,[1]Bus!$C$2:$C$121,0)," - ",_xlfn.XLOOKUP($D136,[1]Bus!$A$2:$A$121,[1]Bus!$C$2:$C$121,0))</f>
        <v>Ancon_EPM_220 - Miraflores_220</v>
      </c>
      <c r="C136" s="4" t="s">
        <v>276</v>
      </c>
      <c r="D136" s="4" t="s">
        <v>284</v>
      </c>
      <c r="E136">
        <f t="shared" si="14"/>
        <v>2.4173553719008269E-3</v>
      </c>
      <c r="F136">
        <f t="shared" si="14"/>
        <v>2.0301652892561986E-2</v>
      </c>
      <c r="G136">
        <v>296</v>
      </c>
      <c r="H136">
        <v>296</v>
      </c>
      <c r="I136">
        <v>296</v>
      </c>
      <c r="N136" s="4">
        <v>20</v>
      </c>
      <c r="P136" s="2">
        <v>0</v>
      </c>
      <c r="S136">
        <f t="shared" si="15"/>
        <v>484</v>
      </c>
      <c r="T136">
        <v>220</v>
      </c>
      <c r="U136">
        <v>1</v>
      </c>
      <c r="V136" s="4">
        <v>5.8500000000000003E-2</v>
      </c>
      <c r="W136" s="4">
        <v>0.49130000000000001</v>
      </c>
      <c r="X136" s="4">
        <v>8.9390000000000008E-3</v>
      </c>
      <c r="Y136" s="4">
        <v>0</v>
      </c>
      <c r="Z136" s="4">
        <v>0.77700000000000002</v>
      </c>
      <c r="AA136" s="4">
        <v>1</v>
      </c>
      <c r="AB136" s="4">
        <v>1</v>
      </c>
      <c r="AC136" s="4" t="s">
        <v>60</v>
      </c>
      <c r="AD136" s="4" t="b">
        <v>1</v>
      </c>
      <c r="AE136" s="4">
        <v>0.32150000000000001</v>
      </c>
      <c r="AF136" s="4">
        <v>1.4574</v>
      </c>
      <c r="AG136" s="4">
        <v>5.3759999999999997E-3</v>
      </c>
      <c r="AH136" s="4">
        <v>129.98710600000001</v>
      </c>
      <c r="AI136" s="4">
        <v>4.0299999999999997E-3</v>
      </c>
      <c r="AJ136" s="2" t="str">
        <f>_xlfn.XLOOKUP($C136,[1]Bus!$A$2:$A$121,[1]Bus!$J$2:$J$121,0)</f>
        <v>ANTIOQUI</v>
      </c>
      <c r="AK136" s="2" t="str">
        <f>_xlfn.XLOOKUP($C136,[1]Bus!$A$2:$A$121,[1]Bus!$K$2:$K$121,0)</f>
        <v>ANTIOQUI</v>
      </c>
      <c r="AL136" s="2">
        <v>3.2619670000000003E-2</v>
      </c>
      <c r="AM136" s="2">
        <f t="shared" si="16"/>
        <v>49.257073071443102</v>
      </c>
      <c r="AN136" s="2">
        <f t="shared" si="17"/>
        <v>2.0445065839075408E-2</v>
      </c>
      <c r="AO136" s="2">
        <f t="shared" si="18"/>
        <v>8.3982905982905969</v>
      </c>
      <c r="AP136" s="2">
        <f t="shared" si="19"/>
        <v>5.7831369005801267</v>
      </c>
      <c r="AQ136" s="2">
        <v>0</v>
      </c>
      <c r="AR136" s="2">
        <v>3.2619670000000003E-2</v>
      </c>
    </row>
    <row r="137" spans="1:44" ht="16" x14ac:dyDescent="0.2">
      <c r="A137" s="1" t="s">
        <v>285</v>
      </c>
      <c r="B137" s="4" t="str">
        <f>_xlfn.CONCAT(_xlfn.XLOOKUP($C137,[1]Bus!$A$2:$A$121,[1]Bus!$C$2:$C$121,0)," - ",_xlfn.XLOOKUP($D137,[1]Bus!$A$2:$A$121,[1]Bus!$C$2:$C$121,0))</f>
        <v>Barbosa_220 - Guadalupe_220</v>
      </c>
      <c r="C137" s="4" t="s">
        <v>286</v>
      </c>
      <c r="D137" s="4" t="s">
        <v>287</v>
      </c>
      <c r="E137">
        <f t="shared" si="14"/>
        <v>6.204142803719009E-3</v>
      </c>
      <c r="F137">
        <f t="shared" si="14"/>
        <v>5.1754216892561981E-2</v>
      </c>
      <c r="G137">
        <v>296</v>
      </c>
      <c r="H137">
        <v>296</v>
      </c>
      <c r="I137">
        <v>296</v>
      </c>
      <c r="N137" s="4">
        <v>51.330002</v>
      </c>
      <c r="P137" s="2">
        <v>0</v>
      </c>
      <c r="S137">
        <f t="shared" si="15"/>
        <v>484</v>
      </c>
      <c r="T137">
        <v>220</v>
      </c>
      <c r="U137">
        <v>1</v>
      </c>
      <c r="V137" s="4">
        <v>5.8500000000000003E-2</v>
      </c>
      <c r="W137" s="4">
        <v>0.48799999999999999</v>
      </c>
      <c r="X137" s="4">
        <v>9.0650000000000001E-3</v>
      </c>
      <c r="Y137" s="4">
        <v>0</v>
      </c>
      <c r="Z137" s="4">
        <v>0.77700000000000002</v>
      </c>
      <c r="AA137" s="4">
        <v>1</v>
      </c>
      <c r="AB137" s="4">
        <v>1</v>
      </c>
      <c r="AC137" s="4" t="s">
        <v>60</v>
      </c>
      <c r="AD137" s="4" t="b">
        <v>1</v>
      </c>
      <c r="AE137" s="4">
        <v>0.32969999999999999</v>
      </c>
      <c r="AF137" s="4">
        <v>1.4593</v>
      </c>
      <c r="AG137" s="4">
        <v>5.1570000000000001E-3</v>
      </c>
      <c r="AH137" s="4">
        <v>129.98710600000001</v>
      </c>
      <c r="AI137" s="4">
        <v>4.0299999999999997E-3</v>
      </c>
      <c r="AJ137" s="2" t="str">
        <f>_xlfn.XLOOKUP($C137,[1]Bus!$A$2:$A$121,[1]Bus!$J$2:$J$121,0)</f>
        <v>ANTIOQUI</v>
      </c>
      <c r="AK137" s="2" t="str">
        <f>_xlfn.XLOOKUP($C137,[1]Bus!$A$2:$A$121,[1]Bus!$K$2:$K$121,0)</f>
        <v>ANTIOQUI</v>
      </c>
      <c r="AL137" s="2">
        <v>8.4900929999999999E-2</v>
      </c>
      <c r="AM137" s="2">
        <f t="shared" si="16"/>
        <v>19.322097020150604</v>
      </c>
      <c r="AN137" s="2">
        <f t="shared" si="17"/>
        <v>5.2124757592638134E-2</v>
      </c>
      <c r="AO137" s="2">
        <f t="shared" si="18"/>
        <v>8.3418803418803407</v>
      </c>
      <c r="AP137" s="2">
        <f t="shared" si="19"/>
        <v>2.2834614758115404</v>
      </c>
      <c r="AQ137" s="2">
        <v>0</v>
      </c>
      <c r="AR137" s="2">
        <v>8.4900929999999999E-2</v>
      </c>
    </row>
    <row r="138" spans="1:44" ht="16" x14ac:dyDescent="0.2">
      <c r="A138" s="1" t="s">
        <v>288</v>
      </c>
      <c r="B138" s="4" t="str">
        <f>_xlfn.CONCAT(_xlfn.XLOOKUP($C138,[1]Bus!$A$2:$A$121,[1]Bus!$C$2:$C$121,0)," - ",_xlfn.XLOOKUP($D138,[1]Bus!$A$2:$A$121,[1]Bus!$C$2:$C$121,0))</f>
        <v>Barbosa_220 - Guatape_220</v>
      </c>
      <c r="C138" s="4" t="s">
        <v>286</v>
      </c>
      <c r="D138" s="4" t="s">
        <v>289</v>
      </c>
      <c r="E138">
        <f t="shared" si="14"/>
        <v>4.4237600888429752E-3</v>
      </c>
      <c r="F138">
        <f t="shared" si="14"/>
        <v>3.6902477322314046E-2</v>
      </c>
      <c r="G138">
        <v>296</v>
      </c>
      <c r="H138">
        <v>296</v>
      </c>
      <c r="I138">
        <v>296</v>
      </c>
      <c r="N138" s="4">
        <v>36.599997999999999</v>
      </c>
      <c r="P138" s="2">
        <v>0</v>
      </c>
      <c r="S138">
        <f t="shared" si="15"/>
        <v>484</v>
      </c>
      <c r="T138">
        <v>220</v>
      </c>
      <c r="U138">
        <v>1</v>
      </c>
      <c r="V138" s="4">
        <v>5.8500000000000003E-2</v>
      </c>
      <c r="W138" s="4">
        <v>0.48799999999999999</v>
      </c>
      <c r="X138" s="4">
        <v>9.0650000000000001E-3</v>
      </c>
      <c r="Y138" s="4">
        <v>0</v>
      </c>
      <c r="Z138" s="4">
        <v>0.77700000000000002</v>
      </c>
      <c r="AA138" s="4">
        <v>1</v>
      </c>
      <c r="AB138" s="4">
        <v>1</v>
      </c>
      <c r="AC138" s="4" t="s">
        <v>60</v>
      </c>
      <c r="AD138" s="4" t="b">
        <v>1</v>
      </c>
      <c r="AE138" s="4">
        <v>0.32969999999999999</v>
      </c>
      <c r="AF138" s="4">
        <v>1.4593</v>
      </c>
      <c r="AG138" s="4">
        <v>5.1570000000000001E-3</v>
      </c>
      <c r="AH138" s="4">
        <v>129.98710600000001</v>
      </c>
      <c r="AI138" s="4">
        <v>4.0299999999999997E-3</v>
      </c>
      <c r="AJ138" s="2" t="str">
        <f>_xlfn.XLOOKUP($C138,[1]Bus!$A$2:$A$121,[1]Bus!$J$2:$J$121,0)</f>
        <v>ANTIOQUI</v>
      </c>
      <c r="AK138" s="2" t="str">
        <f>_xlfn.XLOOKUP($C138,[1]Bus!$A$2:$A$121,[1]Bus!$K$2:$K$121,0)</f>
        <v>ANTIOQUI</v>
      </c>
      <c r="AL138" s="2">
        <v>6.0537189999999998E-2</v>
      </c>
      <c r="AM138" s="2">
        <f t="shared" si="16"/>
        <v>27.098451718181096</v>
      </c>
      <c r="AN138" s="2">
        <f t="shared" si="17"/>
        <v>3.7166685160874145E-2</v>
      </c>
      <c r="AO138" s="2">
        <f t="shared" si="18"/>
        <v>8.3418803418803407</v>
      </c>
      <c r="AP138" s="2">
        <f t="shared" si="19"/>
        <v>3.2024614351161804</v>
      </c>
      <c r="AQ138" s="2">
        <v>0</v>
      </c>
      <c r="AR138" s="2">
        <v>6.0537189999999998E-2</v>
      </c>
    </row>
    <row r="139" spans="1:44" ht="16" x14ac:dyDescent="0.2">
      <c r="A139" s="1" t="s">
        <v>290</v>
      </c>
      <c r="B139" s="4" t="str">
        <f>_xlfn.CONCAT(_xlfn.XLOOKUP($C139,[1]Bus!$A$2:$A$121,[1]Bus!$C$2:$C$121,0)," - ",_xlfn.XLOOKUP($D139,[1]Bus!$A$2:$A$121,[1]Bus!$C$2:$C$121,0))</f>
        <v>Barbosa_220 - La_Tasajera_220</v>
      </c>
      <c r="C139" s="4" t="s">
        <v>286</v>
      </c>
      <c r="D139" s="4" t="s">
        <v>291</v>
      </c>
      <c r="E139">
        <f t="shared" si="14"/>
        <v>1.4589876033057852E-3</v>
      </c>
      <c r="F139">
        <f t="shared" si="14"/>
        <v>1.4392148760330578E-2</v>
      </c>
      <c r="G139">
        <v>307</v>
      </c>
      <c r="H139">
        <v>307</v>
      </c>
      <c r="I139">
        <v>307</v>
      </c>
      <c r="N139" s="4">
        <v>14.5</v>
      </c>
      <c r="P139" s="2">
        <v>0</v>
      </c>
      <c r="S139">
        <f t="shared" si="15"/>
        <v>484</v>
      </c>
      <c r="T139">
        <v>220</v>
      </c>
      <c r="U139">
        <v>1</v>
      </c>
      <c r="V139" s="4">
        <v>4.87E-2</v>
      </c>
      <c r="W139" s="4">
        <v>0.48039999999999999</v>
      </c>
      <c r="X139" s="4">
        <v>9.2069999999999999E-3</v>
      </c>
      <c r="Y139" s="4">
        <v>0</v>
      </c>
      <c r="Z139" s="4">
        <v>0.80500000000000005</v>
      </c>
      <c r="AA139" s="4">
        <v>1</v>
      </c>
      <c r="AB139" s="4">
        <v>1</v>
      </c>
      <c r="AC139" s="4" t="s">
        <v>60</v>
      </c>
      <c r="AD139" s="4" t="b">
        <v>1</v>
      </c>
      <c r="AE139" s="4">
        <v>0.32</v>
      </c>
      <c r="AF139" s="4">
        <v>1.4496</v>
      </c>
      <c r="AG139" s="4">
        <v>5.2040000000000003E-3</v>
      </c>
      <c r="AH139" s="4">
        <v>130.06210300000001</v>
      </c>
      <c r="AI139" s="4">
        <v>4.0299999999999997E-3</v>
      </c>
      <c r="AJ139" s="2" t="str">
        <f>_xlfn.XLOOKUP($C139,[1]Bus!$A$2:$A$121,[1]Bus!$J$2:$J$121,0)</f>
        <v>ANTIOQUI</v>
      </c>
      <c r="AK139" s="2" t="str">
        <f>_xlfn.XLOOKUP($C139,[1]Bus!$A$2:$A$121,[1]Bus!$K$2:$K$121,0)</f>
        <v>ANTIOQUI</v>
      </c>
      <c r="AL139" s="2">
        <v>2.4360179999999999E-2</v>
      </c>
      <c r="AM139" s="2">
        <f t="shared" si="16"/>
        <v>69.482327945103222</v>
      </c>
      <c r="AN139" s="2">
        <f t="shared" si="17"/>
        <v>1.4465911335484017E-2</v>
      </c>
      <c r="AO139" s="2">
        <f t="shared" si="18"/>
        <v>9.8644763860369604</v>
      </c>
      <c r="AP139" s="2">
        <f t="shared" si="19"/>
        <v>6.9720421503174963</v>
      </c>
      <c r="AQ139" s="2">
        <v>0</v>
      </c>
      <c r="AR139" s="2">
        <v>2.4360179999999999E-2</v>
      </c>
    </row>
    <row r="140" spans="1:44" ht="16" x14ac:dyDescent="0.2">
      <c r="A140" s="1" t="s">
        <v>292</v>
      </c>
      <c r="B140" s="4" t="str">
        <f>_xlfn.CONCAT(_xlfn.XLOOKUP($C140,[1]Bus!$A$2:$A$121,[1]Bus!$C$2:$C$121,0)," - ",_xlfn.XLOOKUP($D140,[1]Bus!$A$2:$A$121,[1]Bus!$C$2:$C$121,0))</f>
        <v>Barbosa_220 - Miraflores_220</v>
      </c>
      <c r="C140" s="4" t="s">
        <v>286</v>
      </c>
      <c r="D140" s="4" t="s">
        <v>284</v>
      </c>
      <c r="E140">
        <f t="shared" si="14"/>
        <v>6.4301654101239667E-3</v>
      </c>
      <c r="F140">
        <f t="shared" si="14"/>
        <v>5.3639670429752061E-2</v>
      </c>
      <c r="G140">
        <v>296</v>
      </c>
      <c r="H140">
        <v>296</v>
      </c>
      <c r="I140">
        <v>296</v>
      </c>
      <c r="N140" s="4">
        <v>53.200001</v>
      </c>
      <c r="P140" s="2">
        <v>0</v>
      </c>
      <c r="S140">
        <f t="shared" si="15"/>
        <v>484</v>
      </c>
      <c r="T140">
        <v>220</v>
      </c>
      <c r="U140">
        <v>1</v>
      </c>
      <c r="V140" s="4">
        <v>5.8500000000000003E-2</v>
      </c>
      <c r="W140" s="4">
        <v>0.48799999999999999</v>
      </c>
      <c r="X140" s="4">
        <v>9.0650000000000001E-3</v>
      </c>
      <c r="Y140" s="4">
        <v>0</v>
      </c>
      <c r="Z140" s="4">
        <v>0.77700000000000002</v>
      </c>
      <c r="AA140" s="4">
        <v>1</v>
      </c>
      <c r="AB140" s="4">
        <v>1</v>
      </c>
      <c r="AC140" s="4" t="s">
        <v>60</v>
      </c>
      <c r="AD140" s="4" t="b">
        <v>1</v>
      </c>
      <c r="AE140" s="4">
        <v>0.32969999999999999</v>
      </c>
      <c r="AF140" s="4">
        <v>1.4593</v>
      </c>
      <c r="AG140" s="4">
        <v>5.1570000000000001E-3</v>
      </c>
      <c r="AH140" s="4">
        <v>129.98710600000001</v>
      </c>
      <c r="AI140" s="4">
        <v>4.0299999999999997E-3</v>
      </c>
      <c r="AJ140" s="2" t="str">
        <f>_xlfn.XLOOKUP($C140,[1]Bus!$A$2:$A$121,[1]Bus!$J$2:$J$121,0)</f>
        <v>ANTIOQUI</v>
      </c>
      <c r="AK140" s="2" t="str">
        <f>_xlfn.XLOOKUP($C140,[1]Bus!$A$2:$A$121,[1]Bus!$K$2:$K$121,0)</f>
        <v>ANTIOQUI</v>
      </c>
      <c r="AL140" s="2">
        <v>8.7993950000000001E-2</v>
      </c>
      <c r="AM140" s="2">
        <f t="shared" si="16"/>
        <v>18.642918421909894</v>
      </c>
      <c r="AN140" s="2">
        <f t="shared" si="17"/>
        <v>5.4023710267011207E-2</v>
      </c>
      <c r="AO140" s="2">
        <f t="shared" si="18"/>
        <v>8.3418803418803407</v>
      </c>
      <c r="AP140" s="2">
        <f t="shared" si="19"/>
        <v>2.2031969909235403</v>
      </c>
      <c r="AQ140" s="2">
        <v>0</v>
      </c>
      <c r="AR140" s="2">
        <v>8.7993950000000001E-2</v>
      </c>
    </row>
    <row r="141" spans="1:44" ht="16" x14ac:dyDescent="0.2">
      <c r="A141" s="1" t="s">
        <v>293</v>
      </c>
      <c r="B141" s="4" t="str">
        <f>_xlfn.CONCAT(_xlfn.XLOOKUP($C141,[1]Bus!$A$2:$A$121,[1]Bus!$C$2:$C$121,0)," - ",_xlfn.XLOOKUP($D141,[1]Bus!$A$2:$A$121,[1]Bus!$C$2:$C$121,0))</f>
        <v>Barbosa_220 - Porce_220</v>
      </c>
      <c r="C141" s="4" t="s">
        <v>286</v>
      </c>
      <c r="D141" s="4" t="s">
        <v>294</v>
      </c>
      <c r="E141">
        <f t="shared" si="14"/>
        <v>6.02809894214876E-3</v>
      </c>
      <c r="F141">
        <f t="shared" si="14"/>
        <v>5.2702807894214873E-2</v>
      </c>
      <c r="G141">
        <v>349</v>
      </c>
      <c r="H141">
        <v>349</v>
      </c>
      <c r="I141">
        <v>349</v>
      </c>
      <c r="N141" s="4">
        <v>52.099997999999999</v>
      </c>
      <c r="P141" s="2">
        <v>0</v>
      </c>
      <c r="S141">
        <f t="shared" si="15"/>
        <v>484</v>
      </c>
      <c r="T141">
        <v>220</v>
      </c>
      <c r="U141">
        <v>1</v>
      </c>
      <c r="V141" s="4">
        <v>5.6000000000000001E-2</v>
      </c>
      <c r="W141" s="4">
        <v>0.48959999999999998</v>
      </c>
      <c r="X141" s="4">
        <v>9.0699999999999999E-3</v>
      </c>
      <c r="Y141" s="4">
        <v>0</v>
      </c>
      <c r="Z141" s="4">
        <v>0.91500000000000004</v>
      </c>
      <c r="AA141" s="4">
        <v>1</v>
      </c>
      <c r="AB141" s="4">
        <v>1</v>
      </c>
      <c r="AC141" s="4" t="s">
        <v>60</v>
      </c>
      <c r="AD141" s="4" t="b">
        <v>1</v>
      </c>
      <c r="AE141" s="4">
        <v>0.33139999999999997</v>
      </c>
      <c r="AF141" s="4">
        <v>1.5766</v>
      </c>
      <c r="AG141" s="4">
        <v>5.3920000000000001E-3</v>
      </c>
      <c r="AH141" s="4">
        <v>100.546448</v>
      </c>
      <c r="AI141" s="4">
        <v>4.0299999999999997E-3</v>
      </c>
      <c r="AJ141" s="2" t="str">
        <f>_xlfn.XLOOKUP($C141,[1]Bus!$A$2:$A$121,[1]Bus!$J$2:$J$121,0)</f>
        <v>ANTIOQUI</v>
      </c>
      <c r="AK141" s="2" t="str">
        <f>_xlfn.XLOOKUP($C141,[1]Bus!$A$2:$A$121,[1]Bus!$K$2:$K$121,0)</f>
        <v>ANTIOQUI</v>
      </c>
      <c r="AL141" s="2">
        <v>8.6219909999999997E-2</v>
      </c>
      <c r="AM141" s="2">
        <f t="shared" si="16"/>
        <v>18.974321102723806</v>
      </c>
      <c r="AN141" s="2">
        <f t="shared" si="17"/>
        <v>5.3046431894999808E-2</v>
      </c>
      <c r="AO141" s="2">
        <f t="shared" si="18"/>
        <v>8.742857142857142</v>
      </c>
      <c r="AP141" s="2">
        <f t="shared" si="19"/>
        <v>2.1422394768152553</v>
      </c>
      <c r="AQ141" s="2">
        <v>0</v>
      </c>
      <c r="AR141" s="2">
        <v>8.6219909999999997E-2</v>
      </c>
    </row>
    <row r="142" spans="1:44" ht="16" x14ac:dyDescent="0.2">
      <c r="A142" s="1" t="s">
        <v>295</v>
      </c>
      <c r="B142" s="4" t="str">
        <f>_xlfn.CONCAT(_xlfn.XLOOKUP($C142,[1]Bus!$A$2:$A$121,[1]Bus!$C$2:$C$121,0)," - ",_xlfn.XLOOKUP($D142,[1]Bus!$A$2:$A$121,[1]Bus!$C$2:$C$121,0))</f>
        <v>Barbosa_220 - El_Salto_220</v>
      </c>
      <c r="C142" s="4" t="s">
        <v>286</v>
      </c>
      <c r="D142" s="4" t="s">
        <v>296</v>
      </c>
      <c r="E142">
        <f t="shared" si="14"/>
        <v>5.1027892561983472E-3</v>
      </c>
      <c r="F142">
        <f t="shared" si="14"/>
        <v>4.4325309917355372E-2</v>
      </c>
      <c r="G142">
        <v>349</v>
      </c>
      <c r="H142">
        <v>349</v>
      </c>
      <c r="I142">
        <v>349</v>
      </c>
      <c r="N142" s="4">
        <v>44.5</v>
      </c>
      <c r="P142" s="2">
        <v>0</v>
      </c>
      <c r="S142">
        <f t="shared" si="15"/>
        <v>484</v>
      </c>
      <c r="T142">
        <v>220</v>
      </c>
      <c r="U142">
        <v>1</v>
      </c>
      <c r="V142" s="4">
        <v>5.5500000000000001E-2</v>
      </c>
      <c r="W142" s="4">
        <v>0.48209999999999997</v>
      </c>
      <c r="X142" s="4">
        <v>8.9689999999999995E-3</v>
      </c>
      <c r="Y142" s="4">
        <v>0</v>
      </c>
      <c r="Z142" s="4">
        <v>0.91500000000000004</v>
      </c>
      <c r="AA142" s="4">
        <v>1</v>
      </c>
      <c r="AB142" s="4">
        <v>1</v>
      </c>
      <c r="AC142" s="4" t="s">
        <v>60</v>
      </c>
      <c r="AD142" s="4" t="b">
        <v>1</v>
      </c>
      <c r="AE142" s="4">
        <v>0.31759999999999999</v>
      </c>
      <c r="AF142" s="4">
        <v>1.3532999999999999</v>
      </c>
      <c r="AG142" s="4">
        <v>5.3090000000000004E-3</v>
      </c>
      <c r="AH142" s="4">
        <v>130.054596</v>
      </c>
      <c r="AI142" s="4">
        <v>4.0299999999999997E-3</v>
      </c>
      <c r="AJ142" s="2" t="str">
        <f>_xlfn.XLOOKUP($C142,[1]Bus!$A$2:$A$121,[1]Bus!$J$2:$J$121,0)</f>
        <v>ANTIOQUI</v>
      </c>
      <c r="AK142" s="2" t="str">
        <f>_xlfn.XLOOKUP($C142,[1]Bus!$A$2:$A$121,[1]Bus!$K$2:$K$121,0)</f>
        <v>ANTIOQUI</v>
      </c>
      <c r="AL142" s="2">
        <v>7.2824280000000005E-2</v>
      </c>
      <c r="AM142" s="2">
        <f t="shared" si="16"/>
        <v>22.560473956403282</v>
      </c>
      <c r="AN142" s="2">
        <f t="shared" si="17"/>
        <v>4.4618063129889182E-2</v>
      </c>
      <c r="AO142" s="2">
        <f t="shared" si="18"/>
        <v>8.686486486486487</v>
      </c>
      <c r="AP142" s="2">
        <f t="shared" si="19"/>
        <v>2.5632219011114539</v>
      </c>
      <c r="AQ142" s="2">
        <v>0</v>
      </c>
      <c r="AR142" s="2">
        <v>7.282429E-2</v>
      </c>
    </row>
    <row r="143" spans="1:44" ht="16" x14ac:dyDescent="0.2">
      <c r="A143" s="1" t="s">
        <v>297</v>
      </c>
      <c r="B143" s="4" t="str">
        <f>_xlfn.CONCAT(_xlfn.XLOOKUP($C143,[1]Bus!$A$2:$A$121,[1]Bus!$C$2:$C$121,0)," - ",_xlfn.XLOOKUP($D143,[1]Bus!$A$2:$A$121,[1]Bus!$C$2:$C$121,0))</f>
        <v>Bello_220 - La_Tasajera_220</v>
      </c>
      <c r="C143" s="4" t="s">
        <v>298</v>
      </c>
      <c r="D143" s="4" t="s">
        <v>291</v>
      </c>
      <c r="E143">
        <f t="shared" si="14"/>
        <v>1.9338842975206612E-3</v>
      </c>
      <c r="F143">
        <f t="shared" si="14"/>
        <v>1.6241322314049587E-2</v>
      </c>
      <c r="G143">
        <v>349</v>
      </c>
      <c r="H143">
        <v>349</v>
      </c>
      <c r="I143">
        <v>349</v>
      </c>
      <c r="N143" s="4">
        <v>16</v>
      </c>
      <c r="P143" s="2">
        <v>0</v>
      </c>
      <c r="S143">
        <f t="shared" si="15"/>
        <v>484</v>
      </c>
      <c r="T143">
        <v>220</v>
      </c>
      <c r="U143">
        <v>1</v>
      </c>
      <c r="V143" s="4">
        <v>5.8500000000000003E-2</v>
      </c>
      <c r="W143" s="4">
        <v>0.49130000000000001</v>
      </c>
      <c r="X143" s="4">
        <v>8.9390000000000008E-3</v>
      </c>
      <c r="Y143" s="4">
        <v>0</v>
      </c>
      <c r="Z143" s="4">
        <v>0.91500000000000004</v>
      </c>
      <c r="AA143" s="4">
        <v>1</v>
      </c>
      <c r="AB143" s="4">
        <v>1</v>
      </c>
      <c r="AC143" s="4" t="s">
        <v>60</v>
      </c>
      <c r="AD143" s="4" t="b">
        <v>1</v>
      </c>
      <c r="AE143" s="4">
        <v>0.32150000000000001</v>
      </c>
      <c r="AF143" s="4">
        <v>1.4574</v>
      </c>
      <c r="AG143" s="4">
        <v>5.3759999999999997E-3</v>
      </c>
      <c r="AH143" s="4">
        <v>130.054596</v>
      </c>
      <c r="AI143" s="4">
        <v>4.0299999999999997E-3</v>
      </c>
      <c r="AJ143" s="2" t="str">
        <f>_xlfn.XLOOKUP($C143,[1]Bus!$A$2:$A$121,[1]Bus!$J$2:$J$121,0)</f>
        <v>ANTIOQUI</v>
      </c>
      <c r="AK143" s="2" t="str">
        <f>_xlfn.XLOOKUP($C143,[1]Bus!$A$2:$A$121,[1]Bus!$K$2:$K$121,0)</f>
        <v>ANTIOQUI</v>
      </c>
      <c r="AL143" s="2">
        <v>2.6095730000000001E-2</v>
      </c>
      <c r="AM143" s="2">
        <f t="shared" si="16"/>
        <v>61.571341339303885</v>
      </c>
      <c r="AN143" s="2">
        <f t="shared" si="17"/>
        <v>1.6356052671260324E-2</v>
      </c>
      <c r="AO143" s="2">
        <f t="shared" si="18"/>
        <v>8.3982905982905987</v>
      </c>
      <c r="AP143" s="2">
        <f t="shared" si="19"/>
        <v>7.2289211257251589</v>
      </c>
      <c r="AQ143" s="2">
        <v>0</v>
      </c>
      <c r="AR143" s="2">
        <v>2.6095730000000001E-2</v>
      </c>
    </row>
    <row r="144" spans="1:44" ht="16" x14ac:dyDescent="0.2">
      <c r="A144" s="1" t="s">
        <v>299</v>
      </c>
      <c r="B144" s="4" t="str">
        <f>_xlfn.CONCAT(_xlfn.XLOOKUP($C144,[1]Bus!$A$2:$A$121,[1]Bus!$C$2:$C$121,0)," - ",_xlfn.XLOOKUP($D144,[1]Bus!$A$2:$A$121,[1]Bus!$C$2:$C$121,0))</f>
        <v>Bello_220 - El_Salto_220</v>
      </c>
      <c r="C144" s="4" t="s">
        <v>298</v>
      </c>
      <c r="D144" s="4" t="s">
        <v>296</v>
      </c>
      <c r="E144">
        <f t="shared" si="14"/>
        <v>8.2431814555785129E-3</v>
      </c>
      <c r="F144">
        <f t="shared" si="14"/>
        <v>6.8974996965909086E-2</v>
      </c>
      <c r="G144">
        <v>349</v>
      </c>
      <c r="H144">
        <v>349</v>
      </c>
      <c r="I144">
        <v>349</v>
      </c>
      <c r="N144" s="4">
        <v>68.199996999999996</v>
      </c>
      <c r="P144" s="2">
        <v>0</v>
      </c>
      <c r="S144">
        <f t="shared" si="15"/>
        <v>484</v>
      </c>
      <c r="T144">
        <v>220</v>
      </c>
      <c r="U144">
        <v>1</v>
      </c>
      <c r="V144" s="4">
        <v>5.8500000000000003E-2</v>
      </c>
      <c r="W144" s="4">
        <v>0.48949999999999999</v>
      </c>
      <c r="X144" s="4">
        <v>9.0039999999999999E-3</v>
      </c>
      <c r="Y144" s="4">
        <v>0</v>
      </c>
      <c r="Z144" s="4">
        <v>0.91500000000000004</v>
      </c>
      <c r="AA144" s="4">
        <v>1</v>
      </c>
      <c r="AB144" s="4">
        <v>1</v>
      </c>
      <c r="AC144" s="4" t="s">
        <v>60</v>
      </c>
      <c r="AD144" s="4" t="b">
        <v>1</v>
      </c>
      <c r="AE144" s="4">
        <v>0.32579999999999998</v>
      </c>
      <c r="AF144" s="4">
        <v>1.4583999999999999</v>
      </c>
      <c r="AG144" s="4">
        <v>5.2619999999999993E-3</v>
      </c>
      <c r="AH144" s="4">
        <v>130.054596</v>
      </c>
      <c r="AI144" s="4">
        <v>4.0299999999999997E-3</v>
      </c>
      <c r="AJ144" s="2" t="str">
        <f>_xlfn.XLOOKUP($C144,[1]Bus!$A$2:$A$121,[1]Bus!$J$2:$J$121,0)</f>
        <v>ANTIOQUI</v>
      </c>
      <c r="AK144" s="2" t="str">
        <f>_xlfn.XLOOKUP($C144,[1]Bus!$A$2:$A$121,[1]Bus!$K$2:$K$121,0)</f>
        <v>ANTIOQUI</v>
      </c>
      <c r="AL144" s="2">
        <v>0.11204840000000001</v>
      </c>
      <c r="AM144" s="2">
        <f t="shared" si="16"/>
        <v>14.498007161845187</v>
      </c>
      <c r="AN144" s="2">
        <f t="shared" si="17"/>
        <v>6.9465820710308754E-2</v>
      </c>
      <c r="AO144" s="2">
        <f t="shared" si="18"/>
        <v>8.3675213675213662</v>
      </c>
      <c r="AP144" s="2">
        <f t="shared" si="19"/>
        <v>1.7082542811550239</v>
      </c>
      <c r="AQ144" s="2">
        <v>0</v>
      </c>
      <c r="AR144" s="2">
        <v>0.11204840000000001</v>
      </c>
    </row>
    <row r="145" spans="1:44" ht="16" x14ac:dyDescent="0.2">
      <c r="A145" s="1" t="s">
        <v>300</v>
      </c>
      <c r="B145" s="4" t="str">
        <f>_xlfn.CONCAT(_xlfn.XLOOKUP($C145,[1]Bus!$A$2:$A$121,[1]Bus!$C$2:$C$121,0)," - ",_xlfn.XLOOKUP($D145,[1]Bus!$A$2:$A$121,[1]Bus!$C$2:$C$121,0))</f>
        <v>Envigado_220 - Guatape_220</v>
      </c>
      <c r="C145" s="4" t="s">
        <v>301</v>
      </c>
      <c r="D145" s="4" t="s">
        <v>289</v>
      </c>
      <c r="E145">
        <f t="shared" si="14"/>
        <v>7.5876443876033055E-3</v>
      </c>
      <c r="F145">
        <f t="shared" si="14"/>
        <v>6.313910956900827E-2</v>
      </c>
      <c r="G145">
        <v>296</v>
      </c>
      <c r="H145">
        <v>296</v>
      </c>
      <c r="I145">
        <v>296</v>
      </c>
      <c r="N145" s="4">
        <v>63.099997999999999</v>
      </c>
      <c r="P145" s="2">
        <v>0</v>
      </c>
      <c r="S145">
        <f t="shared" si="15"/>
        <v>484</v>
      </c>
      <c r="T145">
        <v>220</v>
      </c>
      <c r="U145">
        <v>1</v>
      </c>
      <c r="V145" s="4">
        <v>5.8200000000000002E-2</v>
      </c>
      <c r="W145" s="4">
        <v>0.48430000000000001</v>
      </c>
      <c r="X145" s="4">
        <v>9.104000000000001E-3</v>
      </c>
      <c r="Y145" s="4">
        <v>0</v>
      </c>
      <c r="Z145" s="4">
        <v>0.77700000000000002</v>
      </c>
      <c r="AA145" s="4">
        <v>1</v>
      </c>
      <c r="AB145" s="4">
        <v>1</v>
      </c>
      <c r="AC145" s="4" t="s">
        <v>60</v>
      </c>
      <c r="AD145" s="4" t="b">
        <v>1</v>
      </c>
      <c r="AE145" s="4">
        <v>0.3296</v>
      </c>
      <c r="AF145" s="4">
        <v>1.4554</v>
      </c>
      <c r="AG145" s="4">
        <v>5.1700000000000001E-3</v>
      </c>
      <c r="AH145" s="4">
        <v>129.98710600000001</v>
      </c>
      <c r="AI145" s="4">
        <v>4.0299999999999997E-3</v>
      </c>
      <c r="AJ145" s="2" t="str">
        <f>_xlfn.XLOOKUP($C145,[1]Bus!$A$2:$A$121,[1]Bus!$J$2:$J$121,0)</f>
        <v>ANTIOQUI</v>
      </c>
      <c r="AK145" s="2" t="str">
        <f>_xlfn.XLOOKUP($C145,[1]Bus!$A$2:$A$121,[1]Bus!$K$2:$K$121,0)</f>
        <v>ANTIOQUI</v>
      </c>
      <c r="AL145" s="2">
        <v>0.10482080000000001</v>
      </c>
      <c r="AM145" s="2">
        <f t="shared" si="16"/>
        <v>15.838044071670728</v>
      </c>
      <c r="AN145" s="2">
        <f t="shared" si="17"/>
        <v>6.359339198784697E-2</v>
      </c>
      <c r="AO145" s="2">
        <f t="shared" si="18"/>
        <v>8.3213058419243993</v>
      </c>
      <c r="AP145" s="2">
        <f t="shared" si="19"/>
        <v>1.8762166595529342</v>
      </c>
      <c r="AQ145" s="2">
        <v>0</v>
      </c>
      <c r="AR145" s="2">
        <v>0.10482080000000001</v>
      </c>
    </row>
    <row r="146" spans="1:44" ht="16" x14ac:dyDescent="0.2">
      <c r="A146" s="1" t="s">
        <v>302</v>
      </c>
      <c r="B146" s="4" t="str">
        <f>_xlfn.CONCAT(_xlfn.XLOOKUP($C146,[1]Bus!$A$2:$A$121,[1]Bus!$C$2:$C$121,0)," - ",_xlfn.XLOOKUP($D146,[1]Bus!$A$2:$A$121,[1]Bus!$C$2:$C$121,0))</f>
        <v>Envigado_220 - Occidente_220</v>
      </c>
      <c r="C146" s="4" t="s">
        <v>301</v>
      </c>
      <c r="D146" s="4" t="s">
        <v>303</v>
      </c>
      <c r="E146">
        <f t="shared" si="14"/>
        <v>2.9109318181818182E-3</v>
      </c>
      <c r="F146">
        <f t="shared" si="14"/>
        <v>2.8714818181818182E-2</v>
      </c>
      <c r="G146">
        <v>307</v>
      </c>
      <c r="H146">
        <v>307</v>
      </c>
      <c r="I146">
        <v>307</v>
      </c>
      <c r="N146" s="4">
        <v>28.93</v>
      </c>
      <c r="P146" s="2">
        <v>0</v>
      </c>
      <c r="S146">
        <f t="shared" si="15"/>
        <v>484</v>
      </c>
      <c r="T146">
        <v>220</v>
      </c>
      <c r="U146">
        <v>1</v>
      </c>
      <c r="V146" s="4">
        <v>4.87E-2</v>
      </c>
      <c r="W146" s="4">
        <v>0.48039999999999999</v>
      </c>
      <c r="X146" s="4">
        <v>9.2069999999999999E-3</v>
      </c>
      <c r="Y146" s="4">
        <v>0</v>
      </c>
      <c r="Z146" s="4">
        <v>0.80500000000000005</v>
      </c>
      <c r="AA146" s="4">
        <v>1</v>
      </c>
      <c r="AB146" s="4">
        <v>1</v>
      </c>
      <c r="AC146" s="4" t="s">
        <v>60</v>
      </c>
      <c r="AD146" s="4" t="b">
        <v>1</v>
      </c>
      <c r="AE146" s="4">
        <v>0.32</v>
      </c>
      <c r="AF146" s="4">
        <v>1.4496</v>
      </c>
      <c r="AG146" s="4">
        <v>5.2040000000000003E-3</v>
      </c>
      <c r="AH146" s="4">
        <v>130.06210300000001</v>
      </c>
      <c r="AI146" s="4">
        <v>4.0299999999999997E-3</v>
      </c>
      <c r="AJ146" s="2" t="str">
        <f>_xlfn.XLOOKUP($C146,[1]Bus!$A$2:$A$121,[1]Bus!$J$2:$J$121,0)</f>
        <v>ANTIOQUI</v>
      </c>
      <c r="AK146" s="2" t="str">
        <f>_xlfn.XLOOKUP($C146,[1]Bus!$A$2:$A$121,[1]Bus!$K$2:$K$121,0)</f>
        <v>ANTIOQUI</v>
      </c>
      <c r="AL146" s="2">
        <v>4.8602760000000002E-2</v>
      </c>
      <c r="AM146" s="2">
        <f t="shared" si="16"/>
        <v>34.825224860145063</v>
      </c>
      <c r="AN146" s="2">
        <f t="shared" si="17"/>
        <v>2.8861987236934662E-2</v>
      </c>
      <c r="AO146" s="2">
        <f t="shared" si="18"/>
        <v>9.8644763860369604</v>
      </c>
      <c r="AP146" s="2">
        <f t="shared" si="19"/>
        <v>3.4944559688767263</v>
      </c>
      <c r="AQ146" s="2">
        <v>0</v>
      </c>
      <c r="AR146" s="2">
        <v>4.8602760000000002E-2</v>
      </c>
    </row>
    <row r="147" spans="1:44" ht="16" x14ac:dyDescent="0.2">
      <c r="A147" s="1" t="s">
        <v>304</v>
      </c>
      <c r="B147" s="4" t="str">
        <f>_xlfn.CONCAT(_xlfn.XLOOKUP($C147,[1]Bus!$A$2:$A$121,[1]Bus!$C$2:$C$121,0)," - ",_xlfn.XLOOKUP($D147,[1]Bus!$A$2:$A$121,[1]Bus!$C$2:$C$121,0))</f>
        <v>Envigado_220 - Oriente_220</v>
      </c>
      <c r="C147" s="4" t="s">
        <v>301</v>
      </c>
      <c r="D147" s="4" t="s">
        <v>305</v>
      </c>
      <c r="E147">
        <f t="shared" si="14"/>
        <v>3.1745454545454546E-3</v>
      </c>
      <c r="F147">
        <f t="shared" si="14"/>
        <v>2.6416363636363637E-2</v>
      </c>
      <c r="G147">
        <v>296</v>
      </c>
      <c r="H147">
        <v>296</v>
      </c>
      <c r="I147">
        <v>296</v>
      </c>
      <c r="N147" s="4">
        <v>26.4</v>
      </c>
      <c r="P147" s="2">
        <v>0</v>
      </c>
      <c r="S147">
        <f t="shared" si="15"/>
        <v>484</v>
      </c>
      <c r="T147">
        <v>220</v>
      </c>
      <c r="U147">
        <v>1</v>
      </c>
      <c r="V147" s="4">
        <v>5.8200000000000002E-2</v>
      </c>
      <c r="W147" s="4">
        <v>0.48430000000000001</v>
      </c>
      <c r="X147" s="4">
        <v>9.104000000000001E-3</v>
      </c>
      <c r="Y147" s="4">
        <v>0</v>
      </c>
      <c r="Z147" s="4">
        <v>0.77700000000000002</v>
      </c>
      <c r="AA147" s="4">
        <v>1</v>
      </c>
      <c r="AB147" s="4">
        <v>1</v>
      </c>
      <c r="AC147" s="4" t="s">
        <v>60</v>
      </c>
      <c r="AD147" s="4" t="b">
        <v>1</v>
      </c>
      <c r="AE147" s="4">
        <v>0.3296</v>
      </c>
      <c r="AF147" s="4">
        <v>1.4554</v>
      </c>
      <c r="AG147" s="4">
        <v>5.1700000000000001E-3</v>
      </c>
      <c r="AH147" s="4">
        <v>129.98710600000001</v>
      </c>
      <c r="AI147" s="4">
        <v>4.0299999999999997E-3</v>
      </c>
      <c r="AJ147" s="2" t="str">
        <f>_xlfn.XLOOKUP($C147,[1]Bus!$A$2:$A$121,[1]Bus!$J$2:$J$121,0)</f>
        <v>ANTIOQUI</v>
      </c>
      <c r="AK147" s="2" t="str">
        <f>_xlfn.XLOOKUP($C147,[1]Bus!$A$2:$A$121,[1]Bus!$K$2:$K$121,0)</f>
        <v>ANTIOQUI</v>
      </c>
      <c r="AL147" s="2">
        <v>4.3855280000000003E-2</v>
      </c>
      <c r="AM147" s="2">
        <f t="shared" si="16"/>
        <v>37.855323835088441</v>
      </c>
      <c r="AN147" s="2">
        <f t="shared" si="17"/>
        <v>2.660642791904938E-2</v>
      </c>
      <c r="AO147" s="2">
        <f t="shared" si="18"/>
        <v>8.3213058419243993</v>
      </c>
      <c r="AP147" s="2">
        <f t="shared" si="19"/>
        <v>4.4844419494453351</v>
      </c>
      <c r="AQ147" s="2">
        <v>0</v>
      </c>
      <c r="AR147" s="2">
        <v>4.3855280000000003E-2</v>
      </c>
    </row>
    <row r="148" spans="1:44" ht="16" x14ac:dyDescent="0.2">
      <c r="A148" s="1" t="s">
        <v>306</v>
      </c>
      <c r="B148" s="4" t="str">
        <f>_xlfn.CONCAT(_xlfn.XLOOKUP($C148,[1]Bus!$A$2:$A$121,[1]Bus!$C$2:$C$121,0)," - ",_xlfn.XLOOKUP($D148,[1]Bus!$A$2:$A$121,[1]Bus!$C$2:$C$121,0))</f>
        <v>Guadalupe_220 - Occidente_220</v>
      </c>
      <c r="C148" s="4" t="s">
        <v>287</v>
      </c>
      <c r="D148" s="4" t="s">
        <v>303</v>
      </c>
      <c r="E148">
        <f t="shared" si="14"/>
        <v>8.9756195030991741E-3</v>
      </c>
      <c r="F148">
        <f t="shared" si="14"/>
        <v>8.1233550717768596E-2</v>
      </c>
      <c r="G148">
        <v>296</v>
      </c>
      <c r="H148">
        <v>296</v>
      </c>
      <c r="I148">
        <v>296</v>
      </c>
      <c r="N148" s="4">
        <v>81.199996999999996</v>
      </c>
      <c r="P148" s="2">
        <v>0</v>
      </c>
      <c r="S148">
        <f t="shared" si="15"/>
        <v>484</v>
      </c>
      <c r="T148">
        <v>220</v>
      </c>
      <c r="U148">
        <v>1</v>
      </c>
      <c r="V148" s="4">
        <v>5.3499999999999999E-2</v>
      </c>
      <c r="W148" s="4">
        <v>0.48420000000000002</v>
      </c>
      <c r="X148" s="4">
        <v>9.137000000000001E-3</v>
      </c>
      <c r="Y148" s="4">
        <v>0</v>
      </c>
      <c r="Z148" s="4">
        <v>0.77700000000000002</v>
      </c>
      <c r="AA148" s="4">
        <v>1</v>
      </c>
      <c r="AB148" s="4">
        <v>1</v>
      </c>
      <c r="AC148" s="4" t="s">
        <v>60</v>
      </c>
      <c r="AD148" s="4" t="b">
        <v>1</v>
      </c>
      <c r="AE148" s="4">
        <v>0.32479999999999998</v>
      </c>
      <c r="AF148" s="4">
        <v>1.4543999999999999</v>
      </c>
      <c r="AG148" s="4">
        <v>5.1809999999999998E-3</v>
      </c>
      <c r="AH148" s="4">
        <v>129.98710600000001</v>
      </c>
      <c r="AI148" s="4">
        <v>4.0299999999999997E-3</v>
      </c>
      <c r="AJ148" s="2" t="str">
        <f>_xlfn.XLOOKUP($C148,[1]Bus!$A$2:$A$121,[1]Bus!$J$2:$J$121,0)</f>
        <v>ANTIOQUI</v>
      </c>
      <c r="AK148" s="2" t="str">
        <f>_xlfn.XLOOKUP($C148,[1]Bus!$A$2:$A$121,[1]Bus!$K$2:$K$121,0)</f>
        <v>ANTIOQUI</v>
      </c>
      <c r="AL148" s="2">
        <v>0.13537550000000001</v>
      </c>
      <c r="AM148" s="2">
        <f t="shared" si="16"/>
        <v>12.310184537843492</v>
      </c>
      <c r="AN148" s="2">
        <f t="shared" si="17"/>
        <v>8.1727911435939049E-2</v>
      </c>
      <c r="AO148" s="2">
        <f t="shared" si="18"/>
        <v>9.0504672897196254</v>
      </c>
      <c r="AP148" s="2">
        <f t="shared" si="19"/>
        <v>1.343765950359564</v>
      </c>
      <c r="AQ148" s="2">
        <v>0</v>
      </c>
      <c r="AR148" s="2">
        <v>0.13537550000000001</v>
      </c>
    </row>
    <row r="149" spans="1:44" ht="16" x14ac:dyDescent="0.2">
      <c r="A149" s="1" t="s">
        <v>307</v>
      </c>
      <c r="B149" s="4" t="str">
        <f>_xlfn.CONCAT(_xlfn.XLOOKUP($C149,[1]Bus!$A$2:$A$121,[1]Bus!$C$2:$C$121,0)," - ",_xlfn.XLOOKUP($D149,[1]Bus!$A$2:$A$121,[1]Bus!$C$2:$C$121,0))</f>
        <v>Guadalupe_220 - Porce_220</v>
      </c>
      <c r="C149" s="4" t="s">
        <v>287</v>
      </c>
      <c r="D149" s="4" t="s">
        <v>294</v>
      </c>
      <c r="E149">
        <f t="shared" si="14"/>
        <v>2.2971074380165289E-4</v>
      </c>
      <c r="F149">
        <f t="shared" si="14"/>
        <v>2.0817272727272729E-3</v>
      </c>
      <c r="G149">
        <v>349</v>
      </c>
      <c r="H149">
        <v>349</v>
      </c>
      <c r="I149">
        <v>349</v>
      </c>
      <c r="N149" s="4">
        <v>2.04</v>
      </c>
      <c r="P149" s="2">
        <v>0</v>
      </c>
      <c r="S149">
        <f t="shared" si="15"/>
        <v>484</v>
      </c>
      <c r="T149">
        <v>220</v>
      </c>
      <c r="U149">
        <v>1</v>
      </c>
      <c r="V149" s="4">
        <v>5.45E-2</v>
      </c>
      <c r="W149" s="4">
        <v>0.49390000000000001</v>
      </c>
      <c r="X149" s="4">
        <v>8.9639999999999997E-3</v>
      </c>
      <c r="Y149" s="4">
        <v>0</v>
      </c>
      <c r="Z149" s="4">
        <v>0.91500000000000004</v>
      </c>
      <c r="AA149" s="4">
        <v>1</v>
      </c>
      <c r="AB149" s="4">
        <v>1</v>
      </c>
      <c r="AC149" s="4" t="s">
        <v>60</v>
      </c>
      <c r="AD149" s="4" t="b">
        <v>1</v>
      </c>
      <c r="AE149" s="4">
        <v>0.33169999999999999</v>
      </c>
      <c r="AF149" s="4">
        <v>1.5907</v>
      </c>
      <c r="AG149" s="4">
        <v>5.3630000000000006E-3</v>
      </c>
      <c r="AH149" s="4">
        <v>130.054596</v>
      </c>
      <c r="AI149" s="4">
        <v>4.0299999999999997E-3</v>
      </c>
      <c r="AJ149" s="2" t="str">
        <f>_xlfn.XLOOKUP($C149,[1]Bus!$A$2:$A$121,[1]Bus!$J$2:$J$121,0)</f>
        <v>ANTIOQUI</v>
      </c>
      <c r="AK149" s="2" t="str">
        <f>_xlfn.XLOOKUP($C149,[1]Bus!$A$2:$A$121,[1]Bus!$K$2:$K$121,0)</f>
        <v>ANTIOQUI</v>
      </c>
      <c r="AL149" s="2">
        <v>3.3364900000000001E-3</v>
      </c>
      <c r="AM149" s="2">
        <f t="shared" si="16"/>
        <v>480.37032184811562</v>
      </c>
      <c r="AN149" s="2">
        <f t="shared" si="17"/>
        <v>2.0943627822883116E-3</v>
      </c>
      <c r="AO149" s="2">
        <f t="shared" si="18"/>
        <v>9.0623853211009191</v>
      </c>
      <c r="AP149" s="2">
        <f t="shared" si="19"/>
        <v>52.369386315272713</v>
      </c>
      <c r="AQ149" s="2">
        <v>0</v>
      </c>
      <c r="AR149" s="2">
        <v>3.3364900000000001E-3</v>
      </c>
    </row>
    <row r="150" spans="1:44" ht="16" x14ac:dyDescent="0.2">
      <c r="A150" s="1" t="s">
        <v>308</v>
      </c>
      <c r="B150" s="4" t="str">
        <f>_xlfn.CONCAT(_xlfn.XLOOKUP($C150,[1]Bus!$A$2:$A$121,[1]Bus!$C$2:$C$121,0)," - ",_xlfn.XLOOKUP($D150,[1]Bus!$A$2:$A$121,[1]Bus!$C$2:$C$121,0))</f>
        <v>Guadalupe_220 - El_Salto_220</v>
      </c>
      <c r="C150" s="4" t="s">
        <v>287</v>
      </c>
      <c r="D150" s="4" t="s">
        <v>296</v>
      </c>
      <c r="E150">
        <f t="shared" si="14"/>
        <v>1.0636363636363636E-3</v>
      </c>
      <c r="F150">
        <f t="shared" si="14"/>
        <v>8.9327272727272745E-3</v>
      </c>
      <c r="G150">
        <v>296</v>
      </c>
      <c r="H150">
        <v>296</v>
      </c>
      <c r="I150">
        <v>296</v>
      </c>
      <c r="N150" s="4">
        <v>8.8000000000000007</v>
      </c>
      <c r="P150" s="2">
        <v>0</v>
      </c>
      <c r="S150">
        <f t="shared" si="15"/>
        <v>484</v>
      </c>
      <c r="T150">
        <v>220</v>
      </c>
      <c r="U150">
        <v>1</v>
      </c>
      <c r="V150" s="4">
        <v>5.8500000000000003E-2</v>
      </c>
      <c r="W150" s="4">
        <v>0.49130000000000001</v>
      </c>
      <c r="X150" s="4">
        <v>8.9390000000000008E-3</v>
      </c>
      <c r="Y150" s="4">
        <v>0</v>
      </c>
      <c r="Z150" s="4">
        <v>0.77700000000000002</v>
      </c>
      <c r="AA150" s="4">
        <v>1</v>
      </c>
      <c r="AB150" s="4">
        <v>1</v>
      </c>
      <c r="AC150" s="4" t="s">
        <v>60</v>
      </c>
      <c r="AD150" s="4" t="b">
        <v>1</v>
      </c>
      <c r="AE150" s="4">
        <v>0.32150000000000001</v>
      </c>
      <c r="AF150" s="4">
        <v>1.4574</v>
      </c>
      <c r="AG150" s="4">
        <v>5.3759999999999997E-3</v>
      </c>
      <c r="AH150" s="4">
        <v>129.98710600000001</v>
      </c>
      <c r="AI150" s="4">
        <v>4.0299999999999997E-3</v>
      </c>
      <c r="AJ150" s="2" t="str">
        <f>_xlfn.XLOOKUP($C150,[1]Bus!$A$2:$A$121,[1]Bus!$J$2:$J$121,0)</f>
        <v>ANTIOQUI</v>
      </c>
      <c r="AK150" s="2" t="str">
        <f>_xlfn.XLOOKUP($C150,[1]Bus!$A$2:$A$121,[1]Bus!$K$2:$K$121,0)</f>
        <v>ANTIOQUI</v>
      </c>
      <c r="AL150" s="2">
        <v>1.435265E-2</v>
      </c>
      <c r="AM150" s="2">
        <f t="shared" si="16"/>
        <v>111.94789334418887</v>
      </c>
      <c r="AN150" s="2">
        <f t="shared" si="17"/>
        <v>8.9958289691931797E-3</v>
      </c>
      <c r="AO150" s="2">
        <f t="shared" si="18"/>
        <v>8.3982905982906004</v>
      </c>
      <c r="AP150" s="2">
        <f t="shared" si="19"/>
        <v>13.143492955863922</v>
      </c>
      <c r="AQ150" s="2">
        <v>0</v>
      </c>
      <c r="AR150" s="2">
        <v>1.435265E-2</v>
      </c>
    </row>
    <row r="151" spans="1:44" ht="16" x14ac:dyDescent="0.2">
      <c r="A151" s="1" t="s">
        <v>309</v>
      </c>
      <c r="B151" s="4" t="str">
        <f>_xlfn.CONCAT(_xlfn.XLOOKUP($C151,[1]Bus!$A$2:$A$121,[1]Bus!$C$2:$C$121,0)," - ",_xlfn.XLOOKUP($D151,[1]Bus!$A$2:$A$121,[1]Bus!$C$2:$C$121,0))</f>
        <v>Guatape_220 - Jaguas_220</v>
      </c>
      <c r="C151" s="4" t="s">
        <v>289</v>
      </c>
      <c r="D151" s="4" t="s">
        <v>279</v>
      </c>
      <c r="E151">
        <f t="shared" si="14"/>
        <v>9.8234790194239138E-4</v>
      </c>
      <c r="F151">
        <f t="shared" si="14"/>
        <v>8.6022225666260131E-3</v>
      </c>
      <c r="G151">
        <v>748</v>
      </c>
      <c r="H151">
        <v>748</v>
      </c>
      <c r="I151">
        <v>748</v>
      </c>
      <c r="N151" s="4">
        <v>18.649999999999999</v>
      </c>
      <c r="P151" s="2">
        <v>0</v>
      </c>
      <c r="S151">
        <f t="shared" si="15"/>
        <v>484</v>
      </c>
      <c r="T151">
        <v>220</v>
      </c>
      <c r="U151">
        <v>2</v>
      </c>
      <c r="V151" s="4">
        <v>2.5493639921722114E-2</v>
      </c>
      <c r="W151" s="4">
        <v>0.2232426660722247</v>
      </c>
      <c r="X151" s="4">
        <v>6.993000000000001E-3</v>
      </c>
      <c r="Y151" s="4">
        <v>0</v>
      </c>
      <c r="Z151" s="4">
        <v>0.93899999999999995</v>
      </c>
      <c r="AA151" s="4">
        <v>1</v>
      </c>
      <c r="AB151" s="4">
        <v>1</v>
      </c>
      <c r="AC151" s="4" t="s">
        <v>60</v>
      </c>
      <c r="AD151" s="4" t="b">
        <v>1</v>
      </c>
      <c r="AE151" s="4">
        <v>0.14314139511201629</v>
      </c>
      <c r="AF151" s="4">
        <v>0.54597069597069603</v>
      </c>
      <c r="AG151" s="4">
        <v>4.8310000000000002E-3</v>
      </c>
      <c r="AH151" s="4">
        <v>130</v>
      </c>
      <c r="AI151" s="4">
        <v>4.0299999999999997E-3</v>
      </c>
      <c r="AJ151" s="2" t="str">
        <f>_xlfn.XLOOKUP($C151,[1]Bus!$A$2:$A$121,[1]Bus!$J$2:$J$121,0)</f>
        <v>ANTIOQUI</v>
      </c>
      <c r="AK151" s="2" t="str">
        <f>_xlfn.XLOOKUP($C151,[1]Bus!$A$2:$A$121,[1]Bus!$K$2:$K$121,0)</f>
        <v>ANTIOQUI</v>
      </c>
      <c r="AL151" s="2">
        <v>2.3903489999999999E-2</v>
      </c>
      <c r="AM151" s="2">
        <f t="shared" si="16"/>
        <v>116.24902660385625</v>
      </c>
      <c r="AN151" s="2">
        <f t="shared" si="17"/>
        <v>8.6581314662125836E-3</v>
      </c>
      <c r="AO151" s="2">
        <f t="shared" si="18"/>
        <v>8.756798431204345</v>
      </c>
      <c r="AP151" s="2">
        <f t="shared" si="19"/>
        <v>13.104394841668618</v>
      </c>
      <c r="AQ151" s="2">
        <v>0</v>
      </c>
      <c r="AR151" s="2">
        <v>1.1951745E-2</v>
      </c>
    </row>
    <row r="152" spans="1:44" ht="16" x14ac:dyDescent="0.2">
      <c r="A152" s="1" t="s">
        <v>310</v>
      </c>
      <c r="B152" s="4" t="str">
        <f>_xlfn.CONCAT(_xlfn.XLOOKUP($C152,[1]Bus!$A$2:$A$121,[1]Bus!$C$2:$C$121,0)," - ",_xlfn.XLOOKUP($D152,[1]Bus!$A$2:$A$121,[1]Bus!$C$2:$C$121,0))</f>
        <v>Guatape_220 - Miraflores_220</v>
      </c>
      <c r="C152" s="4" t="s">
        <v>289</v>
      </c>
      <c r="D152" s="4" t="s">
        <v>284</v>
      </c>
      <c r="E152">
        <f t="shared" si="14"/>
        <v>6.2367766177685953E-3</v>
      </c>
      <c r="F152">
        <f t="shared" si="14"/>
        <v>5.2026444264462811E-2</v>
      </c>
      <c r="G152">
        <v>296</v>
      </c>
      <c r="H152">
        <v>296</v>
      </c>
      <c r="I152">
        <v>296</v>
      </c>
      <c r="N152" s="4">
        <v>51.599997999999999</v>
      </c>
      <c r="P152" s="2">
        <v>0</v>
      </c>
      <c r="S152">
        <f t="shared" si="15"/>
        <v>484</v>
      </c>
      <c r="T152">
        <v>220</v>
      </c>
      <c r="U152">
        <v>1</v>
      </c>
      <c r="V152" s="4">
        <v>5.8500000000000003E-2</v>
      </c>
      <c r="W152" s="4">
        <v>0.48799999999999999</v>
      </c>
      <c r="X152" s="4">
        <v>9.0650000000000001E-3</v>
      </c>
      <c r="Y152" s="4">
        <v>0</v>
      </c>
      <c r="Z152" s="4">
        <v>0.77700000000000002</v>
      </c>
      <c r="AA152" s="4">
        <v>1</v>
      </c>
      <c r="AB152" s="4">
        <v>1</v>
      </c>
      <c r="AC152" s="4" t="s">
        <v>60</v>
      </c>
      <c r="AD152" s="4" t="b">
        <v>1</v>
      </c>
      <c r="AE152" s="4">
        <v>0.32969999999999999</v>
      </c>
      <c r="AF152" s="4">
        <v>1.4593</v>
      </c>
      <c r="AG152" s="4">
        <v>5.1570000000000001E-3</v>
      </c>
      <c r="AH152" s="4">
        <v>129.98710600000001</v>
      </c>
      <c r="AI152" s="4">
        <v>4.0299999999999997E-3</v>
      </c>
      <c r="AJ152" s="2" t="str">
        <f>_xlfn.XLOOKUP($C152,[1]Bus!$A$2:$A$121,[1]Bus!$J$2:$J$121,0)</f>
        <v>ANTIOQUI</v>
      </c>
      <c r="AK152" s="2" t="str">
        <f>_xlfn.XLOOKUP($C152,[1]Bus!$A$2:$A$121,[1]Bus!$K$2:$K$121,0)</f>
        <v>ANTIOQUI</v>
      </c>
      <c r="AL152" s="2">
        <v>8.5347510000000001E-2</v>
      </c>
      <c r="AM152" s="2">
        <f t="shared" si="16"/>
        <v>19.220994518033208</v>
      </c>
      <c r="AN152" s="2">
        <f t="shared" si="17"/>
        <v>5.2398934009989177E-2</v>
      </c>
      <c r="AO152" s="2">
        <f t="shared" si="18"/>
        <v>8.3418803418803424</v>
      </c>
      <c r="AP152" s="2">
        <f t="shared" si="19"/>
        <v>2.2715133074293785</v>
      </c>
      <c r="AQ152" s="2">
        <v>0</v>
      </c>
      <c r="AR152" s="2">
        <v>8.5347510000000001E-2</v>
      </c>
    </row>
    <row r="153" spans="1:44" ht="16" x14ac:dyDescent="0.2">
      <c r="A153" s="1" t="s">
        <v>311</v>
      </c>
      <c r="B153" s="4" t="str">
        <f>_xlfn.CONCAT(_xlfn.XLOOKUP($C153,[1]Bus!$A$2:$A$121,[1]Bus!$C$2:$C$121,0)," - ",_xlfn.XLOOKUP($D153,[1]Bus!$A$2:$A$121,[1]Bus!$C$2:$C$121,0))</f>
        <v>Guatape_220 - Oriente_220</v>
      </c>
      <c r="C153" s="4" t="s">
        <v>289</v>
      </c>
      <c r="D153" s="4" t="s">
        <v>305</v>
      </c>
      <c r="E153">
        <f t="shared" si="14"/>
        <v>4.5573969347107437E-3</v>
      </c>
      <c r="F153">
        <f t="shared" si="14"/>
        <v>3.7923493736776857E-2</v>
      </c>
      <c r="G153">
        <v>296</v>
      </c>
      <c r="H153">
        <v>296</v>
      </c>
      <c r="I153">
        <v>296</v>
      </c>
      <c r="N153" s="4">
        <v>37.900002000000001</v>
      </c>
      <c r="P153" s="2">
        <v>0</v>
      </c>
      <c r="S153">
        <f t="shared" si="15"/>
        <v>484</v>
      </c>
      <c r="T153">
        <v>220</v>
      </c>
      <c r="U153">
        <v>1</v>
      </c>
      <c r="V153" s="4">
        <v>5.8200000000000002E-2</v>
      </c>
      <c r="W153" s="4">
        <v>0.48430000000000001</v>
      </c>
      <c r="X153" s="4">
        <v>9.104000000000001E-3</v>
      </c>
      <c r="Y153" s="4">
        <v>0</v>
      </c>
      <c r="Z153" s="4">
        <v>0.77700000000000002</v>
      </c>
      <c r="AA153" s="4">
        <v>1</v>
      </c>
      <c r="AB153" s="4">
        <v>1</v>
      </c>
      <c r="AC153" s="4" t="s">
        <v>60</v>
      </c>
      <c r="AD153" s="4" t="b">
        <v>1</v>
      </c>
      <c r="AE153" s="4">
        <v>0.3296</v>
      </c>
      <c r="AF153" s="4">
        <v>1.4554</v>
      </c>
      <c r="AG153" s="4">
        <v>5.1700000000000001E-3</v>
      </c>
      <c r="AH153" s="4">
        <v>129.98710600000001</v>
      </c>
      <c r="AI153" s="4">
        <v>4.0299999999999997E-3</v>
      </c>
      <c r="AJ153" s="2" t="str">
        <f>_xlfn.XLOOKUP($C153,[1]Bus!$A$2:$A$121,[1]Bus!$J$2:$J$121,0)</f>
        <v>ANTIOQUI</v>
      </c>
      <c r="AK153" s="2" t="str">
        <f>_xlfn.XLOOKUP($C153,[1]Bus!$A$2:$A$121,[1]Bus!$K$2:$K$121,0)</f>
        <v>ANTIOQUI</v>
      </c>
      <c r="AL153" s="2">
        <v>6.2958899999999998E-2</v>
      </c>
      <c r="AM153" s="2">
        <f t="shared" si="16"/>
        <v>26.368878535846381</v>
      </c>
      <c r="AN153" s="2">
        <f t="shared" si="17"/>
        <v>3.8196351187304065E-2</v>
      </c>
      <c r="AO153" s="2">
        <f t="shared" si="18"/>
        <v>8.3213058419243975</v>
      </c>
      <c r="AP153" s="2">
        <f t="shared" si="19"/>
        <v>3.1237272089156316</v>
      </c>
      <c r="AQ153" s="2">
        <v>0</v>
      </c>
      <c r="AR153" s="2">
        <v>6.2958899999999998E-2</v>
      </c>
    </row>
    <row r="154" spans="1:44" ht="16" x14ac:dyDescent="0.2">
      <c r="A154" s="1" t="s">
        <v>312</v>
      </c>
      <c r="B154" s="4" t="str">
        <f>_xlfn.CONCAT(_xlfn.XLOOKUP($C154,[1]Bus!$A$2:$A$121,[1]Bus!$C$2:$C$121,0)," - ",_xlfn.XLOOKUP($D154,[1]Bus!$A$2:$A$121,[1]Bus!$C$2:$C$121,0))</f>
        <v>Guatape_220 - Playas_220</v>
      </c>
      <c r="C154" s="4" t="s">
        <v>289</v>
      </c>
      <c r="D154" s="4" t="s">
        <v>282</v>
      </c>
      <c r="E154">
        <f t="shared" si="14"/>
        <v>2.5575619834710748E-3</v>
      </c>
      <c r="F154">
        <f t="shared" si="14"/>
        <v>2.1334876033057851E-2</v>
      </c>
      <c r="G154">
        <v>296</v>
      </c>
      <c r="H154">
        <v>296</v>
      </c>
      <c r="I154">
        <v>296</v>
      </c>
      <c r="N154" s="4">
        <v>21.16</v>
      </c>
      <c r="P154" s="2">
        <v>0</v>
      </c>
      <c r="S154">
        <f t="shared" si="15"/>
        <v>484</v>
      </c>
      <c r="T154">
        <v>220</v>
      </c>
      <c r="U154">
        <v>1</v>
      </c>
      <c r="V154" s="4">
        <v>5.8500000000000003E-2</v>
      </c>
      <c r="W154" s="4">
        <v>0.48799999999999999</v>
      </c>
      <c r="X154" s="4">
        <v>9.0650000000000001E-3</v>
      </c>
      <c r="Y154" s="4">
        <v>0</v>
      </c>
      <c r="Z154" s="4">
        <v>0.77700000000000002</v>
      </c>
      <c r="AA154" s="4">
        <v>1</v>
      </c>
      <c r="AB154" s="4">
        <v>1</v>
      </c>
      <c r="AC154" s="4" t="s">
        <v>60</v>
      </c>
      <c r="AD154" s="4" t="b">
        <v>1</v>
      </c>
      <c r="AE154" s="4">
        <v>0.32969999999999999</v>
      </c>
      <c r="AF154" s="4">
        <v>1.4593</v>
      </c>
      <c r="AG154" s="4">
        <v>5.1570000000000001E-3</v>
      </c>
      <c r="AH154" s="4">
        <v>129.98710600000001</v>
      </c>
      <c r="AI154" s="4">
        <v>4.0299999999999997E-3</v>
      </c>
      <c r="AJ154" s="2" t="str">
        <f>_xlfn.XLOOKUP($C154,[1]Bus!$A$2:$A$121,[1]Bus!$J$2:$J$121,0)</f>
        <v>ANTIOQUI</v>
      </c>
      <c r="AK154" s="2" t="str">
        <f>_xlfn.XLOOKUP($C154,[1]Bus!$A$2:$A$121,[1]Bus!$K$2:$K$121,0)</f>
        <v>ANTIOQUI</v>
      </c>
      <c r="AL154" s="2">
        <v>3.4999089999999997E-2</v>
      </c>
      <c r="AM154" s="2">
        <f t="shared" si="16"/>
        <v>46.871610524032356</v>
      </c>
      <c r="AN154" s="2">
        <f t="shared" si="17"/>
        <v>2.1487625709818263E-2</v>
      </c>
      <c r="AO154" s="2">
        <f t="shared" si="18"/>
        <v>8.3418803418803407</v>
      </c>
      <c r="AP154" s="2">
        <f t="shared" si="19"/>
        <v>5.539228833663957</v>
      </c>
      <c r="AQ154" s="2">
        <v>0</v>
      </c>
      <c r="AR154" s="2">
        <v>3.4999089999999997E-2</v>
      </c>
    </row>
    <row r="155" spans="1:44" ht="16" x14ac:dyDescent="0.2">
      <c r="A155" s="1" t="s">
        <v>313</v>
      </c>
      <c r="B155" s="4" t="str">
        <f>_xlfn.CONCAT(_xlfn.XLOOKUP($C155,[1]Bus!$A$2:$A$121,[1]Bus!$C$2:$C$121,0)," - ",_xlfn.XLOOKUP($D155,[1]Bus!$A$2:$A$121,[1]Bus!$C$2:$C$121,0))</f>
        <v>La_Tasajera_220 - Occidente_220</v>
      </c>
      <c r="C155" s="4" t="s">
        <v>291</v>
      </c>
      <c r="D155" s="4" t="s">
        <v>303</v>
      </c>
      <c r="E155">
        <f t="shared" si="14"/>
        <v>2.3202932878099176E-3</v>
      </c>
      <c r="F155">
        <f t="shared" si="14"/>
        <v>2.2888478346280994E-2</v>
      </c>
      <c r="G155">
        <v>307</v>
      </c>
      <c r="H155">
        <v>307</v>
      </c>
      <c r="I155">
        <v>307</v>
      </c>
      <c r="N155" s="4">
        <v>23.059999000000001</v>
      </c>
      <c r="P155" s="2">
        <v>0</v>
      </c>
      <c r="S155">
        <f t="shared" si="15"/>
        <v>484</v>
      </c>
      <c r="T155">
        <v>220</v>
      </c>
      <c r="U155">
        <v>1</v>
      </c>
      <c r="V155" s="4">
        <v>4.87E-2</v>
      </c>
      <c r="W155" s="4">
        <v>0.48039999999999999</v>
      </c>
      <c r="X155" s="4">
        <v>9.2069999999999999E-3</v>
      </c>
      <c r="Y155" s="4">
        <v>0</v>
      </c>
      <c r="Z155" s="4">
        <v>0.80500000000000005</v>
      </c>
      <c r="AA155" s="4">
        <v>1</v>
      </c>
      <c r="AB155" s="4">
        <v>1</v>
      </c>
      <c r="AC155" s="4" t="s">
        <v>60</v>
      </c>
      <c r="AD155" s="4" t="b">
        <v>1</v>
      </c>
      <c r="AE155" s="4">
        <v>0.32</v>
      </c>
      <c r="AF155" s="4">
        <v>1.4496</v>
      </c>
      <c r="AG155" s="4">
        <v>5.2040000000000003E-3</v>
      </c>
      <c r="AH155" s="4">
        <v>130.06210300000001</v>
      </c>
      <c r="AI155" s="4">
        <v>4.0299999999999997E-3</v>
      </c>
      <c r="AJ155" s="2" t="str">
        <f>_xlfn.XLOOKUP($C155,[1]Bus!$A$2:$A$121,[1]Bus!$J$2:$J$121,0)</f>
        <v>ANTIOQUI</v>
      </c>
      <c r="AK155" s="2" t="str">
        <f>_xlfn.XLOOKUP($C155,[1]Bus!$A$2:$A$121,[1]Bus!$K$2:$K$121,0)</f>
        <v>ANTIOQUI</v>
      </c>
      <c r="AL155" s="2">
        <v>3.8741089999999999E-2</v>
      </c>
      <c r="AM155" s="2">
        <f t="shared" si="16"/>
        <v>43.690104028365162</v>
      </c>
      <c r="AN155" s="2">
        <f t="shared" si="17"/>
        <v>2.3005786271058627E-2</v>
      </c>
      <c r="AO155" s="2">
        <f t="shared" si="18"/>
        <v>9.8644763860369604</v>
      </c>
      <c r="AP155" s="2">
        <f t="shared" si="19"/>
        <v>4.3839815942578175</v>
      </c>
      <c r="AQ155" s="2">
        <v>0</v>
      </c>
      <c r="AR155" s="2">
        <v>3.8741089999999999E-2</v>
      </c>
    </row>
    <row r="156" spans="1:44" ht="16" x14ac:dyDescent="0.2">
      <c r="A156" s="1" t="s">
        <v>314</v>
      </c>
      <c r="B156" s="4" t="str">
        <f>_xlfn.CONCAT(_xlfn.XLOOKUP($C156,[1]Bus!$A$2:$A$121,[1]Bus!$C$2:$C$121,0)," - ",_xlfn.XLOOKUP($D156,[1]Bus!$A$2:$A$121,[1]Bus!$C$2:$C$121,0))</f>
        <v>Malena_220 - Primavera_220</v>
      </c>
      <c r="C156" s="4" t="s">
        <v>280</v>
      </c>
      <c r="D156" s="4" t="s">
        <v>269</v>
      </c>
      <c r="E156">
        <f t="shared" si="14"/>
        <v>1.2055929752066118E-3</v>
      </c>
      <c r="F156">
        <f t="shared" si="14"/>
        <v>8.9543760330578499E-3</v>
      </c>
      <c r="G156">
        <v>293</v>
      </c>
      <c r="H156">
        <v>293</v>
      </c>
      <c r="I156">
        <v>293</v>
      </c>
      <c r="N156" s="4">
        <v>8.23</v>
      </c>
      <c r="P156" s="2">
        <v>0</v>
      </c>
      <c r="S156">
        <f t="shared" si="15"/>
        <v>484</v>
      </c>
      <c r="T156">
        <v>220</v>
      </c>
      <c r="U156">
        <v>1</v>
      </c>
      <c r="V156" s="4">
        <v>7.0900000000000005E-2</v>
      </c>
      <c r="W156" s="4">
        <v>0.52659999999999996</v>
      </c>
      <c r="X156" s="4">
        <v>8.6909999999999991E-3</v>
      </c>
      <c r="Y156" s="4">
        <v>0</v>
      </c>
      <c r="Z156" s="4">
        <v>0.76800000000000002</v>
      </c>
      <c r="AA156" s="4">
        <v>1</v>
      </c>
      <c r="AB156" s="4">
        <v>1</v>
      </c>
      <c r="AC156" s="4" t="s">
        <v>60</v>
      </c>
      <c r="AD156" s="4" t="b">
        <v>1</v>
      </c>
      <c r="AE156" s="4">
        <v>0.41349999999999998</v>
      </c>
      <c r="AF156" s="4">
        <v>1.3137000000000001</v>
      </c>
      <c r="AG156" s="4">
        <v>5.9329999999999999E-3</v>
      </c>
      <c r="AH156" s="4">
        <v>105.59899900000001</v>
      </c>
      <c r="AI156" s="4">
        <v>4.0299999999999997E-3</v>
      </c>
      <c r="AJ156" s="2" t="str">
        <f>_xlfn.XLOOKUP($C156,[1]Bus!$A$2:$A$121,[1]Bus!$J$2:$J$121,0)</f>
        <v>ANTIOQUI</v>
      </c>
      <c r="AK156" s="2" t="str">
        <f>_xlfn.XLOOKUP($C156,[1]Bus!$A$2:$A$121,[1]Bus!$K$2:$K$121,0)</f>
        <v>ANTIOQUI</v>
      </c>
      <c r="AL156" s="2">
        <v>1.305095E-2</v>
      </c>
      <c r="AM156" s="2">
        <f t="shared" si="16"/>
        <v>111.67723985548413</v>
      </c>
      <c r="AN156" s="2">
        <f t="shared" si="17"/>
        <v>9.0351704224806047E-3</v>
      </c>
      <c r="AO156" s="2">
        <f t="shared" si="18"/>
        <v>7.4273624823695323</v>
      </c>
      <c r="AP156" s="2">
        <f t="shared" si="19"/>
        <v>14.768215171996118</v>
      </c>
      <c r="AQ156" s="2">
        <v>0</v>
      </c>
      <c r="AR156" s="2">
        <v>1.305095E-2</v>
      </c>
    </row>
    <row r="157" spans="1:44" ht="16" x14ac:dyDescent="0.2">
      <c r="A157" s="1" t="s">
        <v>315</v>
      </c>
      <c r="B157" s="4" t="str">
        <f>_xlfn.CONCAT(_xlfn.XLOOKUP($C157,[1]Bus!$A$2:$A$121,[1]Bus!$C$2:$C$121,0)," - ",_xlfn.XLOOKUP($D157,[1]Bus!$A$2:$A$121,[1]Bus!$C$2:$C$121,0))</f>
        <v>Oriente_220 - Playas_220</v>
      </c>
      <c r="C157" s="4" t="s">
        <v>305</v>
      </c>
      <c r="D157" s="4" t="s">
        <v>282</v>
      </c>
      <c r="E157">
        <f t="shared" si="14"/>
        <v>6.6175103305785125E-3</v>
      </c>
      <c r="F157">
        <f t="shared" si="14"/>
        <v>5.5202479338842973E-2</v>
      </c>
      <c r="G157">
        <v>296</v>
      </c>
      <c r="H157">
        <v>296</v>
      </c>
      <c r="I157">
        <v>296</v>
      </c>
      <c r="N157" s="4">
        <v>54.75</v>
      </c>
      <c r="P157" s="2">
        <v>0</v>
      </c>
      <c r="S157">
        <f t="shared" si="15"/>
        <v>484</v>
      </c>
      <c r="T157">
        <v>220</v>
      </c>
      <c r="U157">
        <v>1</v>
      </c>
      <c r="V157" s="4">
        <v>5.8500000000000003E-2</v>
      </c>
      <c r="W157" s="4">
        <v>0.48799999999999999</v>
      </c>
      <c r="X157" s="4">
        <v>9.0650000000000001E-3</v>
      </c>
      <c r="Y157" s="4">
        <v>0</v>
      </c>
      <c r="Z157" s="4">
        <v>0.77700000000000002</v>
      </c>
      <c r="AA157" s="4">
        <v>1</v>
      </c>
      <c r="AB157" s="4">
        <v>1</v>
      </c>
      <c r="AC157" s="4" t="s">
        <v>60</v>
      </c>
      <c r="AD157" s="4" t="b">
        <v>1</v>
      </c>
      <c r="AE157" s="4">
        <v>0.32969999999999999</v>
      </c>
      <c r="AF157" s="4">
        <v>1.4593</v>
      </c>
      <c r="AG157" s="4">
        <v>5.1570000000000001E-3</v>
      </c>
      <c r="AH157" s="4">
        <v>129.98710600000001</v>
      </c>
      <c r="AI157" s="4">
        <v>4.0299999999999997E-3</v>
      </c>
      <c r="AJ157" s="2" t="str">
        <f>_xlfn.XLOOKUP($C157,[1]Bus!$A$2:$A$121,[1]Bus!$J$2:$J$121,0)</f>
        <v>ANTIOQUI</v>
      </c>
      <c r="AK157" s="2" t="str">
        <f>_xlfn.XLOOKUP($C157,[1]Bus!$A$2:$A$121,[1]Bus!$K$2:$K$121,0)</f>
        <v>ANTIOQUI</v>
      </c>
      <c r="AL157" s="2">
        <v>9.0557680000000002E-2</v>
      </c>
      <c r="AM157" s="2">
        <f t="shared" si="16"/>
        <v>18.115128377872598</v>
      </c>
      <c r="AN157" s="2">
        <f t="shared" si="17"/>
        <v>5.5597708299269841E-2</v>
      </c>
      <c r="AO157" s="2">
        <f t="shared" si="18"/>
        <v>8.3418803418803407</v>
      </c>
      <c r="AP157" s="2">
        <f t="shared" si="19"/>
        <v>2.1408234177229102</v>
      </c>
      <c r="AQ157" s="2">
        <v>0</v>
      </c>
      <c r="AR157" s="2">
        <v>9.0557680000000002E-2</v>
      </c>
    </row>
    <row r="158" spans="1:44" ht="16" x14ac:dyDescent="0.2">
      <c r="A158" s="1" t="s">
        <v>316</v>
      </c>
      <c r="B158" s="4" t="str">
        <f>_xlfn.CONCAT(_xlfn.XLOOKUP($C158,[1]Bus!$A$2:$A$121,[1]Bus!$C$2:$C$121,0)," - ",_xlfn.XLOOKUP($D158,[1]Bus!$A$2:$A$121,[1]Bus!$C$2:$C$121,0))</f>
        <v>Porce_220 - El_Salto_220</v>
      </c>
      <c r="C158" s="4" t="s">
        <v>294</v>
      </c>
      <c r="D158" s="4" t="s">
        <v>296</v>
      </c>
      <c r="E158">
        <f t="shared" si="14"/>
        <v>1.2251239669421486E-3</v>
      </c>
      <c r="F158">
        <f t="shared" si="14"/>
        <v>1.1073409090909092E-2</v>
      </c>
      <c r="G158">
        <v>349</v>
      </c>
      <c r="H158">
        <v>349</v>
      </c>
      <c r="I158">
        <v>349</v>
      </c>
      <c r="N158" s="4">
        <v>10.9</v>
      </c>
      <c r="P158" s="2">
        <v>0</v>
      </c>
      <c r="S158">
        <f t="shared" si="15"/>
        <v>484</v>
      </c>
      <c r="T158">
        <v>220</v>
      </c>
      <c r="U158">
        <v>1</v>
      </c>
      <c r="V158" s="4">
        <v>5.4399999999999997E-2</v>
      </c>
      <c r="W158" s="4">
        <v>0.49170000000000003</v>
      </c>
      <c r="X158" s="4">
        <v>8.9200000000000008E-3</v>
      </c>
      <c r="Y158" s="4">
        <v>0</v>
      </c>
      <c r="Z158" s="4">
        <v>0.91500000000000004</v>
      </c>
      <c r="AA158" s="4">
        <v>1</v>
      </c>
      <c r="AB158" s="4">
        <v>1</v>
      </c>
      <c r="AC158" s="4" t="s">
        <v>60</v>
      </c>
      <c r="AD158" s="4" t="b">
        <v>1</v>
      </c>
      <c r="AE158" s="4">
        <v>0.33019999999999999</v>
      </c>
      <c r="AF158" s="4">
        <v>1.583</v>
      </c>
      <c r="AG158" s="4">
        <v>5.339E-3</v>
      </c>
      <c r="AH158" s="4">
        <v>100.546448</v>
      </c>
      <c r="AI158" s="4">
        <v>4.0299999999999997E-3</v>
      </c>
      <c r="AJ158" s="2" t="str">
        <f>_xlfn.XLOOKUP($C158,[1]Bus!$A$2:$A$121,[1]Bus!$J$2:$J$121,0)</f>
        <v>ANTIOQUI</v>
      </c>
      <c r="AK158" s="2" t="str">
        <f>_xlfn.XLOOKUP($C158,[1]Bus!$A$2:$A$121,[1]Bus!$K$2:$K$121,0)</f>
        <v>ANTIOQUI</v>
      </c>
      <c r="AL158" s="2">
        <v>1.7740789999999999E-2</v>
      </c>
      <c r="AM158" s="2">
        <f t="shared" si="16"/>
        <v>90.306426123186171</v>
      </c>
      <c r="AN158" s="2">
        <f t="shared" si="17"/>
        <v>1.1140974716289602E-2</v>
      </c>
      <c r="AO158" s="2">
        <f t="shared" si="18"/>
        <v>9.0386029411764728</v>
      </c>
      <c r="AP158" s="2">
        <f t="shared" si="19"/>
        <v>9.8703751325297429</v>
      </c>
      <c r="AQ158" s="2">
        <v>0</v>
      </c>
      <c r="AR158" s="2">
        <v>1.7740789999999999E-2</v>
      </c>
    </row>
    <row r="159" spans="1:44" ht="16" x14ac:dyDescent="0.2">
      <c r="A159" s="1" t="s">
        <v>317</v>
      </c>
      <c r="B159" s="4" t="str">
        <f>_xlfn.CONCAT(_xlfn.XLOOKUP($C159,[1]Bus!$A$2:$A$121,[1]Bus!$C$2:$C$121,0)," - ",_xlfn.XLOOKUP($D159,[1]Bus!$A$2:$A$121,[1]Bus!$C$2:$C$121,0))</f>
        <v>Guatape_220 - San_Carlos_220</v>
      </c>
      <c r="C159" s="4" t="s">
        <v>289</v>
      </c>
      <c r="D159" s="4" t="s">
        <v>318</v>
      </c>
      <c r="E159">
        <f t="shared" si="14"/>
        <v>1.5889566115702481E-3</v>
      </c>
      <c r="F159">
        <f t="shared" si="14"/>
        <v>1.7921952479338844E-2</v>
      </c>
      <c r="G159">
        <v>880</v>
      </c>
      <c r="H159">
        <v>880</v>
      </c>
      <c r="I159">
        <v>880</v>
      </c>
      <c r="N159" s="4">
        <v>35.770000000000003</v>
      </c>
      <c r="P159" s="2">
        <v>0</v>
      </c>
      <c r="S159">
        <f t="shared" si="15"/>
        <v>484</v>
      </c>
      <c r="T159">
        <v>220</v>
      </c>
      <c r="U159">
        <v>2</v>
      </c>
      <c r="V159" s="4">
        <f>0.043/2</f>
        <v>2.1499999999999998E-2</v>
      </c>
      <c r="W159" s="4">
        <f>0.485/2</f>
        <v>0.24249999999999999</v>
      </c>
      <c r="X159" s="4">
        <v>9.3769999999999999E-3</v>
      </c>
      <c r="Y159" s="4">
        <v>0</v>
      </c>
      <c r="Z159" s="4">
        <v>1.1539999999999999</v>
      </c>
      <c r="AA159" s="4">
        <v>1</v>
      </c>
      <c r="AB159" s="4">
        <v>1</v>
      </c>
      <c r="AC159" s="4" t="s">
        <v>60</v>
      </c>
      <c r="AD159" s="4" t="b">
        <v>1</v>
      </c>
      <c r="AE159" s="4">
        <f>0.3889/2</f>
        <v>0.19445000000000001</v>
      </c>
      <c r="AF159" s="4">
        <f>1.348/2</f>
        <v>0.67400000000000004</v>
      </c>
      <c r="AG159" s="4">
        <v>5.6779999999999999E-3</v>
      </c>
      <c r="AH159" s="4">
        <v>124.956703</v>
      </c>
      <c r="AI159" s="4">
        <v>4.0299999999999997E-3</v>
      </c>
      <c r="AJ159" s="2" t="str">
        <f>_xlfn.XLOOKUP($C159,[1]Bus!$A$2:$A$121,[1]Bus!$J$2:$J$121,0)</f>
        <v>ANTIOQUI</v>
      </c>
      <c r="AK159" s="2" t="str">
        <f>_xlfn.XLOOKUP($C159,[1]Bus!$A$2:$A$121,[1]Bus!$K$2:$K$121,0)</f>
        <v>ANTIOQUI</v>
      </c>
      <c r="AL159" s="2">
        <v>6.1200320000000002E-2</v>
      </c>
      <c r="AM159" s="2">
        <f t="shared" si="16"/>
        <v>55.79749199496208</v>
      </c>
      <c r="AN159" s="2">
        <f t="shared" si="17"/>
        <v>1.799225288242505E-2</v>
      </c>
      <c r="AO159" s="2">
        <f t="shared" si="18"/>
        <v>11.279069767441861</v>
      </c>
      <c r="AP159" s="2">
        <f t="shared" si="19"/>
        <v>4.9084112789885612</v>
      </c>
      <c r="AQ159" s="2">
        <v>0</v>
      </c>
      <c r="AR159" s="2">
        <v>3.0617269999999999E-2</v>
      </c>
    </row>
    <row r="160" spans="1:44" ht="16" x14ac:dyDescent="0.2">
      <c r="A160" s="1" t="s">
        <v>319</v>
      </c>
      <c r="B160" s="4" t="str">
        <f>_xlfn.CONCAT(_xlfn.XLOOKUP($C160,[1]Bus!$A$2:$A$121,[1]Bus!$C$2:$C$121,0)," - ",_xlfn.XLOOKUP($D160,[1]Bus!$A$2:$A$121,[1]Bus!$C$2:$C$121,0))</f>
        <v>La_Sierra_220 - Primavera_220</v>
      </c>
      <c r="C160" s="4" t="s">
        <v>320</v>
      </c>
      <c r="D160" s="4" t="s">
        <v>269</v>
      </c>
      <c r="E160">
        <f t="shared" si="14"/>
        <v>8.5717601871900841E-3</v>
      </c>
      <c r="F160">
        <f t="shared" si="14"/>
        <v>6.7376011269628083E-2</v>
      </c>
      <c r="G160">
        <v>309</v>
      </c>
      <c r="H160">
        <v>309</v>
      </c>
      <c r="I160">
        <v>309</v>
      </c>
      <c r="N160" s="4">
        <v>59.779998999999997</v>
      </c>
      <c r="P160" s="2">
        <v>0</v>
      </c>
      <c r="S160">
        <f t="shared" si="15"/>
        <v>484</v>
      </c>
      <c r="T160">
        <v>220</v>
      </c>
      <c r="U160">
        <v>1</v>
      </c>
      <c r="V160" s="4">
        <v>6.9400000000000003E-2</v>
      </c>
      <c r="W160" s="4">
        <v>0.54549999999999998</v>
      </c>
      <c r="X160" s="4">
        <v>8.8380000000000004E-3</v>
      </c>
      <c r="Y160" s="4">
        <v>0</v>
      </c>
      <c r="Z160" s="4">
        <v>0.81100000000000005</v>
      </c>
      <c r="AA160" s="4">
        <v>1</v>
      </c>
      <c r="AB160" s="4">
        <v>1</v>
      </c>
      <c r="AC160" s="4" t="s">
        <v>60</v>
      </c>
      <c r="AD160" s="4" t="b">
        <v>1</v>
      </c>
      <c r="AE160" s="4">
        <v>0.3574</v>
      </c>
      <c r="AF160" s="4">
        <v>1.5136000000000001</v>
      </c>
      <c r="AG160" s="4">
        <v>5.1469999999999997E-3</v>
      </c>
      <c r="AH160" s="4">
        <v>130</v>
      </c>
      <c r="AI160" s="4">
        <v>4.0299999999999997E-3</v>
      </c>
      <c r="AJ160" s="2" t="str">
        <f>_xlfn.XLOOKUP($C160,[1]Bus!$A$2:$A$121,[1]Bus!$J$2:$J$121,0)</f>
        <v>ANTIOQUI</v>
      </c>
      <c r="AK160" s="2" t="str">
        <f>_xlfn.XLOOKUP($C160,[1]Bus!$A$2:$A$121,[1]Bus!$K$2:$K$121,0)</f>
        <v>ANTIOQUI</v>
      </c>
      <c r="AL160" s="2">
        <v>9.6400700000000006E-2</v>
      </c>
      <c r="AM160" s="2">
        <f t="shared" si="16"/>
        <v>14.842077783414025</v>
      </c>
      <c r="AN160" s="2">
        <f t="shared" si="17"/>
        <v>6.7919083969910463E-2</v>
      </c>
      <c r="AO160" s="2">
        <f t="shared" si="18"/>
        <v>7.8602305475504295</v>
      </c>
      <c r="AP160" s="2">
        <f t="shared" si="19"/>
        <v>1.8581739717282897</v>
      </c>
      <c r="AQ160" s="2">
        <v>0</v>
      </c>
      <c r="AR160" s="2">
        <v>9.6400700000000006E-2</v>
      </c>
    </row>
    <row r="161" spans="1:44" ht="16" x14ac:dyDescent="0.2">
      <c r="A161" s="1" t="s">
        <v>321</v>
      </c>
      <c r="B161" s="4" t="str">
        <f>_xlfn.CONCAT(_xlfn.XLOOKUP($C161,[1]Bus!$A$2:$A$121,[1]Bus!$C$2:$C$121,0)," - ",_xlfn.XLOOKUP($D161,[1]Bus!$A$2:$A$121,[1]Bus!$C$2:$C$121,0))</f>
        <v>La_Sierra_220 - San_Carlos_220</v>
      </c>
      <c r="C161" s="4" t="s">
        <v>320</v>
      </c>
      <c r="D161" s="4" t="s">
        <v>318</v>
      </c>
      <c r="E161">
        <f t="shared" si="14"/>
        <v>4.8761900826446289E-3</v>
      </c>
      <c r="F161">
        <f t="shared" si="14"/>
        <v>3.1994541322314052E-2</v>
      </c>
      <c r="G161">
        <v>309</v>
      </c>
      <c r="H161">
        <v>309</v>
      </c>
      <c r="I161">
        <v>309</v>
      </c>
      <c r="N161" s="4">
        <v>30.18</v>
      </c>
      <c r="P161" s="2">
        <v>0</v>
      </c>
      <c r="S161">
        <f t="shared" si="15"/>
        <v>484</v>
      </c>
      <c r="T161">
        <v>220</v>
      </c>
      <c r="U161">
        <v>1</v>
      </c>
      <c r="V161" s="4">
        <v>7.8200000000000006E-2</v>
      </c>
      <c r="W161" s="4">
        <v>0.5131</v>
      </c>
      <c r="X161" s="4">
        <v>8.8299999999999993E-3</v>
      </c>
      <c r="Y161" s="4">
        <v>0</v>
      </c>
      <c r="Z161" s="4">
        <v>0.81200000000000006</v>
      </c>
      <c r="AA161" s="4">
        <v>1</v>
      </c>
      <c r="AB161" s="4">
        <v>1</v>
      </c>
      <c r="AC161" s="4" t="s">
        <v>60</v>
      </c>
      <c r="AD161" s="4" t="b">
        <v>1</v>
      </c>
      <c r="AE161" s="4">
        <v>0.35630000000000001</v>
      </c>
      <c r="AF161" s="4">
        <v>1.4500999999999999</v>
      </c>
      <c r="AG161" s="4">
        <v>5.0359999999999997E-3</v>
      </c>
      <c r="AH161" s="4">
        <v>125</v>
      </c>
      <c r="AI161" s="4">
        <v>4.0299999999999997E-3</v>
      </c>
      <c r="AJ161" s="2" t="str">
        <f>_xlfn.XLOOKUP($C161,[1]Bus!$A$2:$A$121,[1]Bus!$J$2:$J$121,0)</f>
        <v>ANTIOQUI</v>
      </c>
      <c r="AK161" s="2" t="str">
        <f>_xlfn.XLOOKUP($C161,[1]Bus!$A$2:$A$121,[1]Bus!$K$2:$K$121,0)</f>
        <v>ANTIOQUI</v>
      </c>
      <c r="AL161" s="2">
        <v>4.8624180000000003E-2</v>
      </c>
      <c r="AM161" s="2">
        <f t="shared" si="16"/>
        <v>31.25533164942005</v>
      </c>
      <c r="AN161" s="2">
        <f t="shared" si="17"/>
        <v>3.23639908563104E-2</v>
      </c>
      <c r="AO161" s="2">
        <f t="shared" si="18"/>
        <v>6.5613810741687972</v>
      </c>
      <c r="AP161" s="2">
        <f t="shared" si="19"/>
        <v>4.6553944795027036</v>
      </c>
      <c r="AQ161" s="2">
        <v>0</v>
      </c>
      <c r="AR161" s="2">
        <v>4.8624180000000003E-2</v>
      </c>
    </row>
    <row r="162" spans="1:44" ht="16" x14ac:dyDescent="0.2">
      <c r="A162" s="1" t="s">
        <v>322</v>
      </c>
      <c r="B162" s="4" t="str">
        <f>_xlfn.CONCAT(_xlfn.XLOOKUP($C162,[1]Bus!$A$2:$A$121,[1]Bus!$C$2:$C$121,0)," - ",_xlfn.XLOOKUP($D162,[1]Bus!$A$2:$A$121,[1]Bus!$C$2:$C$121,0))</f>
        <v>Porce_III_500 - San_Carlos_500</v>
      </c>
      <c r="C162" s="4" t="s">
        <v>92</v>
      </c>
      <c r="D162" s="4" t="s">
        <v>149</v>
      </c>
      <c r="E162">
        <f t="shared" ref="E162:F168" si="20">$N162*V162/$S162</f>
        <v>1.1160020700608001E-3</v>
      </c>
      <c r="F162">
        <f t="shared" si="20"/>
        <v>1.4030068752752001E-2</v>
      </c>
      <c r="G162">
        <v>1650</v>
      </c>
      <c r="H162">
        <v>1650</v>
      </c>
      <c r="I162">
        <v>1650</v>
      </c>
      <c r="N162" s="4">
        <v>106.43999600000001</v>
      </c>
      <c r="P162" s="2">
        <v>0</v>
      </c>
      <c r="S162">
        <f t="shared" si="15"/>
        <v>2500</v>
      </c>
      <c r="T162">
        <v>500</v>
      </c>
      <c r="U162">
        <v>1</v>
      </c>
      <c r="V162" s="4">
        <v>2.6211999999999999E-2</v>
      </c>
      <c r="W162" s="4">
        <v>0.32952999999999999</v>
      </c>
      <c r="X162" s="4">
        <v>1.3627999999999999E-2</v>
      </c>
      <c r="Y162" s="4">
        <v>0</v>
      </c>
      <c r="Z162" s="4">
        <v>1.905</v>
      </c>
      <c r="AA162" s="4">
        <v>1</v>
      </c>
      <c r="AB162" s="4">
        <v>1</v>
      </c>
      <c r="AC162" s="4" t="s">
        <v>60</v>
      </c>
      <c r="AD162" s="4" t="b">
        <v>1</v>
      </c>
      <c r="AE162" s="4">
        <v>0.37194300000000002</v>
      </c>
      <c r="AF162" s="4">
        <v>1.025738</v>
      </c>
      <c r="AG162" s="4">
        <v>9.3080000000000003E-3</v>
      </c>
      <c r="AH162" s="4">
        <v>104.98690000000001</v>
      </c>
      <c r="AI162" s="4">
        <v>4.0299999999999997E-3</v>
      </c>
      <c r="AJ162" s="2" t="str">
        <f>_xlfn.XLOOKUP($C162,[1]Bus!$A$2:$A$121,[1]Bus!$J$2:$J$121,0)</f>
        <v>ANTIOQUI</v>
      </c>
      <c r="AK162" s="2" t="str">
        <f>_xlfn.XLOOKUP($C162,[1]Bus!$A$2:$A$121,[1]Bus!$K$2:$K$121,0)</f>
        <v>ANTIOQUI</v>
      </c>
      <c r="AL162" s="2">
        <v>1.3675009199999999</v>
      </c>
      <c r="AM162" s="2">
        <f t="shared" si="16"/>
        <v>71.27548821197685</v>
      </c>
      <c r="AN162" s="2">
        <f t="shared" si="17"/>
        <v>1.407438417222324E-2</v>
      </c>
      <c r="AO162" s="2">
        <f t="shared" si="18"/>
        <v>12.571722875019075</v>
      </c>
      <c r="AP162" s="2">
        <f t="shared" si="19"/>
        <v>5.6338619058885806</v>
      </c>
      <c r="AQ162" s="2">
        <v>0</v>
      </c>
      <c r="AR162" s="2">
        <v>1.3675009199999999</v>
      </c>
    </row>
    <row r="163" spans="1:44" ht="16" x14ac:dyDescent="0.2">
      <c r="A163" s="1" t="s">
        <v>323</v>
      </c>
      <c r="B163" s="4" t="str">
        <f>_xlfn.CONCAT(_xlfn.XLOOKUP($C163,[1]Bus!$A$2:$A$121,[1]Bus!$C$2:$C$121,0)," - ",_xlfn.XLOOKUP($D163,[1]Bus!$A$2:$A$121,[1]Bus!$C$2:$C$121,0))</f>
        <v>San_Carlos_220 - Ancon_ISA_220</v>
      </c>
      <c r="C163" s="4" t="s">
        <v>318</v>
      </c>
      <c r="D163" s="4" t="s">
        <v>143</v>
      </c>
      <c r="E163">
        <f t="shared" si="20"/>
        <v>5.92700831983471E-3</v>
      </c>
      <c r="F163">
        <f t="shared" si="20"/>
        <v>5.5267141012190081E-2</v>
      </c>
      <c r="G163">
        <v>740</v>
      </c>
      <c r="H163">
        <v>740</v>
      </c>
      <c r="I163">
        <v>740</v>
      </c>
      <c r="N163" s="4">
        <f>42.040001+65</f>
        <v>107.04000099999999</v>
      </c>
      <c r="P163" s="2">
        <v>0</v>
      </c>
      <c r="S163">
        <f t="shared" si="15"/>
        <v>484</v>
      </c>
      <c r="T163">
        <v>220</v>
      </c>
      <c r="U163">
        <v>2</v>
      </c>
      <c r="V163" s="4">
        <f>0.0536/2</f>
        <v>2.6800000000000001E-2</v>
      </c>
      <c r="W163" s="4">
        <f>0.4998/2</f>
        <v>0.24990000000000001</v>
      </c>
      <c r="X163" s="4">
        <v>9.0739999999999987E-3</v>
      </c>
      <c r="Y163" s="4">
        <v>0</v>
      </c>
      <c r="Z163" s="4">
        <v>0.97099999999999997</v>
      </c>
      <c r="AA163" s="4">
        <v>1</v>
      </c>
      <c r="AB163" s="4">
        <v>1</v>
      </c>
      <c r="AC163" s="4" t="s">
        <v>60</v>
      </c>
      <c r="AD163" s="4" t="b">
        <v>1</v>
      </c>
      <c r="AE163" s="4">
        <f>0.2632/2</f>
        <v>0.13159999999999999</v>
      </c>
      <c r="AF163" s="4">
        <f>1.1175/2</f>
        <v>0.55874999999999997</v>
      </c>
      <c r="AG163" s="4">
        <v>5.7619999999999998E-3</v>
      </c>
      <c r="AH163" s="4">
        <v>129.96910099999999</v>
      </c>
      <c r="AI163" s="4">
        <v>4.0299999999999997E-3</v>
      </c>
      <c r="AJ163" s="2" t="str">
        <f>_xlfn.XLOOKUP($C163,[1]Bus!$A$2:$A$121,[1]Bus!$J$2:$J$121,0)</f>
        <v>ANTIOQUI</v>
      </c>
      <c r="AK163" s="2" t="str">
        <f>_xlfn.XLOOKUP($C163,[1]Bus!$A$2:$A$121,[1]Bus!$K$2:$K$121,0)</f>
        <v>ANTIOQUI</v>
      </c>
      <c r="AL163" s="2">
        <v>0.17364869000000002</v>
      </c>
      <c r="AM163" s="2">
        <f t="shared" si="16"/>
        <v>18.093933966648166</v>
      </c>
      <c r="AN163" s="2">
        <f t="shared" si="17"/>
        <v>5.5584047201375074E-2</v>
      </c>
      <c r="AO163" s="2">
        <f t="shared" si="18"/>
        <v>9.3246268656716431</v>
      </c>
      <c r="AP163" s="2">
        <f t="shared" si="19"/>
        <v>1.9183825075653052</v>
      </c>
      <c r="AQ163" s="2">
        <v>0</v>
      </c>
      <c r="AR163" s="2">
        <v>3.4803140000000003E-2</v>
      </c>
    </row>
    <row r="164" spans="1:44" ht="16" x14ac:dyDescent="0.2">
      <c r="A164" s="1" t="s">
        <v>324</v>
      </c>
      <c r="B164" s="4" t="str">
        <f>_xlfn.CONCAT(_xlfn.XLOOKUP($C164,[1]Bus!$A$2:$A$121,[1]Bus!$C$2:$C$121,0)," - ",_xlfn.XLOOKUP($D164,[1]Bus!$A$2:$A$121,[1]Bus!$C$2:$C$121,0))</f>
        <v>La_Sierra_220 - Purnio_220</v>
      </c>
      <c r="C164" s="4" t="s">
        <v>320</v>
      </c>
      <c r="D164" s="4" t="s">
        <v>106</v>
      </c>
      <c r="E164">
        <f t="shared" si="20"/>
        <v>5.6462479900826444E-3</v>
      </c>
      <c r="F164">
        <f t="shared" si="20"/>
        <v>5.0058555250309916E-2</v>
      </c>
      <c r="G164">
        <v>750</v>
      </c>
      <c r="H164">
        <v>750</v>
      </c>
      <c r="I164">
        <v>750</v>
      </c>
      <c r="N164" s="4">
        <v>100.470001</v>
      </c>
      <c r="P164" s="2">
        <v>0</v>
      </c>
      <c r="S164">
        <f t="shared" si="15"/>
        <v>484</v>
      </c>
      <c r="T164">
        <v>220</v>
      </c>
      <c r="U164">
        <v>2</v>
      </c>
      <c r="V164" s="4">
        <f>0.0544/2</f>
        <v>2.7199999999999998E-2</v>
      </c>
      <c r="W164" s="4">
        <f>0.4823/2</f>
        <v>0.24115</v>
      </c>
      <c r="X164" s="4">
        <v>9.1979999999999996E-3</v>
      </c>
      <c r="Y164" s="4">
        <v>0</v>
      </c>
      <c r="Z164" s="4">
        <v>0.98399999999999999</v>
      </c>
      <c r="AA164" s="4">
        <v>1</v>
      </c>
      <c r="AB164" s="4">
        <v>1</v>
      </c>
      <c r="AC164" s="4" t="s">
        <v>60</v>
      </c>
      <c r="AD164" s="4" t="b">
        <v>1</v>
      </c>
      <c r="AE164" s="4">
        <f>0.4261/2</f>
        <v>0.21304999999999999</v>
      </c>
      <c r="AF164" s="4">
        <f>1.4777/2</f>
        <v>0.73885000000000001</v>
      </c>
      <c r="AG164" s="4">
        <v>5.757E-3</v>
      </c>
      <c r="AH164" s="4">
        <v>130</v>
      </c>
      <c r="AI164" s="4">
        <v>4.0299999999999997E-3</v>
      </c>
      <c r="AJ164" s="2" t="str">
        <f>_xlfn.XLOOKUP($C164,[1]Bus!$A$2:$A$121,[1]Bus!$J$2:$J$121,0)</f>
        <v>ANTIOQUI</v>
      </c>
      <c r="AK164" s="2" t="str">
        <f>_xlfn.XLOOKUP($C164,[1]Bus!$A$2:$A$121,[1]Bus!$K$2:$K$121,0)</f>
        <v>ANTIOQUI</v>
      </c>
      <c r="AL164" s="2">
        <v>0.16862550000000001</v>
      </c>
      <c r="AM164" s="2">
        <f t="shared" si="16"/>
        <v>19.976605297529215</v>
      </c>
      <c r="AN164" s="2">
        <f t="shared" si="17"/>
        <v>5.0375977113241613E-2</v>
      </c>
      <c r="AO164" s="2">
        <f t="shared" si="18"/>
        <v>8.8658088235294112</v>
      </c>
      <c r="AP164" s="2">
        <f t="shared" si="19"/>
        <v>2.2249127408632101</v>
      </c>
      <c r="AQ164" s="2">
        <v>0</v>
      </c>
      <c r="AR164" s="2">
        <v>8.4312750000000006E-2</v>
      </c>
    </row>
    <row r="165" spans="1:44" ht="16" x14ac:dyDescent="0.2">
      <c r="A165" s="1" t="s">
        <v>325</v>
      </c>
      <c r="B165" s="4" t="str">
        <f>_xlfn.CONCAT(_xlfn.XLOOKUP($C165,[1]Bus!$A$2:$A$121,[1]Bus!$C$2:$C$121,0)," - ",_xlfn.XLOOKUP($D165,[1]Bus!$A$2:$A$121,[1]Bus!$C$2:$C$121,0))</f>
        <v>Termo_Centro_220 - Primavera_220</v>
      </c>
      <c r="C165" s="4" t="s">
        <v>326</v>
      </c>
      <c r="D165" s="4" t="s">
        <v>269</v>
      </c>
      <c r="E165">
        <f t="shared" si="20"/>
        <v>5.3687293388429745E-4</v>
      </c>
      <c r="F165">
        <f t="shared" si="20"/>
        <v>4.0948223140495872E-3</v>
      </c>
      <c r="G165">
        <v>674</v>
      </c>
      <c r="H165">
        <v>674</v>
      </c>
      <c r="I165">
        <v>674</v>
      </c>
      <c r="N165" s="4">
        <v>8.2100000000000009</v>
      </c>
      <c r="P165" s="2">
        <v>0</v>
      </c>
      <c r="S165">
        <f t="shared" si="15"/>
        <v>484</v>
      </c>
      <c r="T165">
        <v>220</v>
      </c>
      <c r="U165">
        <v>2</v>
      </c>
      <c r="V165" s="4">
        <f>0.0633/2</f>
        <v>3.1649999999999998E-2</v>
      </c>
      <c r="W165" s="4">
        <f>0.4828/2</f>
        <v>0.2414</v>
      </c>
      <c r="X165" s="4">
        <v>9.0629999999999999E-3</v>
      </c>
      <c r="Y165" s="4">
        <v>0</v>
      </c>
      <c r="Z165" s="4">
        <v>0.88400000000000001</v>
      </c>
      <c r="AA165" s="4">
        <v>1</v>
      </c>
      <c r="AB165" s="4">
        <v>1</v>
      </c>
      <c r="AC165" s="4" t="s">
        <v>60</v>
      </c>
      <c r="AD165" s="4" t="b">
        <v>1</v>
      </c>
      <c r="AE165" s="4">
        <f>0.2849/2</f>
        <v>0.14244999999999999</v>
      </c>
      <c r="AF165" s="4">
        <f>1.1079/2</f>
        <v>0.55395000000000005</v>
      </c>
      <c r="AG165" s="4">
        <v>5.8069999999999997E-3</v>
      </c>
      <c r="AH165" s="4">
        <v>129.97740200000001</v>
      </c>
      <c r="AI165" s="4">
        <v>4.0299999999999997E-3</v>
      </c>
      <c r="AJ165" s="2" t="str">
        <f>_xlfn.XLOOKUP($C165,[1]Bus!$A$2:$A$121,[1]Bus!$J$2:$J$121,0)</f>
        <v>ANTIOQUI</v>
      </c>
      <c r="AK165" s="2" t="str">
        <f>_xlfn.XLOOKUP($C165,[1]Bus!$A$2:$A$121,[1]Bus!$K$2:$K$121,0)</f>
        <v>ANTIOQUI</v>
      </c>
      <c r="AL165" s="2">
        <v>1.357674E-2</v>
      </c>
      <c r="AM165" s="2">
        <f t="shared" si="16"/>
        <v>244.21084074123033</v>
      </c>
      <c r="AN165" s="2">
        <f t="shared" si="17"/>
        <v>4.1298671081253877E-3</v>
      </c>
      <c r="AO165" s="2">
        <f t="shared" si="18"/>
        <v>7.6271721958925767</v>
      </c>
      <c r="AP165" s="2">
        <f t="shared" si="19"/>
        <v>31.4774364449305</v>
      </c>
      <c r="AQ165" s="2">
        <v>0</v>
      </c>
      <c r="AR165" s="2">
        <v>6.7883650000000002E-3</v>
      </c>
    </row>
    <row r="166" spans="1:44" ht="16" x14ac:dyDescent="0.2">
      <c r="A166" s="1" t="s">
        <v>327</v>
      </c>
      <c r="B166" s="4" t="str">
        <f>_xlfn.CONCAT(_xlfn.XLOOKUP($C166,[1]Bus!$A$2:$A$121,[1]Bus!$C$2:$C$121,0)," - ",_xlfn.XLOOKUP($D166,[1]Bus!$A$2:$A$121,[1]Bus!$C$2:$C$121,0))</f>
        <v>Purnio_220 - San_Carlos_220</v>
      </c>
      <c r="C166" s="4" t="s">
        <v>106</v>
      </c>
      <c r="D166" s="4" t="s">
        <v>318</v>
      </c>
      <c r="E166">
        <f t="shared" si="20"/>
        <v>5.4003181227272731E-3</v>
      </c>
      <c r="F166">
        <f t="shared" si="20"/>
        <v>4.3514101796590911E-2</v>
      </c>
      <c r="G166">
        <v>738</v>
      </c>
      <c r="H166">
        <v>738</v>
      </c>
      <c r="I166">
        <v>738</v>
      </c>
      <c r="N166" s="4">
        <v>91.389999000000003</v>
      </c>
      <c r="P166" s="2">
        <v>0</v>
      </c>
      <c r="S166">
        <f t="shared" si="15"/>
        <v>484</v>
      </c>
      <c r="T166">
        <v>220</v>
      </c>
      <c r="U166">
        <v>2</v>
      </c>
      <c r="V166" s="4">
        <f>0.0572/2</f>
        <v>2.86E-2</v>
      </c>
      <c r="W166" s="4">
        <f>0.4609/2</f>
        <v>0.23044999999999999</v>
      </c>
      <c r="X166" s="4">
        <v>9.2499999999999995E-3</v>
      </c>
      <c r="Y166" s="4">
        <v>0</v>
      </c>
      <c r="Z166" s="4">
        <v>0.96799999999999997</v>
      </c>
      <c r="AA166" s="4">
        <v>1</v>
      </c>
      <c r="AB166" s="4">
        <v>1</v>
      </c>
      <c r="AC166" s="4" t="s">
        <v>60</v>
      </c>
      <c r="AD166" s="4" t="b">
        <v>1</v>
      </c>
      <c r="AE166" s="4">
        <f>0.4028/2</f>
        <v>0.2014</v>
      </c>
      <c r="AF166" s="4">
        <f>1.3294/2</f>
        <v>0.66469999999999996</v>
      </c>
      <c r="AG166" s="4">
        <v>5.7279999999999996E-3</v>
      </c>
      <c r="AH166" s="4">
        <v>130</v>
      </c>
      <c r="AI166" s="4">
        <v>4.0299999999999997E-3</v>
      </c>
      <c r="AJ166" s="2" t="str">
        <f>_xlfn.XLOOKUP($C166,[1]Bus!$A$2:$A$121,[1]Bus!$J$2:$J$121,0)</f>
        <v>ANTIOQUI</v>
      </c>
      <c r="AK166" s="2" t="str">
        <f>_xlfn.XLOOKUP($C166,[1]Bus!$A$2:$A$121,[1]Bus!$K$2:$K$121,0)</f>
        <v>ANTIOQUI</v>
      </c>
      <c r="AL166" s="2">
        <v>0.1542396</v>
      </c>
      <c r="AM166" s="2">
        <f t="shared" si="16"/>
        <v>22.981055766118203</v>
      </c>
      <c r="AN166" s="2">
        <f t="shared" si="17"/>
        <v>4.3847924591601063E-2</v>
      </c>
      <c r="AO166" s="2">
        <f t="shared" si="18"/>
        <v>8.0576923076923066</v>
      </c>
      <c r="AP166" s="2">
        <f t="shared" si="19"/>
        <v>2.8088028666994833</v>
      </c>
      <c r="AQ166" s="2">
        <v>0</v>
      </c>
      <c r="AR166" s="2">
        <v>7.7119800000000002E-2</v>
      </c>
    </row>
    <row r="167" spans="1:44" ht="16" x14ac:dyDescent="0.2">
      <c r="A167" s="1" t="s">
        <v>328</v>
      </c>
      <c r="B167" s="4" t="str">
        <f>_xlfn.CONCAT(_xlfn.XLOOKUP($C167,[1]Bus!$A$2:$A$121,[1]Bus!$C$2:$C$121,0)," - ",_xlfn.XLOOKUP($D167,[1]Bus!$A$2:$A$121,[1]Bus!$C$2:$C$121,0))</f>
        <v>Ancon_EPM_220 - Guayabal_220</v>
      </c>
      <c r="C167" s="4" t="s">
        <v>276</v>
      </c>
      <c r="D167" s="4" t="s">
        <v>329</v>
      </c>
      <c r="E167">
        <f t="shared" si="20"/>
        <v>2.698181708677686E-3</v>
      </c>
      <c r="F167">
        <f t="shared" si="20"/>
        <v>2.4741817177685949E-2</v>
      </c>
      <c r="G167">
        <v>381</v>
      </c>
      <c r="H167">
        <v>381</v>
      </c>
      <c r="I167">
        <v>381</v>
      </c>
      <c r="N167" s="4">
        <v>24.639999</v>
      </c>
      <c r="P167" s="2">
        <v>0</v>
      </c>
      <c r="S167">
        <f t="shared" si="15"/>
        <v>484</v>
      </c>
      <c r="T167">
        <v>220</v>
      </c>
      <c r="U167">
        <v>1</v>
      </c>
      <c r="V167" s="4">
        <v>5.2999999999999999E-2</v>
      </c>
      <c r="W167" s="4">
        <v>0.48599999999999999</v>
      </c>
      <c r="X167" s="4">
        <v>9.1889999999999993E-3</v>
      </c>
      <c r="Y167" s="4">
        <v>0</v>
      </c>
      <c r="Z167" s="4">
        <v>1</v>
      </c>
      <c r="AA167" s="4">
        <v>1</v>
      </c>
      <c r="AB167" s="4">
        <v>1</v>
      </c>
      <c r="AC167" s="4" t="s">
        <v>60</v>
      </c>
      <c r="AD167" s="4" t="b">
        <v>1</v>
      </c>
      <c r="AE167" s="4">
        <v>0.22700000000000001</v>
      </c>
      <c r="AF167" s="4">
        <v>1.835</v>
      </c>
      <c r="AG167" s="4">
        <v>6.1219999999999998E-3</v>
      </c>
      <c r="AH167" s="4">
        <v>116.859993</v>
      </c>
      <c r="AI167" s="4">
        <v>4.0299999999999997E-3</v>
      </c>
      <c r="AJ167" s="2" t="str">
        <f>_xlfn.XLOOKUP($C167,[1]Bus!$A$2:$A$121,[1]Bus!$J$2:$J$121,0)</f>
        <v>ANTIOQUI</v>
      </c>
      <c r="AK167" s="2" t="str">
        <f>_xlfn.XLOOKUP($C167,[1]Bus!$A$2:$A$121,[1]Bus!$K$2:$K$121,0)</f>
        <v>ANTIOQUI</v>
      </c>
      <c r="AL167" s="2">
        <v>4.6399900000000001E-3</v>
      </c>
      <c r="AM167" s="2">
        <f t="shared" si="16"/>
        <v>40.417403168829331</v>
      </c>
      <c r="AN167" s="2">
        <f t="shared" si="17"/>
        <v>2.4888505414891397E-2</v>
      </c>
      <c r="AO167" s="2">
        <f t="shared" si="18"/>
        <v>9.1698113207547163</v>
      </c>
      <c r="AP167" s="2">
        <f t="shared" si="19"/>
        <v>4.3558564499600676</v>
      </c>
      <c r="AQ167" s="2">
        <v>0</v>
      </c>
      <c r="AR167" s="2">
        <v>4.6399900000000001E-3</v>
      </c>
    </row>
    <row r="168" spans="1:44" ht="16" x14ac:dyDescent="0.2">
      <c r="A168" s="1" t="s">
        <v>330</v>
      </c>
      <c r="B168" s="4" t="str">
        <f>_xlfn.CONCAT(_xlfn.XLOOKUP($C168,[1]Bus!$A$2:$A$121,[1]Bus!$C$2:$C$121,0)," - ",_xlfn.XLOOKUP($D168,[1]Bus!$A$2:$A$121,[1]Bus!$C$2:$C$121,0))</f>
        <v>Bello_220 - Guayabal_220</v>
      </c>
      <c r="C168" s="4" t="s">
        <v>298</v>
      </c>
      <c r="D168" s="4" t="s">
        <v>329</v>
      </c>
      <c r="E168">
        <f t="shared" si="20"/>
        <v>2.5021694214876033E-3</v>
      </c>
      <c r="F168">
        <f t="shared" si="20"/>
        <v>2.3558161157024794E-2</v>
      </c>
      <c r="G168">
        <v>381</v>
      </c>
      <c r="H168">
        <v>381</v>
      </c>
      <c r="I168">
        <v>381</v>
      </c>
      <c r="N168" s="4">
        <v>22.85</v>
      </c>
      <c r="P168" s="2">
        <v>0</v>
      </c>
      <c r="S168">
        <f t="shared" si="15"/>
        <v>484</v>
      </c>
      <c r="T168">
        <v>220</v>
      </c>
      <c r="U168">
        <v>1</v>
      </c>
      <c r="V168" s="4">
        <v>5.2999999999999999E-2</v>
      </c>
      <c r="W168" s="4">
        <v>0.499</v>
      </c>
      <c r="X168" s="4">
        <v>8.8249999999999995E-3</v>
      </c>
      <c r="Y168" s="4">
        <v>0</v>
      </c>
      <c r="Z168" s="4">
        <v>1</v>
      </c>
      <c r="AA168" s="4">
        <v>1</v>
      </c>
      <c r="AB168" s="4">
        <v>1</v>
      </c>
      <c r="AC168" s="4" t="s">
        <v>60</v>
      </c>
      <c r="AD168" s="4" t="b">
        <v>1</v>
      </c>
      <c r="AE168" s="4">
        <v>0.224</v>
      </c>
      <c r="AF168" s="4">
        <v>1.704</v>
      </c>
      <c r="AG168" s="4">
        <v>5.2890000000000003E-3</v>
      </c>
      <c r="AH168" s="4">
        <v>116.859993</v>
      </c>
      <c r="AI168" s="4">
        <v>4.0299999999999997E-3</v>
      </c>
      <c r="AJ168" s="2" t="str">
        <f>_xlfn.XLOOKUP($C168,[1]Bus!$A$2:$A$121,[1]Bus!$J$2:$J$121,0)</f>
        <v>ANTIOQUI</v>
      </c>
      <c r="AK168" s="2" t="str">
        <f>_xlfn.XLOOKUP($C168,[1]Bus!$A$2:$A$121,[1]Bus!$K$2:$K$121,0)</f>
        <v>ANTIOQUI</v>
      </c>
      <c r="AL168" s="2">
        <v>3.679462E-2</v>
      </c>
      <c r="AM168" s="2">
        <f t="shared" si="16"/>
        <v>42.448134781598206</v>
      </c>
      <c r="AN168" s="2">
        <f t="shared" si="17"/>
        <v>2.369066923736388E-2</v>
      </c>
      <c r="AO168" s="2">
        <f t="shared" si="18"/>
        <v>9.415094339622641</v>
      </c>
      <c r="AP168" s="2">
        <f t="shared" si="19"/>
        <v>4.4582257280049555</v>
      </c>
      <c r="AQ168" s="2">
        <v>0</v>
      </c>
      <c r="AR168" s="2">
        <v>3.6794630000000002E-2</v>
      </c>
    </row>
    <row r="169" spans="1:44" ht="16" x14ac:dyDescent="0.2">
      <c r="A169" s="1" t="s">
        <v>331</v>
      </c>
      <c r="B169" s="4" t="str">
        <f>_xlfn.CONCAT(_xlfn.XLOOKUP($C169,[1]Bus!$A$2:$A$121,[1]Bus!$C$2:$C$121,0)," - ",_xlfn.XLOOKUP($D169,[1]Bus!$A$2:$A$121,[1]Bus!$C$2:$C$121,0))</f>
        <v>Cerromatoso_500 - Cerromatoso_220</v>
      </c>
      <c r="C169" s="4" t="s">
        <v>87</v>
      </c>
      <c r="D169" s="4" t="s">
        <v>219</v>
      </c>
      <c r="E169" s="5">
        <v>9.9999999999999998E-13</v>
      </c>
      <c r="F169">
        <v>7.7083775999999993E-2</v>
      </c>
      <c r="G169" s="6">
        <v>360</v>
      </c>
      <c r="H169" s="6">
        <v>360</v>
      </c>
      <c r="I169" s="6">
        <v>360</v>
      </c>
      <c r="N169"/>
      <c r="P169" s="2">
        <v>0.98680000000000001</v>
      </c>
      <c r="S169">
        <f>$T169^2/100</f>
        <v>0</v>
      </c>
      <c r="T169"/>
      <c r="U169"/>
      <c r="V169"/>
      <c r="W169"/>
      <c r="X169"/>
      <c r="Y169"/>
      <c r="Z169"/>
      <c r="AA169" s="4"/>
      <c r="AB169" s="4"/>
      <c r="AC169" s="4"/>
      <c r="AD169" s="4"/>
      <c r="AE169" s="4"/>
      <c r="AF169" s="4"/>
      <c r="AG169" s="4"/>
      <c r="AH169" s="4"/>
      <c r="AI169" s="4"/>
      <c r="AJ169" s="2" t="str">
        <f>_xlfn.XLOOKUP($C169,[1]Bus!$A$2:$A$121,[1]Bus!$J$2:$J$121,0)</f>
        <v>CARIBE</v>
      </c>
      <c r="AK169" s="2" t="str">
        <f>_xlfn.XLOOKUP($C169,[1]Bus!$A$2:$A$121,[1]Bus!$K$2:$K$121,0)</f>
        <v>CERROMAT</v>
      </c>
      <c r="AL169" s="2">
        <v>0</v>
      </c>
      <c r="AM169" s="2">
        <f t="shared" si="16"/>
        <v>12.972898473473849</v>
      </c>
      <c r="AN169" s="2">
        <f t="shared" si="17"/>
        <v>7.7083775999999993E-2</v>
      </c>
      <c r="AO169" s="7">
        <f>+F169/E169</f>
        <v>77083776000</v>
      </c>
      <c r="AP169" s="2">
        <f t="shared" si="19"/>
        <v>1.6829609480306011E-10</v>
      </c>
      <c r="AQ169" s="2">
        <v>0</v>
      </c>
      <c r="AR169" s="2">
        <v>0</v>
      </c>
    </row>
    <row r="170" spans="1:44" ht="16" x14ac:dyDescent="0.2">
      <c r="A170" s="1" t="s">
        <v>332</v>
      </c>
      <c r="B170" s="4" t="str">
        <f>_xlfn.CONCAT(_xlfn.XLOOKUP($C170,[1]Bus!$A$2:$A$121,[1]Bus!$C$2:$C$121,0)," - ",_xlfn.XLOOKUP($D170,[1]Bus!$A$2:$A$121,[1]Bus!$C$2:$C$121,0))</f>
        <v>Sabanalarga_500 - Sabanalarga_220</v>
      </c>
      <c r="C170" s="4" t="s">
        <v>3</v>
      </c>
      <c r="D170" s="4" t="s">
        <v>2</v>
      </c>
      <c r="E170" s="5">
        <v>9.9999999999999998E-13</v>
      </c>
      <c r="F170">
        <v>3.4186809156944171E-2</v>
      </c>
      <c r="G170" s="6">
        <v>1350</v>
      </c>
      <c r="H170" s="6">
        <v>1350</v>
      </c>
      <c r="I170" s="6">
        <v>1350</v>
      </c>
      <c r="N170"/>
      <c r="P170" s="2">
        <v>0.98750000000000004</v>
      </c>
      <c r="S170">
        <f t="shared" si="15"/>
        <v>0</v>
      </c>
      <c r="T170"/>
      <c r="U170"/>
      <c r="V170"/>
      <c r="W170"/>
      <c r="X170"/>
      <c r="Y170"/>
      <c r="Z170"/>
      <c r="AA170" s="4"/>
      <c r="AB170" s="4"/>
      <c r="AC170" s="4"/>
      <c r="AD170" s="4"/>
      <c r="AE170" s="4"/>
      <c r="AF170" s="4"/>
      <c r="AG170" s="4"/>
      <c r="AH170" s="4"/>
      <c r="AI170" s="4"/>
      <c r="AJ170" s="2" t="str">
        <f>_xlfn.XLOOKUP($C170,[1]Bus!$A$2:$A$121,[1]Bus!$J$2:$J$121,0)</f>
        <v>CARIBE</v>
      </c>
      <c r="AK170" s="2" t="str">
        <f>_xlfn.XLOOKUP($C170,[1]Bus!$A$2:$A$121,[1]Bus!$K$2:$K$121,0)</f>
        <v>ATLANTIC</v>
      </c>
      <c r="AL170" s="2">
        <v>0</v>
      </c>
      <c r="AM170" s="2">
        <f t="shared" si="16"/>
        <v>29.251048128218649</v>
      </c>
      <c r="AN170" s="2">
        <f t="shared" si="17"/>
        <v>3.4186809156944171E-2</v>
      </c>
      <c r="AO170" s="2">
        <f t="shared" si="18"/>
        <v>34186809156.944172</v>
      </c>
      <c r="AP170" s="2">
        <f t="shared" si="19"/>
        <v>8.5562381659936367E-10</v>
      </c>
      <c r="AQ170" s="2">
        <v>0</v>
      </c>
      <c r="AR170" s="2">
        <v>0</v>
      </c>
    </row>
    <row r="171" spans="1:44" ht="16" x14ac:dyDescent="0.2">
      <c r="A171" s="1" t="s">
        <v>333</v>
      </c>
      <c r="B171" s="4" t="str">
        <f>_xlfn.CONCAT(_xlfn.XLOOKUP($C171,[1]Bus!$A$2:$A$121,[1]Bus!$C$2:$C$121,0)," - ",_xlfn.XLOOKUP($D171,[1]Bus!$A$2:$A$121,[1]Bus!$C$2:$C$121,0))</f>
        <v>Bolivar_500 - Bolivar_220</v>
      </c>
      <c r="C171" s="4" t="s">
        <v>8</v>
      </c>
      <c r="D171" s="4" t="s">
        <v>9</v>
      </c>
      <c r="E171" s="5">
        <v>9.9999999999999998E-13</v>
      </c>
      <c r="F171">
        <v>4.9658400000000012E-2</v>
      </c>
      <c r="G171" s="6">
        <v>900</v>
      </c>
      <c r="H171" s="6">
        <v>900</v>
      </c>
      <c r="I171" s="6">
        <v>900</v>
      </c>
      <c r="N171"/>
      <c r="P171" s="2">
        <v>0.98750000000000004</v>
      </c>
      <c r="S171">
        <f t="shared" si="15"/>
        <v>0</v>
      </c>
      <c r="T171"/>
      <c r="U171"/>
      <c r="V171"/>
      <c r="W171"/>
      <c r="X171"/>
      <c r="Y171"/>
      <c r="Z171"/>
      <c r="AA171" s="4"/>
      <c r="AB171" s="4"/>
      <c r="AC171" s="4"/>
      <c r="AD171" s="4"/>
      <c r="AE171" s="4"/>
      <c r="AF171" s="4"/>
      <c r="AG171" s="4"/>
      <c r="AH171" s="4"/>
      <c r="AI171" s="4"/>
      <c r="AJ171" s="2" t="str">
        <f>_xlfn.XLOOKUP($C171,[1]Bus!$A$2:$A$121,[1]Bus!$J$2:$J$121,0)</f>
        <v>CARIBE</v>
      </c>
      <c r="AK171" s="2" t="str">
        <f>_xlfn.XLOOKUP($C171,[1]Bus!$A$2:$A$121,[1]Bus!$K$2:$K$121,0)</f>
        <v>BOLIVAR</v>
      </c>
      <c r="AL171" s="2">
        <v>0</v>
      </c>
      <c r="AM171" s="2">
        <f t="shared" si="16"/>
        <v>20.137579946192382</v>
      </c>
      <c r="AN171" s="2">
        <f t="shared" si="17"/>
        <v>4.9658400000000012E-2</v>
      </c>
      <c r="AO171" s="2">
        <f t="shared" si="18"/>
        <v>49658400000.000015</v>
      </c>
      <c r="AP171" s="2">
        <f t="shared" si="19"/>
        <v>4.0552212608928956E-10</v>
      </c>
      <c r="AQ171" s="2">
        <v>0</v>
      </c>
      <c r="AR171" s="2">
        <v>0</v>
      </c>
    </row>
    <row r="172" spans="1:44" ht="16" x14ac:dyDescent="0.2">
      <c r="A172" s="1" t="s">
        <v>334</v>
      </c>
      <c r="B172" s="4" t="str">
        <f>_xlfn.CONCAT(_xlfn.XLOOKUP($C172,[1]Bus!$A$2:$A$121,[1]Bus!$C$2:$C$121,0)," - ",_xlfn.XLOOKUP($D172,[1]Bus!$A$2:$A$121,[1]Bus!$C$2:$C$121,0))</f>
        <v>Bacata_500 - Bacata_220</v>
      </c>
      <c r="C172" s="4" t="s">
        <v>103</v>
      </c>
      <c r="D172" s="4" t="s">
        <v>100</v>
      </c>
      <c r="E172" s="5">
        <v>9.9999999999999998E-13</v>
      </c>
      <c r="F172">
        <v>9.9752399999999991E-2</v>
      </c>
      <c r="G172" s="6">
        <v>450</v>
      </c>
      <c r="H172" s="6">
        <v>450</v>
      </c>
      <c r="I172" s="6">
        <v>450</v>
      </c>
      <c r="N172"/>
      <c r="P172" s="2">
        <v>0.98750000000000004</v>
      </c>
      <c r="S172">
        <f t="shared" si="15"/>
        <v>0</v>
      </c>
      <c r="T172"/>
      <c r="U172"/>
      <c r="V172"/>
      <c r="W172"/>
      <c r="X172"/>
      <c r="Y172"/>
      <c r="Z172"/>
      <c r="AA172" s="4"/>
      <c r="AB172" s="4"/>
      <c r="AC172" s="4"/>
      <c r="AD172" s="4"/>
      <c r="AE172" s="4"/>
      <c r="AF172" s="4"/>
      <c r="AG172" s="4"/>
      <c r="AH172" s="4"/>
      <c r="AI172" s="4"/>
      <c r="AJ172" s="2" t="str">
        <f>_xlfn.XLOOKUP($C172,[1]Bus!$A$2:$A$121,[1]Bus!$J$2:$J$121,0)</f>
        <v>ORIENTAL</v>
      </c>
      <c r="AK172" s="2" t="str">
        <f>_xlfn.XLOOKUP($C172,[1]Bus!$A$2:$A$121,[1]Bus!$K$2:$K$121,0)</f>
        <v>BOGOTA</v>
      </c>
      <c r="AL172" s="2">
        <v>0</v>
      </c>
      <c r="AM172" s="2">
        <f t="shared" si="16"/>
        <v>10.024821457929836</v>
      </c>
      <c r="AN172" s="2">
        <f t="shared" si="17"/>
        <v>9.9752399999999991E-2</v>
      </c>
      <c r="AO172" s="2">
        <f t="shared" si="18"/>
        <v>99752400000</v>
      </c>
      <c r="AP172" s="2">
        <f t="shared" si="19"/>
        <v>1.0049704526337048E-10</v>
      </c>
      <c r="AQ172" s="2">
        <v>0</v>
      </c>
      <c r="AR172" s="2">
        <v>0</v>
      </c>
    </row>
    <row r="173" spans="1:44" ht="16" x14ac:dyDescent="0.2">
      <c r="A173" s="1" t="s">
        <v>335</v>
      </c>
      <c r="B173" s="4" t="str">
        <f>_xlfn.CONCAT(_xlfn.XLOOKUP($C173,[1]Bus!$A$2:$A$121,[1]Bus!$C$2:$C$121,0)," - ",_xlfn.XLOOKUP($D173,[1]Bus!$A$2:$A$121,[1]Bus!$C$2:$C$121,0))</f>
        <v>Nva_Esperanza_500 - Nva_Esperanza_220</v>
      </c>
      <c r="C173" s="4" t="s">
        <v>127</v>
      </c>
      <c r="D173" s="4" t="s">
        <v>122</v>
      </c>
      <c r="E173" s="5">
        <v>9.9999999999999998E-13</v>
      </c>
      <c r="F173">
        <v>0.1010592</v>
      </c>
      <c r="G173" s="6">
        <v>450</v>
      </c>
      <c r="H173" s="6">
        <v>450</v>
      </c>
      <c r="I173" s="6">
        <v>450</v>
      </c>
      <c r="N173"/>
      <c r="P173" s="2">
        <v>0.98750000000000004</v>
      </c>
      <c r="S173">
        <f t="shared" si="15"/>
        <v>0</v>
      </c>
      <c r="T173"/>
      <c r="U173"/>
      <c r="V173"/>
      <c r="W173"/>
      <c r="X173"/>
      <c r="Y173"/>
      <c r="Z173"/>
      <c r="AA173" s="4"/>
      <c r="AB173" s="4"/>
      <c r="AC173" s="4"/>
      <c r="AD173" s="4"/>
      <c r="AE173" s="4"/>
      <c r="AF173" s="4"/>
      <c r="AG173" s="4"/>
      <c r="AH173" s="4"/>
      <c r="AI173" s="4"/>
      <c r="AJ173" s="2" t="str">
        <f>_xlfn.XLOOKUP($C173,[1]Bus!$A$2:$A$121,[1]Bus!$J$2:$J$121,0)</f>
        <v>ORIENTAL</v>
      </c>
      <c r="AK173" s="2" t="str">
        <f>_xlfn.XLOOKUP($C173,[1]Bus!$A$2:$A$121,[1]Bus!$K$2:$K$121,0)</f>
        <v>BOGOTA</v>
      </c>
      <c r="AL173" s="2">
        <v>0</v>
      </c>
      <c r="AM173" s="2">
        <f t="shared" si="16"/>
        <v>9.8951901459738441</v>
      </c>
      <c r="AN173" s="2">
        <f t="shared" si="17"/>
        <v>0.1010592</v>
      </c>
      <c r="AO173" s="2">
        <f t="shared" si="18"/>
        <v>101059200000</v>
      </c>
      <c r="AP173" s="2">
        <f t="shared" si="19"/>
        <v>9.7914788024977881E-11</v>
      </c>
      <c r="AQ173" s="2">
        <v>0</v>
      </c>
      <c r="AR173" s="2">
        <v>0</v>
      </c>
    </row>
    <row r="174" spans="1:44" ht="16" x14ac:dyDescent="0.2">
      <c r="A174" s="1" t="s">
        <v>336</v>
      </c>
      <c r="B174" s="4" t="str">
        <f>_xlfn.CONCAT(_xlfn.XLOOKUP($C174,[1]Bus!$A$2:$A$121,[1]Bus!$C$2:$C$121,0)," - ",_xlfn.XLOOKUP($D174,[1]Bus!$A$2:$A$121,[1]Bus!$C$2:$C$121,0))</f>
        <v>Virginia_500 - Virginia_220</v>
      </c>
      <c r="C174" s="4" t="s">
        <v>150</v>
      </c>
      <c r="D174" s="4" t="s">
        <v>135</v>
      </c>
      <c r="E174" s="5">
        <v>9.9999999999999998E-13</v>
      </c>
      <c r="F174">
        <v>0.10184327999999999</v>
      </c>
      <c r="G174" s="6">
        <v>450</v>
      </c>
      <c r="H174" s="6">
        <v>450</v>
      </c>
      <c r="I174" s="6">
        <v>450</v>
      </c>
      <c r="N174"/>
      <c r="P174" s="2">
        <v>0.98750000000000004</v>
      </c>
      <c r="S174">
        <f t="shared" si="15"/>
        <v>0</v>
      </c>
      <c r="T174"/>
      <c r="U174"/>
      <c r="V174"/>
      <c r="W174"/>
      <c r="X174"/>
      <c r="Y174"/>
      <c r="Z174"/>
      <c r="AA174" s="4"/>
      <c r="AB174" s="4"/>
      <c r="AC174" s="4"/>
      <c r="AD174" s="4"/>
      <c r="AE174" s="4"/>
      <c r="AF174" s="4"/>
      <c r="AG174" s="4"/>
      <c r="AH174" s="4"/>
      <c r="AI174" s="4"/>
      <c r="AJ174" s="2" t="str">
        <f>_xlfn.XLOOKUP($C174,[1]Bus!$A$2:$A$121,[1]Bus!$J$2:$J$121,0)</f>
        <v>SUROCCID</v>
      </c>
      <c r="AK174" s="2" t="str">
        <f>_xlfn.XLOOKUP($C174,[1]Bus!$A$2:$A$121,[1]Bus!$K$2:$K$121,0)</f>
        <v>CQR</v>
      </c>
      <c r="AL174" s="2">
        <v>0</v>
      </c>
      <c r="AM174" s="2">
        <f t="shared" si="16"/>
        <v>9.8190081859107448</v>
      </c>
      <c r="AN174" s="2">
        <f t="shared" si="17"/>
        <v>0.10184327999999999</v>
      </c>
      <c r="AO174" s="2">
        <f t="shared" si="18"/>
        <v>101843280000</v>
      </c>
      <c r="AP174" s="2">
        <f t="shared" si="19"/>
        <v>9.6412921754982214E-11</v>
      </c>
      <c r="AQ174" s="2">
        <v>0</v>
      </c>
      <c r="AR174" s="2">
        <v>0</v>
      </c>
    </row>
    <row r="175" spans="1:44" ht="16" x14ac:dyDescent="0.2">
      <c r="A175" s="1" t="s">
        <v>337</v>
      </c>
      <c r="B175" s="4" t="str">
        <f>_xlfn.CONCAT(_xlfn.XLOOKUP($C175,[1]Bus!$A$2:$A$121,[1]Bus!$C$2:$C$121,0)," - ",_xlfn.XLOOKUP($D175,[1]Bus!$A$2:$A$121,[1]Bus!$C$2:$C$121,0))</f>
        <v>San_Marcos_500 - San_Marcos_220</v>
      </c>
      <c r="C175" s="4" t="s">
        <v>195</v>
      </c>
      <c r="D175" s="4" t="s">
        <v>182</v>
      </c>
      <c r="E175" s="5">
        <v>9.9999999999999998E-13</v>
      </c>
      <c r="F175">
        <v>0.10193039999999999</v>
      </c>
      <c r="G175" s="6">
        <v>450</v>
      </c>
      <c r="H175" s="6">
        <v>450</v>
      </c>
      <c r="I175" s="6">
        <v>450</v>
      </c>
      <c r="N175"/>
      <c r="P175" s="2">
        <v>0.98750000000000004</v>
      </c>
      <c r="S175">
        <f t="shared" si="15"/>
        <v>0</v>
      </c>
      <c r="T175"/>
      <c r="U175"/>
      <c r="V175"/>
      <c r="W175"/>
      <c r="X175"/>
      <c r="Y175"/>
      <c r="Z175"/>
      <c r="AA175" s="4"/>
      <c r="AB175" s="4"/>
      <c r="AC175" s="4"/>
      <c r="AD175" s="4"/>
      <c r="AE175" s="4"/>
      <c r="AF175" s="4"/>
      <c r="AG175" s="4"/>
      <c r="AH175" s="4"/>
      <c r="AI175" s="4"/>
      <c r="AJ175" s="2" t="str">
        <f>_xlfn.XLOOKUP($C175,[1]Bus!$A$2:$A$121,[1]Bus!$J$2:$J$121,0)</f>
        <v>SUROCCID</v>
      </c>
      <c r="AK175" s="2" t="str">
        <f>_xlfn.XLOOKUP($C175,[1]Bus!$A$2:$A$121,[1]Bus!$K$2:$K$121,0)</f>
        <v>VALLE</v>
      </c>
      <c r="AL175" s="2">
        <v>0</v>
      </c>
      <c r="AM175" s="2">
        <f t="shared" si="16"/>
        <v>9.8106158712219322</v>
      </c>
      <c r="AN175" s="2">
        <f t="shared" si="17"/>
        <v>0.10193039999999999</v>
      </c>
      <c r="AO175" s="2">
        <f t="shared" si="18"/>
        <v>101930400000</v>
      </c>
      <c r="AP175" s="2">
        <f t="shared" si="19"/>
        <v>9.624818377267168E-11</v>
      </c>
      <c r="AQ175" s="2">
        <v>0</v>
      </c>
      <c r="AR175" s="2">
        <v>0</v>
      </c>
    </row>
    <row r="176" spans="1:44" ht="16" x14ac:dyDescent="0.2">
      <c r="A176" s="1" t="s">
        <v>338</v>
      </c>
      <c r="B176" s="4" t="str">
        <f>_xlfn.CONCAT(_xlfn.XLOOKUP($C176,[1]Bus!$A$2:$A$121,[1]Bus!$C$2:$C$121,0)," - ",_xlfn.XLOOKUP($D176,[1]Bus!$A$2:$A$121,[1]Bus!$C$2:$C$121,0))</f>
        <v>Copey_500 - Copey_220</v>
      </c>
      <c r="C176" s="4" t="s">
        <v>79</v>
      </c>
      <c r="D176" s="4" t="s">
        <v>197</v>
      </c>
      <c r="E176" s="5">
        <v>9.9999999999999998E-13</v>
      </c>
      <c r="F176">
        <v>5.0330856321938552E-2</v>
      </c>
      <c r="G176" s="6">
        <v>900</v>
      </c>
      <c r="H176" s="6">
        <v>900</v>
      </c>
      <c r="I176" s="6">
        <v>900</v>
      </c>
      <c r="N176"/>
      <c r="P176" s="2">
        <v>0.98750000000000004</v>
      </c>
      <c r="S176">
        <f t="shared" si="15"/>
        <v>0</v>
      </c>
      <c r="T176"/>
      <c r="U176"/>
      <c r="V176"/>
      <c r="W176"/>
      <c r="X176"/>
      <c r="Y176"/>
      <c r="Z176"/>
      <c r="AA176" s="4"/>
      <c r="AB176" s="4"/>
      <c r="AC176" s="4"/>
      <c r="AD176" s="4"/>
      <c r="AE176" s="4"/>
      <c r="AF176" s="4"/>
      <c r="AG176" s="4"/>
      <c r="AH176" s="4"/>
      <c r="AI176" s="4"/>
      <c r="AJ176" s="2" t="str">
        <f>_xlfn.XLOOKUP($C176,[1]Bus!$A$2:$A$121,[1]Bus!$J$2:$J$121,0)</f>
        <v>CARIBE</v>
      </c>
      <c r="AK176" s="2" t="str">
        <f>_xlfn.XLOOKUP($C176,[1]Bus!$A$2:$A$121,[1]Bus!$K$2:$K$121,0)</f>
        <v>GCM</v>
      </c>
      <c r="AL176" s="2">
        <v>0</v>
      </c>
      <c r="AM176" s="2">
        <f t="shared" si="16"/>
        <v>19.868527441765643</v>
      </c>
      <c r="AN176" s="2">
        <f t="shared" si="17"/>
        <v>5.0330856321938552E-2</v>
      </c>
      <c r="AO176" s="2">
        <f t="shared" si="18"/>
        <v>50330856321.938553</v>
      </c>
      <c r="AP176" s="2">
        <f t="shared" si="19"/>
        <v>3.9475838270419447E-10</v>
      </c>
      <c r="AQ176" s="2">
        <v>0</v>
      </c>
      <c r="AR176" s="2">
        <v>0</v>
      </c>
    </row>
    <row r="177" spans="1:44" ht="16" x14ac:dyDescent="0.2">
      <c r="A177" s="1" t="s">
        <v>339</v>
      </c>
      <c r="B177" s="4" t="str">
        <f>_xlfn.CONCAT(_xlfn.XLOOKUP($C177,[1]Bus!$A$2:$A$121,[1]Bus!$C$2:$C$121,0)," - ",_xlfn.XLOOKUP($D177,[1]Bus!$A$2:$A$121,[1]Bus!$C$2:$C$121,0))</f>
        <v>Ocaña_500 - Ocaña_220</v>
      </c>
      <c r="C177" s="4" t="s">
        <v>201</v>
      </c>
      <c r="D177" s="4" t="s">
        <v>253</v>
      </c>
      <c r="E177" s="5">
        <v>9.9999999999999998E-13</v>
      </c>
      <c r="F177">
        <v>3.7600991999999993E-2</v>
      </c>
      <c r="G177" s="6">
        <f>360*2</f>
        <v>720</v>
      </c>
      <c r="H177" s="6">
        <f>360*2</f>
        <v>720</v>
      </c>
      <c r="I177" s="6">
        <f>360*2</f>
        <v>720</v>
      </c>
      <c r="N177"/>
      <c r="P177" s="2">
        <v>0.98750000000000004</v>
      </c>
      <c r="S177">
        <f t="shared" si="15"/>
        <v>0</v>
      </c>
      <c r="T177"/>
      <c r="U177"/>
      <c r="V177"/>
      <c r="W177"/>
      <c r="X177"/>
      <c r="Y177"/>
      <c r="Z177"/>
      <c r="AA177" s="4"/>
      <c r="AB177" s="4"/>
      <c r="AC177" s="4"/>
      <c r="AD177" s="4"/>
      <c r="AE177" s="4"/>
      <c r="AF177" s="4"/>
      <c r="AG177" s="4"/>
      <c r="AH177" s="4"/>
      <c r="AI177" s="4"/>
      <c r="AJ177" s="2" t="str">
        <f>_xlfn.XLOOKUP($C177,[1]Bus!$A$2:$A$121,[1]Bus!$J$2:$J$121,0)</f>
        <v>NORDEST</v>
      </c>
      <c r="AK177" s="2" t="str">
        <f>_xlfn.XLOOKUP($C177,[1]Bus!$A$2:$A$121,[1]Bus!$K$2:$K$121,0)</f>
        <v>NSANTAND</v>
      </c>
      <c r="AL177" s="2">
        <v>0</v>
      </c>
      <c r="AM177" s="2">
        <f t="shared" si="16"/>
        <v>26.595043024396809</v>
      </c>
      <c r="AN177" s="2">
        <f t="shared" si="17"/>
        <v>3.7600991999999993E-2</v>
      </c>
      <c r="AO177" s="2">
        <f t="shared" si="18"/>
        <v>37600991999.999992</v>
      </c>
      <c r="AP177" s="2">
        <f t="shared" si="19"/>
        <v>7.0729631346951729E-10</v>
      </c>
      <c r="AQ177" s="2">
        <v>0</v>
      </c>
      <c r="AR177" s="2">
        <v>0</v>
      </c>
    </row>
    <row r="178" spans="1:44" ht="16" x14ac:dyDescent="0.2">
      <c r="A178" s="1" t="s">
        <v>340</v>
      </c>
      <c r="B178" s="4" t="str">
        <f>_xlfn.CONCAT(_xlfn.XLOOKUP($C178,[1]Bus!$A$2:$A$121,[1]Bus!$C$2:$C$121,0)," - ",_xlfn.XLOOKUP($D178,[1]Bus!$A$2:$A$121,[1]Bus!$C$2:$C$121,0))</f>
        <v>Sogamoso_500 - Sogamoso_220</v>
      </c>
      <c r="C178" s="4" t="s">
        <v>273</v>
      </c>
      <c r="D178" s="4" t="s">
        <v>64</v>
      </c>
      <c r="E178" s="5">
        <v>9.9999999999999998E-13</v>
      </c>
      <c r="F178">
        <v>3.3192720000000002E-2</v>
      </c>
      <c r="G178" s="6">
        <v>1350</v>
      </c>
      <c r="H178" s="6">
        <v>1350</v>
      </c>
      <c r="I178" s="6">
        <v>1350</v>
      </c>
      <c r="N178"/>
      <c r="P178" s="2">
        <v>0.98750000000000004</v>
      </c>
      <c r="S178">
        <f t="shared" si="15"/>
        <v>0</v>
      </c>
      <c r="T178"/>
      <c r="U178"/>
      <c r="V178"/>
      <c r="W178"/>
      <c r="X178"/>
      <c r="Y178"/>
      <c r="Z178"/>
      <c r="AA178" s="4"/>
      <c r="AB178" s="4"/>
      <c r="AC178" s="4"/>
      <c r="AD178" s="4"/>
      <c r="AE178" s="4"/>
      <c r="AF178" s="4"/>
      <c r="AG178" s="4"/>
      <c r="AH178" s="4"/>
      <c r="AI178" s="4"/>
      <c r="AJ178" s="2" t="str">
        <f>_xlfn.XLOOKUP($C178,[1]Bus!$A$2:$A$121,[1]Bus!$J$2:$J$121,0)</f>
        <v>NORDEST</v>
      </c>
      <c r="AK178" s="2" t="str">
        <f>_xlfn.XLOOKUP($C178,[1]Bus!$A$2:$A$121,[1]Bus!$K$2:$K$121,0)</f>
        <v>SANTANDER</v>
      </c>
      <c r="AL178" s="2">
        <v>0</v>
      </c>
      <c r="AM178" s="2">
        <f t="shared" si="16"/>
        <v>30.127088108476798</v>
      </c>
      <c r="AN178" s="2">
        <f t="shared" si="17"/>
        <v>3.3192720000000002E-2</v>
      </c>
      <c r="AO178" s="2">
        <f t="shared" si="18"/>
        <v>33192720000.000004</v>
      </c>
      <c r="AP178" s="2">
        <f t="shared" si="19"/>
        <v>9.0764143789592403E-10</v>
      </c>
      <c r="AQ178" s="2">
        <v>0</v>
      </c>
      <c r="AR178" s="2">
        <v>0</v>
      </c>
    </row>
    <row r="179" spans="1:44" ht="16" x14ac:dyDescent="0.2">
      <c r="A179" s="1" t="s">
        <v>341</v>
      </c>
      <c r="B179" s="4" t="str">
        <f>_xlfn.CONCAT(_xlfn.XLOOKUP($C179,[1]Bus!$A$2:$A$121,[1]Bus!$C$2:$C$121,0)," - ",_xlfn.XLOOKUP($D179,[1]Bus!$A$2:$A$121,[1]Bus!$C$2:$C$121,0))</f>
        <v>San_Carlos_500 - San_Carlos_220</v>
      </c>
      <c r="C179" s="4" t="s">
        <v>149</v>
      </c>
      <c r="D179" s="4" t="s">
        <v>318</v>
      </c>
      <c r="E179" s="5">
        <v>9.9999999999999998E-13</v>
      </c>
      <c r="F179">
        <v>3.4042889337503442E-2</v>
      </c>
      <c r="G179" s="6">
        <v>1350</v>
      </c>
      <c r="H179" s="6">
        <v>1350</v>
      </c>
      <c r="I179" s="6">
        <v>1350</v>
      </c>
      <c r="N179"/>
      <c r="P179" s="2">
        <v>0.98750000000000004</v>
      </c>
      <c r="S179">
        <f t="shared" si="15"/>
        <v>0</v>
      </c>
      <c r="T179"/>
      <c r="U179"/>
      <c r="V179"/>
      <c r="W179"/>
      <c r="X179"/>
      <c r="Y179"/>
      <c r="Z179"/>
      <c r="AA179" s="4"/>
      <c r="AB179" s="4"/>
      <c r="AC179" s="4"/>
      <c r="AD179" s="4"/>
      <c r="AE179" s="4"/>
      <c r="AF179" s="4"/>
      <c r="AG179" s="4"/>
      <c r="AH179" s="4"/>
      <c r="AI179" s="4"/>
      <c r="AJ179" s="2" t="str">
        <f>_xlfn.XLOOKUP($C179,[1]Bus!$A$2:$A$121,[1]Bus!$J$2:$J$121,0)</f>
        <v>ANTIOQUI</v>
      </c>
      <c r="AK179" s="2" t="str">
        <f>_xlfn.XLOOKUP($C179,[1]Bus!$A$2:$A$121,[1]Bus!$K$2:$K$121,0)</f>
        <v>ANTIOQUI</v>
      </c>
      <c r="AL179" s="2">
        <v>0</v>
      </c>
      <c r="AM179" s="2">
        <f t="shared" si="16"/>
        <v>29.374709945619902</v>
      </c>
      <c r="AN179" s="2">
        <f t="shared" si="17"/>
        <v>3.4042889337503442E-2</v>
      </c>
      <c r="AO179" s="2">
        <f t="shared" si="18"/>
        <v>34042889337.503441</v>
      </c>
      <c r="AP179" s="2">
        <f t="shared" si="19"/>
        <v>8.628735843893006E-10</v>
      </c>
      <c r="AQ179" s="2">
        <v>0</v>
      </c>
      <c r="AR179" s="2">
        <v>0</v>
      </c>
    </row>
    <row r="180" spans="1:44" ht="16" x14ac:dyDescent="0.2">
      <c r="A180" s="1" t="s">
        <v>342</v>
      </c>
      <c r="B180" s="4" t="str">
        <f>_xlfn.CONCAT(_xlfn.XLOOKUP($C180,[1]Bus!$A$2:$A$121,[1]Bus!$C$2:$C$121,0)," - ",_xlfn.XLOOKUP($D180,[1]Bus!$A$2:$A$121,[1]Bus!$C$2:$C$121,0))</f>
        <v>Primavera_500 - Primavera_220</v>
      </c>
      <c r="C180" s="4" t="s">
        <v>88</v>
      </c>
      <c r="D180" s="4" t="s">
        <v>269</v>
      </c>
      <c r="E180" s="5">
        <v>9.9999999999999998E-13</v>
      </c>
      <c r="F180">
        <v>9.9665279999999995E-2</v>
      </c>
      <c r="G180" s="6">
        <v>450</v>
      </c>
      <c r="H180" s="6">
        <v>450</v>
      </c>
      <c r="I180" s="6">
        <v>450</v>
      </c>
      <c r="N180"/>
      <c r="P180" s="2">
        <v>0.98750000000000004</v>
      </c>
      <c r="S180">
        <f t="shared" si="15"/>
        <v>0</v>
      </c>
      <c r="T180"/>
      <c r="U180"/>
      <c r="V180"/>
      <c r="W180"/>
      <c r="X180"/>
      <c r="Y180"/>
      <c r="Z180"/>
      <c r="AA180" s="4"/>
      <c r="AB180" s="4"/>
      <c r="AC180" s="4"/>
      <c r="AD180" s="4"/>
      <c r="AE180" s="4"/>
      <c r="AF180" s="4"/>
      <c r="AG180" s="4"/>
      <c r="AH180" s="4"/>
      <c r="AI180" s="4"/>
      <c r="AJ180" s="2" t="str">
        <f>_xlfn.XLOOKUP($C180,[1]Bus!$A$2:$A$121,[1]Bus!$J$2:$J$121,0)</f>
        <v>ANTIOQUI</v>
      </c>
      <c r="AK180" s="2" t="str">
        <f>_xlfn.XLOOKUP($C180,[1]Bus!$A$2:$A$121,[1]Bus!$K$2:$K$121,0)</f>
        <v>ANTIOQUI</v>
      </c>
      <c r="AL180" s="2">
        <v>0</v>
      </c>
      <c r="AM180" s="2">
        <f t="shared" si="16"/>
        <v>10.033584413749704</v>
      </c>
      <c r="AN180" s="2">
        <f t="shared" si="17"/>
        <v>9.9665279999999995E-2</v>
      </c>
      <c r="AO180" s="2">
        <f t="shared" si="18"/>
        <v>99665280000</v>
      </c>
      <c r="AP180" s="2">
        <f t="shared" si="19"/>
        <v>1.0067281618784097E-10</v>
      </c>
      <c r="AQ180" s="2">
        <v>0</v>
      </c>
      <c r="AR180" s="2">
        <v>0</v>
      </c>
    </row>
    <row r="181" spans="1:44" ht="16" x14ac:dyDescent="0.2">
      <c r="A181" s="1" t="s">
        <v>343</v>
      </c>
      <c r="B181" s="4" t="str">
        <f>_xlfn.CONCAT(_xlfn.XLOOKUP($C181,[1]Bus!$A$2:$A$121,[1]Bus!$C$2:$C$121,0)," - ",_xlfn.XLOOKUP($D181,[1]Bus!$A$2:$A$121,[1]Bus!$C$2:$C$121,0))</f>
        <v>Chinu_220 - Chinu_500</v>
      </c>
      <c r="C181" s="4" t="s">
        <v>226</v>
      </c>
      <c r="D181" s="4" t="s">
        <v>71</v>
      </c>
      <c r="E181" s="5">
        <v>9.9999999999999998E-13</v>
      </c>
      <c r="F181">
        <v>9.6093359999999989E-2</v>
      </c>
      <c r="G181" s="6">
        <v>450</v>
      </c>
      <c r="H181" s="6">
        <v>450</v>
      </c>
      <c r="I181" s="6">
        <v>450</v>
      </c>
      <c r="N181"/>
      <c r="P181" s="2">
        <v>0.98750000000000004</v>
      </c>
      <c r="S181">
        <f t="shared" si="15"/>
        <v>0</v>
      </c>
      <c r="T181"/>
      <c r="U181"/>
      <c r="V181"/>
      <c r="W181"/>
      <c r="X181"/>
      <c r="Y181"/>
      <c r="Z181"/>
      <c r="AA181" s="4"/>
      <c r="AB181" s="4"/>
      <c r="AC181" s="4"/>
      <c r="AD181" s="4"/>
      <c r="AE181" s="4"/>
      <c r="AF181" s="4"/>
      <c r="AG181" s="4"/>
      <c r="AH181" s="4"/>
      <c r="AI181" s="4"/>
      <c r="AJ181" s="2" t="str">
        <f>_xlfn.XLOOKUP($C181,[1]Bus!$A$2:$A$121,[1]Bus!$J$2:$J$121,0)</f>
        <v>CARIBE</v>
      </c>
      <c r="AK181" s="2" t="str">
        <f>_xlfn.XLOOKUP($C181,[1]Bus!$A$2:$A$121,[1]Bus!$K$2:$K$121,0)</f>
        <v>CORDOSUC</v>
      </c>
      <c r="AL181" s="2">
        <v>0</v>
      </c>
      <c r="AM181" s="2">
        <f t="shared" si="16"/>
        <v>10.40654630038954</v>
      </c>
      <c r="AN181" s="2">
        <f t="shared" si="17"/>
        <v>9.6093359999999989E-2</v>
      </c>
      <c r="AO181" s="2">
        <f t="shared" si="18"/>
        <v>96093359999.999985</v>
      </c>
      <c r="AP181" s="2">
        <f t="shared" si="19"/>
        <v>1.082962059021512E-10</v>
      </c>
      <c r="AQ181" s="2">
        <v>0</v>
      </c>
      <c r="AR181" s="2">
        <v>0</v>
      </c>
    </row>
    <row r="182" spans="1:44" ht="16" x14ac:dyDescent="0.2">
      <c r="A182" s="8"/>
      <c r="B182" s="4"/>
      <c r="C182" s="4"/>
      <c r="D182" s="4"/>
      <c r="E182"/>
      <c r="F182"/>
      <c r="G182"/>
      <c r="H182"/>
      <c r="I182"/>
      <c r="N182"/>
      <c r="S182"/>
      <c r="T182"/>
      <c r="U182"/>
      <c r="V182"/>
      <c r="W182"/>
      <c r="X182"/>
      <c r="Y182"/>
      <c r="Z182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44" ht="16" x14ac:dyDescent="0.2">
      <c r="A183" s="8"/>
      <c r="B183" s="4"/>
      <c r="C183" s="4"/>
      <c r="D183" s="4"/>
      <c r="E183"/>
      <c r="F183"/>
      <c r="G183"/>
      <c r="H183"/>
      <c r="I183"/>
      <c r="N183"/>
      <c r="S183"/>
      <c r="T183"/>
      <c r="U183"/>
      <c r="V183"/>
      <c r="W183"/>
      <c r="X183"/>
      <c r="Y183"/>
      <c r="Z183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44" ht="16" x14ac:dyDescent="0.2">
      <c r="A184" s="8"/>
      <c r="B184" s="4"/>
      <c r="C184" s="4"/>
      <c r="D184" s="4"/>
      <c r="E184"/>
      <c r="F184"/>
      <c r="G184"/>
      <c r="H184"/>
      <c r="I184"/>
      <c r="N184"/>
      <c r="S184"/>
      <c r="T184"/>
      <c r="U184"/>
      <c r="V184"/>
      <c r="W184"/>
      <c r="X184"/>
      <c r="Y184"/>
      <c r="Z18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44" ht="16" x14ac:dyDescent="0.2">
      <c r="A185" s="8"/>
      <c r="B185" s="4"/>
      <c r="C185" s="4"/>
      <c r="D185" s="4"/>
      <c r="E185"/>
      <c r="F185"/>
      <c r="G185"/>
      <c r="H185"/>
      <c r="I185"/>
      <c r="N185"/>
      <c r="S185"/>
      <c r="T185"/>
      <c r="U185"/>
      <c r="V185"/>
      <c r="W185"/>
      <c r="X185"/>
      <c r="Y185"/>
      <c r="Z185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44" ht="16" x14ac:dyDescent="0.2">
      <c r="A186" s="8"/>
      <c r="B186" s="4"/>
      <c r="C186" s="4"/>
      <c r="D186" s="4"/>
      <c r="E186"/>
      <c r="F186"/>
      <c r="G186"/>
      <c r="H186"/>
      <c r="I186"/>
      <c r="N186"/>
      <c r="S186"/>
      <c r="T186"/>
      <c r="U186"/>
      <c r="V186"/>
      <c r="W186"/>
      <c r="X186"/>
      <c r="Y186"/>
      <c r="Z186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44" ht="16" x14ac:dyDescent="0.2">
      <c r="A187" s="8"/>
      <c r="B187" s="4"/>
      <c r="C187" s="4"/>
      <c r="D187" s="4"/>
      <c r="E187"/>
      <c r="F187"/>
      <c r="G187"/>
      <c r="H187"/>
      <c r="I187"/>
      <c r="N187"/>
      <c r="S187"/>
      <c r="T187"/>
      <c r="U187"/>
      <c r="V187"/>
      <c r="W187"/>
      <c r="X187"/>
      <c r="Y187"/>
      <c r="Z187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44" ht="16" x14ac:dyDescent="0.2">
      <c r="A188" s="8"/>
      <c r="B188" s="4"/>
      <c r="C188" s="4"/>
      <c r="D188" s="4"/>
      <c r="E188"/>
      <c r="F188"/>
      <c r="G188"/>
      <c r="H188"/>
      <c r="I188"/>
      <c r="N188"/>
      <c r="S188"/>
      <c r="T188"/>
      <c r="U188"/>
      <c r="V188"/>
      <c r="W188"/>
      <c r="X188"/>
      <c r="Y188"/>
      <c r="Z188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44" ht="16" x14ac:dyDescent="0.2">
      <c r="A189" s="8"/>
      <c r="B189" s="4"/>
      <c r="C189" s="4"/>
      <c r="D189" s="4"/>
      <c r="E189"/>
      <c r="F189"/>
      <c r="G189"/>
      <c r="H189"/>
      <c r="I189"/>
      <c r="N189"/>
      <c r="S189"/>
      <c r="T189"/>
      <c r="U189"/>
      <c r="V189"/>
      <c r="W189"/>
      <c r="X189"/>
      <c r="Y189"/>
      <c r="Z189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44" ht="16" x14ac:dyDescent="0.2">
      <c r="A190" s="8"/>
      <c r="B190" s="4"/>
      <c r="C190" s="4"/>
      <c r="D190" s="4"/>
      <c r="E190"/>
      <c r="F190"/>
      <c r="G190"/>
      <c r="H190"/>
      <c r="I190"/>
      <c r="N190"/>
      <c r="S190"/>
      <c r="T190"/>
      <c r="U190"/>
      <c r="V190"/>
      <c r="W190"/>
      <c r="X190"/>
      <c r="Y190"/>
      <c r="Z190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44" ht="16" x14ac:dyDescent="0.2">
      <c r="A191" s="8"/>
      <c r="B191" s="4"/>
      <c r="C191" s="4"/>
      <c r="D191" s="4"/>
      <c r="E191"/>
      <c r="F191"/>
      <c r="G191"/>
      <c r="H191"/>
      <c r="I191"/>
      <c r="N191"/>
      <c r="S191"/>
      <c r="T191"/>
      <c r="U191"/>
      <c r="V191"/>
      <c r="W191"/>
      <c r="X191"/>
      <c r="Y191"/>
      <c r="Z191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44" ht="16" x14ac:dyDescent="0.2">
      <c r="A192" s="8"/>
      <c r="B192" s="4"/>
      <c r="C192" s="4"/>
      <c r="D192" s="4"/>
      <c r="E192"/>
      <c r="F192"/>
      <c r="G192"/>
      <c r="H192"/>
      <c r="I192"/>
      <c r="N192"/>
      <c r="S192"/>
      <c r="T192"/>
      <c r="U192"/>
      <c r="V192"/>
      <c r="W192"/>
      <c r="X192"/>
      <c r="Y192"/>
      <c r="Z192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6" x14ac:dyDescent="0.2">
      <c r="A193" s="8"/>
      <c r="B193" s="4"/>
      <c r="C193" s="4"/>
      <c r="D193" s="4"/>
      <c r="E193"/>
      <c r="F193"/>
      <c r="G193"/>
      <c r="H193"/>
      <c r="I193"/>
      <c r="N193"/>
      <c r="S193"/>
      <c r="T193"/>
      <c r="U193"/>
      <c r="V193"/>
      <c r="W193"/>
      <c r="X193"/>
      <c r="Y193"/>
      <c r="Z193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6" x14ac:dyDescent="0.2">
      <c r="A194" s="8"/>
      <c r="B194" s="4"/>
      <c r="C194" s="4"/>
      <c r="D194" s="4"/>
      <c r="E194"/>
      <c r="F194"/>
      <c r="G194"/>
      <c r="H194"/>
      <c r="I194"/>
      <c r="N194"/>
      <c r="S194"/>
      <c r="T194"/>
      <c r="U194"/>
      <c r="V194"/>
      <c r="W194"/>
      <c r="X194"/>
      <c r="Y194"/>
      <c r="Z19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ht="16" x14ac:dyDescent="0.2">
      <c r="A195" s="8"/>
      <c r="B195" s="4"/>
      <c r="C195" s="4"/>
      <c r="D195" s="4"/>
      <c r="E195"/>
      <c r="F195"/>
      <c r="G195"/>
      <c r="H195"/>
      <c r="I195"/>
      <c r="N195"/>
      <c r="S195"/>
      <c r="T195"/>
      <c r="U195"/>
      <c r="V195"/>
      <c r="W195"/>
      <c r="X195"/>
      <c r="Y195"/>
      <c r="Z195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6" x14ac:dyDescent="0.2">
      <c r="A196" s="8"/>
      <c r="B196" s="4"/>
      <c r="C196" s="4"/>
      <c r="D196" s="4"/>
      <c r="E196"/>
      <c r="F196"/>
      <c r="G196"/>
      <c r="H196"/>
      <c r="I196"/>
      <c r="N196"/>
      <c r="S196"/>
      <c r="T196"/>
      <c r="U196"/>
      <c r="V196"/>
      <c r="W196"/>
      <c r="X196"/>
      <c r="Y196"/>
      <c r="Z196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6" x14ac:dyDescent="0.2">
      <c r="A197" s="8"/>
      <c r="B197" s="4"/>
      <c r="C197" s="4"/>
      <c r="D197" s="4"/>
      <c r="E197"/>
      <c r="F197"/>
      <c r="G197"/>
      <c r="H197"/>
      <c r="I197"/>
      <c r="N197"/>
      <c r="S197"/>
      <c r="T197"/>
      <c r="U197"/>
      <c r="V197"/>
      <c r="W197"/>
      <c r="X197"/>
      <c r="Y197"/>
      <c r="Z197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ht="16" x14ac:dyDescent="0.2">
      <c r="A198" s="8"/>
      <c r="B198" s="4"/>
      <c r="C198" s="4"/>
      <c r="D198" s="4"/>
      <c r="E198"/>
      <c r="F198"/>
      <c r="G198"/>
      <c r="H198"/>
      <c r="I198"/>
      <c r="N198"/>
      <c r="S198"/>
      <c r="T198"/>
      <c r="U198"/>
      <c r="V198"/>
      <c r="W198"/>
      <c r="X198"/>
      <c r="Y198"/>
      <c r="Z198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ht="16" x14ac:dyDescent="0.2">
      <c r="A199" s="8"/>
      <c r="B199" s="4"/>
      <c r="C199" s="4"/>
      <c r="D199" s="4"/>
      <c r="E199"/>
      <c r="F199"/>
      <c r="G199"/>
      <c r="H199"/>
      <c r="I199"/>
      <c r="N199"/>
      <c r="S199"/>
      <c r="T199"/>
      <c r="U199"/>
      <c r="V199"/>
      <c r="W199"/>
      <c r="X199"/>
      <c r="Y199"/>
      <c r="Z199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6" x14ac:dyDescent="0.2">
      <c r="A200" s="8"/>
      <c r="B200" s="4"/>
      <c r="C200" s="4"/>
      <c r="D200" s="4"/>
      <c r="E200"/>
      <c r="F200"/>
      <c r="G200"/>
      <c r="H200"/>
      <c r="I200"/>
      <c r="N200"/>
      <c r="S200"/>
      <c r="T200"/>
      <c r="U200"/>
      <c r="V200"/>
      <c r="W200"/>
      <c r="X200"/>
      <c r="Y200"/>
      <c r="Z200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6" x14ac:dyDescent="0.2">
      <c r="A201" s="8"/>
      <c r="B201" s="4"/>
      <c r="C201" s="4"/>
      <c r="D201" s="4"/>
      <c r="E201"/>
      <c r="F201"/>
      <c r="G201"/>
      <c r="H201"/>
      <c r="I201"/>
      <c r="N201"/>
      <c r="S201"/>
      <c r="T201"/>
      <c r="U201"/>
      <c r="V201"/>
      <c r="W201"/>
      <c r="X201"/>
      <c r="Y201"/>
      <c r="Z201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6" x14ac:dyDescent="0.2">
      <c r="A202" s="8"/>
      <c r="B202" s="4"/>
      <c r="C202" s="4"/>
      <c r="D202" s="4"/>
      <c r="E202"/>
      <c r="F202"/>
      <c r="G202"/>
      <c r="H202"/>
      <c r="I202"/>
      <c r="N202"/>
      <c r="S202"/>
      <c r="T202"/>
      <c r="U202"/>
      <c r="V202"/>
      <c r="W202"/>
      <c r="X202"/>
      <c r="Y202"/>
      <c r="Z202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6" x14ac:dyDescent="0.2">
      <c r="A203" s="8"/>
      <c r="B203" s="4"/>
      <c r="C203" s="4"/>
      <c r="D203" s="4"/>
      <c r="E203"/>
      <c r="F203"/>
      <c r="G203"/>
      <c r="H203"/>
      <c r="I203"/>
      <c r="N203"/>
      <c r="S203"/>
      <c r="T203"/>
      <c r="U203"/>
      <c r="V203"/>
      <c r="W203"/>
      <c r="X203"/>
      <c r="Y203"/>
      <c r="Z203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6" x14ac:dyDescent="0.2">
      <c r="A204" s="8"/>
      <c r="B204" s="4"/>
      <c r="C204" s="4"/>
      <c r="D204" s="4"/>
      <c r="E204"/>
      <c r="F204"/>
      <c r="G204"/>
      <c r="H204"/>
      <c r="I204"/>
      <c r="N204"/>
      <c r="S204"/>
      <c r="T204"/>
      <c r="U204"/>
      <c r="V204"/>
      <c r="W204"/>
      <c r="X204"/>
      <c r="Y204"/>
      <c r="Z20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6" x14ac:dyDescent="0.2">
      <c r="A205" s="8"/>
      <c r="B205" s="4"/>
      <c r="C205" s="4"/>
      <c r="D205" s="4"/>
      <c r="E205"/>
      <c r="F205"/>
      <c r="G205"/>
      <c r="H205"/>
      <c r="I205"/>
      <c r="N205"/>
      <c r="S205"/>
      <c r="T205"/>
      <c r="U205"/>
      <c r="V205"/>
      <c r="W205"/>
      <c r="X205"/>
      <c r="Y205"/>
      <c r="Z205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6" x14ac:dyDescent="0.2">
      <c r="A206" s="8"/>
      <c r="B206" s="4"/>
      <c r="C206" s="4"/>
      <c r="D206" s="4"/>
      <c r="E206"/>
      <c r="F206"/>
      <c r="G206"/>
      <c r="H206"/>
      <c r="I206"/>
      <c r="N206"/>
      <c r="S206"/>
      <c r="T206"/>
      <c r="U206"/>
      <c r="V206"/>
      <c r="W206"/>
      <c r="X206"/>
      <c r="Y206"/>
      <c r="Z206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6" x14ac:dyDescent="0.2">
      <c r="A207" s="8"/>
      <c r="B207" s="4"/>
      <c r="C207" s="4"/>
      <c r="D207" s="4"/>
      <c r="E207"/>
      <c r="F207"/>
      <c r="G207"/>
      <c r="H207"/>
      <c r="I207"/>
      <c r="N207"/>
      <c r="S207"/>
      <c r="T207"/>
      <c r="U207"/>
      <c r="V207"/>
      <c r="W207"/>
      <c r="X207"/>
      <c r="Y207"/>
      <c r="Z207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6" x14ac:dyDescent="0.2">
      <c r="A208" s="8"/>
      <c r="B208" s="4"/>
      <c r="C208" s="4"/>
      <c r="D208" s="4"/>
      <c r="E208"/>
      <c r="F208"/>
      <c r="G208"/>
      <c r="H208"/>
      <c r="I208"/>
      <c r="N208"/>
      <c r="S208"/>
      <c r="T208"/>
      <c r="U208"/>
      <c r="V208"/>
      <c r="W208"/>
      <c r="X208"/>
      <c r="Y208"/>
      <c r="Z208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ht="16" x14ac:dyDescent="0.2">
      <c r="A209" s="8"/>
      <c r="B209" s="4"/>
      <c r="C209" s="4"/>
      <c r="D209" s="4"/>
      <c r="E209"/>
      <c r="F209"/>
      <c r="G209"/>
      <c r="H209"/>
      <c r="I209"/>
      <c r="N209"/>
      <c r="S209"/>
      <c r="T209"/>
      <c r="U209"/>
      <c r="V209"/>
      <c r="W209"/>
      <c r="X209"/>
      <c r="Y209"/>
      <c r="Z209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ht="16" x14ac:dyDescent="0.2">
      <c r="A210" s="8"/>
      <c r="B210" s="4"/>
      <c r="C210" s="4"/>
      <c r="D210" s="4"/>
      <c r="E210"/>
      <c r="F210"/>
      <c r="G210"/>
      <c r="H210"/>
      <c r="I210"/>
      <c r="N210"/>
      <c r="S210"/>
      <c r="T210"/>
      <c r="U210"/>
      <c r="V210"/>
      <c r="W210"/>
      <c r="X210"/>
      <c r="Y210"/>
      <c r="Z210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ht="16" x14ac:dyDescent="0.2">
      <c r="A211" s="8"/>
      <c r="B211" s="4"/>
      <c r="C211" s="4"/>
      <c r="D211" s="4"/>
      <c r="E211"/>
      <c r="F211"/>
      <c r="G211"/>
      <c r="H211"/>
      <c r="I211"/>
      <c r="N211"/>
      <c r="S211"/>
      <c r="T211"/>
      <c r="U211"/>
      <c r="V211"/>
      <c r="W211"/>
      <c r="X211"/>
      <c r="Y211"/>
      <c r="Z211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ht="16" x14ac:dyDescent="0.2">
      <c r="A212" s="8"/>
      <c r="B212" s="4"/>
      <c r="C212" s="4"/>
      <c r="D212" s="4"/>
      <c r="E212"/>
      <c r="F212"/>
      <c r="G212"/>
      <c r="H212"/>
      <c r="I212"/>
      <c r="N212"/>
      <c r="S212"/>
      <c r="T212"/>
      <c r="U212"/>
      <c r="V212"/>
      <c r="W212"/>
      <c r="X212"/>
      <c r="Y212"/>
      <c r="Z212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6" x14ac:dyDescent="0.2">
      <c r="A213" s="8"/>
      <c r="B213" s="4"/>
      <c r="C213" s="4"/>
      <c r="D213" s="4"/>
      <c r="E213"/>
      <c r="F213"/>
      <c r="G213"/>
      <c r="H213"/>
      <c r="I213"/>
      <c r="N213"/>
      <c r="S213"/>
      <c r="T213"/>
      <c r="U213"/>
      <c r="V213"/>
      <c r="W213"/>
      <c r="X213"/>
      <c r="Y213"/>
      <c r="Z213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6" x14ac:dyDescent="0.2">
      <c r="A214" s="8"/>
      <c r="B214" s="4"/>
      <c r="C214" s="4"/>
      <c r="D214" s="4"/>
      <c r="E214"/>
      <c r="F214"/>
      <c r="G214"/>
      <c r="H214"/>
      <c r="I214"/>
      <c r="N214"/>
      <c r="S214"/>
      <c r="T214"/>
      <c r="U214"/>
      <c r="V214"/>
      <c r="W214"/>
      <c r="X214"/>
      <c r="Y214"/>
      <c r="Z21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6" x14ac:dyDescent="0.2">
      <c r="A215" s="8"/>
      <c r="B215" s="4"/>
      <c r="C215" s="4"/>
      <c r="D215" s="4"/>
      <c r="E215"/>
      <c r="F215"/>
      <c r="G215"/>
      <c r="H215"/>
      <c r="I215"/>
      <c r="N215"/>
      <c r="S215"/>
      <c r="T215"/>
      <c r="U215"/>
      <c r="V215"/>
      <c r="W215"/>
      <c r="X215"/>
      <c r="Y215"/>
      <c r="Z215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6" x14ac:dyDescent="0.2">
      <c r="A216" s="8"/>
      <c r="B216" s="4"/>
      <c r="C216" s="4"/>
      <c r="D216" s="4"/>
      <c r="E216"/>
      <c r="F216"/>
      <c r="G216"/>
      <c r="H216"/>
      <c r="I216"/>
      <c r="N216"/>
      <c r="S216"/>
      <c r="T216"/>
      <c r="U216"/>
      <c r="V216"/>
      <c r="W216"/>
      <c r="X216"/>
      <c r="Y216"/>
      <c r="Z216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6" x14ac:dyDescent="0.2">
      <c r="A217" s="8"/>
      <c r="B217" s="4"/>
      <c r="C217" s="4"/>
      <c r="D217" s="4"/>
      <c r="E217"/>
      <c r="F217"/>
      <c r="G217"/>
      <c r="H217"/>
      <c r="I217"/>
      <c r="N217"/>
      <c r="S217"/>
      <c r="T217"/>
      <c r="U217"/>
      <c r="V217"/>
      <c r="W217"/>
      <c r="X217"/>
      <c r="Y217"/>
      <c r="Z217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ht="16" x14ac:dyDescent="0.2">
      <c r="A218" s="8"/>
      <c r="B218" s="4"/>
      <c r="C218" s="4"/>
      <c r="D218" s="4"/>
      <c r="E218"/>
      <c r="F218"/>
      <c r="G218"/>
      <c r="H218"/>
      <c r="I218"/>
      <c r="N218"/>
      <c r="S218"/>
      <c r="T218"/>
      <c r="U218"/>
      <c r="V218"/>
      <c r="W218"/>
      <c r="X218"/>
      <c r="Y218"/>
      <c r="Z218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ht="16" x14ac:dyDescent="0.2">
      <c r="A219" s="8"/>
      <c r="B219" s="4"/>
      <c r="C219" s="4"/>
      <c r="D219" s="4"/>
      <c r="E219"/>
      <c r="F219"/>
      <c r="G219"/>
      <c r="H219"/>
      <c r="I219"/>
      <c r="N219"/>
      <c r="S219"/>
      <c r="T219"/>
      <c r="U219"/>
      <c r="V219"/>
      <c r="W219"/>
      <c r="X219"/>
      <c r="Y219"/>
      <c r="Z219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6" x14ac:dyDescent="0.2">
      <c r="A220" s="8"/>
      <c r="B220" s="4"/>
      <c r="C220" s="4"/>
      <c r="D220" s="4"/>
      <c r="E220"/>
      <c r="F220"/>
      <c r="G220"/>
      <c r="H220"/>
      <c r="I220"/>
      <c r="N220"/>
      <c r="S220"/>
      <c r="T220"/>
      <c r="U220"/>
      <c r="V220"/>
      <c r="W220"/>
      <c r="X220"/>
      <c r="Y220"/>
      <c r="Z220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6" x14ac:dyDescent="0.2">
      <c r="A221" s="8"/>
      <c r="B221" s="4"/>
      <c r="C221" s="4"/>
      <c r="D221" s="4"/>
      <c r="E221"/>
      <c r="F221"/>
      <c r="G221"/>
      <c r="H221"/>
      <c r="I221"/>
      <c r="N221"/>
      <c r="S221"/>
      <c r="T221"/>
      <c r="U221"/>
      <c r="V221"/>
      <c r="W221"/>
      <c r="X221"/>
      <c r="Y221"/>
      <c r="Z221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6" x14ac:dyDescent="0.2">
      <c r="A222" s="8"/>
      <c r="B222" s="4"/>
      <c r="C222" s="4"/>
      <c r="D222" s="4"/>
      <c r="E222"/>
      <c r="F222"/>
      <c r="G222"/>
      <c r="H222"/>
      <c r="I222"/>
      <c r="N222"/>
      <c r="S222"/>
      <c r="T222"/>
      <c r="U222"/>
      <c r="V222"/>
      <c r="W222"/>
      <c r="X222"/>
      <c r="Y222"/>
      <c r="Z222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ht="16" x14ac:dyDescent="0.2">
      <c r="A223" s="8"/>
      <c r="B223" s="4"/>
      <c r="C223" s="4"/>
      <c r="D223" s="4"/>
      <c r="E223"/>
      <c r="F223"/>
      <c r="G223"/>
      <c r="H223"/>
      <c r="I223"/>
      <c r="N223"/>
      <c r="S223"/>
      <c r="T223"/>
      <c r="U223"/>
      <c r="V223"/>
      <c r="W223"/>
      <c r="X223"/>
      <c r="Y223"/>
      <c r="Z223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ht="16" x14ac:dyDescent="0.2">
      <c r="A224" s="8"/>
      <c r="B224" s="4"/>
      <c r="C224" s="4"/>
      <c r="D224" s="4"/>
      <c r="E224"/>
      <c r="F224"/>
      <c r="G224"/>
      <c r="H224"/>
      <c r="I224"/>
      <c r="N224"/>
      <c r="S224"/>
      <c r="T224"/>
      <c r="U224"/>
      <c r="V224"/>
      <c r="W224"/>
      <c r="X224"/>
      <c r="Y224"/>
      <c r="Z22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ht="16" x14ac:dyDescent="0.2">
      <c r="A225" s="8"/>
      <c r="B225" s="4"/>
      <c r="C225" s="4"/>
      <c r="D225" s="4"/>
      <c r="E225"/>
      <c r="F225"/>
      <c r="G225"/>
      <c r="H225"/>
      <c r="I225"/>
      <c r="N225"/>
      <c r="S225"/>
      <c r="T225"/>
      <c r="U225"/>
      <c r="V225"/>
      <c r="W225"/>
      <c r="X225"/>
      <c r="Y225"/>
      <c r="Z225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ht="16" x14ac:dyDescent="0.2">
      <c r="A226" s="8"/>
      <c r="B226" s="4"/>
      <c r="C226" s="4"/>
      <c r="D226" s="4"/>
      <c r="E226"/>
      <c r="F226"/>
      <c r="G226"/>
      <c r="H226"/>
      <c r="I226"/>
      <c r="N226"/>
      <c r="S226"/>
      <c r="T226"/>
      <c r="U226"/>
      <c r="V226"/>
      <c r="W226"/>
      <c r="X226"/>
      <c r="Y226"/>
      <c r="Z226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6" x14ac:dyDescent="0.2">
      <c r="A227" s="8"/>
      <c r="B227" s="4"/>
      <c r="C227" s="4"/>
      <c r="D227" s="4"/>
      <c r="E227"/>
      <c r="F227"/>
      <c r="G227"/>
      <c r="H227"/>
      <c r="I227"/>
      <c r="N227"/>
      <c r="S227"/>
      <c r="T227"/>
      <c r="U227"/>
      <c r="V227"/>
      <c r="W227"/>
      <c r="X227"/>
      <c r="Y227"/>
      <c r="Z227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6" x14ac:dyDescent="0.2">
      <c r="A228" s="8"/>
      <c r="B228" s="4"/>
      <c r="C228" s="4"/>
      <c r="D228" s="4"/>
      <c r="E228"/>
      <c r="F228"/>
      <c r="G228"/>
      <c r="H228"/>
      <c r="I228"/>
      <c r="N228"/>
      <c r="S228"/>
      <c r="T228"/>
      <c r="U228"/>
      <c r="V228"/>
      <c r="W228"/>
      <c r="X228"/>
      <c r="Y228"/>
      <c r="Z228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6" x14ac:dyDescent="0.2">
      <c r="A229" s="8"/>
      <c r="B229" s="4"/>
      <c r="C229" s="4"/>
      <c r="D229" s="4"/>
      <c r="E229"/>
      <c r="F229"/>
      <c r="G229"/>
      <c r="H229"/>
      <c r="I229"/>
      <c r="N229"/>
      <c r="S229"/>
      <c r="T229"/>
      <c r="U229"/>
      <c r="V229"/>
      <c r="W229"/>
      <c r="X229"/>
      <c r="Y229"/>
      <c r="Z229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6" x14ac:dyDescent="0.2">
      <c r="A230" s="8"/>
      <c r="B230" s="4"/>
      <c r="C230" s="4"/>
      <c r="D230" s="4"/>
      <c r="E230"/>
      <c r="F230"/>
      <c r="G230"/>
      <c r="H230"/>
      <c r="I230"/>
      <c r="N230"/>
      <c r="S230"/>
      <c r="T230"/>
      <c r="U230"/>
      <c r="V230"/>
      <c r="W230"/>
      <c r="X230"/>
      <c r="Y230"/>
      <c r="Z230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6" x14ac:dyDescent="0.2">
      <c r="A231" s="8"/>
      <c r="B231" s="4"/>
      <c r="C231" s="4"/>
      <c r="D231" s="4"/>
      <c r="E231"/>
      <c r="F231"/>
      <c r="G231"/>
      <c r="H231"/>
      <c r="I231"/>
      <c r="N231"/>
      <c r="S231"/>
      <c r="T231"/>
      <c r="U231"/>
      <c r="V231"/>
      <c r="W231"/>
      <c r="X231"/>
      <c r="Y231"/>
      <c r="Z231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6" x14ac:dyDescent="0.2">
      <c r="A232" s="8"/>
      <c r="B232" s="4"/>
      <c r="C232" s="4"/>
      <c r="D232" s="4"/>
      <c r="E232"/>
      <c r="F232"/>
      <c r="G232"/>
      <c r="H232"/>
      <c r="I232"/>
      <c r="N232"/>
      <c r="S232"/>
      <c r="T232"/>
      <c r="U232"/>
      <c r="V232"/>
      <c r="W232"/>
      <c r="X232"/>
      <c r="Y232"/>
      <c r="Z232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6" x14ac:dyDescent="0.2">
      <c r="A233" s="8"/>
      <c r="B233" s="4"/>
      <c r="C233" s="4"/>
      <c r="D233" s="4"/>
      <c r="E233"/>
      <c r="F233"/>
      <c r="G233"/>
      <c r="H233"/>
      <c r="I233"/>
      <c r="N233"/>
      <c r="S233"/>
      <c r="T233"/>
      <c r="U233"/>
      <c r="V233"/>
      <c r="W233"/>
      <c r="X233"/>
      <c r="Y233"/>
      <c r="Z233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ht="16" x14ac:dyDescent="0.2">
      <c r="A234" s="8"/>
      <c r="B234" s="4"/>
      <c r="C234" s="4"/>
      <c r="D234" s="4"/>
      <c r="E234"/>
      <c r="F234"/>
      <c r="G234"/>
      <c r="H234"/>
      <c r="I234"/>
      <c r="N234"/>
      <c r="S234"/>
      <c r="T234"/>
      <c r="U234"/>
      <c r="V234"/>
      <c r="W234"/>
      <c r="X234"/>
      <c r="Y234"/>
      <c r="Z23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ht="16" x14ac:dyDescent="0.2">
      <c r="A235" s="8"/>
      <c r="B235" s="4"/>
      <c r="C235" s="4"/>
      <c r="D235" s="4"/>
      <c r="E235"/>
      <c r="F235"/>
      <c r="G235"/>
      <c r="H235"/>
      <c r="I235"/>
      <c r="N235"/>
      <c r="S235"/>
      <c r="T235"/>
      <c r="U235"/>
      <c r="V235"/>
      <c r="W235"/>
      <c r="X235"/>
      <c r="Y235"/>
      <c r="Z235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6" x14ac:dyDescent="0.2">
      <c r="A236" s="8"/>
      <c r="B236" s="4"/>
      <c r="C236" s="4"/>
      <c r="D236" s="4"/>
      <c r="E236"/>
      <c r="F236"/>
      <c r="G236"/>
      <c r="H236"/>
      <c r="I236"/>
      <c r="N236"/>
      <c r="S236"/>
      <c r="T236"/>
      <c r="U236"/>
      <c r="V236"/>
      <c r="W236"/>
      <c r="X236"/>
      <c r="Y236"/>
      <c r="Z236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6" x14ac:dyDescent="0.2">
      <c r="A237" s="8"/>
      <c r="B237" s="4"/>
      <c r="C237" s="4"/>
      <c r="D237" s="4"/>
      <c r="E237"/>
      <c r="F237"/>
      <c r="G237"/>
      <c r="H237"/>
      <c r="I237"/>
      <c r="N237"/>
      <c r="S237"/>
      <c r="T237"/>
      <c r="U237"/>
      <c r="V237"/>
      <c r="W237"/>
      <c r="X237"/>
      <c r="Y237"/>
      <c r="Z237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6" x14ac:dyDescent="0.2">
      <c r="A238" s="8"/>
      <c r="B238" s="4"/>
      <c r="C238" s="4"/>
      <c r="D238" s="4"/>
      <c r="E238"/>
      <c r="F238"/>
      <c r="G238"/>
      <c r="H238"/>
      <c r="I238"/>
      <c r="N238"/>
      <c r="S238"/>
      <c r="T238"/>
      <c r="U238"/>
      <c r="V238"/>
      <c r="W238"/>
      <c r="X238"/>
      <c r="Y238"/>
      <c r="Z238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6" x14ac:dyDescent="0.2">
      <c r="A239" s="8"/>
      <c r="B239" s="4"/>
      <c r="C239" s="4"/>
      <c r="D239" s="4"/>
      <c r="E239"/>
      <c r="F239"/>
      <c r="G239"/>
      <c r="H239"/>
      <c r="I239"/>
      <c r="N239"/>
      <c r="S239"/>
      <c r="T239"/>
      <c r="U239"/>
      <c r="V239"/>
      <c r="W239"/>
      <c r="X239"/>
      <c r="Y239"/>
      <c r="Z239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6" x14ac:dyDescent="0.2">
      <c r="A240" s="8"/>
      <c r="B240" s="4"/>
      <c r="C240" s="4"/>
      <c r="D240" s="4"/>
      <c r="E240"/>
      <c r="F240"/>
      <c r="G240"/>
      <c r="H240"/>
      <c r="I240"/>
      <c r="N240"/>
      <c r="S240"/>
      <c r="T240"/>
      <c r="U240"/>
      <c r="V240"/>
      <c r="W240"/>
      <c r="X240"/>
      <c r="Y240"/>
      <c r="Z240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ht="16" x14ac:dyDescent="0.2">
      <c r="A241" s="8"/>
      <c r="B241" s="4"/>
      <c r="C241" s="4"/>
      <c r="D241" s="4"/>
      <c r="E241"/>
      <c r="F241"/>
      <c r="G241"/>
      <c r="H241"/>
      <c r="I241"/>
      <c r="N241"/>
      <c r="S241"/>
      <c r="T241"/>
      <c r="U241"/>
      <c r="V241"/>
      <c r="W241"/>
      <c r="X241"/>
      <c r="Y241"/>
      <c r="Z241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ht="16" x14ac:dyDescent="0.2">
      <c r="A242" s="8"/>
      <c r="B242" s="4"/>
      <c r="C242" s="4"/>
      <c r="D242" s="4"/>
      <c r="E242"/>
      <c r="F242"/>
      <c r="G242"/>
      <c r="H242"/>
      <c r="I242"/>
      <c r="N242"/>
      <c r="S242"/>
      <c r="T242"/>
      <c r="U242"/>
      <c r="V242"/>
      <c r="W242"/>
      <c r="X242"/>
      <c r="Y242"/>
      <c r="Z242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ht="16" x14ac:dyDescent="0.2">
      <c r="A243" s="8"/>
      <c r="B243" s="4"/>
      <c r="C243" s="4"/>
      <c r="D243" s="4"/>
      <c r="E243"/>
      <c r="F243"/>
      <c r="G243"/>
      <c r="H243"/>
      <c r="I243"/>
      <c r="N243"/>
      <c r="S243"/>
      <c r="T243"/>
      <c r="U243"/>
      <c r="V243"/>
      <c r="W243"/>
      <c r="X243"/>
      <c r="Y243"/>
      <c r="Z243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ht="16" x14ac:dyDescent="0.2">
      <c r="A244" s="8"/>
      <c r="B244" s="4"/>
      <c r="C244" s="4"/>
      <c r="D244" s="4"/>
      <c r="E244"/>
      <c r="F244"/>
      <c r="G244"/>
      <c r="H244"/>
      <c r="I244"/>
      <c r="N244"/>
      <c r="S244"/>
      <c r="T244"/>
      <c r="U244"/>
      <c r="V244"/>
      <c r="W244"/>
      <c r="X244"/>
      <c r="Y244"/>
      <c r="Z24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ht="16" x14ac:dyDescent="0.2">
      <c r="A245" s="8"/>
      <c r="B245" s="4"/>
      <c r="C245" s="4"/>
      <c r="D245" s="4"/>
      <c r="E245"/>
      <c r="F245"/>
      <c r="G245"/>
      <c r="H245"/>
      <c r="I245"/>
      <c r="N245"/>
      <c r="S245"/>
      <c r="T245"/>
      <c r="U245"/>
      <c r="V245"/>
      <c r="W245"/>
      <c r="X245"/>
      <c r="Y245"/>
      <c r="Z245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ht="16" x14ac:dyDescent="0.2">
      <c r="A246" s="8"/>
      <c r="B246" s="4"/>
      <c r="C246" s="4"/>
      <c r="D246" s="4"/>
      <c r="E246"/>
      <c r="F246"/>
      <c r="G246"/>
      <c r="H246"/>
      <c r="I246"/>
      <c r="N246"/>
      <c r="S246"/>
      <c r="T246"/>
      <c r="U246"/>
      <c r="V246"/>
      <c r="W246"/>
      <c r="X246"/>
      <c r="Y246"/>
      <c r="Z246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ht="16" x14ac:dyDescent="0.2">
      <c r="A247" s="8"/>
      <c r="B247" s="4"/>
      <c r="C247" s="4"/>
      <c r="D247" s="4"/>
      <c r="E247"/>
      <c r="F247"/>
      <c r="G247"/>
      <c r="H247"/>
      <c r="I247"/>
      <c r="N247"/>
      <c r="S247"/>
      <c r="T247"/>
      <c r="U247"/>
      <c r="V247"/>
      <c r="W247"/>
      <c r="X247"/>
      <c r="Y247"/>
      <c r="Z247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ht="16" x14ac:dyDescent="0.2">
      <c r="A248" s="8"/>
      <c r="B248" s="4"/>
      <c r="C248" s="4"/>
      <c r="D248" s="4"/>
      <c r="E248"/>
      <c r="F248"/>
      <c r="G248"/>
      <c r="H248"/>
      <c r="I248"/>
      <c r="N248"/>
      <c r="S248"/>
      <c r="T248"/>
      <c r="U248"/>
      <c r="V248"/>
      <c r="W248"/>
      <c r="X248"/>
      <c r="Y248"/>
      <c r="Z248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ht="16" x14ac:dyDescent="0.2">
      <c r="A249" s="8"/>
      <c r="B249" s="4"/>
      <c r="C249" s="4"/>
      <c r="D249" s="4"/>
      <c r="E249"/>
      <c r="F249"/>
      <c r="G249"/>
      <c r="H249"/>
      <c r="I249"/>
      <c r="N249"/>
      <c r="S249"/>
      <c r="T249"/>
      <c r="U249"/>
      <c r="V249"/>
      <c r="W249"/>
      <c r="X249"/>
      <c r="Y249"/>
      <c r="Z249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ht="16" x14ac:dyDescent="0.2">
      <c r="A250" s="8"/>
      <c r="B250" s="4"/>
      <c r="C250" s="4"/>
      <c r="D250" s="4"/>
      <c r="E250"/>
      <c r="F250"/>
      <c r="G250"/>
      <c r="H250"/>
      <c r="I250"/>
      <c r="N250"/>
      <c r="S250"/>
      <c r="T250"/>
      <c r="U250"/>
      <c r="V250"/>
      <c r="W250"/>
      <c r="X250"/>
      <c r="Y250"/>
      <c r="Z250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ht="16" x14ac:dyDescent="0.2">
      <c r="A251" s="8"/>
      <c r="B251" s="4"/>
      <c r="C251" s="4"/>
      <c r="D251" s="4"/>
      <c r="E251"/>
      <c r="F251"/>
      <c r="G251"/>
      <c r="H251"/>
      <c r="I251"/>
      <c r="N251"/>
      <c r="S251"/>
      <c r="T251"/>
      <c r="U251"/>
      <c r="V251"/>
      <c r="W251"/>
      <c r="X251"/>
      <c r="Y251"/>
      <c r="Z251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ht="16" x14ac:dyDescent="0.2">
      <c r="A252" s="8"/>
      <c r="B252" s="4"/>
      <c r="C252" s="4"/>
      <c r="D252" s="4"/>
      <c r="E252"/>
      <c r="F252"/>
      <c r="G252"/>
      <c r="H252"/>
      <c r="I252"/>
      <c r="N252"/>
      <c r="S252"/>
      <c r="T252"/>
      <c r="U252"/>
      <c r="V252"/>
      <c r="W252"/>
      <c r="X252"/>
      <c r="Y252"/>
      <c r="Z252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ht="16" x14ac:dyDescent="0.2">
      <c r="A253" s="8"/>
      <c r="B253" s="4"/>
      <c r="C253" s="4"/>
      <c r="D253" s="4"/>
      <c r="E253"/>
      <c r="F253"/>
      <c r="G253"/>
      <c r="H253"/>
      <c r="I253"/>
      <c r="N253"/>
      <c r="S253"/>
      <c r="T253"/>
      <c r="U253"/>
      <c r="V253"/>
      <c r="W253"/>
      <c r="X253"/>
      <c r="Y253"/>
      <c r="Z253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ht="16" x14ac:dyDescent="0.2">
      <c r="A254" s="8"/>
      <c r="B254" s="4"/>
      <c r="C254" s="4"/>
      <c r="D254" s="4"/>
      <c r="E254"/>
      <c r="F254"/>
      <c r="G254"/>
      <c r="H254"/>
      <c r="I254"/>
      <c r="N254"/>
      <c r="S254"/>
      <c r="T254"/>
      <c r="U254"/>
      <c r="V254"/>
      <c r="W254"/>
      <c r="X254"/>
      <c r="Y254"/>
      <c r="Z25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ht="16" x14ac:dyDescent="0.2">
      <c r="A255" s="8"/>
      <c r="B255" s="4"/>
      <c r="C255" s="4"/>
      <c r="D255" s="4"/>
      <c r="E255"/>
      <c r="F255"/>
      <c r="G255"/>
      <c r="H255"/>
      <c r="I255"/>
      <c r="N255"/>
      <c r="S255"/>
      <c r="T255"/>
      <c r="U255"/>
      <c r="V255"/>
      <c r="W255"/>
      <c r="X255"/>
      <c r="Y255"/>
      <c r="Z255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ht="16" x14ac:dyDescent="0.2">
      <c r="A256" s="8"/>
      <c r="B256" s="4"/>
      <c r="C256" s="4"/>
      <c r="D256" s="4"/>
      <c r="E256"/>
      <c r="F256"/>
      <c r="G256"/>
      <c r="H256"/>
      <c r="I256"/>
      <c r="N256"/>
      <c r="S256"/>
      <c r="T256"/>
      <c r="U256"/>
      <c r="V256"/>
      <c r="W256"/>
      <c r="X256"/>
      <c r="Y256"/>
      <c r="Z256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ht="16" x14ac:dyDescent="0.2">
      <c r="A257" s="8"/>
      <c r="B257" s="4"/>
      <c r="C257" s="4"/>
      <c r="D257" s="4"/>
      <c r="E257"/>
      <c r="F257"/>
      <c r="G257"/>
      <c r="H257"/>
      <c r="I257"/>
      <c r="N257"/>
      <c r="S257"/>
      <c r="T257"/>
      <c r="U257"/>
      <c r="V257"/>
      <c r="W257"/>
      <c r="X257"/>
      <c r="Y257"/>
      <c r="Z257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ht="16" x14ac:dyDescent="0.2">
      <c r="A258" s="8"/>
      <c r="B258" s="4"/>
      <c r="C258" s="4"/>
      <c r="D258" s="4"/>
      <c r="E258"/>
      <c r="F258"/>
      <c r="G258"/>
      <c r="H258"/>
      <c r="I258"/>
      <c r="N258"/>
      <c r="S258"/>
      <c r="T258"/>
      <c r="U258"/>
      <c r="V258"/>
      <c r="W258"/>
      <c r="X258"/>
      <c r="Y258"/>
      <c r="Z258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ht="16" x14ac:dyDescent="0.2">
      <c r="A259" s="8"/>
      <c r="B259" s="4"/>
      <c r="C259" s="4"/>
      <c r="D259" s="4"/>
      <c r="E259"/>
      <c r="F259"/>
      <c r="G259"/>
      <c r="H259"/>
      <c r="I259"/>
      <c r="N259"/>
      <c r="S259"/>
      <c r="T259"/>
      <c r="U259"/>
      <c r="V259"/>
      <c r="W259"/>
      <c r="X259"/>
      <c r="Y259"/>
      <c r="Z259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1:35" ht="16" x14ac:dyDescent="0.2">
      <c r="A260" s="8"/>
      <c r="B260" s="4"/>
      <c r="C260" s="4"/>
      <c r="D260" s="4"/>
      <c r="E260"/>
      <c r="F260"/>
      <c r="G260"/>
      <c r="H260"/>
      <c r="I260"/>
      <c r="N260"/>
      <c r="S260"/>
      <c r="T260"/>
      <c r="U260"/>
      <c r="V260"/>
      <c r="W260"/>
      <c r="X260"/>
      <c r="Y260"/>
      <c r="Z260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ht="16" x14ac:dyDescent="0.2">
      <c r="A261" s="8"/>
      <c r="B261" s="4"/>
      <c r="C261" s="4"/>
      <c r="D261" s="4"/>
      <c r="E261"/>
      <c r="F261"/>
      <c r="G261"/>
      <c r="H261"/>
      <c r="I261"/>
      <c r="N261"/>
      <c r="S261"/>
      <c r="T261"/>
      <c r="U261"/>
      <c r="V261"/>
      <c r="W261"/>
      <c r="X261"/>
      <c r="Y261"/>
      <c r="Z261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ht="16" x14ac:dyDescent="0.2">
      <c r="A262" s="8"/>
      <c r="B262" s="4"/>
      <c r="C262" s="4"/>
      <c r="D262" s="4"/>
      <c r="E262"/>
      <c r="F262"/>
      <c r="G262"/>
      <c r="H262"/>
      <c r="I262"/>
      <c r="N262"/>
      <c r="S262"/>
      <c r="T262"/>
      <c r="U262"/>
      <c r="V262"/>
      <c r="W262"/>
      <c r="X262"/>
      <c r="Y262"/>
      <c r="Z262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ht="16" x14ac:dyDescent="0.2">
      <c r="A263" s="8"/>
      <c r="B263" s="4"/>
      <c r="C263" s="4"/>
      <c r="D263" s="4"/>
      <c r="E263"/>
      <c r="F263"/>
      <c r="G263"/>
      <c r="H263"/>
      <c r="I263"/>
      <c r="N263"/>
      <c r="S263"/>
      <c r="T263"/>
      <c r="U263"/>
      <c r="V263"/>
      <c r="W263"/>
      <c r="X263"/>
      <c r="Y263"/>
      <c r="Z263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ht="16" x14ac:dyDescent="0.2">
      <c r="A264" s="8"/>
      <c r="B264" s="4"/>
      <c r="C264" s="4"/>
      <c r="D264" s="4"/>
      <c r="E264"/>
      <c r="F264"/>
      <c r="G264"/>
      <c r="H264"/>
      <c r="I264"/>
      <c r="N264"/>
      <c r="S264"/>
      <c r="T264"/>
      <c r="U264"/>
      <c r="V264"/>
      <c r="W264"/>
      <c r="X264"/>
      <c r="Y264"/>
      <c r="Z26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ht="16" x14ac:dyDescent="0.2">
      <c r="A265" s="8"/>
      <c r="B265" s="4"/>
      <c r="C265" s="4"/>
      <c r="D265" s="4"/>
      <c r="E265"/>
      <c r="F265"/>
      <c r="G265"/>
      <c r="H265"/>
      <c r="I265"/>
      <c r="N265"/>
      <c r="S265"/>
      <c r="T265"/>
      <c r="U265"/>
      <c r="V265"/>
      <c r="W265"/>
      <c r="X265"/>
      <c r="Y265"/>
      <c r="Z265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ht="16" x14ac:dyDescent="0.2">
      <c r="A266" s="8"/>
      <c r="B266" s="4"/>
      <c r="C266" s="4"/>
      <c r="D266" s="4"/>
      <c r="E266"/>
      <c r="F266"/>
      <c r="G266"/>
      <c r="H266"/>
      <c r="I266"/>
      <c r="N266"/>
      <c r="S266"/>
      <c r="T266"/>
      <c r="U266"/>
      <c r="V266"/>
      <c r="W266"/>
      <c r="X266"/>
      <c r="Y266"/>
      <c r="Z266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ht="16" x14ac:dyDescent="0.2">
      <c r="A267" s="8"/>
      <c r="B267" s="4"/>
      <c r="C267" s="4"/>
      <c r="D267" s="4"/>
      <c r="E267"/>
      <c r="F267"/>
      <c r="G267"/>
      <c r="H267"/>
      <c r="I267"/>
      <c r="N267"/>
      <c r="S267"/>
      <c r="T267"/>
      <c r="U267"/>
      <c r="V267"/>
      <c r="W267"/>
      <c r="X267"/>
      <c r="Y267"/>
      <c r="Z267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ht="16" x14ac:dyDescent="0.2">
      <c r="A268" s="8"/>
      <c r="B268" s="4"/>
      <c r="C268" s="4"/>
      <c r="D268" s="4"/>
      <c r="E268"/>
      <c r="F268"/>
      <c r="G268"/>
      <c r="H268"/>
      <c r="I268"/>
      <c r="N268"/>
      <c r="S268"/>
      <c r="T268"/>
      <c r="U268"/>
      <c r="V268"/>
      <c r="W268"/>
      <c r="X268"/>
      <c r="Y268"/>
      <c r="Z268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ht="16" x14ac:dyDescent="0.2">
      <c r="A269" s="8"/>
      <c r="B269" s="4"/>
      <c r="C269" s="4"/>
      <c r="D269" s="4"/>
      <c r="E269"/>
      <c r="F269"/>
      <c r="G269"/>
      <c r="H269"/>
      <c r="I269"/>
      <c r="N269"/>
      <c r="S269"/>
      <c r="T269"/>
      <c r="U269"/>
      <c r="V269"/>
      <c r="W269"/>
      <c r="X269"/>
      <c r="Y269"/>
      <c r="Z269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ht="16" x14ac:dyDescent="0.2">
      <c r="A270" s="8"/>
      <c r="B270" s="4"/>
      <c r="C270" s="4"/>
      <c r="D270" s="4"/>
      <c r="E270"/>
      <c r="F270"/>
      <c r="G270"/>
      <c r="H270"/>
      <c r="I270"/>
      <c r="N270"/>
      <c r="S270"/>
      <c r="T270"/>
      <c r="U270"/>
      <c r="V270"/>
      <c r="W270"/>
      <c r="X270"/>
      <c r="Y270"/>
      <c r="Z270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ht="16" x14ac:dyDescent="0.2">
      <c r="A271" s="8"/>
      <c r="B271" s="4"/>
      <c r="C271" s="4"/>
      <c r="D271" s="4"/>
      <c r="E271"/>
      <c r="F271"/>
      <c r="G271"/>
      <c r="H271"/>
      <c r="I271"/>
      <c r="N271"/>
      <c r="S271"/>
      <c r="T271"/>
      <c r="U271"/>
      <c r="V271"/>
      <c r="W271"/>
      <c r="X271"/>
      <c r="Y271"/>
      <c r="Z271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ht="16" x14ac:dyDescent="0.2">
      <c r="A272" s="8"/>
      <c r="B272" s="4"/>
      <c r="C272" s="4"/>
      <c r="D272" s="4"/>
      <c r="E272"/>
      <c r="F272"/>
      <c r="G272"/>
      <c r="H272"/>
      <c r="I272"/>
      <c r="N272"/>
      <c r="S272"/>
      <c r="T272"/>
      <c r="U272"/>
      <c r="V272"/>
      <c r="W272"/>
      <c r="X272"/>
      <c r="Y272"/>
      <c r="Z272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ht="16" x14ac:dyDescent="0.2">
      <c r="A273" s="8"/>
      <c r="B273" s="4"/>
      <c r="C273" s="4"/>
      <c r="D273" s="4"/>
      <c r="E273"/>
      <c r="F273"/>
      <c r="G273"/>
      <c r="H273"/>
      <c r="I273"/>
      <c r="N273"/>
      <c r="S273"/>
      <c r="T273"/>
      <c r="U273"/>
      <c r="V273"/>
      <c r="W273"/>
      <c r="X273"/>
      <c r="Y273"/>
      <c r="Z273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ht="16" x14ac:dyDescent="0.2">
      <c r="A274" s="8"/>
      <c r="B274" s="4"/>
      <c r="C274" s="4"/>
      <c r="D274" s="4"/>
      <c r="E274"/>
      <c r="F274"/>
      <c r="G274"/>
      <c r="H274"/>
      <c r="I274"/>
      <c r="N274"/>
      <c r="S274"/>
      <c r="T274"/>
      <c r="U274"/>
      <c r="V274"/>
      <c r="W274"/>
      <c r="X274"/>
      <c r="Y274"/>
      <c r="Z27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1:35" ht="16" x14ac:dyDescent="0.2">
      <c r="A275" s="8"/>
      <c r="B275" s="4"/>
      <c r="C275" s="4"/>
      <c r="D275" s="4"/>
      <c r="E275"/>
      <c r="F275"/>
      <c r="G275"/>
      <c r="H275"/>
      <c r="I275"/>
      <c r="N275"/>
      <c r="S275"/>
      <c r="T275"/>
      <c r="U275"/>
      <c r="V275"/>
      <c r="W275"/>
      <c r="X275"/>
      <c r="Y275"/>
      <c r="Z275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1:35" ht="16" x14ac:dyDescent="0.2">
      <c r="A276" s="8"/>
      <c r="B276" s="4"/>
      <c r="C276" s="4"/>
      <c r="D276" s="4"/>
      <c r="E276"/>
      <c r="F276"/>
      <c r="G276"/>
      <c r="H276"/>
      <c r="I276"/>
      <c r="N276"/>
      <c r="S276"/>
      <c r="T276"/>
      <c r="U276"/>
      <c r="V276"/>
      <c r="W276"/>
      <c r="X276"/>
      <c r="Y276"/>
      <c r="Z276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ht="16" x14ac:dyDescent="0.2">
      <c r="A277" s="8"/>
      <c r="B277" s="4"/>
      <c r="C277" s="4"/>
      <c r="D277" s="4"/>
      <c r="E277"/>
      <c r="F277"/>
      <c r="G277"/>
      <c r="H277"/>
      <c r="I277"/>
      <c r="N277"/>
      <c r="S277"/>
      <c r="T277"/>
      <c r="U277"/>
      <c r="V277"/>
      <c r="W277"/>
      <c r="X277"/>
      <c r="Y277"/>
      <c r="Z277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ht="16" x14ac:dyDescent="0.2">
      <c r="A278" s="8"/>
      <c r="B278" s="4"/>
      <c r="C278" s="4"/>
      <c r="D278" s="4"/>
      <c r="E278"/>
      <c r="F278"/>
      <c r="G278"/>
      <c r="H278"/>
      <c r="I278"/>
      <c r="N278"/>
      <c r="S278"/>
      <c r="T278"/>
      <c r="U278"/>
      <c r="V278"/>
      <c r="W278"/>
      <c r="X278"/>
      <c r="Y278"/>
      <c r="Z278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ht="16" x14ac:dyDescent="0.2">
      <c r="A279" s="8"/>
      <c r="B279" s="4"/>
      <c r="C279" s="4"/>
      <c r="D279" s="4"/>
      <c r="E279"/>
      <c r="F279"/>
      <c r="G279"/>
      <c r="H279"/>
      <c r="I279"/>
      <c r="N279"/>
      <c r="S279"/>
      <c r="T279"/>
      <c r="U279"/>
      <c r="V279"/>
      <c r="W279"/>
      <c r="X279"/>
      <c r="Y279"/>
      <c r="Z279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ht="16" x14ac:dyDescent="0.2">
      <c r="A280" s="8"/>
      <c r="B280" s="4"/>
      <c r="C280" s="4"/>
      <c r="D280" s="4"/>
      <c r="E280"/>
      <c r="F280"/>
      <c r="G280"/>
      <c r="H280"/>
      <c r="I280"/>
      <c r="N280"/>
      <c r="S280"/>
      <c r="T280"/>
      <c r="U280"/>
      <c r="V280"/>
      <c r="W280"/>
      <c r="X280"/>
      <c r="Y280"/>
      <c r="Z280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ht="16" x14ac:dyDescent="0.2">
      <c r="A281" s="8"/>
      <c r="B281" s="4"/>
      <c r="C281" s="4"/>
      <c r="D281" s="4"/>
      <c r="E281"/>
      <c r="F281"/>
      <c r="G281"/>
      <c r="H281"/>
      <c r="I281"/>
      <c r="N281"/>
      <c r="S281"/>
      <c r="T281"/>
      <c r="U281"/>
      <c r="V281"/>
      <c r="W281"/>
      <c r="X281"/>
      <c r="Y281"/>
      <c r="Z281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ht="16" x14ac:dyDescent="0.2">
      <c r="A282" s="8"/>
      <c r="B282" s="4"/>
      <c r="C282" s="4"/>
      <c r="D282" s="4"/>
      <c r="E282"/>
      <c r="F282"/>
      <c r="G282"/>
      <c r="H282"/>
      <c r="I282"/>
      <c r="N282"/>
      <c r="S282"/>
      <c r="T282"/>
      <c r="U282"/>
      <c r="V282"/>
      <c r="W282"/>
      <c r="X282"/>
      <c r="Y282"/>
      <c r="Z282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ht="16" x14ac:dyDescent="0.2">
      <c r="A283" s="8"/>
      <c r="B283" s="4"/>
      <c r="C283" s="4"/>
      <c r="D283" s="4"/>
      <c r="E283"/>
      <c r="F283"/>
      <c r="G283"/>
      <c r="H283"/>
      <c r="I283"/>
      <c r="N283"/>
      <c r="S283"/>
      <c r="T283"/>
      <c r="U283"/>
      <c r="V283"/>
      <c r="W283"/>
      <c r="X283"/>
      <c r="Y283"/>
      <c r="Z283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1:35" ht="16" x14ac:dyDescent="0.2">
      <c r="A284" s="8"/>
      <c r="B284" s="4"/>
      <c r="C284" s="4"/>
      <c r="D284" s="4"/>
      <c r="E284"/>
      <c r="F284"/>
      <c r="G284"/>
      <c r="H284"/>
      <c r="I284"/>
      <c r="N284"/>
      <c r="S284"/>
      <c r="T284"/>
      <c r="U284"/>
      <c r="V284"/>
      <c r="W284"/>
      <c r="X284"/>
      <c r="Y284"/>
      <c r="Z28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1:35" ht="16" x14ac:dyDescent="0.2">
      <c r="A285" s="8"/>
      <c r="B285" s="4"/>
      <c r="C285" s="4"/>
      <c r="D285" s="4"/>
      <c r="E285"/>
      <c r="F285"/>
      <c r="G285"/>
      <c r="H285"/>
      <c r="I285"/>
      <c r="N285"/>
      <c r="S285"/>
      <c r="T285"/>
      <c r="U285"/>
      <c r="V285"/>
      <c r="W285"/>
      <c r="X285"/>
      <c r="Y285"/>
      <c r="Z285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1:35" ht="16" x14ac:dyDescent="0.2">
      <c r="A286" s="8"/>
      <c r="B286" s="4"/>
      <c r="C286" s="4"/>
      <c r="D286" s="4"/>
      <c r="E286"/>
      <c r="F286"/>
      <c r="G286"/>
      <c r="H286"/>
      <c r="I286"/>
      <c r="N286"/>
      <c r="S286"/>
      <c r="T286"/>
      <c r="U286"/>
      <c r="V286"/>
      <c r="W286"/>
      <c r="X286"/>
      <c r="Y286"/>
      <c r="Z286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1:35" ht="16" x14ac:dyDescent="0.2">
      <c r="A287" s="8"/>
      <c r="B287" s="4"/>
      <c r="C287" s="4"/>
      <c r="D287" s="4"/>
      <c r="E287"/>
      <c r="F287"/>
      <c r="G287"/>
      <c r="H287"/>
      <c r="I287"/>
      <c r="N287"/>
      <c r="S287"/>
      <c r="T287"/>
      <c r="U287"/>
      <c r="V287"/>
      <c r="W287"/>
      <c r="X287"/>
      <c r="Y287"/>
      <c r="Z287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1:35" ht="16" x14ac:dyDescent="0.2">
      <c r="A288" s="8"/>
      <c r="B288" s="4"/>
      <c r="C288" s="4"/>
      <c r="D288" s="4"/>
      <c r="E288"/>
      <c r="F288"/>
      <c r="G288"/>
      <c r="H288"/>
      <c r="I288"/>
      <c r="N288"/>
      <c r="S288"/>
      <c r="T288"/>
      <c r="U288"/>
      <c r="V288"/>
      <c r="W288"/>
      <c r="X288"/>
      <c r="Y288"/>
      <c r="Z288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ht="16" x14ac:dyDescent="0.2">
      <c r="A289" s="8"/>
      <c r="B289" s="4"/>
      <c r="C289" s="4"/>
      <c r="D289" s="4"/>
      <c r="E289"/>
      <c r="F289"/>
      <c r="G289"/>
      <c r="H289"/>
      <c r="I289"/>
      <c r="N289"/>
      <c r="S289"/>
      <c r="T289"/>
      <c r="U289"/>
      <c r="V289"/>
      <c r="W289"/>
      <c r="X289"/>
      <c r="Y289"/>
      <c r="Z289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ht="16" x14ac:dyDescent="0.2">
      <c r="A290" s="8"/>
      <c r="B290" s="4"/>
      <c r="C290" s="4"/>
      <c r="D290" s="4"/>
      <c r="E290"/>
      <c r="F290"/>
      <c r="G290"/>
      <c r="H290"/>
      <c r="I290"/>
      <c r="N290"/>
      <c r="S290"/>
      <c r="T290"/>
      <c r="U290"/>
      <c r="V290"/>
      <c r="W290"/>
      <c r="X290"/>
      <c r="Y290"/>
      <c r="Z290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ht="16" x14ac:dyDescent="0.2">
      <c r="A291" s="8"/>
      <c r="B291" s="4"/>
      <c r="C291" s="4"/>
      <c r="D291" s="4"/>
      <c r="E291"/>
      <c r="F291"/>
      <c r="G291"/>
      <c r="H291"/>
      <c r="I291"/>
      <c r="N291"/>
      <c r="S291"/>
      <c r="T291"/>
      <c r="U291"/>
      <c r="V291"/>
      <c r="W291"/>
      <c r="X291"/>
      <c r="Y291"/>
      <c r="Z291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ht="16" x14ac:dyDescent="0.2">
      <c r="A292" s="8"/>
      <c r="B292" s="4"/>
      <c r="C292" s="4"/>
      <c r="D292" s="4"/>
      <c r="E292"/>
      <c r="F292"/>
      <c r="G292"/>
      <c r="H292"/>
      <c r="I292"/>
      <c r="N292"/>
      <c r="S292"/>
      <c r="T292"/>
      <c r="U292"/>
      <c r="V292"/>
      <c r="W292"/>
      <c r="X292"/>
      <c r="Y292"/>
      <c r="Z292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ht="16" x14ac:dyDescent="0.2">
      <c r="A293" s="8"/>
      <c r="B293" s="4"/>
      <c r="C293" s="4"/>
      <c r="D293" s="4"/>
      <c r="E293"/>
      <c r="F293"/>
      <c r="G293"/>
      <c r="H293"/>
      <c r="I293"/>
      <c r="N293"/>
      <c r="S293"/>
      <c r="T293"/>
      <c r="U293"/>
      <c r="V293"/>
      <c r="W293"/>
      <c r="X293"/>
      <c r="Y293"/>
      <c r="Z293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ht="16" x14ac:dyDescent="0.2">
      <c r="A294" s="8"/>
      <c r="B294" s="4"/>
      <c r="C294" s="4"/>
      <c r="D294" s="4"/>
      <c r="E294"/>
      <c r="F294"/>
      <c r="G294"/>
      <c r="H294"/>
      <c r="I294"/>
      <c r="N294"/>
      <c r="S294"/>
      <c r="T294"/>
      <c r="U294"/>
      <c r="V294"/>
      <c r="W294"/>
      <c r="X294"/>
      <c r="Y294"/>
      <c r="Z29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ht="16" x14ac:dyDescent="0.2">
      <c r="A295" s="8"/>
      <c r="B295" s="4"/>
      <c r="C295" s="4"/>
      <c r="D295" s="4"/>
      <c r="E295"/>
      <c r="F295"/>
      <c r="G295"/>
      <c r="H295"/>
      <c r="I295"/>
      <c r="N295"/>
      <c r="S295"/>
      <c r="T295"/>
      <c r="U295"/>
      <c r="V295"/>
      <c r="W295"/>
      <c r="X295"/>
      <c r="Y295"/>
      <c r="Z295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ht="16" x14ac:dyDescent="0.2">
      <c r="A296" s="8"/>
      <c r="B296" s="4"/>
      <c r="C296" s="4"/>
      <c r="D296" s="4"/>
      <c r="E296"/>
      <c r="F296"/>
      <c r="G296"/>
      <c r="H296"/>
      <c r="I296"/>
      <c r="N296"/>
      <c r="S296"/>
      <c r="T296"/>
      <c r="U296"/>
      <c r="V296"/>
      <c r="W296"/>
      <c r="X296"/>
      <c r="Y296"/>
      <c r="Z296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1:35" ht="16" x14ac:dyDescent="0.2">
      <c r="A297" s="8"/>
      <c r="B297" s="4"/>
      <c r="C297" s="4"/>
      <c r="D297" s="4"/>
      <c r="E297"/>
      <c r="F297"/>
      <c r="G297"/>
      <c r="H297"/>
      <c r="I297"/>
      <c r="N297"/>
      <c r="S297"/>
      <c r="T297"/>
      <c r="U297"/>
      <c r="V297"/>
      <c r="W297"/>
      <c r="X297"/>
      <c r="Y297"/>
      <c r="Z297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1:35" ht="16" x14ac:dyDescent="0.2">
      <c r="A298" s="8"/>
      <c r="B298" s="4"/>
      <c r="C298" s="4"/>
      <c r="D298" s="4"/>
      <c r="E298"/>
      <c r="F298"/>
      <c r="G298"/>
      <c r="H298"/>
      <c r="I298"/>
      <c r="N298"/>
      <c r="S298"/>
      <c r="T298"/>
      <c r="U298"/>
      <c r="V298"/>
      <c r="W298"/>
      <c r="X298"/>
      <c r="Y298"/>
      <c r="Z298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ht="16" x14ac:dyDescent="0.2">
      <c r="A299" s="8"/>
      <c r="B299" s="4"/>
      <c r="C299" s="4"/>
      <c r="D299" s="4"/>
      <c r="E299"/>
      <c r="F299"/>
      <c r="G299"/>
      <c r="H299"/>
      <c r="I299"/>
      <c r="N299"/>
      <c r="S299"/>
      <c r="T299"/>
      <c r="U299"/>
      <c r="V299"/>
      <c r="W299"/>
      <c r="X299"/>
      <c r="Y299"/>
      <c r="Z299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ht="16" x14ac:dyDescent="0.2">
      <c r="A300" s="8"/>
      <c r="B300" s="4"/>
      <c r="C300" s="4"/>
      <c r="D300" s="4"/>
      <c r="E300"/>
      <c r="F300"/>
      <c r="G300"/>
      <c r="H300"/>
      <c r="I300"/>
      <c r="N300"/>
      <c r="S300"/>
      <c r="T300"/>
      <c r="U300"/>
      <c r="V300"/>
      <c r="W300"/>
      <c r="X300"/>
      <c r="Y300"/>
      <c r="Z300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1:35" ht="16" x14ac:dyDescent="0.2">
      <c r="A301" s="8"/>
      <c r="B301" s="4"/>
      <c r="C301" s="4"/>
      <c r="D301" s="4"/>
      <c r="E301"/>
      <c r="F301"/>
      <c r="G301"/>
      <c r="H301"/>
      <c r="I301"/>
      <c r="N301"/>
      <c r="S301"/>
      <c r="T301"/>
      <c r="U301"/>
      <c r="V301"/>
      <c r="W301"/>
      <c r="X301"/>
      <c r="Y301"/>
      <c r="Z301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1:35" ht="16" x14ac:dyDescent="0.2">
      <c r="A302" s="8"/>
      <c r="B302" s="4"/>
      <c r="C302" s="4"/>
      <c r="D302" s="4"/>
      <c r="E302"/>
      <c r="F302"/>
      <c r="G302"/>
      <c r="H302"/>
      <c r="I302"/>
      <c r="N302"/>
      <c r="S302"/>
      <c r="T302"/>
      <c r="U302"/>
      <c r="V302"/>
      <c r="W302"/>
      <c r="X302"/>
      <c r="Y302"/>
      <c r="Z302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1:35" ht="16" x14ac:dyDescent="0.2">
      <c r="A303" s="8"/>
      <c r="B303" s="4"/>
      <c r="C303" s="4"/>
      <c r="D303" s="4"/>
      <c r="E303"/>
      <c r="F303"/>
      <c r="G303"/>
      <c r="H303"/>
      <c r="I303"/>
      <c r="N303"/>
      <c r="S303"/>
      <c r="T303"/>
      <c r="U303"/>
      <c r="V303"/>
      <c r="W303"/>
      <c r="X303"/>
      <c r="Y303"/>
      <c r="Z303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1:35" ht="16" x14ac:dyDescent="0.2">
      <c r="A304" s="8"/>
      <c r="B304" s="4"/>
      <c r="C304" s="4"/>
      <c r="D304" s="4"/>
      <c r="E304"/>
      <c r="F304"/>
      <c r="G304"/>
      <c r="H304"/>
      <c r="I304"/>
      <c r="N304"/>
      <c r="S304"/>
      <c r="T304"/>
      <c r="U304"/>
      <c r="V304"/>
      <c r="W304"/>
      <c r="X304"/>
      <c r="Y304"/>
      <c r="Z30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1:35" ht="16" x14ac:dyDescent="0.2">
      <c r="A305" s="8"/>
      <c r="B305" s="4"/>
      <c r="C305" s="4"/>
      <c r="D305" s="4"/>
      <c r="E305"/>
      <c r="F305"/>
      <c r="G305"/>
      <c r="H305"/>
      <c r="I305"/>
      <c r="N305"/>
      <c r="S305"/>
      <c r="T305"/>
      <c r="U305"/>
      <c r="V305"/>
      <c r="W305"/>
      <c r="X305"/>
      <c r="Y305"/>
      <c r="Z305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1:35" ht="16" x14ac:dyDescent="0.2">
      <c r="A306" s="8"/>
      <c r="B306" s="4"/>
      <c r="C306" s="4"/>
      <c r="D306" s="4"/>
      <c r="E306"/>
      <c r="F306"/>
      <c r="G306"/>
      <c r="H306"/>
      <c r="I306"/>
      <c r="N306"/>
      <c r="S306"/>
      <c r="T306"/>
      <c r="U306"/>
      <c r="V306"/>
      <c r="W306"/>
      <c r="X306"/>
      <c r="Y306"/>
      <c r="Z306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1:35" ht="16" x14ac:dyDescent="0.2">
      <c r="A307" s="8"/>
      <c r="B307" s="4"/>
      <c r="C307" s="4"/>
      <c r="D307" s="4"/>
      <c r="E307"/>
      <c r="F307"/>
      <c r="G307"/>
      <c r="H307"/>
      <c r="I307"/>
      <c r="N307"/>
      <c r="S307"/>
      <c r="T307"/>
      <c r="U307"/>
      <c r="V307"/>
      <c r="W307"/>
      <c r="X307"/>
      <c r="Y307"/>
      <c r="Z307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1:35" ht="16" x14ac:dyDescent="0.2">
      <c r="A308" s="8"/>
      <c r="B308" s="4"/>
      <c r="C308" s="4"/>
      <c r="D308" s="4"/>
      <c r="E308"/>
      <c r="F308"/>
      <c r="G308"/>
      <c r="H308"/>
      <c r="I308"/>
      <c r="N308"/>
      <c r="S308"/>
      <c r="T308"/>
      <c r="U308"/>
      <c r="V308"/>
      <c r="W308"/>
      <c r="X308"/>
      <c r="Y308"/>
      <c r="Z308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1:35" ht="16" x14ac:dyDescent="0.2">
      <c r="A309" s="8"/>
      <c r="B309" s="4"/>
      <c r="C309" s="4"/>
      <c r="D309" s="4"/>
      <c r="E309"/>
      <c r="F309"/>
      <c r="G309"/>
      <c r="H309"/>
      <c r="I309"/>
      <c r="N309"/>
      <c r="S309"/>
      <c r="T309"/>
      <c r="U309"/>
      <c r="V309"/>
      <c r="W309"/>
      <c r="X309"/>
      <c r="Y309"/>
      <c r="Z309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1:35" ht="16" x14ac:dyDescent="0.2">
      <c r="A310" s="8"/>
      <c r="B310" s="4"/>
      <c r="C310" s="4"/>
      <c r="D310" s="4"/>
      <c r="E310"/>
      <c r="F310"/>
      <c r="G310"/>
      <c r="H310"/>
      <c r="I310"/>
      <c r="N310"/>
      <c r="S310"/>
      <c r="T310"/>
      <c r="U310"/>
      <c r="V310"/>
      <c r="W310"/>
      <c r="X310"/>
      <c r="Y310"/>
      <c r="Z310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1:35" ht="16" x14ac:dyDescent="0.2">
      <c r="A311" s="8"/>
      <c r="B311" s="4"/>
      <c r="C311" s="4"/>
      <c r="D311" s="4"/>
      <c r="E311"/>
      <c r="F311"/>
      <c r="G311"/>
      <c r="H311"/>
      <c r="I311"/>
      <c r="N311"/>
      <c r="S311"/>
      <c r="T311"/>
      <c r="U311"/>
      <c r="V311"/>
      <c r="W311"/>
      <c r="X311"/>
      <c r="Y311"/>
      <c r="Z311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1:35" ht="16" x14ac:dyDescent="0.2">
      <c r="A312" s="8"/>
      <c r="B312" s="4"/>
      <c r="C312" s="4"/>
      <c r="D312" s="4"/>
      <c r="E312"/>
      <c r="F312"/>
      <c r="G312"/>
      <c r="H312"/>
      <c r="I312"/>
      <c r="N312"/>
      <c r="S312"/>
      <c r="T312"/>
      <c r="U312"/>
      <c r="V312"/>
      <c r="W312"/>
      <c r="X312"/>
      <c r="Y312"/>
      <c r="Z312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ht="16" x14ac:dyDescent="0.2">
      <c r="A313" s="8"/>
      <c r="B313" s="4"/>
      <c r="C313" s="4"/>
      <c r="D313" s="4"/>
      <c r="E313"/>
      <c r="F313"/>
      <c r="G313"/>
      <c r="H313"/>
      <c r="I313"/>
      <c r="N313"/>
      <c r="S313"/>
      <c r="T313"/>
      <c r="U313"/>
      <c r="V313"/>
      <c r="W313"/>
      <c r="X313"/>
      <c r="Y313"/>
      <c r="Z313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ht="16" x14ac:dyDescent="0.2">
      <c r="A314" s="8"/>
      <c r="B314" s="4"/>
      <c r="C314" s="4"/>
      <c r="D314" s="4"/>
      <c r="E314"/>
      <c r="F314"/>
      <c r="G314"/>
      <c r="H314"/>
      <c r="I314"/>
      <c r="N314"/>
      <c r="S314"/>
      <c r="T314"/>
      <c r="U314"/>
      <c r="V314"/>
      <c r="W314"/>
      <c r="X314"/>
      <c r="Y314"/>
      <c r="Z31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1:35" ht="16" x14ac:dyDescent="0.2">
      <c r="A315" s="8"/>
      <c r="B315" s="4"/>
      <c r="C315" s="4"/>
      <c r="D315" s="4"/>
      <c r="E315"/>
      <c r="F315"/>
      <c r="G315"/>
      <c r="H315"/>
      <c r="I315"/>
      <c r="N315"/>
      <c r="S315"/>
      <c r="T315"/>
      <c r="U315"/>
      <c r="V315"/>
      <c r="W315"/>
      <c r="X315"/>
      <c r="Y315"/>
      <c r="Z315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1:35" ht="16" x14ac:dyDescent="0.2">
      <c r="A316" s="8"/>
      <c r="B316" s="4"/>
      <c r="C316" s="4"/>
      <c r="D316" s="4"/>
      <c r="E316"/>
      <c r="F316"/>
      <c r="G316"/>
      <c r="H316"/>
      <c r="I316"/>
      <c r="N316"/>
      <c r="S316"/>
      <c r="T316"/>
      <c r="U316"/>
      <c r="V316"/>
      <c r="W316"/>
      <c r="X316"/>
      <c r="Y316"/>
      <c r="Z316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ht="16" x14ac:dyDescent="0.2">
      <c r="A317" s="8"/>
      <c r="B317" s="4"/>
      <c r="C317" s="4"/>
      <c r="D317" s="4"/>
      <c r="E317"/>
      <c r="F317"/>
      <c r="G317"/>
      <c r="H317"/>
      <c r="I317"/>
      <c r="N317"/>
      <c r="S317"/>
      <c r="T317"/>
      <c r="U317"/>
      <c r="V317"/>
      <c r="W317"/>
      <c r="X317"/>
      <c r="Y317"/>
      <c r="Z317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ht="16" x14ac:dyDescent="0.2">
      <c r="A318" s="8"/>
      <c r="B318" s="4"/>
      <c r="C318" s="4"/>
      <c r="D318" s="4"/>
      <c r="E318"/>
      <c r="F318"/>
      <c r="G318"/>
      <c r="H318"/>
      <c r="I318"/>
      <c r="N318"/>
      <c r="S318"/>
      <c r="T318"/>
      <c r="U318"/>
      <c r="V318"/>
      <c r="W318"/>
      <c r="X318"/>
      <c r="Y318"/>
      <c r="Z318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1:35" ht="16" x14ac:dyDescent="0.2">
      <c r="A319" s="8"/>
      <c r="B319" s="4"/>
      <c r="C319" s="4"/>
      <c r="D319" s="4"/>
      <c r="E319"/>
      <c r="F319"/>
      <c r="G319"/>
      <c r="H319"/>
      <c r="I319"/>
      <c r="N319"/>
      <c r="S319"/>
      <c r="T319"/>
      <c r="U319"/>
      <c r="V319"/>
      <c r="W319"/>
      <c r="X319"/>
      <c r="Y319"/>
      <c r="Z319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1:35" ht="16" x14ac:dyDescent="0.2">
      <c r="A320" s="8"/>
      <c r="B320" s="4"/>
      <c r="C320" s="4"/>
      <c r="D320" s="4"/>
      <c r="E320"/>
      <c r="F320"/>
      <c r="G320"/>
      <c r="H320"/>
      <c r="I320"/>
      <c r="N320"/>
      <c r="S320"/>
      <c r="T320"/>
      <c r="U320"/>
      <c r="V320"/>
      <c r="W320"/>
      <c r="X320"/>
      <c r="Y320"/>
      <c r="Z320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ht="16" x14ac:dyDescent="0.2">
      <c r="A321" s="8"/>
      <c r="B321" s="4"/>
      <c r="C321" s="4"/>
      <c r="D321" s="4"/>
      <c r="E321"/>
      <c r="F321"/>
      <c r="G321"/>
      <c r="H321"/>
      <c r="I321"/>
      <c r="N321"/>
      <c r="S321"/>
      <c r="T321"/>
      <c r="U321"/>
      <c r="V321"/>
      <c r="W321"/>
      <c r="X321"/>
      <c r="Y321"/>
      <c r="Z321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ht="16" x14ac:dyDescent="0.2">
      <c r="A322" s="8"/>
      <c r="B322" s="4"/>
      <c r="C322" s="4"/>
      <c r="D322" s="4"/>
      <c r="E322"/>
      <c r="F322"/>
      <c r="G322"/>
      <c r="H322"/>
      <c r="I322"/>
      <c r="N322"/>
      <c r="S322"/>
      <c r="T322"/>
      <c r="U322"/>
      <c r="V322"/>
      <c r="W322"/>
      <c r="X322"/>
      <c r="Y322"/>
      <c r="Z322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ht="16" x14ac:dyDescent="0.2">
      <c r="A323" s="8"/>
      <c r="B323" s="4"/>
      <c r="C323" s="4"/>
      <c r="D323" s="4"/>
      <c r="E323"/>
      <c r="F323"/>
      <c r="G323"/>
      <c r="H323"/>
      <c r="I323"/>
      <c r="N323"/>
      <c r="S323"/>
      <c r="T323"/>
      <c r="U323"/>
      <c r="V323"/>
      <c r="W323"/>
      <c r="X323"/>
      <c r="Y323"/>
      <c r="Z323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ht="16" x14ac:dyDescent="0.2">
      <c r="A324" s="8"/>
      <c r="B324" s="4"/>
      <c r="C324" s="4"/>
      <c r="D324" s="4"/>
      <c r="E324"/>
      <c r="F324"/>
      <c r="G324"/>
      <c r="H324"/>
      <c r="I324"/>
      <c r="N324"/>
      <c r="S324"/>
      <c r="T324"/>
      <c r="U324"/>
      <c r="V324"/>
      <c r="W324"/>
      <c r="X324"/>
      <c r="Y324"/>
      <c r="Z32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1:35" ht="16" x14ac:dyDescent="0.2">
      <c r="A325" s="8"/>
      <c r="B325" s="4"/>
      <c r="C325" s="4"/>
      <c r="D325" s="4"/>
      <c r="E325"/>
      <c r="F325"/>
      <c r="G325"/>
      <c r="H325"/>
      <c r="I325"/>
      <c r="N325"/>
      <c r="S325"/>
      <c r="T325"/>
      <c r="U325"/>
      <c r="V325"/>
      <c r="W325"/>
      <c r="X325"/>
      <c r="Y325"/>
      <c r="Z325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1:35" ht="16" x14ac:dyDescent="0.2">
      <c r="A326" s="8"/>
      <c r="B326" s="4"/>
      <c r="C326" s="4"/>
      <c r="D326" s="4"/>
      <c r="E326"/>
      <c r="F326"/>
      <c r="G326"/>
      <c r="H326"/>
      <c r="I326"/>
      <c r="N326"/>
      <c r="S326"/>
      <c r="T326"/>
      <c r="U326"/>
      <c r="V326"/>
      <c r="W326"/>
      <c r="X326"/>
      <c r="Y326"/>
      <c r="Z326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1:35" ht="16" x14ac:dyDescent="0.2">
      <c r="A327" s="8"/>
      <c r="B327" s="4"/>
      <c r="C327" s="4"/>
      <c r="D327" s="4"/>
      <c r="E327"/>
      <c r="F327"/>
      <c r="G327"/>
      <c r="H327"/>
      <c r="I327"/>
      <c r="N327"/>
      <c r="S327"/>
      <c r="T327"/>
      <c r="U327"/>
      <c r="V327"/>
      <c r="W327"/>
      <c r="X327"/>
      <c r="Y327"/>
      <c r="Z327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ht="16" x14ac:dyDescent="0.2">
      <c r="A328" s="8"/>
      <c r="B328" s="4"/>
      <c r="C328" s="4"/>
      <c r="D328" s="4"/>
      <c r="E328"/>
      <c r="F328"/>
      <c r="G328"/>
      <c r="H328"/>
      <c r="I328"/>
      <c r="N328"/>
      <c r="S328"/>
      <c r="T328"/>
      <c r="U328"/>
      <c r="V328"/>
      <c r="W328"/>
      <c r="X328"/>
      <c r="Y328"/>
      <c r="Z328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ht="16" x14ac:dyDescent="0.2">
      <c r="A329" s="8"/>
      <c r="B329" s="4"/>
      <c r="C329" s="4"/>
      <c r="D329" s="4"/>
      <c r="E329"/>
      <c r="F329"/>
      <c r="G329"/>
      <c r="H329"/>
      <c r="I329"/>
      <c r="N329"/>
      <c r="S329"/>
      <c r="T329"/>
      <c r="U329"/>
      <c r="V329"/>
      <c r="W329"/>
      <c r="X329"/>
      <c r="Y329"/>
      <c r="Z329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1:35" ht="16" x14ac:dyDescent="0.2">
      <c r="A330" s="8"/>
      <c r="B330" s="4"/>
      <c r="C330" s="4"/>
      <c r="D330" s="4"/>
      <c r="E330"/>
      <c r="F330"/>
      <c r="G330"/>
      <c r="H330"/>
      <c r="I330"/>
      <c r="N330"/>
      <c r="S330"/>
      <c r="T330"/>
      <c r="U330"/>
      <c r="V330"/>
      <c r="W330"/>
      <c r="X330"/>
      <c r="Y330"/>
      <c r="Z330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1:35" ht="16" x14ac:dyDescent="0.2">
      <c r="A331" s="8"/>
      <c r="B331" s="4"/>
      <c r="C331" s="4"/>
      <c r="D331" s="4"/>
      <c r="E331"/>
      <c r="F331"/>
      <c r="G331"/>
      <c r="H331"/>
      <c r="I331"/>
      <c r="N331"/>
      <c r="S331"/>
      <c r="T331"/>
      <c r="U331"/>
      <c r="V331"/>
      <c r="W331"/>
      <c r="X331"/>
      <c r="Y331"/>
      <c r="Z331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ht="16" x14ac:dyDescent="0.2">
      <c r="A332" s="8"/>
      <c r="B332" s="4"/>
      <c r="C332" s="4"/>
      <c r="D332" s="4"/>
      <c r="E332"/>
      <c r="F332"/>
      <c r="G332"/>
      <c r="H332"/>
      <c r="I332"/>
      <c r="N332"/>
      <c r="S332"/>
      <c r="T332"/>
      <c r="U332"/>
      <c r="V332"/>
      <c r="W332"/>
      <c r="X332"/>
      <c r="Y332"/>
      <c r="Z332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1:35" ht="16" x14ac:dyDescent="0.2">
      <c r="A333" s="8"/>
      <c r="B333" s="4"/>
      <c r="C333" s="4"/>
      <c r="D333" s="4"/>
      <c r="E333"/>
      <c r="F333"/>
      <c r="G333"/>
      <c r="H333"/>
      <c r="I333"/>
      <c r="N333"/>
      <c r="S333"/>
      <c r="T333"/>
      <c r="U333"/>
      <c r="V333"/>
      <c r="W333"/>
      <c r="X333"/>
      <c r="Y333"/>
      <c r="Z333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1:35" ht="16" x14ac:dyDescent="0.2">
      <c r="A334" s="8"/>
      <c r="B334" s="4"/>
      <c r="C334" s="4"/>
      <c r="D334" s="4"/>
      <c r="E334"/>
      <c r="F334"/>
      <c r="G334"/>
      <c r="H334"/>
      <c r="I334"/>
      <c r="N334"/>
      <c r="S334"/>
      <c r="T334"/>
      <c r="U334"/>
      <c r="V334"/>
      <c r="W334"/>
      <c r="X334"/>
      <c r="Y334"/>
      <c r="Z33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1:35" ht="16" x14ac:dyDescent="0.2">
      <c r="A335" s="8"/>
      <c r="B335" s="4"/>
      <c r="C335" s="4"/>
      <c r="D335" s="4"/>
      <c r="E335"/>
      <c r="F335"/>
      <c r="G335"/>
      <c r="H335"/>
      <c r="I335"/>
      <c r="N335"/>
      <c r="S335"/>
      <c r="T335"/>
      <c r="U335"/>
      <c r="V335"/>
      <c r="W335"/>
      <c r="X335"/>
      <c r="Y335"/>
      <c r="Z335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1:35" ht="16" x14ac:dyDescent="0.2">
      <c r="A336" s="8"/>
      <c r="B336" s="4"/>
      <c r="C336" s="4"/>
      <c r="D336" s="4"/>
      <c r="E336"/>
      <c r="F336"/>
      <c r="G336"/>
      <c r="H336"/>
      <c r="I336"/>
      <c r="N336"/>
      <c r="S336"/>
      <c r="T336"/>
      <c r="U336"/>
      <c r="V336"/>
      <c r="W336"/>
      <c r="X336"/>
      <c r="Y336"/>
      <c r="Z336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ht="16" x14ac:dyDescent="0.2">
      <c r="A337" s="8"/>
      <c r="B337" s="4"/>
      <c r="C337" s="4"/>
      <c r="D337" s="4"/>
      <c r="E337"/>
      <c r="F337"/>
      <c r="G337"/>
      <c r="H337"/>
      <c r="I337"/>
      <c r="N337"/>
      <c r="S337"/>
      <c r="T337"/>
      <c r="U337"/>
      <c r="V337"/>
      <c r="W337"/>
      <c r="X337"/>
      <c r="Y337"/>
      <c r="Z337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1:35" ht="16" x14ac:dyDescent="0.2">
      <c r="A338" s="8"/>
      <c r="B338" s="4"/>
      <c r="C338" s="4"/>
      <c r="D338" s="4"/>
      <c r="E338"/>
      <c r="F338"/>
      <c r="G338"/>
      <c r="H338"/>
      <c r="I338"/>
      <c r="N338"/>
      <c r="S338"/>
      <c r="T338"/>
      <c r="U338"/>
      <c r="V338"/>
      <c r="W338"/>
      <c r="X338"/>
      <c r="Y338"/>
      <c r="Z338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1:35" ht="16" x14ac:dyDescent="0.2">
      <c r="A339" s="8"/>
      <c r="B339" s="4"/>
      <c r="C339" s="4"/>
      <c r="D339" s="4"/>
      <c r="E339"/>
      <c r="F339"/>
      <c r="G339"/>
      <c r="H339"/>
      <c r="I339"/>
      <c r="N339"/>
      <c r="S339"/>
      <c r="T339"/>
      <c r="U339"/>
      <c r="V339"/>
      <c r="W339"/>
      <c r="X339"/>
      <c r="Y339"/>
      <c r="Z339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1:35" ht="16" x14ac:dyDescent="0.2">
      <c r="A340" s="8"/>
      <c r="B340" s="4"/>
      <c r="C340" s="4"/>
      <c r="D340" s="4"/>
      <c r="E340"/>
      <c r="F340"/>
      <c r="G340"/>
      <c r="H340"/>
      <c r="I340"/>
      <c r="N340"/>
      <c r="S340"/>
      <c r="T340"/>
      <c r="U340"/>
      <c r="V340"/>
      <c r="W340"/>
      <c r="X340"/>
      <c r="Y340"/>
      <c r="Z340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1:35" ht="16" x14ac:dyDescent="0.2">
      <c r="A341" s="8"/>
      <c r="B341" s="4"/>
      <c r="C341" s="4"/>
      <c r="D341" s="4"/>
      <c r="E341"/>
      <c r="F341"/>
      <c r="G341"/>
      <c r="H341"/>
      <c r="I341"/>
      <c r="N341"/>
      <c r="S341"/>
      <c r="T341"/>
      <c r="U341"/>
      <c r="V341"/>
      <c r="W341"/>
      <c r="X341"/>
      <c r="Y341"/>
      <c r="Z341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1:35" ht="16" x14ac:dyDescent="0.2">
      <c r="A342" s="8"/>
      <c r="B342" s="4"/>
      <c r="C342" s="4"/>
      <c r="D342" s="4"/>
      <c r="E342"/>
      <c r="F342"/>
      <c r="G342"/>
      <c r="H342"/>
      <c r="I342"/>
      <c r="N342"/>
      <c r="S342"/>
      <c r="T342"/>
      <c r="U342"/>
      <c r="V342"/>
      <c r="W342"/>
      <c r="X342"/>
      <c r="Y342"/>
      <c r="Z342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1:35" ht="16" x14ac:dyDescent="0.2">
      <c r="A343" s="8"/>
      <c r="B343" s="4"/>
      <c r="C343" s="4"/>
      <c r="D343" s="4"/>
      <c r="E343"/>
      <c r="F343"/>
      <c r="G343"/>
      <c r="H343"/>
      <c r="I343"/>
      <c r="N343"/>
      <c r="S343"/>
      <c r="T343"/>
      <c r="U343"/>
      <c r="V343"/>
      <c r="W343"/>
      <c r="X343"/>
      <c r="Y343"/>
      <c r="Z343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1:35" ht="16" x14ac:dyDescent="0.2">
      <c r="A344" s="8"/>
      <c r="B344" s="4"/>
      <c r="C344" s="4"/>
      <c r="D344" s="4"/>
      <c r="E344"/>
      <c r="F344"/>
      <c r="G344"/>
      <c r="H344"/>
      <c r="I344"/>
      <c r="N344"/>
      <c r="S344"/>
      <c r="T344"/>
      <c r="U344"/>
      <c r="V344"/>
      <c r="W344"/>
      <c r="X344"/>
      <c r="Y344"/>
      <c r="Z34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1:35" ht="16" x14ac:dyDescent="0.2">
      <c r="A345" s="8"/>
      <c r="B345" s="4"/>
      <c r="C345" s="4"/>
      <c r="D345" s="4"/>
      <c r="E345"/>
      <c r="F345"/>
      <c r="G345"/>
      <c r="H345"/>
      <c r="I345"/>
      <c r="N345"/>
      <c r="S345"/>
      <c r="T345"/>
      <c r="U345"/>
      <c r="V345"/>
      <c r="W345"/>
      <c r="X345"/>
      <c r="Y345"/>
      <c r="Z345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ht="16" x14ac:dyDescent="0.2">
      <c r="A346" s="8"/>
      <c r="B346" s="4"/>
      <c r="C346" s="4"/>
      <c r="D346" s="4"/>
      <c r="E346"/>
      <c r="F346"/>
      <c r="G346"/>
      <c r="H346"/>
      <c r="I346"/>
      <c r="N346"/>
      <c r="S346"/>
      <c r="T346"/>
      <c r="U346"/>
      <c r="V346"/>
      <c r="W346"/>
      <c r="X346"/>
      <c r="Y346"/>
      <c r="Z346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ht="16" x14ac:dyDescent="0.2">
      <c r="A347" s="8"/>
      <c r="B347" s="4"/>
      <c r="C347" s="4"/>
      <c r="D347" s="4"/>
      <c r="E347"/>
      <c r="F347"/>
      <c r="G347"/>
      <c r="H347"/>
      <c r="I347"/>
      <c r="N347"/>
      <c r="S347"/>
      <c r="T347"/>
      <c r="U347"/>
      <c r="V347"/>
      <c r="W347"/>
      <c r="X347"/>
      <c r="Y347"/>
      <c r="Z347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ht="16" x14ac:dyDescent="0.2">
      <c r="A348" s="8"/>
      <c r="B348" s="4"/>
      <c r="C348" s="4"/>
      <c r="D348" s="4"/>
      <c r="E348"/>
      <c r="F348"/>
      <c r="G348"/>
      <c r="H348"/>
      <c r="I348"/>
      <c r="N348"/>
      <c r="S348"/>
      <c r="T348"/>
      <c r="U348"/>
      <c r="V348"/>
      <c r="W348"/>
      <c r="X348"/>
      <c r="Y348"/>
      <c r="Z348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ht="16" x14ac:dyDescent="0.2">
      <c r="A349" s="8"/>
      <c r="B349" s="4"/>
      <c r="C349" s="4"/>
      <c r="D349" s="4"/>
      <c r="E349"/>
      <c r="F349"/>
      <c r="G349"/>
      <c r="H349"/>
      <c r="I349"/>
      <c r="N349"/>
      <c r="S349"/>
      <c r="T349"/>
      <c r="U349"/>
      <c r="V349"/>
      <c r="W349"/>
      <c r="X349"/>
      <c r="Y349"/>
      <c r="Z349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ht="16" x14ac:dyDescent="0.2">
      <c r="A350" s="8"/>
      <c r="B350" s="4"/>
      <c r="C350" s="4"/>
      <c r="D350" s="4"/>
      <c r="E350"/>
      <c r="F350"/>
      <c r="G350"/>
      <c r="H350"/>
      <c r="I350"/>
      <c r="N350"/>
      <c r="S350"/>
      <c r="T350"/>
      <c r="U350"/>
      <c r="V350"/>
      <c r="W350"/>
      <c r="X350"/>
      <c r="Y350"/>
      <c r="Z350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ht="16" x14ac:dyDescent="0.2">
      <c r="A351" s="8"/>
      <c r="B351" s="4"/>
      <c r="C351" s="4"/>
      <c r="D351" s="4"/>
      <c r="E351"/>
      <c r="F351"/>
      <c r="G351"/>
      <c r="H351"/>
      <c r="I351"/>
      <c r="N351"/>
      <c r="S351"/>
      <c r="T351"/>
      <c r="U351"/>
      <c r="V351"/>
      <c r="W351"/>
      <c r="X351"/>
      <c r="Y351"/>
      <c r="Z351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1:35" ht="16" x14ac:dyDescent="0.2">
      <c r="A352" s="8"/>
      <c r="B352" s="4"/>
      <c r="C352" s="4"/>
      <c r="D352" s="4"/>
      <c r="E352"/>
      <c r="F352"/>
      <c r="G352"/>
      <c r="H352"/>
      <c r="I352"/>
      <c r="N352"/>
      <c r="S352"/>
      <c r="T352"/>
      <c r="U352"/>
      <c r="V352"/>
      <c r="W352"/>
      <c r="X352"/>
      <c r="Y352"/>
      <c r="Z352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ht="16" x14ac:dyDescent="0.2">
      <c r="A353" s="8"/>
      <c r="B353" s="4"/>
      <c r="C353" s="4"/>
      <c r="D353" s="4"/>
      <c r="E353"/>
      <c r="F353"/>
      <c r="G353"/>
      <c r="H353"/>
      <c r="I353"/>
      <c r="N353"/>
      <c r="S353"/>
      <c r="T353"/>
      <c r="U353"/>
      <c r="V353"/>
      <c r="W353"/>
      <c r="X353"/>
      <c r="Y353"/>
      <c r="Z353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ht="16" x14ac:dyDescent="0.2">
      <c r="A354" s="8"/>
      <c r="B354" s="4"/>
      <c r="C354" s="4"/>
      <c r="D354" s="4"/>
      <c r="E354"/>
      <c r="F354"/>
      <c r="G354"/>
      <c r="H354"/>
      <c r="I354"/>
      <c r="N354"/>
      <c r="S354"/>
      <c r="T354"/>
      <c r="U354"/>
      <c r="V354"/>
      <c r="W354"/>
      <c r="X354"/>
      <c r="Y354"/>
      <c r="Z35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1:35" ht="16" x14ac:dyDescent="0.2">
      <c r="A355" s="8"/>
      <c r="B355" s="4"/>
      <c r="C355" s="4"/>
      <c r="D355" s="4"/>
      <c r="E355"/>
      <c r="F355"/>
      <c r="G355"/>
      <c r="H355"/>
      <c r="I355"/>
      <c r="N355"/>
      <c r="S355"/>
      <c r="T355"/>
      <c r="U355"/>
      <c r="V355"/>
      <c r="W355"/>
      <c r="X355"/>
      <c r="Y355"/>
      <c r="Z355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1:35" ht="16" x14ac:dyDescent="0.2">
      <c r="A356" s="8"/>
      <c r="B356" s="4"/>
      <c r="C356" s="4"/>
      <c r="D356" s="4"/>
      <c r="E356"/>
      <c r="F356"/>
      <c r="G356"/>
      <c r="H356"/>
      <c r="I356"/>
      <c r="N356"/>
      <c r="S356"/>
      <c r="T356"/>
      <c r="U356"/>
      <c r="V356"/>
      <c r="W356"/>
      <c r="X356"/>
      <c r="Y356"/>
      <c r="Z356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1:35" ht="16" x14ac:dyDescent="0.2">
      <c r="A357" s="8"/>
      <c r="B357" s="4"/>
      <c r="C357" s="4"/>
      <c r="D357" s="4"/>
      <c r="E357"/>
      <c r="F357"/>
      <c r="G357"/>
      <c r="H357"/>
      <c r="I357"/>
      <c r="N357"/>
      <c r="S357"/>
      <c r="T357"/>
      <c r="U357"/>
      <c r="V357"/>
      <c r="W357"/>
      <c r="X357"/>
      <c r="Y357"/>
      <c r="Z357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1:35" ht="16" x14ac:dyDescent="0.2">
      <c r="A358" s="8"/>
      <c r="B358" s="4"/>
      <c r="C358" s="4"/>
      <c r="D358" s="4"/>
      <c r="E358"/>
      <c r="F358"/>
      <c r="G358"/>
      <c r="H358"/>
      <c r="I358"/>
      <c r="N358"/>
      <c r="S358"/>
      <c r="T358"/>
      <c r="U358"/>
      <c r="V358"/>
      <c r="W358"/>
      <c r="X358"/>
      <c r="Y358"/>
      <c r="Z358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1:35" ht="16" x14ac:dyDescent="0.2">
      <c r="A359" s="8"/>
      <c r="B359" s="4"/>
      <c r="C359" s="4"/>
      <c r="D359" s="4"/>
      <c r="E359"/>
      <c r="F359"/>
      <c r="G359"/>
      <c r="H359"/>
      <c r="I359"/>
      <c r="N359"/>
      <c r="S359"/>
      <c r="T359"/>
      <c r="U359"/>
      <c r="V359"/>
      <c r="W359"/>
      <c r="X359"/>
      <c r="Y359"/>
      <c r="Z359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1:35" ht="16" x14ac:dyDescent="0.2">
      <c r="A360" s="8"/>
      <c r="B360" s="4"/>
      <c r="C360" s="4"/>
      <c r="D360" s="4"/>
      <c r="E360"/>
      <c r="F360"/>
      <c r="G360"/>
      <c r="H360"/>
      <c r="I360"/>
      <c r="N360"/>
      <c r="S360"/>
      <c r="T360"/>
      <c r="U360"/>
      <c r="V360"/>
      <c r="W360"/>
      <c r="X360"/>
      <c r="Y360"/>
      <c r="Z360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1:35" ht="16" x14ac:dyDescent="0.2">
      <c r="A361" s="8"/>
      <c r="B361" s="4"/>
      <c r="C361" s="4"/>
      <c r="D361" s="4"/>
      <c r="E361"/>
      <c r="F361"/>
      <c r="G361"/>
      <c r="H361"/>
      <c r="I361"/>
      <c r="N361"/>
      <c r="S361"/>
      <c r="T361"/>
      <c r="U361"/>
      <c r="V361"/>
      <c r="W361"/>
      <c r="X361"/>
      <c r="Y361"/>
      <c r="Z361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1:35" ht="16" x14ac:dyDescent="0.2">
      <c r="A362" s="8"/>
      <c r="B362" s="4"/>
      <c r="C362" s="4"/>
      <c r="D362" s="4"/>
      <c r="E362"/>
      <c r="F362"/>
      <c r="G362"/>
      <c r="H362"/>
      <c r="I362"/>
      <c r="N362"/>
      <c r="S362"/>
      <c r="T362"/>
      <c r="U362"/>
      <c r="V362"/>
      <c r="W362"/>
      <c r="X362"/>
      <c r="Y362"/>
      <c r="Z362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1:35" ht="16" x14ac:dyDescent="0.2">
      <c r="A363" s="8"/>
      <c r="B363" s="4"/>
      <c r="C363" s="4"/>
      <c r="D363" s="4"/>
      <c r="E363"/>
      <c r="F363"/>
      <c r="G363"/>
      <c r="H363"/>
      <c r="I363"/>
      <c r="N363"/>
      <c r="S363"/>
      <c r="T363"/>
      <c r="U363"/>
      <c r="V363"/>
      <c r="W363"/>
      <c r="X363"/>
      <c r="Y363"/>
      <c r="Z363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ht="16" x14ac:dyDescent="0.2">
      <c r="A364" s="8"/>
      <c r="B364" s="4"/>
      <c r="C364" s="4"/>
      <c r="D364" s="4"/>
      <c r="E364"/>
      <c r="F364"/>
      <c r="G364"/>
      <c r="H364"/>
      <c r="I364"/>
      <c r="N364"/>
      <c r="S364"/>
      <c r="T364"/>
      <c r="U364"/>
      <c r="V364"/>
      <c r="W364"/>
      <c r="X364"/>
      <c r="Y364"/>
      <c r="Z36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ht="16" x14ac:dyDescent="0.2">
      <c r="A365" s="8"/>
      <c r="B365" s="4"/>
      <c r="C365" s="4"/>
      <c r="D365" s="4"/>
      <c r="E365"/>
      <c r="F365"/>
      <c r="G365"/>
      <c r="H365"/>
      <c r="I365"/>
      <c r="N365"/>
      <c r="S365"/>
      <c r="T365"/>
      <c r="U365"/>
      <c r="V365"/>
      <c r="W365"/>
      <c r="X365"/>
      <c r="Y365"/>
      <c r="Z365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1:35" ht="16" x14ac:dyDescent="0.2">
      <c r="A366" s="8"/>
      <c r="B366" s="4"/>
      <c r="C366" s="4"/>
      <c r="D366" s="4"/>
      <c r="E366"/>
      <c r="F366"/>
      <c r="G366"/>
      <c r="H366"/>
      <c r="I366"/>
      <c r="N366"/>
      <c r="S366"/>
      <c r="T366"/>
      <c r="U366"/>
      <c r="V366"/>
      <c r="W366"/>
      <c r="X366"/>
      <c r="Y366"/>
      <c r="Z366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1:35" ht="16" x14ac:dyDescent="0.2">
      <c r="A367" s="8"/>
      <c r="B367" s="4"/>
      <c r="C367" s="4"/>
      <c r="D367" s="4"/>
      <c r="E367"/>
      <c r="F367"/>
      <c r="G367"/>
      <c r="H367"/>
      <c r="I367"/>
      <c r="N367"/>
      <c r="S367"/>
      <c r="T367"/>
      <c r="U367"/>
      <c r="V367"/>
      <c r="W367"/>
      <c r="X367"/>
      <c r="Y367"/>
      <c r="Z367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1:35" ht="16" x14ac:dyDescent="0.2">
      <c r="A368" s="8"/>
      <c r="B368" s="4"/>
      <c r="C368" s="4"/>
      <c r="D368" s="4"/>
      <c r="E368"/>
      <c r="F368"/>
      <c r="G368"/>
      <c r="H368"/>
      <c r="I368"/>
      <c r="N368"/>
      <c r="S368"/>
      <c r="T368"/>
      <c r="U368"/>
      <c r="V368"/>
      <c r="W368"/>
      <c r="X368"/>
      <c r="Y368"/>
      <c r="Z368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5" ht="16" x14ac:dyDescent="0.2">
      <c r="A369" s="8"/>
      <c r="B369" s="4"/>
      <c r="C369" s="4"/>
      <c r="D369" s="4"/>
      <c r="E369"/>
      <c r="F369"/>
      <c r="G369"/>
      <c r="H369"/>
      <c r="I369"/>
      <c r="N369"/>
      <c r="S369"/>
      <c r="T369"/>
      <c r="U369"/>
      <c r="V369"/>
      <c r="W369"/>
      <c r="X369"/>
      <c r="Y369"/>
      <c r="Z369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ht="16" x14ac:dyDescent="0.2">
      <c r="A370" s="8"/>
      <c r="B370" s="4"/>
      <c r="C370" s="4"/>
      <c r="D370" s="4"/>
      <c r="E370"/>
      <c r="F370"/>
      <c r="G370"/>
      <c r="H370"/>
      <c r="I370"/>
      <c r="N370"/>
      <c r="S370"/>
      <c r="T370"/>
      <c r="U370"/>
      <c r="V370"/>
      <c r="W370"/>
      <c r="X370"/>
      <c r="Y370"/>
      <c r="Z370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ht="16" x14ac:dyDescent="0.2">
      <c r="A371" s="8"/>
      <c r="B371" s="4"/>
      <c r="C371" s="4"/>
      <c r="D371" s="4"/>
      <c r="E371"/>
      <c r="F371"/>
      <c r="G371"/>
      <c r="H371"/>
      <c r="I371"/>
      <c r="N371"/>
      <c r="S371"/>
      <c r="T371"/>
      <c r="U371"/>
      <c r="V371"/>
      <c r="W371"/>
      <c r="X371"/>
      <c r="Y371"/>
      <c r="Z371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35" ht="16" x14ac:dyDescent="0.2">
      <c r="A372" s="8"/>
      <c r="B372" s="4"/>
      <c r="C372" s="4"/>
      <c r="D372" s="4"/>
      <c r="E372"/>
      <c r="F372"/>
      <c r="G372"/>
      <c r="H372"/>
      <c r="I372"/>
      <c r="N372"/>
      <c r="S372"/>
      <c r="T372"/>
      <c r="U372"/>
      <c r="V372"/>
      <c r="W372"/>
      <c r="X372"/>
      <c r="Y372"/>
      <c r="Z372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35" ht="16" x14ac:dyDescent="0.2">
      <c r="A373" s="8"/>
      <c r="B373" s="4"/>
      <c r="C373" s="4"/>
      <c r="D373" s="4"/>
      <c r="E373"/>
      <c r="F373"/>
      <c r="G373"/>
      <c r="H373"/>
      <c r="I373"/>
      <c r="N373"/>
      <c r="S373"/>
      <c r="T373"/>
      <c r="U373"/>
      <c r="V373"/>
      <c r="W373"/>
      <c r="X373"/>
      <c r="Y373"/>
      <c r="Z373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35" ht="16" x14ac:dyDescent="0.2">
      <c r="A374" s="8"/>
      <c r="B374" s="4"/>
      <c r="C374" s="4"/>
      <c r="D374" s="4"/>
      <c r="E374"/>
      <c r="F374"/>
      <c r="G374"/>
      <c r="H374"/>
      <c r="I374"/>
      <c r="N374"/>
      <c r="S374"/>
      <c r="T374"/>
      <c r="U374"/>
      <c r="V374"/>
      <c r="W374"/>
      <c r="X374"/>
      <c r="Y374"/>
      <c r="Z37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35" ht="16" x14ac:dyDescent="0.2">
      <c r="A375" s="8"/>
      <c r="B375" s="4"/>
      <c r="C375" s="4"/>
      <c r="D375" s="4"/>
      <c r="E375"/>
      <c r="F375"/>
      <c r="G375"/>
      <c r="H375"/>
      <c r="I375"/>
      <c r="N375"/>
      <c r="S375"/>
      <c r="T375"/>
      <c r="U375"/>
      <c r="V375"/>
      <c r="W375"/>
      <c r="X375"/>
      <c r="Y375"/>
      <c r="Z375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35" ht="16" x14ac:dyDescent="0.2">
      <c r="A376" s="8"/>
      <c r="B376" s="4"/>
      <c r="C376" s="4"/>
      <c r="D376" s="4"/>
      <c r="E376"/>
      <c r="F376"/>
      <c r="G376"/>
      <c r="H376"/>
      <c r="I376"/>
      <c r="N376"/>
      <c r="S376"/>
      <c r="T376"/>
      <c r="U376"/>
      <c r="V376"/>
      <c r="W376"/>
      <c r="X376"/>
      <c r="Y376"/>
      <c r="Z376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35" ht="16" x14ac:dyDescent="0.2">
      <c r="A377" s="8"/>
      <c r="B377" s="4"/>
      <c r="C377" s="4"/>
      <c r="D377" s="4"/>
      <c r="E377"/>
      <c r="F377"/>
      <c r="G377"/>
      <c r="H377"/>
      <c r="I377"/>
      <c r="N377"/>
      <c r="S377"/>
      <c r="T377"/>
      <c r="U377"/>
      <c r="V377"/>
      <c r="W377"/>
      <c r="X377"/>
      <c r="Y377"/>
      <c r="Z377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35" ht="16" x14ac:dyDescent="0.2">
      <c r="A378" s="8"/>
      <c r="B378" s="4"/>
      <c r="C378" s="4"/>
      <c r="D378" s="4"/>
      <c r="E378"/>
      <c r="F378"/>
      <c r="G378"/>
      <c r="H378"/>
      <c r="I378"/>
      <c r="N378"/>
      <c r="S378"/>
      <c r="T378"/>
      <c r="U378"/>
      <c r="V378"/>
      <c r="W378"/>
      <c r="X378"/>
      <c r="Y378"/>
      <c r="Z378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ht="16" x14ac:dyDescent="0.2">
      <c r="A379" s="8"/>
      <c r="B379" s="4"/>
      <c r="C379" s="4"/>
      <c r="D379" s="4"/>
      <c r="E379"/>
      <c r="F379"/>
      <c r="G379"/>
      <c r="H379"/>
      <c r="I379"/>
      <c r="N379"/>
      <c r="S379"/>
      <c r="T379"/>
      <c r="U379"/>
      <c r="V379"/>
      <c r="W379"/>
      <c r="X379"/>
      <c r="Y379"/>
      <c r="Z379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ht="16" x14ac:dyDescent="0.2">
      <c r="A380" s="8"/>
      <c r="B380" s="4"/>
      <c r="C380" s="4"/>
      <c r="D380" s="4"/>
      <c r="E380"/>
      <c r="F380"/>
      <c r="G380"/>
      <c r="H380"/>
      <c r="I380"/>
      <c r="N380"/>
      <c r="S380"/>
      <c r="T380"/>
      <c r="U380"/>
      <c r="V380"/>
      <c r="W380"/>
      <c r="X380"/>
      <c r="Y380"/>
      <c r="Z380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ht="16" x14ac:dyDescent="0.2">
      <c r="A381" s="8"/>
      <c r="B381" s="4"/>
      <c r="C381" s="4"/>
      <c r="D381" s="4"/>
      <c r="E381"/>
      <c r="F381"/>
      <c r="G381"/>
      <c r="H381"/>
      <c r="I381"/>
      <c r="N381"/>
      <c r="S381"/>
      <c r="T381"/>
      <c r="U381"/>
      <c r="V381"/>
      <c r="W381"/>
      <c r="X381"/>
      <c r="Y381"/>
      <c r="Z381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ht="16" x14ac:dyDescent="0.2">
      <c r="A382" s="8"/>
      <c r="B382" s="4"/>
      <c r="C382" s="4"/>
      <c r="D382" s="4"/>
      <c r="E382"/>
      <c r="F382"/>
      <c r="G382"/>
      <c r="H382"/>
      <c r="I382"/>
      <c r="N382"/>
      <c r="S382"/>
      <c r="T382"/>
      <c r="U382"/>
      <c r="V382"/>
      <c r="W382"/>
      <c r="X382"/>
      <c r="Y382"/>
      <c r="Z382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ht="16" x14ac:dyDescent="0.2">
      <c r="A383" s="8"/>
      <c r="B383" s="4"/>
      <c r="C383" s="4"/>
      <c r="D383" s="4"/>
      <c r="E383"/>
      <c r="F383"/>
      <c r="G383"/>
      <c r="H383"/>
      <c r="I383"/>
      <c r="N383"/>
      <c r="S383"/>
      <c r="T383"/>
      <c r="U383"/>
      <c r="V383"/>
      <c r="W383"/>
      <c r="X383"/>
      <c r="Y383"/>
      <c r="Z383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35" ht="16" x14ac:dyDescent="0.2">
      <c r="A384" s="8"/>
      <c r="B384" s="4"/>
      <c r="C384" s="4"/>
      <c r="D384" s="4"/>
      <c r="E384"/>
      <c r="F384"/>
      <c r="G384"/>
      <c r="H384"/>
      <c r="I384"/>
      <c r="N384"/>
      <c r="S384"/>
      <c r="T384"/>
      <c r="U384"/>
      <c r="V384"/>
      <c r="W384"/>
      <c r="X384"/>
      <c r="Y384"/>
      <c r="Z38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ht="16" x14ac:dyDescent="0.2">
      <c r="A385" s="8"/>
      <c r="B385" s="4"/>
      <c r="C385" s="4"/>
      <c r="D385" s="4"/>
      <c r="E385"/>
      <c r="F385"/>
      <c r="G385"/>
      <c r="H385"/>
      <c r="I385"/>
      <c r="N385"/>
      <c r="S385"/>
      <c r="T385"/>
      <c r="U385"/>
      <c r="V385"/>
      <c r="W385"/>
      <c r="X385"/>
      <c r="Y385"/>
      <c r="Z385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ht="16" x14ac:dyDescent="0.2">
      <c r="A386" s="8"/>
      <c r="B386" s="4"/>
      <c r="C386" s="4"/>
      <c r="D386" s="4"/>
      <c r="E386"/>
      <c r="F386"/>
      <c r="G386"/>
      <c r="H386"/>
      <c r="I386"/>
      <c r="N386"/>
      <c r="S386"/>
      <c r="T386"/>
      <c r="U386"/>
      <c r="V386"/>
      <c r="W386"/>
      <c r="X386"/>
      <c r="Y386"/>
      <c r="Z386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ht="16" x14ac:dyDescent="0.2">
      <c r="A387" s="8"/>
      <c r="B387" s="4"/>
      <c r="C387" s="4"/>
      <c r="D387" s="4"/>
      <c r="E387"/>
      <c r="F387"/>
      <c r="G387"/>
      <c r="H387"/>
      <c r="I387"/>
      <c r="N387"/>
      <c r="S387"/>
      <c r="T387"/>
      <c r="U387"/>
      <c r="V387"/>
      <c r="W387"/>
      <c r="X387"/>
      <c r="Y387"/>
      <c r="Z387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ht="16" x14ac:dyDescent="0.2">
      <c r="A388" s="8"/>
      <c r="B388" s="4"/>
      <c r="C388" s="4"/>
      <c r="D388" s="4"/>
      <c r="E388"/>
      <c r="F388"/>
      <c r="G388"/>
      <c r="H388"/>
      <c r="I388"/>
      <c r="N388"/>
      <c r="S388"/>
      <c r="T388"/>
      <c r="U388"/>
      <c r="V388"/>
      <c r="W388"/>
      <c r="X388"/>
      <c r="Y388"/>
      <c r="Z388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ht="16" x14ac:dyDescent="0.2">
      <c r="A389" s="8"/>
      <c r="B389" s="4"/>
      <c r="C389" s="4"/>
      <c r="D389" s="4"/>
      <c r="E389"/>
      <c r="F389"/>
      <c r="G389"/>
      <c r="H389"/>
      <c r="I389"/>
      <c r="N389"/>
      <c r="S389"/>
      <c r="T389"/>
      <c r="U389"/>
      <c r="V389"/>
      <c r="W389"/>
      <c r="X389"/>
      <c r="Y389"/>
      <c r="Z389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ht="16" x14ac:dyDescent="0.2">
      <c r="A390" s="8"/>
      <c r="B390" s="4"/>
      <c r="C390" s="4"/>
      <c r="D390" s="4"/>
      <c r="E390"/>
      <c r="F390"/>
      <c r="G390"/>
      <c r="H390"/>
      <c r="I390"/>
      <c r="N390"/>
      <c r="S390"/>
      <c r="T390"/>
      <c r="U390"/>
      <c r="V390"/>
      <c r="W390"/>
      <c r="X390"/>
      <c r="Y390"/>
      <c r="Z390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ht="16" x14ac:dyDescent="0.2">
      <c r="A391" s="8"/>
      <c r="B391" s="4"/>
      <c r="C391" s="4"/>
      <c r="D391" s="4"/>
      <c r="E391"/>
      <c r="F391"/>
      <c r="G391"/>
      <c r="H391"/>
      <c r="I391"/>
      <c r="N391"/>
      <c r="S391"/>
      <c r="T391"/>
      <c r="U391"/>
      <c r="V391"/>
      <c r="W391"/>
      <c r="X391"/>
      <c r="Y391"/>
      <c r="Z391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ht="16" x14ac:dyDescent="0.2">
      <c r="A392" s="8"/>
      <c r="B392" s="4"/>
      <c r="C392" s="4"/>
      <c r="D392" s="4"/>
      <c r="E392"/>
      <c r="F392"/>
      <c r="G392"/>
      <c r="H392"/>
      <c r="I392"/>
      <c r="N392"/>
      <c r="S392"/>
      <c r="T392"/>
      <c r="U392"/>
      <c r="V392"/>
      <c r="W392"/>
      <c r="X392"/>
      <c r="Y392"/>
      <c r="Z392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ht="16" x14ac:dyDescent="0.2">
      <c r="A393" s="8"/>
      <c r="B393" s="4"/>
      <c r="C393" s="4"/>
      <c r="D393" s="4"/>
      <c r="E393"/>
      <c r="F393"/>
      <c r="G393"/>
      <c r="H393"/>
      <c r="I393"/>
      <c r="N393"/>
      <c r="S393"/>
      <c r="T393"/>
      <c r="U393"/>
      <c r="V393"/>
      <c r="W393"/>
      <c r="X393"/>
      <c r="Y393"/>
      <c r="Z393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ht="16" x14ac:dyDescent="0.2">
      <c r="A394" s="8"/>
      <c r="B394" s="4"/>
      <c r="C394" s="4"/>
      <c r="D394" s="4"/>
      <c r="E394"/>
      <c r="F394"/>
      <c r="G394"/>
      <c r="H394"/>
      <c r="I394"/>
      <c r="N394"/>
      <c r="S394"/>
      <c r="T394"/>
      <c r="U394"/>
      <c r="V394"/>
      <c r="W394"/>
      <c r="X394"/>
      <c r="Y394"/>
      <c r="Z39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ht="16" x14ac:dyDescent="0.2">
      <c r="A395" s="8"/>
      <c r="B395" s="4"/>
      <c r="C395" s="4"/>
      <c r="D395" s="4"/>
      <c r="E395"/>
      <c r="F395"/>
      <c r="G395"/>
      <c r="H395"/>
      <c r="I395"/>
      <c r="N395"/>
      <c r="S395"/>
      <c r="T395"/>
      <c r="U395"/>
      <c r="V395"/>
      <c r="W395"/>
      <c r="X395"/>
      <c r="Y395"/>
      <c r="Z395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ht="16" x14ac:dyDescent="0.2">
      <c r="A396" s="8"/>
      <c r="B396" s="4"/>
      <c r="C396" s="4"/>
      <c r="D396" s="4"/>
      <c r="E396"/>
      <c r="F396"/>
      <c r="G396"/>
      <c r="H396"/>
      <c r="I396"/>
      <c r="N396"/>
      <c r="S396"/>
      <c r="T396"/>
      <c r="U396"/>
      <c r="V396"/>
      <c r="W396"/>
      <c r="X396"/>
      <c r="Y396"/>
      <c r="Z396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ht="16" x14ac:dyDescent="0.2">
      <c r="A397" s="8"/>
      <c r="B397" s="4"/>
      <c r="C397" s="4"/>
      <c r="D397" s="4"/>
      <c r="E397"/>
      <c r="F397"/>
      <c r="G397"/>
      <c r="H397"/>
      <c r="I397"/>
      <c r="N397"/>
      <c r="S397"/>
      <c r="T397"/>
      <c r="U397"/>
      <c r="V397"/>
      <c r="W397"/>
      <c r="X397"/>
      <c r="Y397"/>
      <c r="Z397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ht="16" x14ac:dyDescent="0.2">
      <c r="A398" s="8"/>
      <c r="B398" s="4"/>
      <c r="C398" s="4"/>
      <c r="D398" s="4"/>
      <c r="E398"/>
      <c r="F398"/>
      <c r="G398"/>
      <c r="H398"/>
      <c r="I398"/>
      <c r="N398"/>
      <c r="S398"/>
      <c r="T398"/>
      <c r="U398"/>
      <c r="V398"/>
      <c r="W398"/>
      <c r="X398"/>
      <c r="Y398"/>
      <c r="Z398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ht="16" x14ac:dyDescent="0.2">
      <c r="A399" s="8"/>
      <c r="B399" s="4"/>
      <c r="C399" s="4"/>
      <c r="D399" s="4"/>
      <c r="E399"/>
      <c r="F399"/>
      <c r="G399"/>
      <c r="H399"/>
      <c r="I399"/>
      <c r="N399"/>
      <c r="S399"/>
      <c r="T399"/>
      <c r="U399"/>
      <c r="V399"/>
      <c r="W399"/>
      <c r="X399"/>
      <c r="Y399"/>
      <c r="Z399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ht="16" x14ac:dyDescent="0.2">
      <c r="A400" s="8"/>
      <c r="B400" s="4"/>
      <c r="C400" s="4"/>
      <c r="D400" s="4"/>
      <c r="E400"/>
      <c r="F400"/>
      <c r="G400"/>
      <c r="H400"/>
      <c r="I400"/>
      <c r="N400"/>
      <c r="S400"/>
      <c r="T400"/>
      <c r="U400"/>
      <c r="V400"/>
      <c r="W400"/>
      <c r="X400"/>
      <c r="Y400"/>
      <c r="Z400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ht="16" x14ac:dyDescent="0.2">
      <c r="A401" s="8"/>
      <c r="B401" s="4"/>
      <c r="C401" s="4"/>
      <c r="D401" s="4"/>
      <c r="E401"/>
      <c r="F401"/>
      <c r="G401"/>
      <c r="H401"/>
      <c r="I401"/>
      <c r="N401"/>
      <c r="S401"/>
      <c r="T401"/>
      <c r="U401"/>
      <c r="V401"/>
      <c r="W401"/>
      <c r="X401"/>
      <c r="Y401"/>
      <c r="Z401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ht="16" x14ac:dyDescent="0.2">
      <c r="A402" s="8"/>
      <c r="B402" s="4"/>
      <c r="C402" s="4"/>
      <c r="D402" s="4"/>
      <c r="E402"/>
      <c r="F402"/>
      <c r="G402"/>
      <c r="H402"/>
      <c r="I402"/>
      <c r="N402"/>
      <c r="S402"/>
      <c r="T402"/>
      <c r="U402"/>
      <c r="V402"/>
      <c r="W402"/>
      <c r="X402"/>
      <c r="Y402"/>
      <c r="Z402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ht="16" x14ac:dyDescent="0.2">
      <c r="A403" s="8"/>
      <c r="B403" s="4"/>
      <c r="C403" s="4"/>
      <c r="D403" s="4"/>
      <c r="E403"/>
      <c r="F403"/>
      <c r="G403"/>
      <c r="H403"/>
      <c r="I403"/>
      <c r="N403"/>
      <c r="S403"/>
      <c r="T403"/>
      <c r="U403"/>
      <c r="V403"/>
      <c r="W403"/>
      <c r="X403"/>
      <c r="Y403"/>
      <c r="Z403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ht="16" x14ac:dyDescent="0.2">
      <c r="A404" s="8"/>
      <c r="B404" s="4"/>
      <c r="C404" s="4"/>
      <c r="D404" s="4"/>
      <c r="E404"/>
      <c r="F404"/>
      <c r="G404"/>
      <c r="H404"/>
      <c r="I404"/>
      <c r="N404"/>
      <c r="S404"/>
      <c r="T404"/>
      <c r="U404"/>
      <c r="V404"/>
      <c r="W404"/>
      <c r="X404"/>
      <c r="Y404"/>
      <c r="Z40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ht="16" x14ac:dyDescent="0.2">
      <c r="A405" s="8"/>
      <c r="B405" s="4"/>
      <c r="C405" s="4"/>
      <c r="D405" s="4"/>
      <c r="E405"/>
      <c r="F405"/>
      <c r="G405"/>
      <c r="H405"/>
      <c r="I405"/>
      <c r="N405"/>
      <c r="S405"/>
      <c r="T405"/>
      <c r="U405"/>
      <c r="V405"/>
      <c r="W405"/>
      <c r="X405"/>
      <c r="Y405"/>
      <c r="Z405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ht="16" x14ac:dyDescent="0.2">
      <c r="A406" s="8"/>
      <c r="B406" s="4"/>
      <c r="C406" s="4"/>
      <c r="D406" s="4"/>
      <c r="E406"/>
      <c r="F406"/>
      <c r="G406"/>
      <c r="H406"/>
      <c r="I406"/>
      <c r="N406"/>
      <c r="S406"/>
      <c r="T406"/>
      <c r="U406"/>
      <c r="V406"/>
      <c r="W406"/>
      <c r="X406"/>
      <c r="Y406"/>
      <c r="Z406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ht="16" x14ac:dyDescent="0.2">
      <c r="A407" s="8"/>
      <c r="B407" s="4"/>
      <c r="C407" s="4"/>
      <c r="D407" s="4"/>
      <c r="E407"/>
      <c r="F407"/>
      <c r="G407"/>
      <c r="H407"/>
      <c r="I407"/>
      <c r="N407"/>
      <c r="S407"/>
      <c r="T407"/>
      <c r="U407"/>
      <c r="V407"/>
      <c r="W407"/>
      <c r="X407"/>
      <c r="Y407"/>
      <c r="Z407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ht="16" x14ac:dyDescent="0.2">
      <c r="A408" s="8"/>
      <c r="B408" s="4"/>
      <c r="C408" s="4"/>
      <c r="D408" s="4"/>
      <c r="E408"/>
      <c r="F408"/>
      <c r="G408"/>
      <c r="H408"/>
      <c r="I408"/>
      <c r="N408"/>
      <c r="S408"/>
      <c r="T408"/>
      <c r="U408"/>
      <c r="V408"/>
      <c r="W408"/>
      <c r="X408"/>
      <c r="Y408"/>
      <c r="Z408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ht="16" x14ac:dyDescent="0.2">
      <c r="A409" s="8"/>
      <c r="B409" s="4"/>
      <c r="C409" s="4"/>
      <c r="D409" s="4"/>
      <c r="E409"/>
      <c r="F409"/>
      <c r="G409"/>
      <c r="H409"/>
      <c r="I409"/>
      <c r="N409"/>
      <c r="S409"/>
      <c r="T409"/>
      <c r="U409"/>
      <c r="V409"/>
      <c r="W409"/>
      <c r="X409"/>
      <c r="Y409"/>
      <c r="Z409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ht="16" x14ac:dyDescent="0.2">
      <c r="A410" s="8"/>
      <c r="B410" s="4"/>
      <c r="C410" s="4"/>
      <c r="D410" s="4"/>
      <c r="E410"/>
      <c r="F410"/>
      <c r="G410"/>
      <c r="H410"/>
      <c r="I410"/>
      <c r="N410"/>
      <c r="S410"/>
      <c r="T410"/>
      <c r="U410"/>
      <c r="V410"/>
      <c r="W410"/>
      <c r="X410"/>
      <c r="Y410"/>
      <c r="Z410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ht="16" x14ac:dyDescent="0.2">
      <c r="A411" s="8"/>
      <c r="B411" s="4"/>
      <c r="C411" s="4"/>
      <c r="D411" s="4"/>
      <c r="E411"/>
      <c r="F411"/>
      <c r="G411"/>
      <c r="H411"/>
      <c r="I411"/>
      <c r="N411"/>
      <c r="S411"/>
      <c r="T411"/>
      <c r="U411"/>
      <c r="V411"/>
      <c r="W411"/>
      <c r="X411"/>
      <c r="Y411"/>
      <c r="Z411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ht="16" x14ac:dyDescent="0.2">
      <c r="A412" s="8"/>
      <c r="B412" s="4"/>
      <c r="C412" s="4"/>
      <c r="D412" s="4"/>
      <c r="E412"/>
      <c r="F412"/>
      <c r="G412"/>
      <c r="H412"/>
      <c r="I412"/>
      <c r="N412"/>
      <c r="S412"/>
      <c r="T412"/>
      <c r="U412"/>
      <c r="V412"/>
      <c r="W412"/>
      <c r="X412"/>
      <c r="Y412"/>
      <c r="Z412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ht="16" x14ac:dyDescent="0.2">
      <c r="A413" s="8"/>
      <c r="B413" s="4"/>
      <c r="C413" s="4"/>
      <c r="D413" s="4"/>
      <c r="E413"/>
      <c r="F413"/>
      <c r="G413"/>
      <c r="H413"/>
      <c r="I413"/>
      <c r="N413"/>
      <c r="S413"/>
      <c r="T413"/>
      <c r="U413"/>
      <c r="V413"/>
      <c r="W413"/>
      <c r="X413"/>
      <c r="Y413"/>
      <c r="Z413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ht="16" x14ac:dyDescent="0.2">
      <c r="A414" s="8"/>
      <c r="B414" s="4"/>
      <c r="C414" s="4"/>
      <c r="D414" s="4"/>
      <c r="E414"/>
      <c r="F414"/>
      <c r="G414"/>
      <c r="H414"/>
      <c r="I414"/>
      <c r="N414"/>
      <c r="S414"/>
      <c r="T414"/>
      <c r="U414"/>
      <c r="V414"/>
      <c r="W414"/>
      <c r="X414"/>
      <c r="Y414"/>
      <c r="Z41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ht="16" x14ac:dyDescent="0.2">
      <c r="A415" s="8"/>
      <c r="B415" s="4"/>
      <c r="C415" s="4"/>
      <c r="D415" s="4"/>
      <c r="E415"/>
      <c r="F415"/>
      <c r="G415"/>
      <c r="H415"/>
      <c r="I415"/>
      <c r="N415"/>
      <c r="S415"/>
      <c r="T415"/>
      <c r="U415"/>
      <c r="V415"/>
      <c r="W415"/>
      <c r="X415"/>
      <c r="Y415"/>
      <c r="Z415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ht="16" x14ac:dyDescent="0.2">
      <c r="A416" s="8"/>
      <c r="B416" s="4"/>
      <c r="C416" s="4"/>
      <c r="D416" s="4"/>
      <c r="E416"/>
      <c r="F416"/>
      <c r="G416"/>
      <c r="H416"/>
      <c r="I416"/>
      <c r="N416"/>
      <c r="S416"/>
      <c r="T416"/>
      <c r="U416"/>
      <c r="V416"/>
      <c r="W416"/>
      <c r="X416"/>
      <c r="Y416"/>
      <c r="Z416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ht="16" x14ac:dyDescent="0.2">
      <c r="A417" s="8"/>
      <c r="B417" s="4"/>
      <c r="C417" s="4"/>
      <c r="D417" s="4"/>
      <c r="E417"/>
      <c r="F417"/>
      <c r="G417"/>
      <c r="H417"/>
      <c r="I417"/>
      <c r="N417"/>
      <c r="S417"/>
      <c r="T417"/>
      <c r="U417"/>
      <c r="V417"/>
      <c r="W417"/>
      <c r="X417"/>
      <c r="Y417"/>
      <c r="Z417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ht="16" x14ac:dyDescent="0.2">
      <c r="A418" s="8"/>
      <c r="B418" s="4"/>
      <c r="C418" s="4"/>
      <c r="D418" s="4"/>
      <c r="E418"/>
      <c r="F418"/>
      <c r="G418"/>
      <c r="H418"/>
      <c r="I418"/>
      <c r="N418"/>
      <c r="S418"/>
      <c r="T418"/>
      <c r="U418"/>
      <c r="V418"/>
      <c r="W418"/>
      <c r="X418"/>
      <c r="Y418"/>
      <c r="Z418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1:35" ht="16" x14ac:dyDescent="0.2">
      <c r="A419" s="8"/>
      <c r="B419" s="4"/>
      <c r="C419" s="4"/>
      <c r="D419" s="4"/>
      <c r="E419"/>
      <c r="F419"/>
      <c r="G419"/>
      <c r="H419"/>
      <c r="I419"/>
      <c r="N419"/>
      <c r="S419"/>
      <c r="T419"/>
      <c r="U419"/>
      <c r="V419"/>
      <c r="W419"/>
      <c r="X419"/>
      <c r="Y419"/>
      <c r="Z419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1:35" ht="16" x14ac:dyDescent="0.2">
      <c r="A420" s="8"/>
      <c r="B420" s="4"/>
      <c r="C420" s="4"/>
      <c r="D420" s="4"/>
      <c r="E420"/>
      <c r="F420"/>
      <c r="G420"/>
      <c r="H420"/>
      <c r="I420"/>
      <c r="N420"/>
      <c r="S420"/>
      <c r="T420"/>
      <c r="U420"/>
      <c r="V420"/>
      <c r="W420"/>
      <c r="X420"/>
      <c r="Y420"/>
      <c r="Z420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1:35" ht="16" x14ac:dyDescent="0.2">
      <c r="A421" s="8"/>
      <c r="B421" s="4"/>
      <c r="C421" s="4"/>
      <c r="D421" s="4"/>
      <c r="E421"/>
      <c r="F421"/>
      <c r="G421"/>
      <c r="H421"/>
      <c r="I421"/>
      <c r="N421"/>
      <c r="S421"/>
      <c r="T421"/>
      <c r="U421"/>
      <c r="V421"/>
      <c r="W421"/>
      <c r="X421"/>
      <c r="Y421"/>
      <c r="Z421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1:35" ht="16" x14ac:dyDescent="0.2">
      <c r="A422" s="8"/>
      <c r="B422" s="4"/>
      <c r="C422" s="4"/>
      <c r="D422" s="4"/>
      <c r="E422"/>
      <c r="F422"/>
      <c r="G422"/>
      <c r="H422"/>
      <c r="I422"/>
      <c r="N422"/>
      <c r="S422"/>
      <c r="T422"/>
      <c r="U422"/>
      <c r="V422"/>
      <c r="W422"/>
      <c r="X422"/>
      <c r="Y422"/>
      <c r="Z422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ht="16" x14ac:dyDescent="0.2">
      <c r="A423" s="8"/>
      <c r="B423" s="4"/>
      <c r="C423" s="4"/>
      <c r="D423" s="4"/>
      <c r="E423"/>
      <c r="F423"/>
      <c r="G423"/>
      <c r="H423"/>
      <c r="I423"/>
      <c r="N423"/>
      <c r="S423"/>
      <c r="T423"/>
      <c r="U423"/>
      <c r="V423"/>
      <c r="W423"/>
      <c r="X423"/>
      <c r="Y423"/>
      <c r="Z423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ht="16" x14ac:dyDescent="0.2">
      <c r="A424" s="8"/>
      <c r="B424" s="4"/>
      <c r="C424" s="4"/>
      <c r="D424" s="4"/>
      <c r="E424"/>
      <c r="F424"/>
      <c r="G424"/>
      <c r="H424"/>
      <c r="I424"/>
      <c r="N424"/>
      <c r="S424"/>
      <c r="T424"/>
      <c r="U424"/>
      <c r="V424"/>
      <c r="W424"/>
      <c r="X424"/>
      <c r="Y424"/>
      <c r="Z42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1:35" ht="16" x14ac:dyDescent="0.2">
      <c r="A425" s="8"/>
      <c r="B425" s="4"/>
      <c r="C425" s="4"/>
      <c r="D425" s="4"/>
      <c r="E425"/>
      <c r="F425"/>
      <c r="G425"/>
      <c r="H425"/>
      <c r="I425"/>
      <c r="N425"/>
      <c r="S425"/>
      <c r="T425"/>
      <c r="U425"/>
      <c r="V425"/>
      <c r="W425"/>
      <c r="X425"/>
      <c r="Y425"/>
      <c r="Z425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ht="16" x14ac:dyDescent="0.2">
      <c r="A426" s="8"/>
      <c r="B426" s="4"/>
      <c r="C426" s="4"/>
      <c r="D426" s="4"/>
      <c r="E426"/>
      <c r="F426"/>
      <c r="G426"/>
      <c r="H426"/>
      <c r="I426"/>
      <c r="N426"/>
      <c r="S426"/>
      <c r="T426"/>
      <c r="U426"/>
      <c r="V426"/>
      <c r="W426"/>
      <c r="X426"/>
      <c r="Y426"/>
      <c r="Z426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ht="16" x14ac:dyDescent="0.2">
      <c r="A427" s="8"/>
      <c r="B427" s="4"/>
      <c r="C427" s="4"/>
      <c r="D427" s="4"/>
      <c r="E427"/>
      <c r="F427"/>
      <c r="G427"/>
      <c r="H427"/>
      <c r="I427"/>
      <c r="N427"/>
      <c r="S427"/>
      <c r="T427"/>
      <c r="U427"/>
      <c r="V427"/>
      <c r="W427"/>
      <c r="X427"/>
      <c r="Y427"/>
      <c r="Z427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1:35" ht="16" x14ac:dyDescent="0.2">
      <c r="A428" s="8"/>
      <c r="B428" s="4"/>
      <c r="C428" s="4"/>
      <c r="D428" s="4"/>
      <c r="E428"/>
      <c r="F428"/>
      <c r="G428"/>
      <c r="H428"/>
      <c r="I428"/>
      <c r="N428"/>
      <c r="S428"/>
      <c r="T428"/>
      <c r="U428"/>
      <c r="V428"/>
      <c r="W428"/>
      <c r="X428"/>
      <c r="Y428"/>
      <c r="Z428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1:35" ht="16" x14ac:dyDescent="0.2">
      <c r="A429" s="8"/>
      <c r="B429" s="4"/>
      <c r="C429" s="4"/>
      <c r="D429" s="4"/>
      <c r="E429"/>
      <c r="F429"/>
      <c r="G429"/>
      <c r="H429"/>
      <c r="I429"/>
      <c r="N429"/>
      <c r="S429"/>
      <c r="T429"/>
      <c r="U429"/>
      <c r="V429"/>
      <c r="W429"/>
      <c r="X429"/>
      <c r="Y429"/>
      <c r="Z429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1:35" ht="16" x14ac:dyDescent="0.2">
      <c r="A430" s="8"/>
      <c r="B430" s="4"/>
      <c r="C430" s="4"/>
      <c r="D430" s="4"/>
      <c r="E430"/>
      <c r="F430"/>
      <c r="G430"/>
      <c r="H430"/>
      <c r="I430"/>
      <c r="N430"/>
      <c r="S430"/>
      <c r="T430"/>
      <c r="U430"/>
      <c r="V430"/>
      <c r="W430"/>
      <c r="X430"/>
      <c r="Y430"/>
      <c r="Z430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1:35" ht="16" x14ac:dyDescent="0.2">
      <c r="A431" s="8"/>
      <c r="B431" s="4"/>
      <c r="C431" s="4"/>
      <c r="D431" s="4"/>
      <c r="E431"/>
      <c r="F431"/>
      <c r="G431"/>
      <c r="H431"/>
      <c r="I431"/>
      <c r="N431"/>
      <c r="S431"/>
      <c r="T431"/>
      <c r="U431"/>
      <c r="V431"/>
      <c r="W431"/>
      <c r="X431"/>
      <c r="Y431"/>
      <c r="Z431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1:35" ht="16" x14ac:dyDescent="0.2">
      <c r="A432" s="8"/>
      <c r="B432" s="4"/>
      <c r="C432" s="4"/>
      <c r="D432" s="4"/>
      <c r="E432"/>
      <c r="F432"/>
      <c r="G432"/>
      <c r="H432"/>
      <c r="I432"/>
      <c r="N432"/>
      <c r="S432"/>
      <c r="T432"/>
      <c r="U432"/>
      <c r="V432"/>
      <c r="W432"/>
      <c r="X432"/>
      <c r="Y432"/>
      <c r="Z432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1:35" ht="16" x14ac:dyDescent="0.2">
      <c r="A433" s="8"/>
      <c r="B433" s="4"/>
      <c r="C433" s="4"/>
      <c r="D433" s="4"/>
      <c r="E433"/>
      <c r="F433"/>
      <c r="G433"/>
      <c r="H433"/>
      <c r="I433"/>
      <c r="N433"/>
      <c r="S433"/>
      <c r="T433"/>
      <c r="U433"/>
      <c r="V433"/>
      <c r="W433"/>
      <c r="X433"/>
      <c r="Y433"/>
      <c r="Z433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1:35" ht="16" x14ac:dyDescent="0.2">
      <c r="A434" s="8"/>
      <c r="B434" s="4"/>
      <c r="C434" s="4"/>
      <c r="D434" s="4"/>
      <c r="E434"/>
      <c r="F434"/>
      <c r="G434"/>
      <c r="H434"/>
      <c r="I434"/>
      <c r="N434"/>
      <c r="S434"/>
      <c r="T434"/>
      <c r="U434"/>
      <c r="V434"/>
      <c r="W434"/>
      <c r="X434"/>
      <c r="Y434"/>
      <c r="Z43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1:35" ht="16" x14ac:dyDescent="0.2">
      <c r="A435" s="8"/>
      <c r="B435" s="4"/>
      <c r="C435" s="4"/>
      <c r="D435" s="4"/>
      <c r="E435"/>
      <c r="F435"/>
      <c r="G435"/>
      <c r="H435"/>
      <c r="I435"/>
      <c r="N435"/>
      <c r="S435"/>
      <c r="T435"/>
      <c r="U435"/>
      <c r="V435"/>
      <c r="W435"/>
      <c r="X435"/>
      <c r="Y435"/>
      <c r="Z435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1:35" ht="16" x14ac:dyDescent="0.2">
      <c r="A436" s="8"/>
      <c r="B436" s="4"/>
      <c r="C436" s="4"/>
      <c r="D436" s="4"/>
      <c r="E436"/>
      <c r="F436"/>
      <c r="G436"/>
      <c r="H436"/>
      <c r="I436"/>
      <c r="N436"/>
      <c r="S436"/>
      <c r="T436"/>
      <c r="U436"/>
      <c r="V436"/>
      <c r="W436"/>
      <c r="X436"/>
      <c r="Y436"/>
      <c r="Z436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1:35" ht="16" x14ac:dyDescent="0.2">
      <c r="A437" s="8"/>
      <c r="B437" s="4"/>
      <c r="C437" s="4"/>
      <c r="D437" s="4"/>
      <c r="E437"/>
      <c r="F437"/>
      <c r="G437"/>
      <c r="H437"/>
      <c r="I437"/>
      <c r="N437"/>
      <c r="S437"/>
      <c r="T437"/>
      <c r="U437"/>
      <c r="V437"/>
      <c r="W437"/>
      <c r="X437"/>
      <c r="Y437"/>
      <c r="Z437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ht="16" x14ac:dyDescent="0.2">
      <c r="A438" s="8"/>
      <c r="B438" s="4"/>
      <c r="C438" s="4"/>
      <c r="D438" s="4"/>
      <c r="E438"/>
      <c r="F438"/>
      <c r="G438"/>
      <c r="H438"/>
      <c r="I438"/>
      <c r="N438"/>
      <c r="S438"/>
      <c r="T438"/>
      <c r="U438"/>
      <c r="V438"/>
      <c r="W438"/>
      <c r="X438"/>
      <c r="Y438"/>
      <c r="Z438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ht="16" x14ac:dyDescent="0.2">
      <c r="A439" s="8"/>
      <c r="B439" s="4"/>
      <c r="C439" s="4"/>
      <c r="D439" s="4"/>
      <c r="E439"/>
      <c r="F439"/>
      <c r="G439"/>
      <c r="H439"/>
      <c r="I439"/>
      <c r="N439"/>
      <c r="S439"/>
      <c r="T439"/>
      <c r="U439"/>
      <c r="V439"/>
      <c r="W439"/>
      <c r="X439"/>
      <c r="Y439"/>
      <c r="Z439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1:35" ht="16" x14ac:dyDescent="0.2">
      <c r="A440" s="8"/>
      <c r="B440" s="4"/>
      <c r="C440" s="4"/>
      <c r="D440" s="4"/>
      <c r="E440"/>
      <c r="F440"/>
      <c r="G440"/>
      <c r="H440"/>
      <c r="I440"/>
      <c r="N440"/>
      <c r="S440"/>
      <c r="T440"/>
      <c r="U440"/>
      <c r="V440"/>
      <c r="W440"/>
      <c r="X440"/>
      <c r="Y440"/>
      <c r="Z440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1:35" ht="16" x14ac:dyDescent="0.2">
      <c r="A441" s="8"/>
      <c r="B441" s="4"/>
      <c r="C441" s="4"/>
      <c r="D441" s="4"/>
      <c r="E441"/>
      <c r="F441"/>
      <c r="G441"/>
      <c r="H441"/>
      <c r="I441"/>
      <c r="N441"/>
      <c r="S441"/>
      <c r="T441"/>
      <c r="U441"/>
      <c r="V441"/>
      <c r="W441"/>
      <c r="X441"/>
      <c r="Y441"/>
      <c r="Z441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1:35" ht="16" x14ac:dyDescent="0.2">
      <c r="A442" s="8"/>
      <c r="B442" s="4"/>
      <c r="C442" s="4"/>
      <c r="D442" s="4"/>
      <c r="E442"/>
      <c r="F442"/>
      <c r="G442"/>
      <c r="H442"/>
      <c r="I442"/>
      <c r="N442"/>
      <c r="S442"/>
      <c r="T442"/>
      <c r="U442"/>
      <c r="V442"/>
      <c r="W442"/>
      <c r="X442"/>
      <c r="Y442"/>
      <c r="Z442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ht="16" x14ac:dyDescent="0.2">
      <c r="A443" s="8"/>
      <c r="B443" s="4"/>
      <c r="C443" s="4"/>
      <c r="D443" s="4"/>
      <c r="E443"/>
      <c r="F443"/>
      <c r="G443"/>
      <c r="H443"/>
      <c r="I443"/>
      <c r="N443"/>
      <c r="S443"/>
      <c r="T443"/>
      <c r="U443"/>
      <c r="V443"/>
      <c r="W443"/>
      <c r="X443"/>
      <c r="Y443"/>
      <c r="Z443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ht="16" x14ac:dyDescent="0.2">
      <c r="A444" s="8"/>
      <c r="B444" s="4"/>
      <c r="C444" s="4"/>
      <c r="D444" s="4"/>
      <c r="E444"/>
      <c r="F444"/>
      <c r="G444"/>
      <c r="H444"/>
      <c r="I444"/>
      <c r="N444"/>
      <c r="S444"/>
      <c r="T444"/>
      <c r="U444"/>
      <c r="V444"/>
      <c r="W444"/>
      <c r="X444"/>
      <c r="Y444"/>
      <c r="Z44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1:35" ht="16" x14ac:dyDescent="0.2">
      <c r="A445" s="8"/>
      <c r="B445" s="4"/>
      <c r="C445" s="4"/>
      <c r="D445" s="4"/>
      <c r="E445"/>
      <c r="F445"/>
      <c r="G445"/>
      <c r="H445"/>
      <c r="I445"/>
      <c r="N445"/>
      <c r="S445"/>
      <c r="T445"/>
      <c r="U445"/>
      <c r="V445"/>
      <c r="W445"/>
      <c r="X445"/>
      <c r="Y445"/>
      <c r="Z445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1:35" ht="16" x14ac:dyDescent="0.2">
      <c r="A446" s="8"/>
      <c r="B446" s="4"/>
      <c r="C446" s="4"/>
      <c r="D446" s="4"/>
      <c r="E446"/>
      <c r="F446"/>
      <c r="G446"/>
      <c r="H446"/>
      <c r="I446"/>
      <c r="N446"/>
      <c r="S446"/>
      <c r="T446"/>
      <c r="U446"/>
      <c r="V446"/>
      <c r="W446"/>
      <c r="X446"/>
      <c r="Y446"/>
      <c r="Z446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ht="16" x14ac:dyDescent="0.2">
      <c r="A447" s="8"/>
      <c r="B447" s="4"/>
      <c r="C447" s="4"/>
      <c r="D447" s="4"/>
      <c r="E447"/>
      <c r="F447"/>
      <c r="G447"/>
      <c r="H447"/>
      <c r="I447"/>
      <c r="N447"/>
      <c r="S447"/>
      <c r="T447"/>
      <c r="U447"/>
      <c r="V447"/>
      <c r="W447"/>
      <c r="X447"/>
      <c r="Y447"/>
      <c r="Z447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ht="16" x14ac:dyDescent="0.2">
      <c r="A448" s="8"/>
      <c r="B448" s="4"/>
      <c r="C448" s="4"/>
      <c r="D448" s="4"/>
      <c r="E448"/>
      <c r="F448"/>
      <c r="G448"/>
      <c r="H448"/>
      <c r="I448"/>
      <c r="N448"/>
      <c r="S448"/>
      <c r="T448"/>
      <c r="U448"/>
      <c r="V448"/>
      <c r="W448"/>
      <c r="X448"/>
      <c r="Y448"/>
      <c r="Z448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1:35" ht="16" x14ac:dyDescent="0.2">
      <c r="A449" s="8"/>
      <c r="B449" s="4"/>
      <c r="C449" s="4"/>
      <c r="D449" s="4"/>
      <c r="E449"/>
      <c r="F449"/>
      <c r="G449"/>
      <c r="H449"/>
      <c r="I449"/>
      <c r="N449"/>
      <c r="S449"/>
      <c r="T449"/>
      <c r="U449"/>
      <c r="V449"/>
      <c r="W449"/>
      <c r="X449"/>
      <c r="Y449"/>
      <c r="Z449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1:35" ht="16" x14ac:dyDescent="0.2">
      <c r="A450" s="8"/>
      <c r="B450" s="4"/>
      <c r="C450" s="4"/>
      <c r="D450" s="4"/>
      <c r="E450"/>
      <c r="F450"/>
      <c r="G450"/>
      <c r="H450"/>
      <c r="I450"/>
      <c r="N450"/>
      <c r="S450"/>
      <c r="T450"/>
      <c r="U450"/>
      <c r="V450"/>
      <c r="W450"/>
      <c r="X450"/>
      <c r="Y450"/>
      <c r="Z450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1:35" ht="16" x14ac:dyDescent="0.2">
      <c r="A451" s="8"/>
      <c r="B451" s="4"/>
      <c r="C451" s="4"/>
      <c r="D451" s="4"/>
      <c r="E451"/>
      <c r="F451"/>
      <c r="G451"/>
      <c r="H451"/>
      <c r="I451"/>
      <c r="N451"/>
      <c r="S451"/>
      <c r="T451"/>
      <c r="U451"/>
      <c r="V451"/>
      <c r="W451"/>
      <c r="X451"/>
      <c r="Y451"/>
      <c r="Z451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ht="16" x14ac:dyDescent="0.2">
      <c r="A452" s="8"/>
      <c r="B452" s="4"/>
      <c r="C452" s="4"/>
      <c r="D452" s="4"/>
      <c r="E452"/>
      <c r="F452"/>
      <c r="G452"/>
      <c r="H452"/>
      <c r="I452"/>
      <c r="N452"/>
      <c r="S452"/>
      <c r="T452"/>
      <c r="U452"/>
      <c r="V452"/>
      <c r="W452"/>
      <c r="X452"/>
      <c r="Y452"/>
      <c r="Z452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ht="16" x14ac:dyDescent="0.2">
      <c r="A453" s="8"/>
      <c r="B453" s="4"/>
      <c r="C453" s="4"/>
      <c r="D453" s="4"/>
      <c r="E453"/>
      <c r="F453"/>
      <c r="G453"/>
      <c r="H453"/>
      <c r="I453"/>
      <c r="N453"/>
      <c r="S453"/>
      <c r="T453"/>
      <c r="U453"/>
      <c r="V453"/>
      <c r="W453"/>
      <c r="X453"/>
      <c r="Y453"/>
      <c r="Z453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ht="16" x14ac:dyDescent="0.2">
      <c r="A454" s="8"/>
      <c r="B454" s="4"/>
      <c r="C454" s="4"/>
      <c r="D454" s="4"/>
      <c r="E454"/>
      <c r="F454"/>
      <c r="G454"/>
      <c r="H454"/>
      <c r="I454"/>
      <c r="N454"/>
      <c r="S454"/>
      <c r="T454"/>
      <c r="U454"/>
      <c r="V454"/>
      <c r="W454"/>
      <c r="X454"/>
      <c r="Y454"/>
      <c r="Z45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1:35" ht="16" x14ac:dyDescent="0.2">
      <c r="A455" s="8"/>
      <c r="B455" s="4"/>
      <c r="C455" s="4"/>
      <c r="D455" s="4"/>
      <c r="E455"/>
      <c r="F455"/>
      <c r="G455"/>
      <c r="H455"/>
      <c r="I455"/>
      <c r="N455"/>
      <c r="S455"/>
      <c r="T455"/>
      <c r="U455"/>
      <c r="V455"/>
      <c r="W455"/>
      <c r="X455"/>
      <c r="Y455"/>
      <c r="Z455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1:35" ht="16" x14ac:dyDescent="0.2">
      <c r="A456" s="8"/>
      <c r="B456" s="4"/>
      <c r="C456" s="4"/>
      <c r="D456" s="4"/>
      <c r="E456"/>
      <c r="F456"/>
      <c r="G456"/>
      <c r="H456"/>
      <c r="I456"/>
      <c r="N456"/>
      <c r="S456"/>
      <c r="T456"/>
      <c r="U456"/>
      <c r="V456"/>
      <c r="W456"/>
      <c r="X456"/>
      <c r="Y456"/>
      <c r="Z456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1:35" ht="16" x14ac:dyDescent="0.2">
      <c r="A457" s="8"/>
      <c r="B457" s="4"/>
      <c r="C457" s="4"/>
      <c r="D457" s="4"/>
      <c r="E457"/>
      <c r="F457"/>
      <c r="G457"/>
      <c r="H457"/>
      <c r="I457"/>
      <c r="N457"/>
      <c r="S457"/>
      <c r="T457"/>
      <c r="U457"/>
      <c r="V457"/>
      <c r="W457"/>
      <c r="X457"/>
      <c r="Y457"/>
      <c r="Z457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1:35" ht="16" x14ac:dyDescent="0.2">
      <c r="A458" s="8"/>
      <c r="B458" s="4"/>
      <c r="C458" s="4"/>
      <c r="D458" s="4"/>
      <c r="E458"/>
      <c r="F458"/>
      <c r="G458"/>
      <c r="H458"/>
      <c r="I458"/>
      <c r="N458"/>
      <c r="S458"/>
      <c r="T458"/>
      <c r="U458"/>
      <c r="V458"/>
      <c r="W458"/>
      <c r="X458"/>
      <c r="Y458"/>
      <c r="Z458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ht="16" x14ac:dyDescent="0.2">
      <c r="A459" s="8"/>
      <c r="B459" s="4"/>
      <c r="C459" s="4"/>
      <c r="D459" s="4"/>
      <c r="E459"/>
      <c r="F459"/>
      <c r="G459"/>
      <c r="H459"/>
      <c r="I459"/>
      <c r="N459"/>
      <c r="S459"/>
      <c r="T459"/>
      <c r="U459"/>
      <c r="V459"/>
      <c r="W459"/>
      <c r="X459"/>
      <c r="Y459"/>
      <c r="Z459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ht="16" x14ac:dyDescent="0.2">
      <c r="A460" s="8"/>
      <c r="B460" s="4"/>
      <c r="C460" s="4"/>
      <c r="D460" s="4"/>
      <c r="E460"/>
      <c r="F460"/>
      <c r="G460"/>
      <c r="H460"/>
      <c r="I460"/>
      <c r="N460"/>
      <c r="S460"/>
      <c r="T460"/>
      <c r="U460"/>
      <c r="V460"/>
      <c r="W460"/>
      <c r="X460"/>
      <c r="Y460"/>
      <c r="Z460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ht="16" x14ac:dyDescent="0.2">
      <c r="A461" s="8"/>
      <c r="B461" s="4"/>
      <c r="C461" s="4"/>
      <c r="D461" s="4"/>
      <c r="E461"/>
      <c r="F461"/>
      <c r="G461"/>
      <c r="H461"/>
      <c r="I461"/>
      <c r="N461"/>
      <c r="S461"/>
      <c r="T461"/>
      <c r="U461"/>
      <c r="V461"/>
      <c r="W461"/>
      <c r="X461"/>
      <c r="Y461"/>
      <c r="Z461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ht="16" x14ac:dyDescent="0.2">
      <c r="A462" s="8"/>
      <c r="B462" s="4"/>
      <c r="C462" s="4"/>
      <c r="D462" s="4"/>
      <c r="E462"/>
      <c r="F462"/>
      <c r="G462"/>
      <c r="H462"/>
      <c r="I462"/>
      <c r="N462"/>
      <c r="S462"/>
      <c r="T462"/>
      <c r="U462"/>
      <c r="V462"/>
      <c r="W462"/>
      <c r="X462"/>
      <c r="Y462"/>
      <c r="Z462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1:35" ht="16" x14ac:dyDescent="0.2">
      <c r="A463" s="8"/>
      <c r="B463" s="4"/>
      <c r="C463" s="4"/>
      <c r="D463" s="4"/>
      <c r="E463"/>
      <c r="F463"/>
      <c r="G463"/>
      <c r="H463"/>
      <c r="I463"/>
      <c r="N463"/>
      <c r="S463"/>
      <c r="T463"/>
      <c r="U463"/>
      <c r="V463"/>
      <c r="W463"/>
      <c r="X463"/>
      <c r="Y463"/>
      <c r="Z463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ht="16" x14ac:dyDescent="0.2">
      <c r="A464" s="8"/>
      <c r="B464" s="4"/>
      <c r="C464" s="4"/>
      <c r="D464" s="4"/>
      <c r="E464"/>
      <c r="F464"/>
      <c r="G464"/>
      <c r="H464"/>
      <c r="I464"/>
      <c r="N464"/>
      <c r="S464"/>
      <c r="T464"/>
      <c r="U464"/>
      <c r="V464"/>
      <c r="W464"/>
      <c r="X464"/>
      <c r="Y464"/>
      <c r="Z46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1:35" ht="16" x14ac:dyDescent="0.2">
      <c r="A465" s="8"/>
      <c r="B465" s="4"/>
      <c r="C465" s="4"/>
      <c r="D465" s="4"/>
      <c r="E465"/>
      <c r="F465"/>
      <c r="G465"/>
      <c r="H465"/>
      <c r="I465"/>
      <c r="N465"/>
      <c r="S465"/>
      <c r="T465"/>
      <c r="U465"/>
      <c r="V465"/>
      <c r="W465"/>
      <c r="X465"/>
      <c r="Y465"/>
      <c r="Z465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1:35" ht="16" x14ac:dyDescent="0.2">
      <c r="A466" s="8"/>
      <c r="B466" s="4"/>
      <c r="C466" s="4"/>
      <c r="D466" s="4"/>
      <c r="E466"/>
      <c r="F466"/>
      <c r="G466"/>
      <c r="H466"/>
      <c r="I466"/>
      <c r="N466"/>
      <c r="S466"/>
      <c r="T466"/>
      <c r="U466"/>
      <c r="V466"/>
      <c r="W466"/>
      <c r="X466"/>
      <c r="Y466"/>
      <c r="Z466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ht="16" x14ac:dyDescent="0.2">
      <c r="A467" s="8"/>
      <c r="B467" s="4"/>
      <c r="C467" s="4"/>
      <c r="D467" s="4"/>
      <c r="E467"/>
      <c r="F467"/>
      <c r="G467"/>
      <c r="H467"/>
      <c r="I467"/>
      <c r="N467"/>
      <c r="S467"/>
      <c r="T467"/>
      <c r="U467"/>
      <c r="V467"/>
      <c r="W467"/>
      <c r="X467"/>
      <c r="Y467"/>
      <c r="Z467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ht="16" x14ac:dyDescent="0.2">
      <c r="A468" s="8"/>
      <c r="B468" s="4"/>
      <c r="C468" s="4"/>
      <c r="D468" s="4"/>
      <c r="E468"/>
      <c r="F468"/>
      <c r="G468"/>
      <c r="H468"/>
      <c r="I468"/>
      <c r="N468"/>
      <c r="S468"/>
      <c r="T468"/>
      <c r="U468"/>
      <c r="V468"/>
      <c r="W468"/>
      <c r="X468"/>
      <c r="Y468"/>
      <c r="Z468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ht="16" x14ac:dyDescent="0.2">
      <c r="A469" s="8"/>
      <c r="B469" s="4"/>
      <c r="C469" s="4"/>
      <c r="D469" s="4"/>
      <c r="E469"/>
      <c r="F469"/>
      <c r="G469"/>
      <c r="H469"/>
      <c r="I469"/>
      <c r="N469"/>
      <c r="S469"/>
      <c r="T469"/>
      <c r="U469"/>
      <c r="V469"/>
      <c r="W469"/>
      <c r="X469"/>
      <c r="Y469"/>
      <c r="Z469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ht="16" x14ac:dyDescent="0.2">
      <c r="A470" s="8"/>
      <c r="B470" s="4"/>
      <c r="C470" s="4"/>
      <c r="D470" s="4"/>
      <c r="E470"/>
      <c r="F470"/>
      <c r="G470"/>
      <c r="H470"/>
      <c r="I470"/>
      <c r="N470"/>
      <c r="S470"/>
      <c r="T470"/>
      <c r="U470"/>
      <c r="V470"/>
      <c r="W470"/>
      <c r="X470"/>
      <c r="Y470"/>
      <c r="Z470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1:35" ht="16" x14ac:dyDescent="0.2">
      <c r="A471" s="8"/>
      <c r="B471" s="4"/>
      <c r="C471" s="4"/>
      <c r="D471" s="4"/>
      <c r="E471"/>
      <c r="F471"/>
      <c r="G471"/>
      <c r="H471"/>
      <c r="I471"/>
      <c r="N471"/>
      <c r="S471"/>
      <c r="T471"/>
      <c r="U471"/>
      <c r="V471"/>
      <c r="W471"/>
      <c r="X471"/>
      <c r="Y471"/>
      <c r="Z471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1:35" ht="16" x14ac:dyDescent="0.2">
      <c r="A472" s="8"/>
      <c r="B472" s="4"/>
      <c r="C472" s="4"/>
      <c r="D472" s="4"/>
      <c r="E472"/>
      <c r="F472"/>
      <c r="G472"/>
      <c r="H472"/>
      <c r="I472"/>
      <c r="N472"/>
      <c r="S472"/>
      <c r="T472"/>
      <c r="U472"/>
      <c r="V472"/>
      <c r="W472"/>
      <c r="X472"/>
      <c r="Y472"/>
      <c r="Z472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1:35" ht="16" x14ac:dyDescent="0.2">
      <c r="A473" s="8"/>
      <c r="B473" s="4"/>
      <c r="C473" s="4"/>
      <c r="D473" s="4"/>
      <c r="E473"/>
      <c r="F473"/>
      <c r="G473"/>
      <c r="H473"/>
      <c r="I473"/>
      <c r="N473"/>
      <c r="S473"/>
      <c r="T473"/>
      <c r="U473"/>
      <c r="V473"/>
      <c r="W473"/>
      <c r="X473"/>
      <c r="Y473"/>
      <c r="Z473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1:35" ht="16" x14ac:dyDescent="0.2">
      <c r="A474" s="8"/>
      <c r="B474" s="4"/>
      <c r="C474" s="4"/>
      <c r="D474" s="4"/>
      <c r="E474"/>
      <c r="F474"/>
      <c r="G474"/>
      <c r="H474"/>
      <c r="I474"/>
      <c r="N474"/>
      <c r="S474"/>
      <c r="T474"/>
      <c r="U474"/>
      <c r="V474"/>
      <c r="W474"/>
      <c r="X474"/>
      <c r="Y474"/>
      <c r="Z47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ht="16" x14ac:dyDescent="0.2">
      <c r="A475" s="8"/>
      <c r="B475" s="4"/>
      <c r="C475" s="4"/>
      <c r="D475" s="4"/>
      <c r="E475"/>
      <c r="F475"/>
      <c r="G475"/>
      <c r="H475"/>
      <c r="I475"/>
      <c r="N475"/>
      <c r="S475"/>
      <c r="T475"/>
      <c r="U475"/>
      <c r="V475"/>
      <c r="W475"/>
      <c r="X475"/>
      <c r="Y475"/>
      <c r="Z475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ht="16" x14ac:dyDescent="0.2">
      <c r="A476" s="8"/>
      <c r="B476" s="4"/>
      <c r="C476" s="4"/>
      <c r="D476" s="4"/>
      <c r="E476"/>
      <c r="F476"/>
      <c r="G476"/>
      <c r="H476"/>
      <c r="I476"/>
      <c r="N476"/>
      <c r="S476"/>
      <c r="T476"/>
      <c r="U476"/>
      <c r="V476"/>
      <c r="W476"/>
      <c r="X476"/>
      <c r="Y476"/>
      <c r="Z476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ht="16" x14ac:dyDescent="0.2">
      <c r="A477" s="8"/>
      <c r="B477" s="4"/>
      <c r="C477" s="4"/>
      <c r="D477" s="4"/>
      <c r="E477"/>
      <c r="F477"/>
      <c r="G477"/>
      <c r="H477"/>
      <c r="I477"/>
      <c r="N477"/>
      <c r="S477"/>
      <c r="T477"/>
      <c r="U477"/>
      <c r="V477"/>
      <c r="W477"/>
      <c r="X477"/>
      <c r="Y477"/>
      <c r="Z477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1:35" ht="16" x14ac:dyDescent="0.2">
      <c r="A478" s="8"/>
      <c r="B478" s="4"/>
      <c r="C478" s="4"/>
      <c r="D478" s="4"/>
      <c r="E478"/>
      <c r="F478"/>
      <c r="G478"/>
      <c r="H478"/>
      <c r="I478"/>
      <c r="N478"/>
      <c r="S478"/>
      <c r="T478"/>
      <c r="U478"/>
      <c r="V478"/>
      <c r="W478"/>
      <c r="X478"/>
      <c r="Y478"/>
      <c r="Z478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1:35" ht="16" x14ac:dyDescent="0.2">
      <c r="A479" s="8"/>
      <c r="B479" s="4"/>
      <c r="C479" s="4"/>
      <c r="D479" s="4"/>
      <c r="E479"/>
      <c r="F479"/>
      <c r="G479"/>
      <c r="H479"/>
      <c r="I479"/>
      <c r="N479"/>
      <c r="S479"/>
      <c r="T479"/>
      <c r="U479"/>
      <c r="V479"/>
      <c r="W479"/>
      <c r="X479"/>
      <c r="Y479"/>
      <c r="Z479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1:35" ht="16" x14ac:dyDescent="0.2">
      <c r="A480" s="8"/>
      <c r="B480" s="4"/>
      <c r="C480" s="4"/>
      <c r="D480" s="4"/>
      <c r="E480"/>
      <c r="F480"/>
      <c r="G480"/>
      <c r="H480"/>
      <c r="I480"/>
      <c r="N480"/>
      <c r="S480"/>
      <c r="T480"/>
      <c r="U480"/>
      <c r="V480"/>
      <c r="W480"/>
      <c r="X480"/>
      <c r="Y480"/>
      <c r="Z480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1:35" ht="16" x14ac:dyDescent="0.2">
      <c r="A481" s="8"/>
      <c r="B481" s="4"/>
      <c r="C481" s="4"/>
      <c r="D481" s="4"/>
      <c r="E481"/>
      <c r="F481"/>
      <c r="G481"/>
      <c r="H481"/>
      <c r="I481"/>
      <c r="N481"/>
      <c r="S481"/>
      <c r="T481"/>
      <c r="U481"/>
      <c r="V481"/>
      <c r="W481"/>
      <c r="X481"/>
      <c r="Y481"/>
      <c r="Z481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1:35" ht="16" x14ac:dyDescent="0.2">
      <c r="A482" s="8"/>
      <c r="B482" s="4"/>
      <c r="C482" s="4"/>
      <c r="D482" s="4"/>
      <c r="E482"/>
      <c r="F482"/>
      <c r="G482"/>
      <c r="H482"/>
      <c r="I482"/>
      <c r="N482"/>
      <c r="S482"/>
      <c r="T482"/>
      <c r="U482"/>
      <c r="V482"/>
      <c r="W482"/>
      <c r="X482"/>
      <c r="Y482"/>
      <c r="Z482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1:35" ht="16" x14ac:dyDescent="0.2">
      <c r="A483" s="8"/>
      <c r="B483" s="4"/>
      <c r="C483" s="4"/>
      <c r="D483" s="4"/>
      <c r="E483"/>
      <c r="F483"/>
      <c r="G483"/>
      <c r="H483"/>
      <c r="I483"/>
      <c r="N483"/>
      <c r="S483"/>
      <c r="T483"/>
      <c r="U483"/>
      <c r="V483"/>
      <c r="W483"/>
      <c r="X483"/>
      <c r="Y483"/>
      <c r="Z483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1:35" ht="16" x14ac:dyDescent="0.2">
      <c r="A484" s="8"/>
      <c r="B484" s="4"/>
      <c r="C484" s="4"/>
      <c r="D484" s="4"/>
      <c r="E484"/>
      <c r="F484"/>
      <c r="G484"/>
      <c r="H484"/>
      <c r="I484"/>
      <c r="N484"/>
      <c r="S484"/>
      <c r="T484"/>
      <c r="U484"/>
      <c r="V484"/>
      <c r="W484"/>
      <c r="X484"/>
      <c r="Y484"/>
      <c r="Z48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1:35" ht="16" x14ac:dyDescent="0.2">
      <c r="A485" s="8"/>
      <c r="B485" s="4"/>
      <c r="C485" s="4"/>
      <c r="D485" s="4"/>
      <c r="E485"/>
      <c r="F485"/>
      <c r="G485"/>
      <c r="H485"/>
      <c r="I485"/>
      <c r="N485"/>
      <c r="S485"/>
      <c r="T485"/>
      <c r="U485"/>
      <c r="V485"/>
      <c r="W485"/>
      <c r="X485"/>
      <c r="Y485"/>
      <c r="Z485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1:35" ht="16" x14ac:dyDescent="0.2">
      <c r="A486" s="8"/>
      <c r="B486" s="4"/>
      <c r="C486" s="4"/>
      <c r="D486" s="4"/>
      <c r="E486"/>
      <c r="F486"/>
      <c r="G486"/>
      <c r="H486"/>
      <c r="I486"/>
      <c r="N486"/>
      <c r="S486"/>
      <c r="T486"/>
      <c r="U486"/>
      <c r="V486"/>
      <c r="W486"/>
      <c r="X486"/>
      <c r="Y486"/>
      <c r="Z486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1:35" ht="16" x14ac:dyDescent="0.2">
      <c r="A487" s="8"/>
      <c r="B487" s="4"/>
      <c r="C487" s="4"/>
      <c r="D487" s="4"/>
      <c r="E487"/>
      <c r="F487"/>
      <c r="G487"/>
      <c r="H487"/>
      <c r="I487"/>
      <c r="N487"/>
      <c r="S487"/>
      <c r="T487"/>
      <c r="U487"/>
      <c r="V487"/>
      <c r="W487"/>
      <c r="X487"/>
      <c r="Y487"/>
      <c r="Z487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1:35" ht="16" x14ac:dyDescent="0.2">
      <c r="A488" s="8"/>
      <c r="B488" s="4"/>
      <c r="C488" s="4"/>
      <c r="D488" s="4"/>
      <c r="E488"/>
      <c r="F488"/>
      <c r="G488"/>
      <c r="H488"/>
      <c r="I488"/>
      <c r="N488"/>
      <c r="S488"/>
      <c r="T488"/>
      <c r="U488"/>
      <c r="V488"/>
      <c r="W488"/>
      <c r="X488"/>
      <c r="Y488"/>
      <c r="Z488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1:35" ht="16" x14ac:dyDescent="0.2">
      <c r="A489" s="8"/>
      <c r="B489" s="4"/>
      <c r="C489" s="4"/>
      <c r="D489" s="4"/>
      <c r="E489"/>
      <c r="F489"/>
      <c r="G489"/>
      <c r="H489"/>
      <c r="I489"/>
      <c r="N489"/>
      <c r="S489"/>
      <c r="T489"/>
      <c r="U489"/>
      <c r="V489"/>
      <c r="W489"/>
      <c r="X489"/>
      <c r="Y489"/>
      <c r="Z489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1:35" ht="16" x14ac:dyDescent="0.2">
      <c r="A490" s="8"/>
      <c r="B490" s="4"/>
      <c r="C490" s="4"/>
      <c r="D490" s="4"/>
      <c r="E490"/>
      <c r="F490"/>
      <c r="G490"/>
      <c r="H490"/>
      <c r="I490"/>
      <c r="N490"/>
      <c r="S490"/>
      <c r="T490"/>
      <c r="U490"/>
      <c r="V490"/>
      <c r="W490"/>
      <c r="X490"/>
      <c r="Y490"/>
      <c r="Z490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ht="16" x14ac:dyDescent="0.2">
      <c r="A491" s="8"/>
      <c r="B491" s="4"/>
      <c r="C491" s="4"/>
      <c r="D491" s="4"/>
      <c r="E491"/>
      <c r="F491"/>
      <c r="G491"/>
      <c r="H491"/>
      <c r="I491"/>
      <c r="N491"/>
      <c r="S491"/>
      <c r="T491"/>
      <c r="U491"/>
      <c r="V491"/>
      <c r="W491"/>
      <c r="X491"/>
      <c r="Y491"/>
      <c r="Z491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1:35" ht="16" x14ac:dyDescent="0.2">
      <c r="A492" s="8"/>
      <c r="B492" s="4"/>
      <c r="C492" s="4"/>
      <c r="D492" s="4"/>
      <c r="E492"/>
      <c r="F492"/>
      <c r="G492"/>
      <c r="H492"/>
      <c r="I492"/>
      <c r="N492"/>
      <c r="S492"/>
      <c r="T492"/>
      <c r="U492"/>
      <c r="V492"/>
      <c r="W492"/>
      <c r="X492"/>
      <c r="Y492"/>
      <c r="Z492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1:35" ht="16" x14ac:dyDescent="0.2">
      <c r="A493" s="8"/>
      <c r="B493" s="4"/>
      <c r="C493" s="4"/>
      <c r="D493" s="4"/>
      <c r="E493"/>
      <c r="F493"/>
      <c r="G493"/>
      <c r="H493"/>
      <c r="I493"/>
      <c r="N493"/>
      <c r="S493"/>
      <c r="T493"/>
      <c r="U493"/>
      <c r="V493"/>
      <c r="W493"/>
      <c r="X493"/>
      <c r="Y493"/>
      <c r="Z493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ht="16" x14ac:dyDescent="0.2">
      <c r="A494" s="8"/>
      <c r="B494" s="4"/>
      <c r="C494" s="4"/>
      <c r="D494" s="4"/>
      <c r="E494"/>
      <c r="F494"/>
      <c r="G494"/>
      <c r="H494"/>
      <c r="I494"/>
      <c r="N494"/>
      <c r="S494"/>
      <c r="T494"/>
      <c r="U494"/>
      <c r="V494"/>
      <c r="W494"/>
      <c r="X494"/>
      <c r="Y494"/>
      <c r="Z49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ht="16" x14ac:dyDescent="0.2">
      <c r="A495" s="8"/>
      <c r="B495" s="4"/>
      <c r="C495" s="4"/>
      <c r="D495" s="4"/>
      <c r="E495"/>
      <c r="F495"/>
      <c r="G495"/>
      <c r="H495"/>
      <c r="I495"/>
      <c r="N495"/>
      <c r="S495"/>
      <c r="T495"/>
      <c r="U495"/>
      <c r="V495"/>
      <c r="W495"/>
      <c r="X495"/>
      <c r="Y495"/>
      <c r="Z495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1:35" ht="16" x14ac:dyDescent="0.2">
      <c r="A496" s="8"/>
      <c r="B496" s="4"/>
      <c r="C496" s="4"/>
      <c r="D496" s="4"/>
      <c r="E496"/>
      <c r="F496"/>
      <c r="G496"/>
      <c r="H496"/>
      <c r="I496"/>
      <c r="N496"/>
      <c r="S496"/>
      <c r="T496"/>
      <c r="U496"/>
      <c r="V496"/>
      <c r="W496"/>
      <c r="X496"/>
      <c r="Y496"/>
      <c r="Z496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1:35" ht="16" x14ac:dyDescent="0.2">
      <c r="A497" s="8"/>
      <c r="B497" s="4"/>
      <c r="C497" s="4"/>
      <c r="D497" s="4"/>
      <c r="E497"/>
      <c r="F497"/>
      <c r="G497"/>
      <c r="H497"/>
      <c r="I497"/>
      <c r="N497"/>
      <c r="S497"/>
      <c r="T497"/>
      <c r="U497"/>
      <c r="V497"/>
      <c r="W497"/>
      <c r="X497"/>
      <c r="Y497"/>
      <c r="Z497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1:35" ht="16" x14ac:dyDescent="0.2">
      <c r="A498" s="8"/>
      <c r="B498" s="4"/>
      <c r="C498" s="4"/>
      <c r="D498" s="4"/>
      <c r="E498"/>
      <c r="F498"/>
      <c r="G498"/>
      <c r="H498"/>
      <c r="I498"/>
      <c r="N498"/>
      <c r="S498"/>
      <c r="T498"/>
      <c r="U498"/>
      <c r="V498"/>
      <c r="W498"/>
      <c r="X498"/>
      <c r="Y498"/>
      <c r="Z498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ht="16" x14ac:dyDescent="0.2">
      <c r="A499" s="8"/>
      <c r="B499" s="4"/>
      <c r="C499" s="4"/>
      <c r="D499" s="4"/>
      <c r="E499"/>
      <c r="F499"/>
      <c r="G499"/>
      <c r="H499"/>
      <c r="I499"/>
      <c r="N499"/>
      <c r="S499"/>
      <c r="T499"/>
      <c r="U499"/>
      <c r="V499"/>
      <c r="W499"/>
      <c r="X499"/>
      <c r="Y499"/>
      <c r="Z499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ht="16" x14ac:dyDescent="0.2">
      <c r="A500" s="8"/>
      <c r="B500" s="4"/>
      <c r="C500" s="4"/>
      <c r="D500" s="4"/>
      <c r="E500"/>
      <c r="F500"/>
      <c r="G500"/>
      <c r="H500"/>
      <c r="I500"/>
      <c r="N500"/>
      <c r="S500"/>
      <c r="T500"/>
      <c r="U500"/>
      <c r="V500"/>
      <c r="W500"/>
      <c r="X500"/>
      <c r="Y500"/>
      <c r="Z500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1:35" ht="16" x14ac:dyDescent="0.2">
      <c r="A501" s="8"/>
      <c r="B501" s="4"/>
      <c r="C501" s="4"/>
      <c r="D501" s="4"/>
      <c r="E501"/>
      <c r="F501"/>
      <c r="G501"/>
      <c r="H501"/>
      <c r="I501"/>
      <c r="N501"/>
      <c r="S501"/>
      <c r="T501"/>
      <c r="U501"/>
      <c r="V501"/>
      <c r="W501"/>
      <c r="X501"/>
      <c r="Y501"/>
      <c r="Z501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ht="16" x14ac:dyDescent="0.2">
      <c r="A502" s="8"/>
      <c r="B502" s="4"/>
      <c r="C502" s="4"/>
      <c r="D502" s="4"/>
      <c r="E502"/>
      <c r="F502"/>
      <c r="G502"/>
      <c r="H502"/>
      <c r="I502"/>
      <c r="N502"/>
      <c r="S502"/>
      <c r="T502"/>
      <c r="U502"/>
      <c r="V502"/>
      <c r="W502"/>
      <c r="X502"/>
      <c r="Y502"/>
      <c r="Z502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ht="16" x14ac:dyDescent="0.2">
      <c r="A503" s="8"/>
      <c r="B503" s="4"/>
      <c r="C503" s="4"/>
      <c r="D503" s="4"/>
      <c r="E503"/>
      <c r="F503"/>
      <c r="G503"/>
      <c r="H503"/>
      <c r="I503"/>
      <c r="N503"/>
      <c r="S503"/>
      <c r="T503"/>
      <c r="U503"/>
      <c r="V503"/>
      <c r="W503"/>
      <c r="X503"/>
      <c r="Y503"/>
      <c r="Z503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ht="16" x14ac:dyDescent="0.2">
      <c r="A504" s="8"/>
      <c r="B504" s="4"/>
      <c r="C504" s="4"/>
      <c r="D504" s="4"/>
      <c r="E504"/>
      <c r="F504"/>
      <c r="G504"/>
      <c r="H504"/>
      <c r="I504"/>
      <c r="N504"/>
      <c r="S504"/>
      <c r="T504"/>
      <c r="U504"/>
      <c r="V504"/>
      <c r="W504"/>
      <c r="X504"/>
      <c r="Y504"/>
      <c r="Z50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ht="16" x14ac:dyDescent="0.2">
      <c r="A505" s="8"/>
      <c r="B505" s="4"/>
      <c r="C505" s="4"/>
      <c r="D505" s="4"/>
      <c r="E505"/>
      <c r="F505"/>
      <c r="G505"/>
      <c r="H505"/>
      <c r="I505"/>
      <c r="N505"/>
      <c r="S505"/>
      <c r="T505"/>
      <c r="U505"/>
      <c r="V505"/>
      <c r="W505"/>
      <c r="X505"/>
      <c r="Y505"/>
      <c r="Z505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ht="16" x14ac:dyDescent="0.2">
      <c r="A506" s="8"/>
      <c r="B506" s="4"/>
      <c r="C506" s="4"/>
      <c r="D506" s="4"/>
      <c r="E506"/>
      <c r="F506"/>
      <c r="G506"/>
      <c r="H506"/>
      <c r="I506"/>
      <c r="N506"/>
      <c r="S506"/>
      <c r="T506"/>
      <c r="U506"/>
      <c r="V506"/>
      <c r="W506"/>
      <c r="X506"/>
      <c r="Y506"/>
      <c r="Z506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ht="16" x14ac:dyDescent="0.2">
      <c r="A507" s="8"/>
      <c r="B507" s="4"/>
      <c r="C507" s="4"/>
      <c r="D507" s="4"/>
      <c r="E507"/>
      <c r="F507"/>
      <c r="G507"/>
      <c r="H507"/>
      <c r="I507"/>
      <c r="N507"/>
      <c r="S507"/>
      <c r="T507"/>
      <c r="U507"/>
      <c r="V507"/>
      <c r="W507"/>
      <c r="X507"/>
      <c r="Y507"/>
      <c r="Z507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ht="16" x14ac:dyDescent="0.2">
      <c r="A508" s="8"/>
      <c r="B508" s="4"/>
      <c r="C508" s="4"/>
      <c r="D508" s="4"/>
      <c r="E508"/>
      <c r="F508"/>
      <c r="G508"/>
      <c r="H508"/>
      <c r="I508"/>
      <c r="N508"/>
      <c r="S508"/>
      <c r="T508"/>
      <c r="U508"/>
      <c r="V508"/>
      <c r="W508"/>
      <c r="X508"/>
      <c r="Y508"/>
      <c r="Z508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1:35" ht="16" x14ac:dyDescent="0.2">
      <c r="A509" s="8"/>
      <c r="B509" s="4"/>
      <c r="C509" s="4"/>
      <c r="D509" s="4"/>
      <c r="E509"/>
      <c r="F509"/>
      <c r="G509"/>
      <c r="H509"/>
      <c r="I509"/>
      <c r="N509"/>
      <c r="S509"/>
      <c r="T509"/>
      <c r="U509"/>
      <c r="V509"/>
      <c r="W509"/>
      <c r="X509"/>
      <c r="Y509"/>
      <c r="Z509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1:35" ht="16" x14ac:dyDescent="0.2">
      <c r="A510" s="8"/>
      <c r="B510" s="4"/>
      <c r="C510" s="4"/>
      <c r="D510" s="4"/>
      <c r="E510"/>
      <c r="F510"/>
      <c r="G510"/>
      <c r="H510"/>
      <c r="I510"/>
      <c r="N510"/>
      <c r="S510"/>
      <c r="T510"/>
      <c r="U510"/>
      <c r="V510"/>
      <c r="W510"/>
      <c r="X510"/>
      <c r="Y510"/>
      <c r="Z510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1:35" ht="16" x14ac:dyDescent="0.2">
      <c r="A511" s="8"/>
      <c r="B511" s="4"/>
      <c r="C511" s="4"/>
      <c r="D511" s="4"/>
      <c r="E511"/>
      <c r="F511"/>
      <c r="G511"/>
      <c r="H511"/>
      <c r="I511"/>
      <c r="N511"/>
      <c r="S511"/>
      <c r="T511"/>
      <c r="U511"/>
      <c r="V511"/>
      <c r="W511"/>
      <c r="X511"/>
      <c r="Y511"/>
      <c r="Z511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1:35" ht="16" x14ac:dyDescent="0.2">
      <c r="A512" s="8"/>
      <c r="B512" s="4"/>
      <c r="C512" s="4"/>
      <c r="D512" s="4"/>
      <c r="E512"/>
      <c r="F512"/>
      <c r="G512"/>
      <c r="H512"/>
      <c r="I512"/>
      <c r="N512"/>
      <c r="S512"/>
      <c r="T512"/>
      <c r="U512"/>
      <c r="V512"/>
      <c r="W512"/>
      <c r="X512"/>
      <c r="Y512"/>
      <c r="Z512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1:35" ht="16" x14ac:dyDescent="0.2">
      <c r="A513" s="8"/>
      <c r="B513" s="4"/>
      <c r="C513" s="4"/>
      <c r="D513" s="4"/>
      <c r="E513"/>
      <c r="F513"/>
      <c r="G513"/>
      <c r="H513"/>
      <c r="I513"/>
      <c r="N513"/>
      <c r="S513"/>
      <c r="T513"/>
      <c r="U513"/>
      <c r="V513"/>
      <c r="W513"/>
      <c r="X513"/>
      <c r="Y513"/>
      <c r="Z513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1:35" ht="16" x14ac:dyDescent="0.2">
      <c r="A514" s="8"/>
      <c r="B514" s="4"/>
      <c r="C514" s="4"/>
      <c r="D514" s="4"/>
      <c r="E514"/>
      <c r="F514"/>
      <c r="G514"/>
      <c r="H514"/>
      <c r="I514"/>
      <c r="N514"/>
      <c r="S514"/>
      <c r="T514"/>
      <c r="U514"/>
      <c r="V514"/>
      <c r="W514"/>
      <c r="X514"/>
      <c r="Y514"/>
      <c r="Z51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ht="16" x14ac:dyDescent="0.2">
      <c r="A515" s="8"/>
      <c r="B515" s="4"/>
      <c r="C515" s="4"/>
      <c r="D515" s="4"/>
      <c r="E515"/>
      <c r="F515"/>
      <c r="G515"/>
      <c r="H515"/>
      <c r="I515"/>
      <c r="N515"/>
      <c r="S515"/>
      <c r="T515"/>
      <c r="U515"/>
      <c r="V515"/>
      <c r="W515"/>
      <c r="X515"/>
      <c r="Y515"/>
      <c r="Z515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1:35" ht="16" x14ac:dyDescent="0.2">
      <c r="A516" s="8"/>
      <c r="B516" s="4"/>
      <c r="C516" s="4"/>
      <c r="D516" s="4"/>
      <c r="E516"/>
      <c r="F516"/>
      <c r="G516"/>
      <c r="H516"/>
      <c r="I516"/>
      <c r="N516"/>
      <c r="S516"/>
      <c r="T516"/>
      <c r="U516"/>
      <c r="V516"/>
      <c r="W516"/>
      <c r="X516"/>
      <c r="Y516"/>
      <c r="Z516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1:35" ht="16" x14ac:dyDescent="0.2">
      <c r="A517" s="8"/>
      <c r="B517" s="4"/>
      <c r="C517" s="4"/>
      <c r="D517" s="4"/>
      <c r="E517"/>
      <c r="F517"/>
      <c r="G517"/>
      <c r="H517"/>
      <c r="I517"/>
      <c r="N517"/>
      <c r="S517"/>
      <c r="T517"/>
      <c r="U517"/>
      <c r="V517"/>
      <c r="W517"/>
      <c r="X517"/>
      <c r="Y517"/>
      <c r="Z517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1:35" ht="16" x14ac:dyDescent="0.2">
      <c r="A518" s="8"/>
      <c r="B518" s="4"/>
      <c r="C518" s="4"/>
      <c r="D518" s="4"/>
      <c r="E518"/>
      <c r="F518"/>
      <c r="G518"/>
      <c r="H518"/>
      <c r="I518"/>
      <c r="N518"/>
      <c r="S518"/>
      <c r="T518"/>
      <c r="U518"/>
      <c r="V518"/>
      <c r="W518"/>
      <c r="X518"/>
      <c r="Y518"/>
      <c r="Z518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1:35" ht="16" x14ac:dyDescent="0.2">
      <c r="A519" s="8"/>
      <c r="B519" s="4"/>
      <c r="C519" s="4"/>
      <c r="D519" s="4"/>
      <c r="E519"/>
      <c r="F519"/>
      <c r="G519"/>
      <c r="H519"/>
      <c r="I519"/>
      <c r="N519"/>
      <c r="S519"/>
      <c r="T519"/>
      <c r="U519"/>
      <c r="V519"/>
      <c r="W519"/>
      <c r="X519"/>
      <c r="Y519"/>
      <c r="Z519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1:35" ht="16" x14ac:dyDescent="0.2">
      <c r="A520" s="8"/>
      <c r="B520" s="4"/>
      <c r="C520" s="4"/>
      <c r="D520" s="4"/>
      <c r="E520"/>
      <c r="F520"/>
      <c r="G520"/>
      <c r="H520"/>
      <c r="I520"/>
      <c r="N520"/>
      <c r="S520"/>
      <c r="T520"/>
      <c r="U520"/>
      <c r="V520"/>
      <c r="W520"/>
      <c r="X520"/>
      <c r="Y520"/>
      <c r="Z520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1:35" ht="16" x14ac:dyDescent="0.2">
      <c r="A521" s="8"/>
      <c r="B521" s="4"/>
      <c r="C521" s="4"/>
      <c r="D521" s="4"/>
      <c r="E521"/>
      <c r="F521"/>
      <c r="G521"/>
      <c r="H521"/>
      <c r="I521"/>
      <c r="N521"/>
      <c r="S521"/>
      <c r="T521"/>
      <c r="U521"/>
      <c r="V521"/>
      <c r="W521"/>
      <c r="X521"/>
      <c r="Y521"/>
      <c r="Z521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ht="16" x14ac:dyDescent="0.2">
      <c r="A522" s="8"/>
      <c r="B522" s="4"/>
      <c r="C522" s="4"/>
      <c r="D522" s="4"/>
      <c r="E522"/>
      <c r="F522"/>
      <c r="G522"/>
      <c r="H522"/>
      <c r="I522"/>
      <c r="N522"/>
      <c r="S522"/>
      <c r="T522"/>
      <c r="U522"/>
      <c r="V522"/>
      <c r="W522"/>
      <c r="X522"/>
      <c r="Y522"/>
      <c r="Z522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1:35" ht="16" x14ac:dyDescent="0.2">
      <c r="A523" s="8"/>
      <c r="B523" s="4"/>
      <c r="C523" s="4"/>
      <c r="D523" s="4"/>
      <c r="E523"/>
      <c r="F523"/>
      <c r="G523"/>
      <c r="H523"/>
      <c r="I523"/>
      <c r="N523"/>
      <c r="S523"/>
      <c r="T523"/>
      <c r="U523"/>
      <c r="V523"/>
      <c r="W523"/>
      <c r="X523"/>
      <c r="Y523"/>
      <c r="Z523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1:35" ht="16" x14ac:dyDescent="0.2">
      <c r="A524" s="8"/>
      <c r="B524" s="4"/>
      <c r="C524" s="4"/>
      <c r="D524" s="4"/>
      <c r="E524"/>
      <c r="F524"/>
      <c r="G524"/>
      <c r="H524"/>
      <c r="I524"/>
      <c r="N524"/>
      <c r="S524"/>
      <c r="T524"/>
      <c r="U524"/>
      <c r="V524"/>
      <c r="W524"/>
      <c r="X524"/>
      <c r="Y524"/>
      <c r="Z52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1:35" ht="16" x14ac:dyDescent="0.2">
      <c r="A525" s="8"/>
      <c r="B525" s="4"/>
      <c r="C525" s="4"/>
      <c r="D525" s="4"/>
      <c r="E525"/>
      <c r="F525"/>
      <c r="G525"/>
      <c r="H525"/>
      <c r="I525"/>
      <c r="N525"/>
      <c r="S525"/>
      <c r="T525"/>
      <c r="U525"/>
      <c r="V525"/>
      <c r="W525"/>
      <c r="X525"/>
      <c r="Y525"/>
      <c r="Z525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1:35" ht="16" x14ac:dyDescent="0.2">
      <c r="A526" s="8"/>
      <c r="B526" s="4"/>
      <c r="C526" s="4"/>
      <c r="D526" s="4"/>
      <c r="E526"/>
      <c r="F526"/>
      <c r="G526"/>
      <c r="H526"/>
      <c r="I526"/>
      <c r="N526"/>
      <c r="S526"/>
      <c r="T526"/>
      <c r="U526"/>
      <c r="V526"/>
      <c r="W526"/>
      <c r="X526"/>
      <c r="Y526"/>
      <c r="Z526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1:35" ht="16" x14ac:dyDescent="0.2">
      <c r="A527" s="8"/>
      <c r="B527" s="4"/>
      <c r="C527" s="4"/>
      <c r="D527" s="4"/>
      <c r="E527"/>
      <c r="F527"/>
      <c r="G527"/>
      <c r="H527"/>
      <c r="I527"/>
      <c r="N527"/>
      <c r="S527"/>
      <c r="T527"/>
      <c r="U527"/>
      <c r="V527"/>
      <c r="W527"/>
      <c r="X527"/>
      <c r="Y527"/>
      <c r="Z527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1:35" ht="16" x14ac:dyDescent="0.2">
      <c r="A528" s="8"/>
      <c r="B528" s="4"/>
      <c r="C528" s="4"/>
      <c r="D528" s="4"/>
      <c r="E528"/>
      <c r="F528"/>
      <c r="G528"/>
      <c r="H528"/>
      <c r="I528"/>
      <c r="N528"/>
      <c r="S528"/>
      <c r="T528"/>
      <c r="U528"/>
      <c r="V528"/>
      <c r="W528"/>
      <c r="X528"/>
      <c r="Y528"/>
      <c r="Z528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1:35" ht="16" x14ac:dyDescent="0.2">
      <c r="A529" s="8"/>
      <c r="B529" s="4"/>
      <c r="C529" s="4"/>
      <c r="D529" s="4"/>
      <c r="E529"/>
      <c r="F529"/>
      <c r="G529"/>
      <c r="H529"/>
      <c r="I529"/>
      <c r="N529"/>
      <c r="S529"/>
      <c r="T529"/>
      <c r="U529"/>
      <c r="V529"/>
      <c r="W529"/>
      <c r="X529"/>
      <c r="Y529"/>
      <c r="Z529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1:35" ht="16" x14ac:dyDescent="0.2">
      <c r="A530" s="8"/>
      <c r="B530" s="4"/>
      <c r="C530" s="4"/>
      <c r="D530" s="4"/>
      <c r="E530"/>
      <c r="F530"/>
      <c r="G530"/>
      <c r="H530"/>
      <c r="I530"/>
      <c r="N530"/>
      <c r="S530"/>
      <c r="T530"/>
      <c r="U530"/>
      <c r="V530"/>
      <c r="W530"/>
      <c r="X530"/>
      <c r="Y530"/>
      <c r="Z530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1:35" ht="16" x14ac:dyDescent="0.2">
      <c r="A531" s="8"/>
      <c r="B531" s="4"/>
      <c r="C531" s="4"/>
      <c r="D531" s="4"/>
      <c r="E531"/>
      <c r="F531"/>
      <c r="G531"/>
      <c r="H531"/>
      <c r="I531"/>
      <c r="N531"/>
      <c r="S531"/>
      <c r="T531"/>
      <c r="U531"/>
      <c r="V531"/>
      <c r="W531"/>
      <c r="X531"/>
      <c r="Y531"/>
      <c r="Z531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ht="16" x14ac:dyDescent="0.2">
      <c r="A532" s="8"/>
      <c r="B532" s="4"/>
      <c r="C532" s="4"/>
      <c r="D532" s="4"/>
      <c r="E532"/>
      <c r="F532"/>
      <c r="G532"/>
      <c r="H532"/>
      <c r="I532"/>
      <c r="N532"/>
      <c r="S532"/>
      <c r="T532"/>
      <c r="U532"/>
      <c r="V532"/>
      <c r="W532"/>
      <c r="X532"/>
      <c r="Y532"/>
      <c r="Z532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ht="16" x14ac:dyDescent="0.2">
      <c r="A533" s="8"/>
      <c r="B533" s="4"/>
      <c r="C533" s="4"/>
      <c r="D533" s="4"/>
      <c r="E533"/>
      <c r="F533"/>
      <c r="G533"/>
      <c r="H533"/>
      <c r="I533"/>
      <c r="N533"/>
      <c r="S533"/>
      <c r="T533"/>
      <c r="U533"/>
      <c r="V533"/>
      <c r="W533"/>
      <c r="X533"/>
      <c r="Y533"/>
      <c r="Z533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1:35" ht="16" x14ac:dyDescent="0.2">
      <c r="A534" s="8"/>
      <c r="B534" s="4"/>
      <c r="C534" s="4"/>
      <c r="D534" s="4"/>
      <c r="E534"/>
      <c r="F534"/>
      <c r="G534"/>
      <c r="H534"/>
      <c r="I534"/>
      <c r="N534"/>
      <c r="S534"/>
      <c r="T534"/>
      <c r="U534"/>
      <c r="V534"/>
      <c r="W534"/>
      <c r="X534"/>
      <c r="Y534"/>
      <c r="Z53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ht="16" x14ac:dyDescent="0.2">
      <c r="A535" s="8"/>
      <c r="B535" s="4"/>
      <c r="C535" s="4"/>
      <c r="D535" s="4"/>
      <c r="E535"/>
      <c r="F535"/>
      <c r="G535"/>
      <c r="H535"/>
      <c r="I535"/>
      <c r="N535"/>
      <c r="S535"/>
      <c r="T535"/>
      <c r="U535"/>
      <c r="V535"/>
      <c r="W535"/>
      <c r="X535"/>
      <c r="Y535"/>
      <c r="Z535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ht="16" x14ac:dyDescent="0.2">
      <c r="A536" s="8"/>
      <c r="B536" s="4"/>
      <c r="C536" s="4"/>
      <c r="D536" s="4"/>
      <c r="E536"/>
      <c r="F536"/>
      <c r="G536"/>
      <c r="H536"/>
      <c r="I536"/>
      <c r="N536"/>
      <c r="S536"/>
      <c r="T536"/>
      <c r="U536"/>
      <c r="V536"/>
      <c r="W536"/>
      <c r="X536"/>
      <c r="Y536"/>
      <c r="Z536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1:35" ht="16" x14ac:dyDescent="0.2">
      <c r="A537" s="8"/>
      <c r="B537" s="4"/>
      <c r="C537" s="4"/>
      <c r="D537" s="4"/>
      <c r="E537"/>
      <c r="F537"/>
      <c r="G537"/>
      <c r="H537"/>
      <c r="I537"/>
      <c r="N537"/>
      <c r="S537"/>
      <c r="T537"/>
      <c r="U537"/>
      <c r="V537"/>
      <c r="W537"/>
      <c r="X537"/>
      <c r="Y537"/>
      <c r="Z537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ht="16" x14ac:dyDescent="0.2">
      <c r="A538" s="8"/>
      <c r="B538" s="4"/>
      <c r="C538" s="4"/>
      <c r="D538" s="4"/>
      <c r="E538"/>
      <c r="F538"/>
      <c r="G538"/>
      <c r="H538"/>
      <c r="I538"/>
      <c r="N538"/>
      <c r="S538"/>
      <c r="T538"/>
      <c r="U538"/>
      <c r="V538"/>
      <c r="W538"/>
      <c r="X538"/>
      <c r="Y538"/>
      <c r="Z538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1:35" ht="16" x14ac:dyDescent="0.2">
      <c r="A539" s="8"/>
      <c r="B539" s="4"/>
      <c r="C539" s="4"/>
      <c r="D539" s="4"/>
      <c r="E539"/>
      <c r="F539"/>
      <c r="G539"/>
      <c r="H539"/>
      <c r="I539"/>
      <c r="N539"/>
      <c r="S539"/>
      <c r="T539"/>
      <c r="U539"/>
      <c r="V539"/>
      <c r="W539"/>
      <c r="X539"/>
      <c r="Y539"/>
      <c r="Z539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ht="16" x14ac:dyDescent="0.2">
      <c r="A540" s="8"/>
      <c r="B540" s="4"/>
      <c r="C540" s="4"/>
      <c r="D540" s="4"/>
      <c r="E540"/>
      <c r="F540"/>
      <c r="G540"/>
      <c r="H540"/>
      <c r="I540"/>
      <c r="N540"/>
      <c r="S540"/>
      <c r="T540"/>
      <c r="U540"/>
      <c r="V540"/>
      <c r="W540"/>
      <c r="X540"/>
      <c r="Y540"/>
      <c r="Z540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ht="16" x14ac:dyDescent="0.2">
      <c r="A541" s="8"/>
      <c r="B541" s="4"/>
      <c r="C541" s="4"/>
      <c r="D541" s="4"/>
      <c r="E541"/>
      <c r="F541"/>
      <c r="G541"/>
      <c r="H541"/>
      <c r="I541"/>
      <c r="N541"/>
      <c r="S541"/>
      <c r="T541"/>
      <c r="U541"/>
      <c r="V541"/>
      <c r="W541"/>
      <c r="X541"/>
      <c r="Y541"/>
      <c r="Z541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ht="16" x14ac:dyDescent="0.2">
      <c r="A542" s="8"/>
      <c r="B542" s="4"/>
      <c r="C542" s="4"/>
      <c r="D542" s="4"/>
      <c r="E542"/>
      <c r="F542"/>
      <c r="G542"/>
      <c r="H542"/>
      <c r="I542"/>
      <c r="N542"/>
      <c r="S542"/>
      <c r="T542"/>
      <c r="U542"/>
      <c r="V542"/>
      <c r="W542"/>
      <c r="X542"/>
      <c r="Y542"/>
      <c r="Z542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1:35" ht="16" x14ac:dyDescent="0.2">
      <c r="A543" s="8"/>
      <c r="B543" s="4"/>
      <c r="C543" s="4"/>
      <c r="D543" s="4"/>
      <c r="E543"/>
      <c r="F543"/>
      <c r="G543"/>
      <c r="H543"/>
      <c r="I543"/>
      <c r="N543"/>
      <c r="S543"/>
      <c r="T543"/>
      <c r="U543"/>
      <c r="V543"/>
      <c r="W543"/>
      <c r="X543"/>
      <c r="Y543"/>
      <c r="Z543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1:35" ht="16" x14ac:dyDescent="0.2">
      <c r="A544" s="8"/>
      <c r="B544" s="4"/>
      <c r="C544" s="4"/>
      <c r="D544" s="4"/>
      <c r="E544"/>
      <c r="F544"/>
      <c r="G544"/>
      <c r="H544"/>
      <c r="I544"/>
      <c r="N544"/>
      <c r="S544"/>
      <c r="T544"/>
      <c r="U544"/>
      <c r="V544"/>
      <c r="W544"/>
      <c r="X544"/>
      <c r="Y544"/>
      <c r="Z54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1:35" ht="16" x14ac:dyDescent="0.2">
      <c r="A545" s="8"/>
      <c r="B545" s="4"/>
      <c r="C545" s="4"/>
      <c r="D545" s="4"/>
      <c r="E545"/>
      <c r="F545"/>
      <c r="G545"/>
      <c r="H545"/>
      <c r="I545"/>
      <c r="N545"/>
      <c r="S545"/>
      <c r="T545"/>
      <c r="U545"/>
      <c r="V545"/>
      <c r="W545"/>
      <c r="X545"/>
      <c r="Y545"/>
      <c r="Z545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ht="16" x14ac:dyDescent="0.2">
      <c r="A546" s="8"/>
      <c r="B546" s="4"/>
      <c r="C546" s="4"/>
      <c r="D546" s="4"/>
      <c r="E546"/>
      <c r="F546"/>
      <c r="G546"/>
      <c r="H546"/>
      <c r="I546"/>
      <c r="N546"/>
      <c r="S546"/>
      <c r="T546"/>
      <c r="U546"/>
      <c r="V546"/>
      <c r="W546"/>
      <c r="X546"/>
      <c r="Y546"/>
      <c r="Z546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ht="16" x14ac:dyDescent="0.2">
      <c r="A547" s="8"/>
      <c r="B547" s="4"/>
      <c r="C547" s="4"/>
      <c r="D547" s="4"/>
      <c r="E547"/>
      <c r="F547"/>
      <c r="G547"/>
      <c r="H547"/>
      <c r="I547"/>
      <c r="N547"/>
      <c r="S547"/>
      <c r="T547"/>
      <c r="U547"/>
      <c r="V547"/>
      <c r="W547"/>
      <c r="X547"/>
      <c r="Y547"/>
      <c r="Z547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1:35" ht="16" x14ac:dyDescent="0.2">
      <c r="A548" s="8"/>
      <c r="B548" s="4"/>
      <c r="C548" s="4"/>
      <c r="D548" s="4"/>
      <c r="E548"/>
      <c r="F548"/>
      <c r="G548"/>
      <c r="H548"/>
      <c r="I548"/>
      <c r="N548"/>
      <c r="S548"/>
      <c r="T548"/>
      <c r="U548"/>
      <c r="V548"/>
      <c r="W548"/>
      <c r="X548"/>
      <c r="Y548"/>
      <c r="Z548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1:35" ht="16" x14ac:dyDescent="0.2">
      <c r="A549" s="8"/>
      <c r="B549" s="4"/>
      <c r="C549" s="4"/>
      <c r="D549" s="4"/>
      <c r="E549"/>
      <c r="F549"/>
      <c r="G549"/>
      <c r="H549"/>
      <c r="I549"/>
      <c r="N549"/>
      <c r="S549"/>
      <c r="T549"/>
      <c r="U549"/>
      <c r="V549"/>
      <c r="W549"/>
      <c r="X549"/>
      <c r="Y549"/>
      <c r="Z549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1:35" ht="16" x14ac:dyDescent="0.2">
      <c r="A550" s="8"/>
      <c r="B550" s="4"/>
      <c r="C550" s="4"/>
      <c r="D550" s="4"/>
      <c r="E550"/>
      <c r="F550"/>
      <c r="G550"/>
      <c r="H550"/>
      <c r="I550"/>
      <c r="N550"/>
      <c r="S550"/>
      <c r="T550"/>
      <c r="U550"/>
      <c r="V550"/>
      <c r="W550"/>
      <c r="X550"/>
      <c r="Y550"/>
      <c r="Z550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1:35" ht="16" x14ac:dyDescent="0.2">
      <c r="A551" s="8"/>
      <c r="B551" s="4"/>
      <c r="C551" s="4"/>
      <c r="D551" s="4"/>
      <c r="E551"/>
      <c r="F551"/>
      <c r="G551"/>
      <c r="H551"/>
      <c r="I551"/>
      <c r="N551"/>
      <c r="S551"/>
      <c r="T551"/>
      <c r="U551"/>
      <c r="W551"/>
      <c r="X551" s="5"/>
      <c r="Y551"/>
      <c r="Z551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ht="16" x14ac:dyDescent="0.2">
      <c r="A552" s="8"/>
      <c r="B552" s="4"/>
      <c r="C552" s="4"/>
      <c r="D552" s="4"/>
      <c r="E552"/>
      <c r="F552"/>
      <c r="G552"/>
      <c r="H552"/>
      <c r="I552"/>
      <c r="N552"/>
      <c r="S552"/>
      <c r="T552"/>
      <c r="U552"/>
      <c r="V552"/>
      <c r="W552"/>
      <c r="X552" s="5"/>
      <c r="Y552"/>
      <c r="Z552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ht="16" x14ac:dyDescent="0.2">
      <c r="A553" s="8"/>
      <c r="B553" s="4"/>
      <c r="C553" s="4"/>
      <c r="D553" s="4"/>
      <c r="E553"/>
      <c r="F553"/>
      <c r="G553"/>
      <c r="H553"/>
      <c r="I553"/>
      <c r="S553"/>
    </row>
    <row r="554" spans="1:35" ht="16" x14ac:dyDescent="0.2">
      <c r="A554" s="8"/>
      <c r="B554" s="4"/>
      <c r="C554" s="4"/>
      <c r="D554" s="4"/>
      <c r="E554"/>
      <c r="F554"/>
      <c r="G554"/>
      <c r="H554"/>
      <c r="I554"/>
      <c r="S554"/>
    </row>
    <row r="555" spans="1:35" ht="16" x14ac:dyDescent="0.2">
      <c r="A555" s="8"/>
      <c r="B555" s="4"/>
      <c r="C555" s="4"/>
      <c r="D555" s="4"/>
      <c r="E555"/>
      <c r="F555"/>
      <c r="G555"/>
      <c r="H555"/>
      <c r="I555"/>
      <c r="S555"/>
    </row>
    <row r="556" spans="1:35" ht="16" x14ac:dyDescent="0.2">
      <c r="A556" s="8"/>
      <c r="B556" s="4"/>
      <c r="C556" s="4"/>
      <c r="D556" s="4"/>
      <c r="E556"/>
      <c r="F556"/>
      <c r="G556"/>
      <c r="H556"/>
      <c r="I556"/>
      <c r="S556"/>
    </row>
    <row r="557" spans="1:35" ht="16" x14ac:dyDescent="0.2">
      <c r="A557" s="8"/>
      <c r="B557" s="4"/>
      <c r="C557" s="4"/>
      <c r="D557" s="4"/>
      <c r="E557"/>
      <c r="F557"/>
      <c r="G557"/>
      <c r="H557"/>
      <c r="I557"/>
      <c r="S557"/>
    </row>
    <row r="558" spans="1:35" ht="16" x14ac:dyDescent="0.2">
      <c r="A558" s="8"/>
      <c r="B558" s="4"/>
      <c r="C558" s="4"/>
      <c r="D558" s="4"/>
      <c r="E558"/>
      <c r="F558"/>
      <c r="G558"/>
      <c r="H558"/>
      <c r="I558"/>
      <c r="S558"/>
    </row>
    <row r="559" spans="1:35" ht="16" x14ac:dyDescent="0.2">
      <c r="A559" s="8"/>
      <c r="B559" s="4"/>
      <c r="C559" s="4"/>
      <c r="D559" s="4"/>
      <c r="E559"/>
      <c r="F559"/>
      <c r="G559"/>
      <c r="H559"/>
      <c r="I559"/>
      <c r="S559"/>
    </row>
    <row r="560" spans="1:35" ht="16" x14ac:dyDescent="0.2">
      <c r="A560" s="8"/>
      <c r="B560" s="4"/>
      <c r="C560" s="4"/>
      <c r="D560" s="4"/>
      <c r="E560"/>
      <c r="F560"/>
      <c r="G560"/>
      <c r="H560"/>
      <c r="I560"/>
      <c r="S560"/>
    </row>
    <row r="561" spans="1:19" ht="16" x14ac:dyDescent="0.2">
      <c r="A561" s="8"/>
      <c r="B561" s="4"/>
      <c r="C561" s="4"/>
      <c r="D561" s="4"/>
      <c r="E561"/>
      <c r="F561"/>
      <c r="G561"/>
      <c r="H561"/>
      <c r="I561"/>
      <c r="S561"/>
    </row>
    <row r="562" spans="1:19" ht="16" x14ac:dyDescent="0.2">
      <c r="A562" s="8"/>
      <c r="B562" s="8"/>
      <c r="C562" s="8"/>
      <c r="D562" s="8"/>
      <c r="E562" s="9"/>
      <c r="G562"/>
      <c r="H562"/>
      <c r="I562"/>
    </row>
    <row r="563" spans="1:19" ht="16" x14ac:dyDescent="0.2">
      <c r="A563" s="8"/>
      <c r="B563" s="8"/>
      <c r="C563" s="8"/>
      <c r="D563" s="8"/>
      <c r="E563" s="9"/>
      <c r="G563"/>
      <c r="H563"/>
      <c r="I563"/>
    </row>
    <row r="564" spans="1:19" ht="16" x14ac:dyDescent="0.2">
      <c r="A564" s="8"/>
      <c r="B564" s="8"/>
      <c r="C564" s="8"/>
      <c r="D564" s="8"/>
      <c r="E564" s="9"/>
      <c r="G564"/>
      <c r="H564"/>
      <c r="I564"/>
    </row>
    <row r="565" spans="1:19" ht="16" x14ac:dyDescent="0.2">
      <c r="A565" s="8"/>
      <c r="B565" s="8"/>
      <c r="C565" s="8"/>
      <c r="D565" s="8"/>
      <c r="E565" s="9"/>
      <c r="G565"/>
      <c r="H565"/>
      <c r="I565"/>
    </row>
    <row r="566" spans="1:19" ht="16" x14ac:dyDescent="0.2">
      <c r="A566" s="8"/>
      <c r="B566" s="8"/>
      <c r="C566" s="8"/>
      <c r="D566" s="8"/>
      <c r="E566" s="9"/>
      <c r="G566"/>
      <c r="H566"/>
      <c r="I566"/>
    </row>
    <row r="567" spans="1:19" ht="16" x14ac:dyDescent="0.2">
      <c r="A567" s="8"/>
      <c r="B567" s="8"/>
      <c r="C567" s="8"/>
      <c r="D567" s="8"/>
      <c r="E567" s="9"/>
      <c r="G567"/>
      <c r="H567"/>
      <c r="I567"/>
    </row>
    <row r="568" spans="1:19" ht="16" x14ac:dyDescent="0.2">
      <c r="A568" s="8"/>
      <c r="B568" s="8"/>
      <c r="C568" s="8"/>
      <c r="D568" s="8"/>
      <c r="E568" s="9"/>
      <c r="G568"/>
      <c r="H568"/>
      <c r="I568"/>
    </row>
    <row r="569" spans="1:19" ht="16" x14ac:dyDescent="0.2">
      <c r="A569" s="8"/>
      <c r="B569" s="8"/>
      <c r="C569" s="8"/>
      <c r="D569" s="8"/>
      <c r="E569" s="9"/>
      <c r="G569"/>
      <c r="H569"/>
      <c r="I569"/>
    </row>
    <row r="570" spans="1:19" ht="16" x14ac:dyDescent="0.2">
      <c r="A570" s="8"/>
      <c r="B570" s="8"/>
      <c r="C570" s="8"/>
      <c r="D570" s="8"/>
      <c r="E570" s="9"/>
      <c r="G570"/>
      <c r="H570"/>
      <c r="I570"/>
    </row>
    <row r="571" spans="1:19" ht="16" x14ac:dyDescent="0.2">
      <c r="A571" s="8"/>
      <c r="B571" s="8"/>
      <c r="C571" s="8"/>
      <c r="D571" s="8"/>
      <c r="E571" s="9"/>
      <c r="G571"/>
      <c r="H571"/>
      <c r="I571"/>
    </row>
    <row r="572" spans="1:19" ht="16" x14ac:dyDescent="0.2">
      <c r="A572" s="8"/>
      <c r="B572" s="8"/>
      <c r="C572" s="8"/>
      <c r="D572" s="8"/>
      <c r="E572" s="9"/>
      <c r="G572"/>
      <c r="H572"/>
      <c r="I572"/>
    </row>
    <row r="573" spans="1:19" ht="16" x14ac:dyDescent="0.2">
      <c r="A573" s="8"/>
      <c r="B573" s="8"/>
      <c r="C573" s="8"/>
      <c r="D573" s="8"/>
      <c r="E573" s="9"/>
      <c r="G573"/>
      <c r="H573"/>
      <c r="I573"/>
    </row>
    <row r="574" spans="1:19" ht="16" x14ac:dyDescent="0.2">
      <c r="A574" s="8"/>
      <c r="B574" s="8"/>
      <c r="C574" s="8"/>
      <c r="D574" s="8"/>
      <c r="E574" s="9"/>
      <c r="G574"/>
      <c r="H574"/>
      <c r="I574"/>
    </row>
    <row r="575" spans="1:19" ht="16" x14ac:dyDescent="0.2">
      <c r="A575" s="8"/>
      <c r="B575" s="8"/>
      <c r="C575" s="8"/>
      <c r="D575" s="8"/>
      <c r="E575" s="9"/>
      <c r="G575"/>
      <c r="H575"/>
      <c r="I575"/>
    </row>
    <row r="576" spans="1:19" ht="16" x14ac:dyDescent="0.2">
      <c r="A576" s="8"/>
      <c r="B576" s="8"/>
      <c r="C576" s="8"/>
      <c r="D576" s="8"/>
      <c r="E576" s="9"/>
      <c r="G576"/>
      <c r="H576"/>
      <c r="I576"/>
    </row>
    <row r="577" spans="1:9" ht="16" x14ac:dyDescent="0.2">
      <c r="A577" s="8"/>
      <c r="B577" s="8"/>
      <c r="C577" s="8"/>
      <c r="D577" s="8"/>
      <c r="E577" s="9"/>
      <c r="G577"/>
      <c r="H577"/>
      <c r="I577"/>
    </row>
    <row r="578" spans="1:9" ht="16" x14ac:dyDescent="0.2">
      <c r="A578" s="8"/>
      <c r="B578" s="8"/>
      <c r="C578" s="8"/>
      <c r="D578" s="8"/>
      <c r="E578" s="9"/>
      <c r="G578"/>
      <c r="H578"/>
      <c r="I578"/>
    </row>
    <row r="579" spans="1:9" ht="16" x14ac:dyDescent="0.2">
      <c r="A579" s="8"/>
      <c r="B579" s="8"/>
      <c r="C579" s="8"/>
      <c r="D579" s="8"/>
      <c r="E579" s="9"/>
      <c r="G579"/>
      <c r="H579"/>
      <c r="I579"/>
    </row>
    <row r="580" spans="1:9" ht="16" x14ac:dyDescent="0.2">
      <c r="A580" s="8"/>
      <c r="B580" s="8"/>
      <c r="C580" s="8"/>
      <c r="D580" s="8"/>
      <c r="E580" s="9"/>
      <c r="G580"/>
      <c r="H580"/>
      <c r="I580"/>
    </row>
    <row r="581" spans="1:9" ht="16" x14ac:dyDescent="0.2">
      <c r="A581" s="8"/>
      <c r="B581" s="8"/>
      <c r="C581" s="8"/>
      <c r="D581" s="8"/>
      <c r="E581" s="9"/>
      <c r="G581"/>
      <c r="H581"/>
      <c r="I581"/>
    </row>
    <row r="582" spans="1:9" ht="16" x14ac:dyDescent="0.2">
      <c r="A582" s="8"/>
      <c r="B582" s="8"/>
      <c r="C582" s="8"/>
      <c r="D582" s="8"/>
      <c r="E582" s="9"/>
      <c r="G582"/>
      <c r="H582"/>
      <c r="I582"/>
    </row>
    <row r="583" spans="1:9" ht="16" x14ac:dyDescent="0.2">
      <c r="A583" s="8"/>
      <c r="B583" s="8"/>
      <c r="C583" s="8"/>
      <c r="D583" s="8"/>
      <c r="E583" s="9"/>
      <c r="G583"/>
      <c r="H583"/>
      <c r="I583"/>
    </row>
    <row r="584" spans="1:9" ht="16" x14ac:dyDescent="0.2">
      <c r="A584" s="8"/>
      <c r="B584" s="8"/>
      <c r="C584" s="8"/>
      <c r="D584" s="8"/>
      <c r="E584" s="9"/>
      <c r="G584"/>
      <c r="H584"/>
      <c r="I584"/>
    </row>
    <row r="585" spans="1:9" ht="16" x14ac:dyDescent="0.2">
      <c r="A585" s="8"/>
      <c r="B585" s="8"/>
      <c r="C585" s="8"/>
      <c r="D585" s="8"/>
      <c r="E585" s="9"/>
      <c r="G585"/>
      <c r="H585"/>
      <c r="I585"/>
    </row>
    <row r="586" spans="1:9" ht="16" x14ac:dyDescent="0.2">
      <c r="A586" s="8"/>
      <c r="B586" s="8"/>
      <c r="C586" s="8"/>
      <c r="D586" s="8"/>
      <c r="E586" s="9"/>
      <c r="G586"/>
      <c r="H586"/>
      <c r="I586"/>
    </row>
    <row r="587" spans="1:9" ht="16" x14ac:dyDescent="0.2">
      <c r="A587" s="8"/>
      <c r="B587" s="8"/>
      <c r="C587" s="8"/>
      <c r="D587" s="8"/>
      <c r="E587" s="9"/>
      <c r="G587"/>
      <c r="H587"/>
      <c r="I587"/>
    </row>
    <row r="588" spans="1:9" ht="16" x14ac:dyDescent="0.2">
      <c r="A588" s="8"/>
      <c r="B588" s="8"/>
      <c r="C588" s="8"/>
      <c r="D588" s="8"/>
      <c r="E588" s="9"/>
      <c r="G588"/>
      <c r="H588"/>
      <c r="I588"/>
    </row>
    <row r="589" spans="1:9" ht="16" x14ac:dyDescent="0.2">
      <c r="A589" s="8"/>
      <c r="B589" s="8"/>
      <c r="C589" s="8"/>
      <c r="D589" s="8"/>
      <c r="E589" s="9"/>
      <c r="G589"/>
      <c r="H589"/>
      <c r="I589"/>
    </row>
    <row r="590" spans="1:9" ht="16" x14ac:dyDescent="0.2">
      <c r="A590" s="8"/>
      <c r="B590" s="8"/>
      <c r="C590" s="8"/>
      <c r="D590" s="8"/>
      <c r="E590" s="9"/>
      <c r="G590"/>
      <c r="H590"/>
      <c r="I590"/>
    </row>
    <row r="591" spans="1:9" ht="16" x14ac:dyDescent="0.2">
      <c r="A591" s="8"/>
      <c r="B591" s="8"/>
      <c r="C591" s="8"/>
      <c r="D591" s="8"/>
      <c r="E591" s="9"/>
      <c r="G591"/>
      <c r="H591"/>
      <c r="I591"/>
    </row>
    <row r="592" spans="1:9" ht="16" x14ac:dyDescent="0.2">
      <c r="A592" s="8"/>
      <c r="B592" s="8"/>
      <c r="C592" s="8"/>
      <c r="D592" s="8"/>
      <c r="E592" s="9"/>
      <c r="G592"/>
      <c r="H592"/>
      <c r="I592"/>
    </row>
    <row r="593" spans="1:9" ht="16" x14ac:dyDescent="0.2">
      <c r="A593" s="8"/>
      <c r="B593" s="8"/>
      <c r="C593" s="8"/>
      <c r="D593" s="8"/>
      <c r="E593" s="9"/>
      <c r="G593"/>
      <c r="H593"/>
      <c r="I593"/>
    </row>
    <row r="594" spans="1:9" ht="16" x14ac:dyDescent="0.2">
      <c r="A594" s="8"/>
      <c r="B594" s="8"/>
      <c r="C594" s="8"/>
      <c r="D594" s="8"/>
      <c r="E594" s="9"/>
      <c r="G594"/>
      <c r="H594"/>
      <c r="I594"/>
    </row>
    <row r="595" spans="1:9" ht="16" x14ac:dyDescent="0.2">
      <c r="A595" s="8"/>
      <c r="B595" s="8"/>
      <c r="C595" s="8"/>
      <c r="D595" s="8"/>
      <c r="E595" s="9"/>
      <c r="G595"/>
      <c r="H595"/>
      <c r="I595"/>
    </row>
    <row r="596" spans="1:9" ht="16" x14ac:dyDescent="0.2">
      <c r="A596" s="8"/>
      <c r="B596" s="8"/>
      <c r="C596" s="8"/>
      <c r="D596" s="8"/>
      <c r="E596" s="9"/>
      <c r="G596"/>
      <c r="H596"/>
      <c r="I596"/>
    </row>
    <row r="597" spans="1:9" ht="16" x14ac:dyDescent="0.2">
      <c r="A597" s="8"/>
      <c r="B597" s="8"/>
      <c r="C597" s="8"/>
      <c r="D597" s="8"/>
      <c r="E597" s="9"/>
      <c r="G597"/>
      <c r="H597"/>
      <c r="I597"/>
    </row>
    <row r="598" spans="1:9" ht="16" x14ac:dyDescent="0.2">
      <c r="A598" s="8"/>
      <c r="B598" s="8"/>
      <c r="C598" s="8"/>
      <c r="D598" s="8"/>
      <c r="E598" s="9"/>
      <c r="G598"/>
      <c r="H598"/>
      <c r="I598"/>
    </row>
    <row r="599" spans="1:9" ht="16" x14ac:dyDescent="0.2">
      <c r="A599" s="8"/>
      <c r="B599" s="8"/>
      <c r="C599" s="8"/>
      <c r="D599" s="8"/>
      <c r="E599" s="9"/>
      <c r="G599"/>
      <c r="H599"/>
      <c r="I599"/>
    </row>
    <row r="600" spans="1:9" ht="16" x14ac:dyDescent="0.2">
      <c r="A600" s="8"/>
      <c r="B600" s="8"/>
      <c r="C600" s="8"/>
      <c r="D600" s="8"/>
      <c r="E600" s="9"/>
      <c r="G600"/>
      <c r="H600"/>
      <c r="I600"/>
    </row>
    <row r="601" spans="1:9" ht="16" x14ac:dyDescent="0.2">
      <c r="A601" s="8"/>
      <c r="B601" s="8"/>
      <c r="C601" s="8"/>
      <c r="D601" s="8"/>
      <c r="E601" s="9"/>
      <c r="G601"/>
      <c r="H601"/>
      <c r="I601"/>
    </row>
    <row r="602" spans="1:9" ht="16" x14ac:dyDescent="0.2">
      <c r="A602" s="8"/>
      <c r="B602" s="8"/>
      <c r="C602" s="8"/>
      <c r="D602" s="8"/>
      <c r="E602" s="9"/>
      <c r="G602"/>
      <c r="H602"/>
      <c r="I602"/>
    </row>
    <row r="603" spans="1:9" ht="16" x14ac:dyDescent="0.2">
      <c r="A603" s="8"/>
      <c r="B603" s="8"/>
      <c r="C603" s="8"/>
      <c r="D603" s="8"/>
      <c r="E603" s="9"/>
      <c r="G603"/>
      <c r="H603"/>
      <c r="I603"/>
    </row>
    <row r="604" spans="1:9" ht="16" x14ac:dyDescent="0.2">
      <c r="A604" s="8"/>
      <c r="B604" s="8"/>
      <c r="C604" s="8"/>
      <c r="D604" s="8"/>
      <c r="E604" s="9"/>
      <c r="G604"/>
      <c r="H604"/>
      <c r="I604"/>
    </row>
    <row r="605" spans="1:9" ht="16" x14ac:dyDescent="0.2">
      <c r="A605" s="8"/>
      <c r="B605" s="8"/>
      <c r="C605" s="8"/>
      <c r="D605" s="8"/>
      <c r="E605" s="9"/>
      <c r="G605"/>
      <c r="H605"/>
      <c r="I605"/>
    </row>
    <row r="606" spans="1:9" ht="16" x14ac:dyDescent="0.2">
      <c r="A606" s="8"/>
      <c r="B606" s="8"/>
      <c r="C606" s="8"/>
      <c r="D606" s="8"/>
      <c r="E606" s="9"/>
      <c r="G606"/>
      <c r="H606"/>
      <c r="I606"/>
    </row>
    <row r="607" spans="1:9" ht="16" x14ac:dyDescent="0.2">
      <c r="A607" s="8"/>
      <c r="B607" s="8"/>
      <c r="C607" s="8"/>
      <c r="D607" s="8"/>
      <c r="E607" s="9"/>
      <c r="G607"/>
      <c r="H607"/>
      <c r="I607"/>
    </row>
    <row r="608" spans="1:9" ht="16" x14ac:dyDescent="0.2">
      <c r="A608" s="8"/>
      <c r="B608" s="8"/>
      <c r="C608" s="8"/>
      <c r="D608" s="8"/>
      <c r="E608" s="9"/>
      <c r="G608"/>
      <c r="H608"/>
      <c r="I608"/>
    </row>
    <row r="609" spans="1:9" ht="16" x14ac:dyDescent="0.2">
      <c r="A609" s="8"/>
      <c r="B609" s="8"/>
      <c r="C609" s="8"/>
      <c r="D609" s="8"/>
      <c r="E609" s="9"/>
      <c r="G609"/>
      <c r="H609"/>
      <c r="I609"/>
    </row>
    <row r="610" spans="1:9" ht="16" x14ac:dyDescent="0.2">
      <c r="A610" s="8"/>
      <c r="B610" s="8"/>
      <c r="C610" s="8"/>
      <c r="D610" s="8"/>
      <c r="E610" s="9"/>
      <c r="G610"/>
      <c r="H610"/>
      <c r="I610"/>
    </row>
    <row r="611" spans="1:9" ht="16" x14ac:dyDescent="0.2">
      <c r="A611" s="8"/>
      <c r="B611" s="8"/>
      <c r="C611" s="8"/>
      <c r="D611" s="8"/>
      <c r="E611" s="9"/>
      <c r="G611"/>
      <c r="H611"/>
      <c r="I611"/>
    </row>
    <row r="612" spans="1:9" ht="16" x14ac:dyDescent="0.2">
      <c r="A612" s="8"/>
      <c r="B612" s="8"/>
      <c r="C612" s="8"/>
      <c r="D612" s="8"/>
      <c r="E612" s="9"/>
      <c r="G612"/>
      <c r="H612"/>
      <c r="I612"/>
    </row>
    <row r="613" spans="1:9" ht="16" x14ac:dyDescent="0.2">
      <c r="A613" s="8"/>
      <c r="B613" s="8"/>
      <c r="C613" s="8"/>
      <c r="D613" s="8"/>
      <c r="E613" s="9"/>
      <c r="G613"/>
      <c r="H613"/>
      <c r="I613"/>
    </row>
    <row r="614" spans="1:9" ht="16" x14ac:dyDescent="0.2">
      <c r="A614" s="8"/>
      <c r="B614" s="8"/>
      <c r="C614" s="8"/>
      <c r="D614" s="8"/>
      <c r="E614" s="9"/>
      <c r="G614"/>
      <c r="H614"/>
      <c r="I614"/>
    </row>
    <row r="615" spans="1:9" ht="16" x14ac:dyDescent="0.2">
      <c r="A615" s="8"/>
      <c r="B615" s="8"/>
      <c r="C615" s="8"/>
      <c r="D615" s="8"/>
      <c r="E615" s="9"/>
      <c r="G615"/>
      <c r="H615"/>
      <c r="I615"/>
    </row>
    <row r="616" spans="1:9" ht="16" x14ac:dyDescent="0.2">
      <c r="A616" s="8"/>
      <c r="B616" s="8"/>
      <c r="C616" s="8"/>
      <c r="D616" s="8"/>
      <c r="E616" s="9"/>
      <c r="G616"/>
      <c r="H616"/>
      <c r="I616"/>
    </row>
    <row r="617" spans="1:9" ht="16" x14ac:dyDescent="0.2">
      <c r="A617" s="8"/>
      <c r="B617" s="8"/>
      <c r="C617" s="8"/>
      <c r="D617" s="8"/>
      <c r="E617" s="9"/>
      <c r="G617"/>
      <c r="H617"/>
      <c r="I617"/>
    </row>
    <row r="618" spans="1:9" ht="16" x14ac:dyDescent="0.2">
      <c r="A618" s="8"/>
      <c r="B618" s="8"/>
      <c r="C618" s="8"/>
      <c r="D618" s="8"/>
      <c r="E618" s="9"/>
      <c r="G618"/>
      <c r="H618"/>
      <c r="I618"/>
    </row>
    <row r="619" spans="1:9" ht="16" x14ac:dyDescent="0.2">
      <c r="A619" s="8"/>
      <c r="B619" s="8"/>
      <c r="C619" s="8"/>
      <c r="D619" s="8"/>
      <c r="E619" s="9"/>
      <c r="G619"/>
      <c r="H619"/>
      <c r="I619"/>
    </row>
    <row r="620" spans="1:9" ht="16" x14ac:dyDescent="0.2">
      <c r="A620" s="8"/>
      <c r="B620" s="8"/>
      <c r="C620" s="8"/>
      <c r="D620" s="8"/>
      <c r="E620" s="9"/>
      <c r="G620"/>
      <c r="H620"/>
      <c r="I620"/>
    </row>
    <row r="621" spans="1:9" ht="16" x14ac:dyDescent="0.2">
      <c r="A621" s="8"/>
      <c r="B621" s="8"/>
      <c r="C621" s="8"/>
      <c r="D621" s="8"/>
      <c r="E621" s="9"/>
      <c r="G621"/>
      <c r="H621"/>
      <c r="I621"/>
    </row>
    <row r="622" spans="1:9" ht="16" x14ac:dyDescent="0.2">
      <c r="A622" s="8"/>
      <c r="B622" s="8"/>
      <c r="C622" s="8"/>
      <c r="D622" s="8"/>
      <c r="E622" s="9"/>
      <c r="G622"/>
      <c r="H622"/>
      <c r="I622"/>
    </row>
    <row r="623" spans="1:9" ht="16" x14ac:dyDescent="0.2">
      <c r="A623" s="8"/>
      <c r="B623" s="8"/>
      <c r="C623" s="8"/>
      <c r="D623" s="8"/>
      <c r="E623" s="9"/>
      <c r="G623"/>
      <c r="H623"/>
      <c r="I623"/>
    </row>
    <row r="624" spans="1:9" ht="16" x14ac:dyDescent="0.2">
      <c r="A624" s="8"/>
      <c r="B624" s="8"/>
      <c r="C624" s="8"/>
      <c r="D624" s="8"/>
      <c r="E624" s="9"/>
      <c r="G624"/>
      <c r="H624"/>
      <c r="I624"/>
    </row>
    <row r="625" spans="1:9" ht="16" x14ac:dyDescent="0.2">
      <c r="A625" s="8"/>
      <c r="B625" s="8"/>
      <c r="C625" s="8"/>
      <c r="D625" s="8"/>
      <c r="E625" s="9"/>
      <c r="G625"/>
      <c r="H625"/>
      <c r="I625"/>
    </row>
    <row r="626" spans="1:9" ht="16" x14ac:dyDescent="0.2">
      <c r="A626" s="8"/>
      <c r="B626" s="8"/>
      <c r="C626" s="8"/>
      <c r="D626" s="8"/>
      <c r="E626" s="9"/>
      <c r="G626"/>
      <c r="H626"/>
      <c r="I626"/>
    </row>
    <row r="627" spans="1:9" ht="16" x14ac:dyDescent="0.2">
      <c r="A627" s="8"/>
      <c r="B627" s="8"/>
      <c r="C627" s="8"/>
      <c r="D627" s="8"/>
      <c r="E627" s="9"/>
      <c r="G627"/>
      <c r="H627"/>
      <c r="I627"/>
    </row>
    <row r="628" spans="1:9" ht="16" x14ac:dyDescent="0.2">
      <c r="A628" s="8"/>
      <c r="B628" s="8"/>
      <c r="C628" s="8"/>
      <c r="D628" s="8"/>
      <c r="E628" s="9"/>
      <c r="G628"/>
      <c r="H628"/>
      <c r="I628"/>
    </row>
    <row r="629" spans="1:9" ht="16" x14ac:dyDescent="0.2">
      <c r="A629" s="8"/>
      <c r="B629" s="8"/>
      <c r="C629" s="8"/>
      <c r="D629" s="8"/>
      <c r="E629" s="9"/>
      <c r="G629"/>
      <c r="H629"/>
      <c r="I629"/>
    </row>
    <row r="630" spans="1:9" ht="16" x14ac:dyDescent="0.2">
      <c r="A630" s="8"/>
      <c r="B630" s="8"/>
      <c r="C630" s="8"/>
      <c r="D630" s="8"/>
      <c r="E630" s="9"/>
      <c r="G630"/>
      <c r="H630"/>
      <c r="I630"/>
    </row>
    <row r="631" spans="1:9" ht="16" x14ac:dyDescent="0.2">
      <c r="A631" s="8"/>
      <c r="B631" s="8"/>
      <c r="C631" s="8"/>
      <c r="D631" s="8"/>
      <c r="E631" s="9"/>
      <c r="G631"/>
      <c r="H631"/>
      <c r="I631"/>
    </row>
    <row r="632" spans="1:9" ht="16" x14ac:dyDescent="0.2">
      <c r="A632" s="8"/>
      <c r="B632" s="8"/>
      <c r="C632" s="8"/>
      <c r="D632" s="8"/>
      <c r="E632" s="9"/>
      <c r="G632"/>
      <c r="H632"/>
      <c r="I632"/>
    </row>
    <row r="633" spans="1:9" ht="16" x14ac:dyDescent="0.2">
      <c r="A633" s="8"/>
      <c r="B633" s="8"/>
      <c r="C633" s="8"/>
      <c r="D633" s="8"/>
      <c r="E633" s="9"/>
      <c r="G633"/>
      <c r="H633"/>
      <c r="I633"/>
    </row>
    <row r="634" spans="1:9" ht="16" x14ac:dyDescent="0.2">
      <c r="A634" s="8"/>
      <c r="B634" s="8"/>
      <c r="C634" s="8"/>
      <c r="D634" s="8"/>
      <c r="E634" s="9"/>
      <c r="G634"/>
      <c r="H634"/>
      <c r="I634"/>
    </row>
    <row r="635" spans="1:9" ht="16" x14ac:dyDescent="0.2">
      <c r="A635" s="8"/>
      <c r="B635" s="8"/>
      <c r="C635" s="8"/>
      <c r="D635" s="8"/>
      <c r="E635" s="9"/>
      <c r="G635"/>
      <c r="H635"/>
      <c r="I635"/>
    </row>
    <row r="636" spans="1:9" ht="16" x14ac:dyDescent="0.2">
      <c r="A636" s="8"/>
      <c r="B636" s="8"/>
      <c r="C636" s="8"/>
      <c r="D636" s="8"/>
      <c r="E636" s="9"/>
      <c r="G636"/>
      <c r="H636"/>
      <c r="I636"/>
    </row>
    <row r="637" spans="1:9" ht="16" x14ac:dyDescent="0.2">
      <c r="A637" s="8"/>
      <c r="B637" s="8"/>
      <c r="C637" s="8"/>
      <c r="D637" s="8"/>
      <c r="E637" s="9"/>
      <c r="G637"/>
      <c r="H637"/>
      <c r="I637"/>
    </row>
    <row r="638" spans="1:9" ht="16" x14ac:dyDescent="0.2">
      <c r="A638" s="8"/>
      <c r="B638" s="8"/>
      <c r="C638" s="8"/>
      <c r="D638" s="8"/>
      <c r="E638" s="9"/>
      <c r="G638"/>
      <c r="H638"/>
      <c r="I638"/>
    </row>
    <row r="639" spans="1:9" ht="16" x14ac:dyDescent="0.2">
      <c r="A639" s="8"/>
      <c r="B639" s="8"/>
      <c r="C639" s="8"/>
      <c r="D639" s="8"/>
      <c r="E639" s="9"/>
      <c r="G639"/>
      <c r="H639"/>
      <c r="I639"/>
    </row>
    <row r="640" spans="1:9" ht="16" x14ac:dyDescent="0.2">
      <c r="A640" s="8"/>
      <c r="B640" s="8"/>
      <c r="C640" s="8"/>
      <c r="D640" s="8"/>
      <c r="E640" s="9"/>
      <c r="G640"/>
      <c r="H640"/>
      <c r="I640"/>
    </row>
    <row r="641" spans="1:9" ht="16" x14ac:dyDescent="0.2">
      <c r="A641" s="8"/>
      <c r="B641" s="8"/>
      <c r="C641" s="8"/>
      <c r="D641" s="8"/>
      <c r="E641" s="9"/>
      <c r="G641"/>
      <c r="H641"/>
      <c r="I641"/>
    </row>
    <row r="642" spans="1:9" ht="16" x14ac:dyDescent="0.2">
      <c r="A642" s="8"/>
      <c r="B642" s="8"/>
      <c r="C642" s="8"/>
      <c r="D642" s="8"/>
      <c r="E642" s="9"/>
      <c r="G642"/>
      <c r="H642"/>
      <c r="I642"/>
    </row>
    <row r="643" spans="1:9" ht="16" x14ac:dyDescent="0.2">
      <c r="A643" s="8"/>
      <c r="B643" s="8"/>
      <c r="C643" s="8"/>
      <c r="D643" s="8"/>
      <c r="E643" s="9"/>
      <c r="G643"/>
      <c r="H643"/>
      <c r="I643"/>
    </row>
    <row r="644" spans="1:9" ht="16" x14ac:dyDescent="0.2">
      <c r="A644" s="8"/>
      <c r="B644" s="8"/>
      <c r="C644" s="8"/>
      <c r="D644" s="8"/>
      <c r="E644" s="9"/>
      <c r="G644"/>
      <c r="H644"/>
      <c r="I644"/>
    </row>
    <row r="645" spans="1:9" ht="16" x14ac:dyDescent="0.2">
      <c r="A645" s="8"/>
      <c r="B645" s="8"/>
      <c r="C645" s="8"/>
      <c r="D645" s="8"/>
      <c r="E645" s="9"/>
      <c r="G645"/>
      <c r="H645"/>
      <c r="I645"/>
    </row>
    <row r="646" spans="1:9" ht="16" x14ac:dyDescent="0.2">
      <c r="A646" s="8"/>
      <c r="B646" s="8"/>
      <c r="C646" s="8"/>
      <c r="D646" s="8"/>
      <c r="E646" s="9"/>
      <c r="G646"/>
      <c r="H646"/>
      <c r="I646"/>
    </row>
    <row r="647" spans="1:9" ht="16" x14ac:dyDescent="0.2">
      <c r="A647" s="8"/>
      <c r="B647" s="8"/>
      <c r="C647" s="8"/>
      <c r="D647" s="8"/>
      <c r="E647" s="9"/>
      <c r="G647"/>
      <c r="H647"/>
      <c r="I647"/>
    </row>
    <row r="648" spans="1:9" ht="16" x14ac:dyDescent="0.2">
      <c r="A648" s="8"/>
      <c r="B648" s="8"/>
      <c r="C648" s="8"/>
      <c r="D648" s="8"/>
      <c r="E648" s="9"/>
      <c r="G648"/>
      <c r="H648"/>
      <c r="I648"/>
    </row>
    <row r="649" spans="1:9" ht="16" x14ac:dyDescent="0.2">
      <c r="A649" s="8"/>
      <c r="B649" s="8"/>
      <c r="C649" s="8"/>
      <c r="D649" s="8"/>
      <c r="E649" s="9"/>
      <c r="G649"/>
      <c r="H649"/>
      <c r="I649"/>
    </row>
    <row r="650" spans="1:9" ht="16" x14ac:dyDescent="0.2">
      <c r="A650" s="8"/>
      <c r="B650" s="8"/>
      <c r="C650" s="8"/>
      <c r="D650" s="8"/>
      <c r="E650" s="9"/>
      <c r="G650"/>
      <c r="H650"/>
      <c r="I650"/>
    </row>
    <row r="651" spans="1:9" ht="16" x14ac:dyDescent="0.2">
      <c r="A651" s="8"/>
      <c r="B651" s="8"/>
      <c r="C651" s="8"/>
      <c r="D651" s="8"/>
      <c r="E651" s="9"/>
      <c r="G651"/>
      <c r="H651"/>
      <c r="I651"/>
    </row>
    <row r="652" spans="1:9" ht="16" x14ac:dyDescent="0.2">
      <c r="A652" s="8"/>
      <c r="B652" s="8"/>
      <c r="C652" s="8"/>
      <c r="D652" s="8"/>
      <c r="E652" s="9"/>
      <c r="G652"/>
      <c r="H652"/>
      <c r="I652"/>
    </row>
    <row r="653" spans="1:9" ht="16" x14ac:dyDescent="0.2">
      <c r="A653" s="8"/>
      <c r="B653" s="8"/>
      <c r="C653" s="8"/>
      <c r="D653" s="8"/>
      <c r="E653" s="9"/>
      <c r="G653"/>
      <c r="H653"/>
      <c r="I653"/>
    </row>
    <row r="654" spans="1:9" ht="16" x14ac:dyDescent="0.2">
      <c r="A654" s="8"/>
      <c r="B654" s="8"/>
      <c r="C654" s="8"/>
      <c r="D654" s="8"/>
      <c r="E654" s="9"/>
      <c r="G654"/>
      <c r="H654"/>
      <c r="I654"/>
    </row>
    <row r="655" spans="1:9" ht="16" x14ac:dyDescent="0.2">
      <c r="A655" s="8"/>
      <c r="B655" s="8"/>
      <c r="C655" s="8"/>
      <c r="D655" s="8"/>
      <c r="E655" s="9"/>
      <c r="G655"/>
      <c r="H655"/>
      <c r="I655"/>
    </row>
    <row r="656" spans="1:9" ht="16" x14ac:dyDescent="0.2">
      <c r="A656" s="8"/>
      <c r="B656" s="8"/>
      <c r="C656" s="8"/>
      <c r="D656" s="8"/>
      <c r="E656" s="9"/>
      <c r="G656"/>
      <c r="H656"/>
      <c r="I656"/>
    </row>
    <row r="657" spans="1:9" ht="16" x14ac:dyDescent="0.2">
      <c r="A657" s="8"/>
      <c r="B657" s="8"/>
      <c r="C657" s="8"/>
      <c r="D657" s="8"/>
      <c r="E657" s="9"/>
      <c r="G657"/>
      <c r="H657"/>
      <c r="I657"/>
    </row>
    <row r="658" spans="1:9" ht="16" x14ac:dyDescent="0.2">
      <c r="A658" s="8"/>
      <c r="B658" s="8"/>
      <c r="C658" s="8"/>
      <c r="D658" s="8"/>
      <c r="E658" s="9"/>
      <c r="G658"/>
      <c r="H658"/>
      <c r="I65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F8F3-E264-8E44-BD38-B6836F25B3CF}">
  <dimension ref="A1:W426"/>
  <sheetViews>
    <sheetView workbookViewId="0">
      <selection sqref="A1:XFD1048576"/>
    </sheetView>
  </sheetViews>
  <sheetFormatPr baseColWidth="10" defaultColWidth="9.1640625" defaultRowHeight="16" x14ac:dyDescent="0.2"/>
  <cols>
    <col min="3" max="3" width="20.5" style="19" bestFit="1" customWidth="1"/>
    <col min="4" max="4" width="9.33203125" customWidth="1"/>
    <col min="7" max="7" width="11.83203125" customWidth="1"/>
    <col min="8" max="10" width="9.33203125" customWidth="1"/>
    <col min="11" max="11" width="11.5" customWidth="1"/>
    <col min="20" max="20" width="12.33203125" bestFit="1" customWidth="1"/>
  </cols>
  <sheetData>
    <row r="1" spans="1:23" x14ac:dyDescent="0.2">
      <c r="B1" s="11" t="s">
        <v>344</v>
      </c>
      <c r="C1" s="12" t="s">
        <v>345</v>
      </c>
      <c r="D1" s="1" t="s">
        <v>346</v>
      </c>
      <c r="E1" s="1" t="s">
        <v>42</v>
      </c>
      <c r="F1" s="1" t="s">
        <v>347</v>
      </c>
      <c r="G1" s="1" t="s">
        <v>43</v>
      </c>
      <c r="H1" s="1" t="s">
        <v>348</v>
      </c>
      <c r="I1" s="1" t="s">
        <v>349</v>
      </c>
      <c r="J1" s="13" t="s">
        <v>49</v>
      </c>
      <c r="K1" s="13" t="s">
        <v>50</v>
      </c>
      <c r="L1" s="13" t="s">
        <v>350</v>
      </c>
      <c r="M1" s="13" t="s">
        <v>351</v>
      </c>
      <c r="N1" s="14" t="s">
        <v>352</v>
      </c>
      <c r="O1" s="14" t="s">
        <v>353</v>
      </c>
      <c r="P1" s="14" t="s">
        <v>354</v>
      </c>
      <c r="Q1" s="14" t="s">
        <v>355</v>
      </c>
      <c r="R1" s="14" t="s">
        <v>356</v>
      </c>
      <c r="S1" s="14" t="s">
        <v>357</v>
      </c>
    </row>
    <row r="2" spans="1:23" x14ac:dyDescent="0.2">
      <c r="A2" t="s">
        <v>0</v>
      </c>
      <c r="B2" s="15">
        <v>2</v>
      </c>
      <c r="C2" s="16" t="s">
        <v>358</v>
      </c>
      <c r="D2" s="4">
        <v>220</v>
      </c>
      <c r="E2" s="4">
        <v>1</v>
      </c>
      <c r="F2" s="4" t="s">
        <v>359</v>
      </c>
      <c r="G2" s="4" t="b">
        <v>1</v>
      </c>
      <c r="H2" s="4">
        <v>0.9</v>
      </c>
      <c r="I2" s="4">
        <v>1.1000000000000001</v>
      </c>
      <c r="J2" s="17" t="s">
        <v>360</v>
      </c>
      <c r="K2" t="s">
        <v>361</v>
      </c>
      <c r="L2">
        <v>11.0297</v>
      </c>
      <c r="M2">
        <v>-74.807169999999999</v>
      </c>
      <c r="N2">
        <v>0</v>
      </c>
      <c r="O2">
        <v>0</v>
      </c>
      <c r="P2">
        <v>1.03606</v>
      </c>
      <c r="Q2">
        <v>-4.129937</v>
      </c>
      <c r="R2">
        <f>284+50</f>
        <v>334</v>
      </c>
      <c r="S2">
        <v>-106.82701</v>
      </c>
    </row>
    <row r="3" spans="1:23" x14ac:dyDescent="0.2">
      <c r="A3" t="s">
        <v>1</v>
      </c>
      <c r="B3" s="15">
        <v>3</v>
      </c>
      <c r="C3" s="16" t="s">
        <v>362</v>
      </c>
      <c r="D3" s="4">
        <v>220</v>
      </c>
      <c r="E3" s="4">
        <v>1</v>
      </c>
      <c r="F3" s="4" t="s">
        <v>359</v>
      </c>
      <c r="G3" s="4" t="b">
        <v>1</v>
      </c>
      <c r="H3" s="4">
        <v>0.9</v>
      </c>
      <c r="I3" s="4">
        <v>1.1000000000000001</v>
      </c>
      <c r="J3" s="17" t="s">
        <v>360</v>
      </c>
      <c r="K3" t="s">
        <v>361</v>
      </c>
      <c r="L3" s="18">
        <v>10.992649999999999</v>
      </c>
      <c r="M3" s="18">
        <v>-74.839699999999993</v>
      </c>
      <c r="N3">
        <v>0</v>
      </c>
      <c r="O3">
        <v>0</v>
      </c>
      <c r="P3" s="18">
        <v>1.037622</v>
      </c>
      <c r="Q3" s="18">
        <v>-4.3038959999999999</v>
      </c>
      <c r="R3" s="18">
        <v>0</v>
      </c>
      <c r="S3" s="18">
        <v>0</v>
      </c>
      <c r="U3" s="18"/>
      <c r="V3" s="18"/>
      <c r="W3" s="18"/>
    </row>
    <row r="4" spans="1:23" x14ac:dyDescent="0.2">
      <c r="A4" t="s">
        <v>2</v>
      </c>
      <c r="B4" s="15">
        <v>4</v>
      </c>
      <c r="C4" s="16" t="s">
        <v>363</v>
      </c>
      <c r="D4" s="4">
        <v>220</v>
      </c>
      <c r="E4" s="4">
        <v>1</v>
      </c>
      <c r="F4" s="4" t="s">
        <v>359</v>
      </c>
      <c r="G4" s="4" t="b">
        <v>1</v>
      </c>
      <c r="H4" s="4">
        <v>0.9</v>
      </c>
      <c r="I4" s="4">
        <v>1.1000000000000001</v>
      </c>
      <c r="J4" s="17" t="s">
        <v>360</v>
      </c>
      <c r="K4" t="s">
        <v>361</v>
      </c>
      <c r="L4">
        <v>10.64892</v>
      </c>
      <c r="M4">
        <v>-74.910659999999993</v>
      </c>
      <c r="N4">
        <v>0</v>
      </c>
      <c r="O4">
        <v>0</v>
      </c>
      <c r="P4">
        <v>1.045078</v>
      </c>
      <c r="Q4">
        <v>-4.9932509999999999</v>
      </c>
      <c r="R4">
        <v>0</v>
      </c>
      <c r="S4">
        <v>0</v>
      </c>
    </row>
    <row r="5" spans="1:23" x14ac:dyDescent="0.2">
      <c r="A5" t="s">
        <v>3</v>
      </c>
      <c r="B5" s="15">
        <v>5</v>
      </c>
      <c r="C5" s="16" t="s">
        <v>364</v>
      </c>
      <c r="D5" s="4">
        <v>500</v>
      </c>
      <c r="E5" s="4">
        <v>1</v>
      </c>
      <c r="F5" s="4" t="s">
        <v>359</v>
      </c>
      <c r="G5" s="4" t="b">
        <v>1</v>
      </c>
      <c r="H5" s="4">
        <v>0.9</v>
      </c>
      <c r="I5" s="4">
        <v>1.05</v>
      </c>
      <c r="J5" s="17" t="s">
        <v>360</v>
      </c>
      <c r="K5" t="s">
        <v>361</v>
      </c>
      <c r="L5">
        <v>10.64892</v>
      </c>
      <c r="M5">
        <v>-74.910659999999993</v>
      </c>
      <c r="N5">
        <v>0</v>
      </c>
      <c r="O5">
        <v>0</v>
      </c>
      <c r="P5">
        <v>0.98569770000000001</v>
      </c>
      <c r="Q5">
        <v>-4.3297220000000003</v>
      </c>
      <c r="R5">
        <v>0</v>
      </c>
      <c r="S5">
        <v>0</v>
      </c>
    </row>
    <row r="6" spans="1:23" x14ac:dyDescent="0.2">
      <c r="A6" t="s">
        <v>4</v>
      </c>
      <c r="B6" s="15">
        <v>6</v>
      </c>
      <c r="C6" s="16" t="s">
        <v>365</v>
      </c>
      <c r="D6" s="4">
        <v>220</v>
      </c>
      <c r="E6" s="4">
        <v>1</v>
      </c>
      <c r="F6" s="4" t="s">
        <v>359</v>
      </c>
      <c r="G6" s="4" t="b">
        <v>1</v>
      </c>
      <c r="H6" s="4">
        <v>0.9</v>
      </c>
      <c r="I6" s="4">
        <v>1.1000000000000001</v>
      </c>
      <c r="J6" s="17" t="s">
        <v>360</v>
      </c>
      <c r="K6" t="s">
        <v>361</v>
      </c>
      <c r="L6">
        <v>10.94388</v>
      </c>
      <c r="M6">
        <v>-74.767870000000002</v>
      </c>
      <c r="N6">
        <v>0</v>
      </c>
      <c r="O6">
        <v>0</v>
      </c>
      <c r="P6">
        <v>1.0398309999999999</v>
      </c>
      <c r="Q6">
        <v>-2.950475</v>
      </c>
      <c r="R6">
        <v>790.99397999999997</v>
      </c>
      <c r="S6">
        <v>-65.342810999999998</v>
      </c>
    </row>
    <row r="7" spans="1:23" x14ac:dyDescent="0.2">
      <c r="A7" t="s">
        <v>5</v>
      </c>
      <c r="B7" s="15">
        <v>7</v>
      </c>
      <c r="C7" s="16" t="s">
        <v>366</v>
      </c>
      <c r="D7" s="4">
        <v>220</v>
      </c>
      <c r="E7" s="4">
        <v>1</v>
      </c>
      <c r="F7" s="4" t="s">
        <v>359</v>
      </c>
      <c r="G7" s="4" t="b">
        <v>1</v>
      </c>
      <c r="H7" s="4">
        <v>0.9</v>
      </c>
      <c r="I7" s="4">
        <v>1.1000000000000001</v>
      </c>
      <c r="J7" s="17" t="s">
        <v>360</v>
      </c>
      <c r="K7" t="s">
        <v>361</v>
      </c>
      <c r="L7">
        <v>10.88922</v>
      </c>
      <c r="M7">
        <v>-74.828959999999995</v>
      </c>
      <c r="N7">
        <v>0</v>
      </c>
      <c r="O7">
        <v>0</v>
      </c>
      <c r="P7">
        <v>1.037391</v>
      </c>
      <c r="Q7">
        <v>-4.0737180000000004</v>
      </c>
      <c r="R7">
        <v>0</v>
      </c>
      <c r="S7">
        <v>0</v>
      </c>
    </row>
    <row r="8" spans="1:23" x14ac:dyDescent="0.2">
      <c r="A8" t="s">
        <v>6</v>
      </c>
      <c r="B8" s="15">
        <v>8</v>
      </c>
      <c r="C8" s="19" t="s">
        <v>367</v>
      </c>
      <c r="D8">
        <v>220</v>
      </c>
      <c r="E8">
        <v>1</v>
      </c>
      <c r="F8" t="s">
        <v>368</v>
      </c>
      <c r="G8" t="b">
        <v>1</v>
      </c>
      <c r="H8">
        <v>0.9</v>
      </c>
      <c r="I8">
        <v>1.1000000000000001</v>
      </c>
      <c r="J8" s="17" t="s">
        <v>369</v>
      </c>
      <c r="K8" t="s">
        <v>370</v>
      </c>
      <c r="L8">
        <v>10.693659999999999</v>
      </c>
      <c r="M8">
        <v>-71.652450000000002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3" x14ac:dyDescent="0.2">
      <c r="A9" t="s">
        <v>7</v>
      </c>
      <c r="B9" s="15">
        <v>9</v>
      </c>
      <c r="C9" s="19" t="s">
        <v>371</v>
      </c>
      <c r="D9">
        <v>220</v>
      </c>
      <c r="E9">
        <v>2</v>
      </c>
      <c r="F9" t="s">
        <v>372</v>
      </c>
      <c r="G9" t="b">
        <v>1</v>
      </c>
      <c r="H9">
        <v>0.9</v>
      </c>
      <c r="I9">
        <v>1.1000000000000001</v>
      </c>
      <c r="J9" s="17" t="s">
        <v>360</v>
      </c>
      <c r="K9" s="17" t="s">
        <v>373</v>
      </c>
      <c r="L9">
        <v>10.409470000000001</v>
      </c>
      <c r="M9">
        <v>-75.521429999999995</v>
      </c>
      <c r="N9">
        <v>0</v>
      </c>
      <c r="O9">
        <v>0</v>
      </c>
      <c r="P9">
        <v>1.0232749999999999</v>
      </c>
      <c r="Q9">
        <v>-8.8137299999999996</v>
      </c>
      <c r="R9">
        <v>0</v>
      </c>
      <c r="S9">
        <v>0</v>
      </c>
    </row>
    <row r="10" spans="1:23" x14ac:dyDescent="0.2">
      <c r="A10" t="s">
        <v>8</v>
      </c>
      <c r="B10" s="15">
        <v>10</v>
      </c>
      <c r="C10" s="19" t="s">
        <v>374</v>
      </c>
      <c r="D10">
        <v>500</v>
      </c>
      <c r="E10">
        <v>1</v>
      </c>
      <c r="F10" t="s">
        <v>372</v>
      </c>
      <c r="G10" t="b">
        <v>1</v>
      </c>
      <c r="H10">
        <v>0.9</v>
      </c>
      <c r="I10">
        <v>1.05</v>
      </c>
      <c r="J10" s="17" t="s">
        <v>360</v>
      </c>
      <c r="K10" s="17" t="s">
        <v>373</v>
      </c>
      <c r="L10">
        <v>10.44646</v>
      </c>
      <c r="M10">
        <v>-75.394909999999996</v>
      </c>
      <c r="N10">
        <v>0</v>
      </c>
      <c r="O10">
        <v>0</v>
      </c>
      <c r="P10">
        <v>0.98161889999999996</v>
      </c>
      <c r="Q10">
        <v>-8.5295280000000009</v>
      </c>
      <c r="R10">
        <v>0</v>
      </c>
      <c r="S10">
        <v>0</v>
      </c>
    </row>
    <row r="11" spans="1:23" x14ac:dyDescent="0.2">
      <c r="A11" t="s">
        <v>9</v>
      </c>
      <c r="B11" s="15">
        <v>11</v>
      </c>
      <c r="C11" s="19" t="s">
        <v>375</v>
      </c>
      <c r="D11">
        <v>220</v>
      </c>
      <c r="E11">
        <v>1</v>
      </c>
      <c r="F11" t="s">
        <v>372</v>
      </c>
      <c r="G11" t="b">
        <v>1</v>
      </c>
      <c r="H11">
        <v>0.9</v>
      </c>
      <c r="I11">
        <v>1.1000000000000001</v>
      </c>
      <c r="J11" s="17" t="s">
        <v>360</v>
      </c>
      <c r="K11" s="17" t="s">
        <v>373</v>
      </c>
      <c r="L11">
        <v>10.44646</v>
      </c>
      <c r="M11">
        <v>-75.394909999999996</v>
      </c>
      <c r="N11">
        <v>0</v>
      </c>
      <c r="O11">
        <v>0</v>
      </c>
      <c r="P11">
        <v>1.0363039999999999</v>
      </c>
      <c r="Q11">
        <v>-7.9709250000000003</v>
      </c>
      <c r="R11">
        <v>0</v>
      </c>
      <c r="S11">
        <v>0</v>
      </c>
    </row>
    <row r="12" spans="1:23" x14ac:dyDescent="0.2">
      <c r="A12" t="s">
        <v>10</v>
      </c>
      <c r="B12" s="15">
        <v>12</v>
      </c>
      <c r="C12" s="19" t="s">
        <v>376</v>
      </c>
      <c r="D12">
        <v>220</v>
      </c>
      <c r="E12">
        <v>1</v>
      </c>
      <c r="F12" t="s">
        <v>372</v>
      </c>
      <c r="G12" t="b">
        <v>1</v>
      </c>
      <c r="H12">
        <v>0.9</v>
      </c>
      <c r="I12">
        <v>1.1000000000000001</v>
      </c>
      <c r="J12" s="17" t="s">
        <v>360</v>
      </c>
      <c r="K12" s="17" t="s">
        <v>373</v>
      </c>
      <c r="L12">
        <v>10.35683</v>
      </c>
      <c r="M12">
        <v>-75.509609999999995</v>
      </c>
      <c r="N12">
        <v>0</v>
      </c>
      <c r="O12">
        <v>0</v>
      </c>
      <c r="P12">
        <v>1.031453</v>
      </c>
      <c r="Q12">
        <v>-7.8415619999999997</v>
      </c>
      <c r="R12">
        <v>0</v>
      </c>
      <c r="S12">
        <v>0</v>
      </c>
    </row>
    <row r="13" spans="1:23" x14ac:dyDescent="0.2">
      <c r="A13" t="s">
        <v>11</v>
      </c>
      <c r="B13" s="15">
        <v>13</v>
      </c>
      <c r="C13" s="19" t="s">
        <v>377</v>
      </c>
      <c r="D13">
        <v>220</v>
      </c>
      <c r="E13">
        <v>1</v>
      </c>
      <c r="F13" t="s">
        <v>372</v>
      </c>
      <c r="G13" t="b">
        <v>1</v>
      </c>
      <c r="H13">
        <v>0.9</v>
      </c>
      <c r="I13">
        <v>1.1000000000000001</v>
      </c>
      <c r="J13" s="17" t="s">
        <v>360</v>
      </c>
      <c r="K13" s="17" t="s">
        <v>373</v>
      </c>
      <c r="L13">
        <v>10.37856</v>
      </c>
      <c r="M13">
        <v>-75.46217</v>
      </c>
      <c r="N13">
        <v>0</v>
      </c>
      <c r="O13">
        <v>0</v>
      </c>
      <c r="P13">
        <v>1.0298290000000001</v>
      </c>
      <c r="Q13">
        <v>-7.88497</v>
      </c>
      <c r="R13">
        <v>0</v>
      </c>
      <c r="S13">
        <v>0</v>
      </c>
    </row>
    <row r="14" spans="1:23" x14ac:dyDescent="0.2">
      <c r="A14" t="s">
        <v>12</v>
      </c>
      <c r="B14" s="15">
        <v>14</v>
      </c>
      <c r="C14" s="19" t="s">
        <v>378</v>
      </c>
      <c r="D14">
        <v>220</v>
      </c>
      <c r="E14">
        <v>1</v>
      </c>
      <c r="F14" t="s">
        <v>372</v>
      </c>
      <c r="G14" t="b">
        <v>1</v>
      </c>
      <c r="H14">
        <v>0.9</v>
      </c>
      <c r="I14">
        <v>1.1000000000000001</v>
      </c>
      <c r="J14" s="17" t="s">
        <v>360</v>
      </c>
      <c r="K14" s="17" t="s">
        <v>373</v>
      </c>
      <c r="L14">
        <v>10.36096</v>
      </c>
      <c r="M14">
        <v>-75.48603</v>
      </c>
      <c r="N14">
        <v>0</v>
      </c>
      <c r="O14">
        <v>0</v>
      </c>
      <c r="P14">
        <v>1.0311429999999999</v>
      </c>
      <c r="Q14">
        <v>-7.760154</v>
      </c>
      <c r="R14">
        <v>300</v>
      </c>
      <c r="S14">
        <v>-89.665577999999996</v>
      </c>
    </row>
    <row r="15" spans="1:23" x14ac:dyDescent="0.2">
      <c r="A15" t="s">
        <v>13</v>
      </c>
      <c r="B15" s="15">
        <v>15</v>
      </c>
      <c r="C15" s="20" t="s">
        <v>379</v>
      </c>
      <c r="D15" s="20">
        <v>220</v>
      </c>
      <c r="E15" s="20">
        <v>2</v>
      </c>
      <c r="F15" s="20" t="s">
        <v>380</v>
      </c>
      <c r="G15" s="20" t="b">
        <v>1</v>
      </c>
      <c r="H15" s="20">
        <v>0.9</v>
      </c>
      <c r="I15" s="20">
        <v>1.1000000000000001</v>
      </c>
      <c r="J15" s="21" t="s">
        <v>369</v>
      </c>
      <c r="K15" s="21" t="s">
        <v>381</v>
      </c>
      <c r="L15">
        <v>7.8803200000000002</v>
      </c>
      <c r="M15">
        <v>-72.485709999999997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3" x14ac:dyDescent="0.2">
      <c r="A16" t="s">
        <v>14</v>
      </c>
      <c r="B16" s="15">
        <v>16</v>
      </c>
      <c r="C16" s="19" t="s">
        <v>382</v>
      </c>
      <c r="D16">
        <v>220</v>
      </c>
      <c r="E16">
        <v>1</v>
      </c>
      <c r="F16" t="s">
        <v>380</v>
      </c>
      <c r="G16" t="b">
        <v>1</v>
      </c>
      <c r="H16">
        <v>0.9</v>
      </c>
      <c r="I16">
        <v>1.1000000000000001</v>
      </c>
      <c r="J16" s="17" t="s">
        <v>369</v>
      </c>
      <c r="K16" s="17" t="s">
        <v>381</v>
      </c>
      <c r="L16">
        <v>8.2076200000000004</v>
      </c>
      <c r="M16">
        <v>-72.265050000000002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 t="s">
        <v>87</v>
      </c>
      <c r="B17" s="15">
        <v>17</v>
      </c>
      <c r="C17" s="19" t="s">
        <v>383</v>
      </c>
      <c r="D17">
        <v>500</v>
      </c>
      <c r="E17">
        <v>1</v>
      </c>
      <c r="F17" t="s">
        <v>384</v>
      </c>
      <c r="G17" t="b">
        <v>1</v>
      </c>
      <c r="H17">
        <v>0.9</v>
      </c>
      <c r="I17">
        <v>1.05</v>
      </c>
      <c r="J17" s="17" t="s">
        <v>360</v>
      </c>
      <c r="K17" s="17" t="s">
        <v>385</v>
      </c>
      <c r="L17">
        <v>7.9394400000000003</v>
      </c>
      <c r="M17">
        <v>-75.498220000000003</v>
      </c>
      <c r="N17">
        <v>0</v>
      </c>
      <c r="O17">
        <v>0</v>
      </c>
      <c r="P17">
        <v>1.0204880000000001</v>
      </c>
      <c r="Q17">
        <v>-1.2801169999999999</v>
      </c>
      <c r="R17">
        <v>200</v>
      </c>
      <c r="S17">
        <v>-44.016240000000003</v>
      </c>
    </row>
    <row r="18" spans="1:19" x14ac:dyDescent="0.2">
      <c r="A18" t="s">
        <v>100</v>
      </c>
      <c r="B18" s="15">
        <v>21</v>
      </c>
      <c r="C18" s="19" t="s">
        <v>386</v>
      </c>
      <c r="D18">
        <v>220</v>
      </c>
      <c r="E18">
        <v>2</v>
      </c>
      <c r="F18" t="s">
        <v>387</v>
      </c>
      <c r="G18" t="b">
        <v>1</v>
      </c>
      <c r="H18">
        <v>0.9</v>
      </c>
      <c r="I18">
        <v>1.1000000000000001</v>
      </c>
      <c r="J18" s="17" t="s">
        <v>388</v>
      </c>
      <c r="K18" s="17" t="s">
        <v>389</v>
      </c>
      <c r="L18">
        <v>4.8007400000000002</v>
      </c>
      <c r="M18">
        <v>-74.176860000000005</v>
      </c>
      <c r="N18">
        <v>0</v>
      </c>
      <c r="O18">
        <v>0</v>
      </c>
      <c r="P18">
        <v>1.0584830000000001</v>
      </c>
      <c r="Q18">
        <v>-4.6887670000000004</v>
      </c>
      <c r="R18">
        <v>0</v>
      </c>
      <c r="S18">
        <v>0</v>
      </c>
    </row>
    <row r="19" spans="1:19" x14ac:dyDescent="0.2">
      <c r="A19" t="s">
        <v>103</v>
      </c>
      <c r="B19" s="15">
        <v>22</v>
      </c>
      <c r="C19" s="19" t="s">
        <v>390</v>
      </c>
      <c r="D19">
        <v>500</v>
      </c>
      <c r="E19">
        <v>2</v>
      </c>
      <c r="F19" t="s">
        <v>387</v>
      </c>
      <c r="G19" t="b">
        <v>1</v>
      </c>
      <c r="H19">
        <v>0.9</v>
      </c>
      <c r="I19">
        <v>1.05</v>
      </c>
      <c r="J19" s="17" t="s">
        <v>388</v>
      </c>
      <c r="K19" s="17" t="s">
        <v>389</v>
      </c>
      <c r="L19">
        <v>4.8007400000000002</v>
      </c>
      <c r="M19">
        <v>-74.176860000000005</v>
      </c>
      <c r="N19">
        <v>0</v>
      </c>
      <c r="O19">
        <v>0</v>
      </c>
      <c r="P19">
        <v>0.99392519999999995</v>
      </c>
      <c r="Q19">
        <v>-4.9740729999999997</v>
      </c>
      <c r="R19">
        <v>0</v>
      </c>
      <c r="S19">
        <v>0</v>
      </c>
    </row>
    <row r="20" spans="1:19" x14ac:dyDescent="0.2">
      <c r="A20" t="s">
        <v>97</v>
      </c>
      <c r="B20" s="15">
        <v>23</v>
      </c>
      <c r="C20" s="19" t="s">
        <v>391</v>
      </c>
      <c r="D20">
        <v>220</v>
      </c>
      <c r="E20">
        <v>1</v>
      </c>
      <c r="F20" t="s">
        <v>387</v>
      </c>
      <c r="G20" t="b">
        <v>1</v>
      </c>
      <c r="H20">
        <v>0.9</v>
      </c>
      <c r="I20">
        <v>1.1000000000000001</v>
      </c>
      <c r="J20" s="17" t="s">
        <v>388</v>
      </c>
      <c r="K20" s="17" t="s">
        <v>389</v>
      </c>
      <c r="L20">
        <v>4.5863800000000001</v>
      </c>
      <c r="M20">
        <v>-74.062569999999994</v>
      </c>
      <c r="N20">
        <v>0</v>
      </c>
      <c r="O20">
        <v>0</v>
      </c>
      <c r="P20">
        <v>1.042983</v>
      </c>
      <c r="Q20">
        <v>-5.8792020000000003</v>
      </c>
      <c r="R20">
        <v>0</v>
      </c>
      <c r="S20">
        <v>0</v>
      </c>
    </row>
    <row r="21" spans="1:19" x14ac:dyDescent="0.2">
      <c r="A21" t="s">
        <v>94</v>
      </c>
      <c r="B21" s="15">
        <v>24</v>
      </c>
      <c r="C21" s="19" t="s">
        <v>392</v>
      </c>
      <c r="D21">
        <v>220</v>
      </c>
      <c r="E21">
        <v>1</v>
      </c>
      <c r="F21" t="s">
        <v>387</v>
      </c>
      <c r="G21" t="b">
        <v>1</v>
      </c>
      <c r="H21">
        <v>0.9</v>
      </c>
      <c r="I21">
        <v>1.1000000000000001</v>
      </c>
      <c r="J21" s="17" t="s">
        <v>388</v>
      </c>
      <c r="K21" s="17" t="s">
        <v>389</v>
      </c>
      <c r="L21">
        <v>4.5897600000000001</v>
      </c>
      <c r="M21">
        <v>-74.459450000000004</v>
      </c>
      <c r="N21">
        <v>0</v>
      </c>
      <c r="O21">
        <v>0</v>
      </c>
      <c r="P21">
        <v>1.0534190000000001</v>
      </c>
      <c r="Q21">
        <v>-3.0645129999999998</v>
      </c>
      <c r="R21">
        <v>130</v>
      </c>
      <c r="S21">
        <v>18.944716</v>
      </c>
    </row>
    <row r="22" spans="1:19" x14ac:dyDescent="0.2">
      <c r="A22" t="s">
        <v>98</v>
      </c>
      <c r="B22" s="15">
        <v>25</v>
      </c>
      <c r="C22" s="19" t="s">
        <v>393</v>
      </c>
      <c r="D22">
        <v>220</v>
      </c>
      <c r="E22">
        <v>1</v>
      </c>
      <c r="F22" t="s">
        <v>387</v>
      </c>
      <c r="G22" t="b">
        <v>1</v>
      </c>
      <c r="H22">
        <v>0.9</v>
      </c>
      <c r="I22">
        <v>1.1000000000000001</v>
      </c>
      <c r="J22" s="17" t="s">
        <v>388</v>
      </c>
      <c r="K22" s="17" t="s">
        <v>389</v>
      </c>
      <c r="L22">
        <v>4.7462299999999997</v>
      </c>
      <c r="M22">
        <v>-73.350269999999995</v>
      </c>
      <c r="N22">
        <v>0</v>
      </c>
      <c r="O22">
        <v>0</v>
      </c>
      <c r="P22">
        <v>1.0732919999999999</v>
      </c>
      <c r="Q22">
        <v>-0.7531369</v>
      </c>
      <c r="R22">
        <v>500</v>
      </c>
      <c r="S22">
        <v>15.460214000000001</v>
      </c>
    </row>
    <row r="23" spans="1:19" x14ac:dyDescent="0.2">
      <c r="A23" t="s">
        <v>95</v>
      </c>
      <c r="B23" s="15">
        <v>26</v>
      </c>
      <c r="C23" s="19" t="s">
        <v>394</v>
      </c>
      <c r="D23">
        <v>220</v>
      </c>
      <c r="E23">
        <v>2</v>
      </c>
      <c r="F23" t="s">
        <v>387</v>
      </c>
      <c r="G23" t="b">
        <v>1</v>
      </c>
      <c r="H23">
        <v>0.9</v>
      </c>
      <c r="I23">
        <v>1.1000000000000001</v>
      </c>
      <c r="J23" s="17" t="s">
        <v>388</v>
      </c>
      <c r="K23" s="17" t="s">
        <v>389</v>
      </c>
      <c r="L23">
        <v>4.6253099999999998</v>
      </c>
      <c r="M23">
        <v>-74.48021</v>
      </c>
      <c r="N23">
        <v>0</v>
      </c>
      <c r="O23">
        <v>0</v>
      </c>
      <c r="P23">
        <v>1.054608</v>
      </c>
      <c r="Q23">
        <v>-3.3609499999999999</v>
      </c>
      <c r="R23">
        <v>0</v>
      </c>
      <c r="S23">
        <v>0</v>
      </c>
    </row>
    <row r="24" spans="1:19" x14ac:dyDescent="0.2">
      <c r="A24" t="s">
        <v>105</v>
      </c>
      <c r="B24" s="15">
        <v>27</v>
      </c>
      <c r="C24" s="19" t="s">
        <v>395</v>
      </c>
      <c r="D24">
        <v>220</v>
      </c>
      <c r="E24">
        <v>2</v>
      </c>
      <c r="F24" t="s">
        <v>387</v>
      </c>
      <c r="G24" t="b">
        <v>1</v>
      </c>
      <c r="H24">
        <v>0.9</v>
      </c>
      <c r="I24">
        <v>1.1000000000000001</v>
      </c>
      <c r="J24" s="17" t="s">
        <v>388</v>
      </c>
      <c r="K24" s="17" t="s">
        <v>389</v>
      </c>
      <c r="L24">
        <v>4.7718999999999996</v>
      </c>
      <c r="M24">
        <v>-74.186449999999994</v>
      </c>
      <c r="N24">
        <v>0</v>
      </c>
      <c r="O24">
        <v>0</v>
      </c>
      <c r="P24">
        <v>1.0569390000000001</v>
      </c>
      <c r="Q24">
        <v>-4.7300969999999998</v>
      </c>
      <c r="R24">
        <v>0</v>
      </c>
      <c r="S24">
        <v>0</v>
      </c>
    </row>
    <row r="25" spans="1:19" x14ac:dyDescent="0.2">
      <c r="A25" t="s">
        <v>119</v>
      </c>
      <c r="B25" s="15">
        <v>28</v>
      </c>
      <c r="C25" s="19" t="s">
        <v>396</v>
      </c>
      <c r="D25">
        <v>220</v>
      </c>
      <c r="E25">
        <v>1</v>
      </c>
      <c r="F25" t="s">
        <v>387</v>
      </c>
      <c r="G25" t="b">
        <v>1</v>
      </c>
      <c r="H25">
        <v>0.9</v>
      </c>
      <c r="I25">
        <v>1.1000000000000001</v>
      </c>
      <c r="J25" s="17" t="s">
        <v>388</v>
      </c>
      <c r="K25" s="17" t="s">
        <v>389</v>
      </c>
      <c r="L25">
        <v>4.57944</v>
      </c>
      <c r="M25">
        <v>-74.401470000000003</v>
      </c>
      <c r="N25">
        <v>0</v>
      </c>
      <c r="O25">
        <v>0</v>
      </c>
      <c r="P25">
        <v>1.052799</v>
      </c>
      <c r="Q25">
        <v>-3.0345650000000002</v>
      </c>
      <c r="R25">
        <v>600</v>
      </c>
      <c r="S25">
        <f>-71.54459-55.71452</f>
        <v>-127.25910999999999</v>
      </c>
    </row>
    <row r="26" spans="1:19" x14ac:dyDescent="0.2">
      <c r="A26" t="s">
        <v>101</v>
      </c>
      <c r="B26" s="15">
        <v>29</v>
      </c>
      <c r="C26" s="19" t="s">
        <v>397</v>
      </c>
      <c r="D26">
        <v>220</v>
      </c>
      <c r="E26">
        <v>1</v>
      </c>
      <c r="F26" t="s">
        <v>387</v>
      </c>
      <c r="G26" t="b">
        <v>1</v>
      </c>
      <c r="H26">
        <v>0.9</v>
      </c>
      <c r="I26">
        <v>1.1000000000000001</v>
      </c>
      <c r="J26" s="17" t="s">
        <v>388</v>
      </c>
      <c r="K26" s="17" t="s">
        <v>389</v>
      </c>
      <c r="L26">
        <v>4.77874</v>
      </c>
      <c r="M26">
        <v>-74.029269999999997</v>
      </c>
      <c r="N26">
        <v>0</v>
      </c>
      <c r="O26">
        <v>0</v>
      </c>
      <c r="P26">
        <v>1.0555049999999999</v>
      </c>
      <c r="Q26">
        <v>-4.5985129999999996</v>
      </c>
      <c r="R26">
        <v>0</v>
      </c>
      <c r="S26">
        <v>0</v>
      </c>
    </row>
    <row r="27" spans="1:19" x14ac:dyDescent="0.2">
      <c r="A27" t="s">
        <v>115</v>
      </c>
      <c r="B27" s="15">
        <v>30</v>
      </c>
      <c r="C27" s="19" t="s">
        <v>398</v>
      </c>
      <c r="D27">
        <v>220</v>
      </c>
      <c r="E27">
        <v>2</v>
      </c>
      <c r="F27" t="s">
        <v>387</v>
      </c>
      <c r="G27" t="b">
        <v>1</v>
      </c>
      <c r="H27">
        <v>0.9</v>
      </c>
      <c r="I27">
        <v>1.1000000000000001</v>
      </c>
      <c r="J27" s="17" t="s">
        <v>388</v>
      </c>
      <c r="K27" s="17" t="s">
        <v>389</v>
      </c>
      <c r="L27">
        <v>4.5741699999999996</v>
      </c>
      <c r="M27">
        <v>-74.140079999999998</v>
      </c>
      <c r="N27">
        <v>0</v>
      </c>
      <c r="O27">
        <v>0</v>
      </c>
      <c r="P27">
        <v>1.037425</v>
      </c>
      <c r="Q27">
        <v>-7.0532789999999999</v>
      </c>
      <c r="R27">
        <v>0</v>
      </c>
      <c r="S27">
        <v>0</v>
      </c>
    </row>
    <row r="28" spans="1:19" x14ac:dyDescent="0.2">
      <c r="A28" t="s">
        <v>108</v>
      </c>
      <c r="B28" s="15">
        <v>31</v>
      </c>
      <c r="C28" s="19" t="s">
        <v>399</v>
      </c>
      <c r="D28">
        <v>220</v>
      </c>
      <c r="E28">
        <v>1</v>
      </c>
      <c r="F28" t="s">
        <v>387</v>
      </c>
      <c r="G28" t="b">
        <v>1</v>
      </c>
      <c r="H28">
        <v>0.9</v>
      </c>
      <c r="I28">
        <v>1.1000000000000001</v>
      </c>
      <c r="J28" s="17" t="s">
        <v>388</v>
      </c>
      <c r="K28" s="17" t="s">
        <v>389</v>
      </c>
      <c r="L28">
        <v>4.8844000000000003</v>
      </c>
      <c r="M28">
        <v>-73.231989999999996</v>
      </c>
      <c r="N28">
        <v>0</v>
      </c>
      <c r="O28">
        <v>0</v>
      </c>
      <c r="P28">
        <v>1.0767199999999999</v>
      </c>
      <c r="Q28">
        <v>1.1984269999999999</v>
      </c>
      <c r="R28">
        <v>500</v>
      </c>
      <c r="S28">
        <v>130.17671000000001</v>
      </c>
    </row>
    <row r="29" spans="1:19" x14ac:dyDescent="0.2">
      <c r="A29" t="s">
        <v>112</v>
      </c>
      <c r="B29" s="15">
        <v>32</v>
      </c>
      <c r="C29" s="19" t="s">
        <v>400</v>
      </c>
      <c r="D29">
        <v>220</v>
      </c>
      <c r="E29">
        <v>2</v>
      </c>
      <c r="F29" t="s">
        <v>387</v>
      </c>
      <c r="G29" t="b">
        <v>1</v>
      </c>
      <c r="H29">
        <v>0.9</v>
      </c>
      <c r="I29">
        <v>1.1000000000000001</v>
      </c>
      <c r="J29" s="17" t="s">
        <v>388</v>
      </c>
      <c r="K29" s="17" t="s">
        <v>389</v>
      </c>
      <c r="L29">
        <v>4.6848400000000003</v>
      </c>
      <c r="M29">
        <v>-74.259190000000004</v>
      </c>
      <c r="N29">
        <v>0</v>
      </c>
      <c r="O29">
        <v>0</v>
      </c>
      <c r="P29">
        <v>1.0478540000000001</v>
      </c>
      <c r="Q29">
        <v>-5.3814570000000002</v>
      </c>
      <c r="R29">
        <v>0</v>
      </c>
      <c r="S29">
        <v>0</v>
      </c>
    </row>
    <row r="30" spans="1:19" x14ac:dyDescent="0.2">
      <c r="A30" t="s">
        <v>117</v>
      </c>
      <c r="B30" s="15">
        <v>33</v>
      </c>
      <c r="C30" s="19" t="s">
        <v>401</v>
      </c>
      <c r="D30">
        <v>220</v>
      </c>
      <c r="E30">
        <v>2</v>
      </c>
      <c r="F30" t="s">
        <v>387</v>
      </c>
      <c r="G30" t="b">
        <v>1</v>
      </c>
      <c r="H30">
        <v>0.9</v>
      </c>
      <c r="I30">
        <v>1.1000000000000001</v>
      </c>
      <c r="J30" s="17" t="s">
        <v>388</v>
      </c>
      <c r="K30" s="17" t="s">
        <v>389</v>
      </c>
      <c r="L30">
        <v>4.5776500000000002</v>
      </c>
      <c r="M30">
        <v>-74.20326</v>
      </c>
      <c r="N30">
        <v>0</v>
      </c>
      <c r="O30">
        <v>0</v>
      </c>
      <c r="P30">
        <v>1.037544</v>
      </c>
      <c r="Q30">
        <v>-6.414472</v>
      </c>
      <c r="R30">
        <v>0</v>
      </c>
      <c r="S30">
        <v>0</v>
      </c>
    </row>
    <row r="31" spans="1:19" x14ac:dyDescent="0.2">
      <c r="A31" t="s">
        <v>122</v>
      </c>
      <c r="B31" s="15">
        <v>35</v>
      </c>
      <c r="C31" s="19" t="s">
        <v>402</v>
      </c>
      <c r="D31">
        <v>220</v>
      </c>
      <c r="E31">
        <v>1</v>
      </c>
      <c r="F31" t="s">
        <v>387</v>
      </c>
      <c r="G31" t="b">
        <v>1</v>
      </c>
      <c r="H31">
        <v>0.9</v>
      </c>
      <c r="I31">
        <v>1.1000000000000001</v>
      </c>
      <c r="J31" s="17" t="s">
        <v>388</v>
      </c>
      <c r="K31" s="17" t="s">
        <v>389</v>
      </c>
      <c r="L31">
        <v>4.5729800000000003</v>
      </c>
      <c r="M31">
        <v>-74.281949999999995</v>
      </c>
      <c r="N31">
        <v>0</v>
      </c>
      <c r="O31">
        <v>0</v>
      </c>
      <c r="P31">
        <v>1.049458</v>
      </c>
      <c r="Q31">
        <v>-4.0564609999999997</v>
      </c>
      <c r="R31">
        <v>35</v>
      </c>
      <c r="S31">
        <v>-20</v>
      </c>
    </row>
    <row r="32" spans="1:19" x14ac:dyDescent="0.2">
      <c r="A32" t="s">
        <v>127</v>
      </c>
      <c r="B32" s="15">
        <v>36</v>
      </c>
      <c r="C32" s="19" t="s">
        <v>403</v>
      </c>
      <c r="D32">
        <v>500</v>
      </c>
      <c r="E32">
        <v>1</v>
      </c>
      <c r="F32" t="s">
        <v>387</v>
      </c>
      <c r="G32" t="b">
        <v>1</v>
      </c>
      <c r="H32">
        <v>0.9</v>
      </c>
      <c r="I32">
        <v>1.05</v>
      </c>
      <c r="J32" s="17" t="s">
        <v>388</v>
      </c>
      <c r="K32" s="17" t="s">
        <v>389</v>
      </c>
      <c r="L32">
        <v>4.5729800000000003</v>
      </c>
      <c r="M32">
        <v>-74.281949999999995</v>
      </c>
      <c r="N32">
        <v>0</v>
      </c>
      <c r="O32">
        <v>0</v>
      </c>
      <c r="P32">
        <v>0.99760260000000001</v>
      </c>
      <c r="Q32">
        <v>-5.1264799999999999</v>
      </c>
      <c r="R32">
        <v>0</v>
      </c>
      <c r="S32">
        <v>0</v>
      </c>
    </row>
    <row r="33" spans="1:19" x14ac:dyDescent="0.2">
      <c r="A33" t="s">
        <v>132</v>
      </c>
      <c r="B33" s="15">
        <v>38</v>
      </c>
      <c r="C33" s="19" t="s">
        <v>404</v>
      </c>
      <c r="D33">
        <v>220</v>
      </c>
      <c r="E33">
        <v>1</v>
      </c>
      <c r="F33" t="s">
        <v>405</v>
      </c>
      <c r="G33" t="b">
        <v>1</v>
      </c>
      <c r="H33">
        <v>0.9</v>
      </c>
      <c r="I33">
        <v>1.1000000000000001</v>
      </c>
      <c r="J33" s="17" t="s">
        <v>406</v>
      </c>
      <c r="K33" s="17" t="s">
        <v>405</v>
      </c>
      <c r="L33">
        <v>5.0198600000000004</v>
      </c>
      <c r="M33">
        <v>-75.457499999999996</v>
      </c>
      <c r="N33">
        <v>0</v>
      </c>
      <c r="O33">
        <v>0</v>
      </c>
      <c r="P33">
        <v>1.079434</v>
      </c>
      <c r="Q33">
        <v>-3.69279</v>
      </c>
      <c r="R33">
        <v>0</v>
      </c>
      <c r="S33">
        <v>0</v>
      </c>
    </row>
    <row r="34" spans="1:19" x14ac:dyDescent="0.2">
      <c r="A34" t="s">
        <v>133</v>
      </c>
      <c r="B34" s="15">
        <v>39</v>
      </c>
      <c r="C34" s="19" t="s">
        <v>407</v>
      </c>
      <c r="D34">
        <v>220</v>
      </c>
      <c r="E34">
        <v>1</v>
      </c>
      <c r="F34" t="s">
        <v>405</v>
      </c>
      <c r="G34" t="b">
        <v>1</v>
      </c>
      <c r="H34">
        <v>0.9</v>
      </c>
      <c r="I34">
        <v>1.1000000000000001</v>
      </c>
      <c r="J34" s="17" t="s">
        <v>406</v>
      </c>
      <c r="K34" s="17" t="s">
        <v>405</v>
      </c>
      <c r="L34">
        <v>5.1307499999999999</v>
      </c>
      <c r="M34">
        <v>-74.903120000000001</v>
      </c>
      <c r="N34">
        <v>0</v>
      </c>
      <c r="O34">
        <v>0</v>
      </c>
      <c r="P34">
        <v>1.0774520000000001</v>
      </c>
      <c r="Q34">
        <v>-2.6269390000000001</v>
      </c>
      <c r="R34">
        <v>0</v>
      </c>
      <c r="S34">
        <v>0</v>
      </c>
    </row>
    <row r="35" spans="1:19" x14ac:dyDescent="0.2">
      <c r="A35" t="s">
        <v>138</v>
      </c>
      <c r="B35" s="15">
        <v>40</v>
      </c>
      <c r="C35" s="19" t="s">
        <v>408</v>
      </c>
      <c r="D35">
        <v>220</v>
      </c>
      <c r="E35">
        <v>1</v>
      </c>
      <c r="F35" t="s">
        <v>405</v>
      </c>
      <c r="G35" t="b">
        <v>1</v>
      </c>
      <c r="H35">
        <v>0.9</v>
      </c>
      <c r="I35">
        <v>1.1000000000000001</v>
      </c>
      <c r="J35" s="17" t="s">
        <v>406</v>
      </c>
      <c r="K35" s="17" t="s">
        <v>405</v>
      </c>
      <c r="L35">
        <v>5.0349000000000004</v>
      </c>
      <c r="M35">
        <v>-75.735900000000001</v>
      </c>
      <c r="N35">
        <v>0</v>
      </c>
      <c r="O35">
        <v>0</v>
      </c>
      <c r="P35">
        <v>1.0831249999999999</v>
      </c>
      <c r="Q35">
        <v>-3.7132459999999998</v>
      </c>
      <c r="R35">
        <v>87</v>
      </c>
      <c r="S35">
        <v>-10.610837</v>
      </c>
    </row>
    <row r="36" spans="1:19" x14ac:dyDescent="0.2">
      <c r="A36" t="s">
        <v>147</v>
      </c>
      <c r="B36" s="15">
        <v>41</v>
      </c>
      <c r="C36" s="19" t="s">
        <v>409</v>
      </c>
      <c r="D36">
        <v>220</v>
      </c>
      <c r="E36">
        <v>3</v>
      </c>
      <c r="F36" t="s">
        <v>405</v>
      </c>
      <c r="G36" t="b">
        <v>1</v>
      </c>
      <c r="H36">
        <v>0.9</v>
      </c>
      <c r="I36">
        <v>1.1000000000000001</v>
      </c>
      <c r="J36" s="17" t="s">
        <v>406</v>
      </c>
      <c r="K36" s="17" t="s">
        <v>405</v>
      </c>
      <c r="L36">
        <v>5.5716299999999999</v>
      </c>
      <c r="M36">
        <v>-74.888409999999993</v>
      </c>
      <c r="N36">
        <v>0</v>
      </c>
      <c r="O36">
        <v>0</v>
      </c>
      <c r="P36">
        <v>1.088249</v>
      </c>
      <c r="Q36">
        <v>-0.65856289999999995</v>
      </c>
      <c r="R36">
        <v>290.48907000000003</v>
      </c>
      <c r="S36">
        <v>-0.91638560000000002</v>
      </c>
    </row>
    <row r="37" spans="1:19" x14ac:dyDescent="0.2">
      <c r="A37" t="s">
        <v>135</v>
      </c>
      <c r="B37" s="15">
        <v>42</v>
      </c>
      <c r="C37" s="19" t="s">
        <v>410</v>
      </c>
      <c r="D37">
        <v>220</v>
      </c>
      <c r="E37">
        <v>2</v>
      </c>
      <c r="F37" t="s">
        <v>405</v>
      </c>
      <c r="G37" t="b">
        <v>1</v>
      </c>
      <c r="H37">
        <v>0.9</v>
      </c>
      <c r="I37">
        <v>1.1000000000000001</v>
      </c>
      <c r="J37" s="17" t="s">
        <v>406</v>
      </c>
      <c r="K37" s="17" t="s">
        <v>405</v>
      </c>
      <c r="L37">
        <v>4.8517599999999996</v>
      </c>
      <c r="M37">
        <v>-75.851839999999996</v>
      </c>
      <c r="N37">
        <v>0</v>
      </c>
      <c r="O37">
        <v>0</v>
      </c>
      <c r="P37">
        <v>1.0924720000000001</v>
      </c>
      <c r="Q37">
        <v>-4.1586489999999996</v>
      </c>
      <c r="R37">
        <v>0</v>
      </c>
      <c r="S37">
        <v>0</v>
      </c>
    </row>
    <row r="38" spans="1:19" x14ac:dyDescent="0.2">
      <c r="A38" t="s">
        <v>150</v>
      </c>
      <c r="B38" s="15">
        <v>43</v>
      </c>
      <c r="C38" s="19" t="s">
        <v>411</v>
      </c>
      <c r="D38">
        <v>500</v>
      </c>
      <c r="E38">
        <v>2</v>
      </c>
      <c r="F38" t="s">
        <v>405</v>
      </c>
      <c r="G38" t="b">
        <v>1</v>
      </c>
      <c r="H38">
        <v>0.9</v>
      </c>
      <c r="I38">
        <v>1.05</v>
      </c>
      <c r="J38" s="17" t="s">
        <v>406</v>
      </c>
      <c r="K38" s="17" t="s">
        <v>405</v>
      </c>
      <c r="L38">
        <v>4.8517599999999996</v>
      </c>
      <c r="M38">
        <v>-75.851839999999996</v>
      </c>
      <c r="N38">
        <v>0</v>
      </c>
      <c r="O38">
        <v>0.89817800000000003</v>
      </c>
      <c r="P38">
        <v>1.0331809999999999</v>
      </c>
      <c r="Q38">
        <v>-2.349164</v>
      </c>
      <c r="R38">
        <v>0</v>
      </c>
      <c r="S38">
        <v>0</v>
      </c>
    </row>
    <row r="39" spans="1:19" x14ac:dyDescent="0.2">
      <c r="A39" t="s">
        <v>136</v>
      </c>
      <c r="B39" s="15">
        <v>44</v>
      </c>
      <c r="C39" s="19" t="s">
        <v>412</v>
      </c>
      <c r="D39">
        <v>220</v>
      </c>
      <c r="E39">
        <v>1</v>
      </c>
      <c r="F39" t="s">
        <v>405</v>
      </c>
      <c r="G39" t="b">
        <v>1</v>
      </c>
      <c r="H39">
        <v>0.9</v>
      </c>
      <c r="I39">
        <v>1.1000000000000001</v>
      </c>
      <c r="J39" s="17" t="s">
        <v>406</v>
      </c>
      <c r="K39" s="17" t="s">
        <v>405</v>
      </c>
      <c r="L39">
        <v>4.8757999999999999</v>
      </c>
      <c r="M39">
        <v>-75.630449999999996</v>
      </c>
      <c r="N39">
        <v>0</v>
      </c>
      <c r="O39">
        <v>0</v>
      </c>
      <c r="P39">
        <v>1.074225</v>
      </c>
      <c r="Q39">
        <v>-4.2850729999999997</v>
      </c>
      <c r="R39">
        <v>0</v>
      </c>
      <c r="S39">
        <v>0</v>
      </c>
    </row>
    <row r="40" spans="1:19" x14ac:dyDescent="0.2">
      <c r="A40" t="s">
        <v>153</v>
      </c>
      <c r="B40" s="15">
        <v>45</v>
      </c>
      <c r="C40" s="19" t="s">
        <v>413</v>
      </c>
      <c r="D40">
        <v>220</v>
      </c>
      <c r="E40">
        <v>2</v>
      </c>
      <c r="F40" t="s">
        <v>414</v>
      </c>
      <c r="G40" t="b">
        <v>1</v>
      </c>
      <c r="H40">
        <v>0.9</v>
      </c>
      <c r="I40">
        <v>1.1000000000000001</v>
      </c>
      <c r="J40" s="17" t="s">
        <v>406</v>
      </c>
      <c r="K40" s="17" t="s">
        <v>415</v>
      </c>
      <c r="L40">
        <v>2.0695999999999999</v>
      </c>
      <c r="M40">
        <v>-75.787649999999999</v>
      </c>
      <c r="N40">
        <v>0</v>
      </c>
      <c r="O40">
        <v>0</v>
      </c>
      <c r="P40">
        <v>1.0664100000000001</v>
      </c>
      <c r="Q40">
        <v>-3.4167049999999999</v>
      </c>
      <c r="R40">
        <v>0</v>
      </c>
      <c r="S40">
        <v>0</v>
      </c>
    </row>
    <row r="41" spans="1:19" x14ac:dyDescent="0.2">
      <c r="A41" t="s">
        <v>168</v>
      </c>
      <c r="B41" s="15">
        <v>46</v>
      </c>
      <c r="C41" s="19" t="s">
        <v>416</v>
      </c>
      <c r="D41">
        <v>220</v>
      </c>
      <c r="E41">
        <v>1</v>
      </c>
      <c r="F41" t="s">
        <v>417</v>
      </c>
      <c r="G41" t="b">
        <v>1</v>
      </c>
      <c r="H41">
        <v>0.9</v>
      </c>
      <c r="I41">
        <v>1.1000000000000001</v>
      </c>
      <c r="J41" s="17" t="s">
        <v>406</v>
      </c>
      <c r="K41" s="17" t="s">
        <v>418</v>
      </c>
      <c r="L41">
        <v>1.21858</v>
      </c>
      <c r="M41">
        <v>-77.252809999999997</v>
      </c>
      <c r="N41">
        <v>0</v>
      </c>
      <c r="O41">
        <v>0.27144839999999998</v>
      </c>
      <c r="P41">
        <v>1.07941</v>
      </c>
      <c r="Q41">
        <v>-7.7569949999999999</v>
      </c>
      <c r="R41">
        <v>19.600000000000001</v>
      </c>
      <c r="S41">
        <v>0</v>
      </c>
    </row>
    <row r="42" spans="1:19" x14ac:dyDescent="0.2">
      <c r="A42" t="s">
        <v>164</v>
      </c>
      <c r="B42" s="15">
        <v>47</v>
      </c>
      <c r="C42" s="19" t="s">
        <v>419</v>
      </c>
      <c r="D42">
        <v>220</v>
      </c>
      <c r="E42">
        <v>1</v>
      </c>
      <c r="F42" t="s">
        <v>417</v>
      </c>
      <c r="G42" t="b">
        <v>1</v>
      </c>
      <c r="H42">
        <v>0.9</v>
      </c>
      <c r="I42">
        <v>1.1000000000000001</v>
      </c>
      <c r="J42" s="17" t="s">
        <v>406</v>
      </c>
      <c r="K42" s="17" t="s">
        <v>418</v>
      </c>
      <c r="L42">
        <v>2.5888800000000001</v>
      </c>
      <c r="M42">
        <v>-76.611239999999995</v>
      </c>
      <c r="N42">
        <v>0</v>
      </c>
      <c r="O42">
        <v>0.2714338</v>
      </c>
      <c r="P42">
        <v>1.083477</v>
      </c>
      <c r="Q42">
        <v>-5.9518769999999996</v>
      </c>
      <c r="R42">
        <v>8</v>
      </c>
      <c r="S42">
        <v>0</v>
      </c>
    </row>
    <row r="43" spans="1:19" x14ac:dyDescent="0.2">
      <c r="A43" t="s">
        <v>158</v>
      </c>
      <c r="B43" s="15">
        <v>48</v>
      </c>
      <c r="C43" s="19" t="s">
        <v>420</v>
      </c>
      <c r="D43">
        <v>220</v>
      </c>
      <c r="E43">
        <v>1</v>
      </c>
      <c r="F43" t="s">
        <v>417</v>
      </c>
      <c r="G43" t="b">
        <v>1</v>
      </c>
      <c r="H43">
        <v>0.9</v>
      </c>
      <c r="I43">
        <v>1.1000000000000001</v>
      </c>
      <c r="J43" s="17" t="s">
        <v>406</v>
      </c>
      <c r="K43" s="17" t="s">
        <v>418</v>
      </c>
      <c r="L43">
        <v>2.5101499999999999</v>
      </c>
      <c r="M43">
        <v>-75.565910000000002</v>
      </c>
      <c r="N43">
        <v>0</v>
      </c>
      <c r="O43">
        <v>0.26214989999999999</v>
      </c>
      <c r="P43">
        <v>1.07029</v>
      </c>
      <c r="Q43">
        <v>-1.281328</v>
      </c>
      <c r="R43">
        <v>300</v>
      </c>
      <c r="S43">
        <v>-100.52468</v>
      </c>
    </row>
    <row r="44" spans="1:19" x14ac:dyDescent="0.2">
      <c r="A44" t="s">
        <v>161</v>
      </c>
      <c r="B44" s="15">
        <v>49</v>
      </c>
      <c r="C44" s="19" t="s">
        <v>421</v>
      </c>
      <c r="D44">
        <v>220</v>
      </c>
      <c r="E44">
        <v>1</v>
      </c>
      <c r="F44" t="s">
        <v>417</v>
      </c>
      <c r="G44" t="b">
        <v>1</v>
      </c>
      <c r="H44">
        <v>0.9</v>
      </c>
      <c r="I44">
        <v>1.1000000000000001</v>
      </c>
      <c r="J44" s="17" t="s">
        <v>406</v>
      </c>
      <c r="K44" s="17" t="s">
        <v>418</v>
      </c>
      <c r="L44">
        <v>3.1842199999999998</v>
      </c>
      <c r="M44">
        <v>-76.398380000000003</v>
      </c>
      <c r="N44">
        <v>0</v>
      </c>
      <c r="O44">
        <v>0</v>
      </c>
      <c r="P44">
        <v>1.0733569999999999</v>
      </c>
      <c r="Q44">
        <v>-6.6487350000000003</v>
      </c>
      <c r="R44">
        <v>0</v>
      </c>
      <c r="S44">
        <v>0</v>
      </c>
    </row>
    <row r="45" spans="1:19" x14ac:dyDescent="0.2">
      <c r="A45" t="s">
        <v>154</v>
      </c>
      <c r="B45" s="15">
        <v>50</v>
      </c>
      <c r="C45" s="19" t="s">
        <v>422</v>
      </c>
      <c r="D45">
        <v>220</v>
      </c>
      <c r="E45">
        <v>1</v>
      </c>
      <c r="F45" t="s">
        <v>423</v>
      </c>
      <c r="G45" t="b">
        <v>1</v>
      </c>
      <c r="H45">
        <v>0.9</v>
      </c>
      <c r="I45">
        <v>1.1000000000000001</v>
      </c>
      <c r="J45" s="17" t="s">
        <v>406</v>
      </c>
      <c r="K45" s="17" t="s">
        <v>424</v>
      </c>
      <c r="L45">
        <v>2.7168000000000001</v>
      </c>
      <c r="M45">
        <v>-75.440969999999993</v>
      </c>
      <c r="N45">
        <v>0</v>
      </c>
      <c r="O45">
        <v>0</v>
      </c>
      <c r="P45">
        <v>1.070273</v>
      </c>
      <c r="Q45">
        <v>-1.920024</v>
      </c>
      <c r="R45">
        <v>180</v>
      </c>
      <c r="S45">
        <v>-2.4172069999999999</v>
      </c>
    </row>
    <row r="46" spans="1:19" x14ac:dyDescent="0.2">
      <c r="A46" t="s">
        <v>173</v>
      </c>
      <c r="B46" s="15">
        <v>51</v>
      </c>
      <c r="C46" s="19" t="s">
        <v>425</v>
      </c>
      <c r="D46">
        <v>220</v>
      </c>
      <c r="E46">
        <v>1</v>
      </c>
      <c r="F46" t="s">
        <v>423</v>
      </c>
      <c r="G46" t="b">
        <v>1</v>
      </c>
      <c r="H46">
        <v>0.9</v>
      </c>
      <c r="I46">
        <v>1.1000000000000001</v>
      </c>
      <c r="J46" s="17" t="s">
        <v>406</v>
      </c>
      <c r="K46" s="17" t="s">
        <v>424</v>
      </c>
      <c r="L46">
        <v>4.4034199999999997</v>
      </c>
      <c r="M46">
        <v>-75.174769999999995</v>
      </c>
      <c r="N46">
        <v>0</v>
      </c>
      <c r="O46">
        <v>0</v>
      </c>
      <c r="P46">
        <v>1.043083</v>
      </c>
      <c r="Q46">
        <v>-5.1397969999999997</v>
      </c>
      <c r="R46">
        <v>0</v>
      </c>
      <c r="S46">
        <v>0</v>
      </c>
    </row>
    <row r="47" spans="1:19" x14ac:dyDescent="0.2">
      <c r="A47" t="s">
        <v>176</v>
      </c>
      <c r="B47" s="15">
        <v>52</v>
      </c>
      <c r="C47" s="19" t="s">
        <v>426</v>
      </c>
      <c r="D47">
        <v>220</v>
      </c>
      <c r="E47">
        <v>1</v>
      </c>
      <c r="F47" t="s">
        <v>423</v>
      </c>
      <c r="G47" t="b">
        <v>1</v>
      </c>
      <c r="H47">
        <v>0.9</v>
      </c>
      <c r="I47">
        <v>1.1000000000000001</v>
      </c>
      <c r="J47" s="17" t="s">
        <v>406</v>
      </c>
      <c r="K47" s="17" t="s">
        <v>424</v>
      </c>
      <c r="L47">
        <v>3.72099</v>
      </c>
      <c r="M47">
        <v>-75.474789999999999</v>
      </c>
      <c r="N47">
        <v>0</v>
      </c>
      <c r="O47">
        <v>0</v>
      </c>
      <c r="P47">
        <v>1.0442579999999999</v>
      </c>
      <c r="Q47">
        <v>-4.3331280000000003</v>
      </c>
      <c r="R47">
        <v>32</v>
      </c>
      <c r="S47">
        <v>-22.043520000000001</v>
      </c>
    </row>
    <row r="48" spans="1:19" x14ac:dyDescent="0.2">
      <c r="A48" t="s">
        <v>156</v>
      </c>
      <c r="B48" s="15">
        <v>53</v>
      </c>
      <c r="C48" s="19" t="s">
        <v>427</v>
      </c>
      <c r="D48">
        <v>220</v>
      </c>
      <c r="E48">
        <v>2</v>
      </c>
      <c r="F48" t="s">
        <v>428</v>
      </c>
      <c r="G48" t="b">
        <v>1</v>
      </c>
      <c r="H48">
        <v>0.9</v>
      </c>
      <c r="I48">
        <v>1.1000000000000001</v>
      </c>
      <c r="J48" s="17" t="s">
        <v>406</v>
      </c>
      <c r="K48" s="17" t="s">
        <v>429</v>
      </c>
      <c r="L48">
        <v>1.1680699999999999</v>
      </c>
      <c r="M48">
        <v>-76.661680000000004</v>
      </c>
      <c r="N48">
        <v>0</v>
      </c>
      <c r="O48">
        <v>0</v>
      </c>
      <c r="P48">
        <v>1.079488</v>
      </c>
      <c r="Q48">
        <v>-6.5822849999999997</v>
      </c>
      <c r="R48">
        <v>0</v>
      </c>
      <c r="S48">
        <v>0</v>
      </c>
    </row>
    <row r="49" spans="1:19" x14ac:dyDescent="0.2">
      <c r="A49" t="s">
        <v>139</v>
      </c>
      <c r="B49" s="15">
        <v>55</v>
      </c>
      <c r="C49" s="19" t="s">
        <v>430</v>
      </c>
      <c r="D49">
        <v>220</v>
      </c>
      <c r="E49">
        <v>1</v>
      </c>
      <c r="F49" t="s">
        <v>431</v>
      </c>
      <c r="G49" t="b">
        <v>1</v>
      </c>
      <c r="H49">
        <v>0.9</v>
      </c>
      <c r="I49">
        <v>1.1000000000000001</v>
      </c>
      <c r="J49" s="17" t="s">
        <v>406</v>
      </c>
      <c r="K49" s="17" t="s">
        <v>432</v>
      </c>
      <c r="L49">
        <v>3.5589</v>
      </c>
      <c r="M49">
        <v>-76.500460000000004</v>
      </c>
      <c r="N49">
        <v>0</v>
      </c>
      <c r="O49">
        <v>0</v>
      </c>
      <c r="P49">
        <v>1.0840019999999999</v>
      </c>
      <c r="Q49">
        <v>-5.7928829999999998</v>
      </c>
      <c r="R49">
        <v>41</v>
      </c>
      <c r="S49">
        <v>7.0314399999999999</v>
      </c>
    </row>
    <row r="50" spans="1:19" x14ac:dyDescent="0.2">
      <c r="A50" t="s">
        <v>182</v>
      </c>
      <c r="B50" s="15">
        <v>56</v>
      </c>
      <c r="C50" s="19" t="s">
        <v>433</v>
      </c>
      <c r="D50">
        <v>220</v>
      </c>
      <c r="E50">
        <v>1</v>
      </c>
      <c r="F50" t="s">
        <v>431</v>
      </c>
      <c r="G50" t="b">
        <v>1</v>
      </c>
      <c r="H50">
        <v>0.9</v>
      </c>
      <c r="I50">
        <v>1.1000000000000001</v>
      </c>
      <c r="J50" s="17" t="s">
        <v>406</v>
      </c>
      <c r="K50" s="17" t="s">
        <v>432</v>
      </c>
      <c r="L50">
        <v>3.6046800000000001</v>
      </c>
      <c r="M50">
        <v>-76.486379999999997</v>
      </c>
      <c r="N50">
        <v>0</v>
      </c>
      <c r="O50">
        <v>2.3828610000000001</v>
      </c>
      <c r="P50">
        <v>1.0921179999999999</v>
      </c>
      <c r="Q50">
        <v>-5.9655120000000004</v>
      </c>
      <c r="R50">
        <v>24.53</v>
      </c>
      <c r="S50">
        <v>0.19652549999999999</v>
      </c>
    </row>
    <row r="51" spans="1:19" x14ac:dyDescent="0.2">
      <c r="A51" t="s">
        <v>160</v>
      </c>
      <c r="B51" s="15">
        <v>57</v>
      </c>
      <c r="C51" s="19" t="s">
        <v>434</v>
      </c>
      <c r="D51">
        <v>220</v>
      </c>
      <c r="E51">
        <v>1</v>
      </c>
      <c r="F51" t="s">
        <v>431</v>
      </c>
      <c r="G51" t="b">
        <v>1</v>
      </c>
      <c r="H51">
        <v>0.9</v>
      </c>
      <c r="I51">
        <v>1.1000000000000001</v>
      </c>
      <c r="J51" s="17" t="s">
        <v>406</v>
      </c>
      <c r="K51" s="17" t="s">
        <v>432</v>
      </c>
      <c r="L51">
        <v>3.4426199999999998</v>
      </c>
      <c r="M51">
        <v>-76.483649999999997</v>
      </c>
      <c r="N51">
        <v>0</v>
      </c>
      <c r="O51">
        <v>0</v>
      </c>
      <c r="P51">
        <v>1.0746849999999999</v>
      </c>
      <c r="Q51">
        <v>-6.0658450000000004</v>
      </c>
      <c r="R51">
        <v>0</v>
      </c>
      <c r="S51">
        <v>0</v>
      </c>
    </row>
    <row r="52" spans="1:19" x14ac:dyDescent="0.2">
      <c r="A52" t="s">
        <v>185</v>
      </c>
      <c r="B52" s="15">
        <v>58</v>
      </c>
      <c r="C52" s="19" t="s">
        <v>435</v>
      </c>
      <c r="D52">
        <v>220</v>
      </c>
      <c r="E52">
        <v>1</v>
      </c>
      <c r="F52" t="s">
        <v>431</v>
      </c>
      <c r="G52" t="b">
        <v>1</v>
      </c>
      <c r="H52">
        <v>0.9</v>
      </c>
      <c r="I52">
        <v>1.1000000000000001</v>
      </c>
      <c r="J52" s="17" t="s">
        <v>406</v>
      </c>
      <c r="K52" s="17" t="s">
        <v>432</v>
      </c>
      <c r="L52">
        <v>3.5521799999999999</v>
      </c>
      <c r="M52">
        <v>-76.865859999999998</v>
      </c>
      <c r="N52">
        <v>0</v>
      </c>
      <c r="O52">
        <v>0</v>
      </c>
      <c r="P52">
        <v>1.0584119999999999</v>
      </c>
      <c r="Q52">
        <v>-1.848265</v>
      </c>
      <c r="R52">
        <v>264.84129999999999</v>
      </c>
      <c r="S52">
        <v>-108.07338</v>
      </c>
    </row>
    <row r="53" spans="1:19" x14ac:dyDescent="0.2">
      <c r="A53" t="s">
        <v>180</v>
      </c>
      <c r="B53" s="15">
        <v>59</v>
      </c>
      <c r="C53" s="19" t="s">
        <v>436</v>
      </c>
      <c r="D53">
        <v>220</v>
      </c>
      <c r="E53">
        <v>1</v>
      </c>
      <c r="F53" t="s">
        <v>431</v>
      </c>
      <c r="G53" t="b">
        <v>1</v>
      </c>
      <c r="H53">
        <v>0.9</v>
      </c>
      <c r="I53">
        <v>1.1000000000000001</v>
      </c>
      <c r="J53" s="17" t="s">
        <v>406</v>
      </c>
      <c r="K53" s="17" t="s">
        <v>432</v>
      </c>
      <c r="L53">
        <v>3.3521000000000001</v>
      </c>
      <c r="M53">
        <v>-76.547049999999999</v>
      </c>
      <c r="N53">
        <v>0</v>
      </c>
      <c r="O53">
        <v>0</v>
      </c>
      <c r="P53">
        <v>1.069251</v>
      </c>
      <c r="Q53">
        <v>-5.5310779999999999</v>
      </c>
      <c r="R53">
        <v>0</v>
      </c>
      <c r="S53">
        <v>0</v>
      </c>
    </row>
    <row r="54" spans="1:19" x14ac:dyDescent="0.2">
      <c r="A54" t="s">
        <v>195</v>
      </c>
      <c r="B54" s="15">
        <v>60</v>
      </c>
      <c r="C54" s="19" t="s">
        <v>437</v>
      </c>
      <c r="D54">
        <v>500</v>
      </c>
      <c r="E54">
        <v>1</v>
      </c>
      <c r="F54" t="s">
        <v>431</v>
      </c>
      <c r="G54" t="b">
        <v>1</v>
      </c>
      <c r="H54">
        <v>0.9</v>
      </c>
      <c r="I54">
        <v>1.05</v>
      </c>
      <c r="J54" s="17" t="s">
        <v>406</v>
      </c>
      <c r="K54" s="17" t="s">
        <v>432</v>
      </c>
      <c r="L54">
        <v>3.6046800000000001</v>
      </c>
      <c r="M54">
        <v>-76.486379999999997</v>
      </c>
      <c r="N54">
        <v>0</v>
      </c>
      <c r="O54">
        <v>0</v>
      </c>
      <c r="P54">
        <v>1.0382180000000001</v>
      </c>
      <c r="Q54">
        <v>-4.2230230000000004</v>
      </c>
      <c r="R54">
        <v>0</v>
      </c>
      <c r="S54">
        <v>0</v>
      </c>
    </row>
    <row r="55" spans="1:19" x14ac:dyDescent="0.2">
      <c r="A55" t="s">
        <v>163</v>
      </c>
      <c r="B55" s="15">
        <v>61</v>
      </c>
      <c r="C55" s="19" t="s">
        <v>438</v>
      </c>
      <c r="D55">
        <v>220</v>
      </c>
      <c r="E55">
        <v>2</v>
      </c>
      <c r="F55" t="s">
        <v>431</v>
      </c>
      <c r="G55" t="b">
        <v>1</v>
      </c>
      <c r="H55">
        <v>0.9</v>
      </c>
      <c r="I55">
        <v>1.1000000000000001</v>
      </c>
      <c r="J55" s="17" t="s">
        <v>406</v>
      </c>
      <c r="K55" s="17" t="s">
        <v>432</v>
      </c>
      <c r="L55">
        <v>3.3357399999999999</v>
      </c>
      <c r="M55">
        <v>-76.512429999999995</v>
      </c>
      <c r="N55">
        <v>0</v>
      </c>
      <c r="O55">
        <v>0</v>
      </c>
      <c r="P55">
        <v>1.075275</v>
      </c>
      <c r="Q55">
        <v>-5.51525</v>
      </c>
      <c r="R55">
        <v>0</v>
      </c>
      <c r="S55">
        <v>0</v>
      </c>
    </row>
    <row r="56" spans="1:19" x14ac:dyDescent="0.2">
      <c r="A56" t="s">
        <v>188</v>
      </c>
      <c r="B56" s="15">
        <v>62</v>
      </c>
      <c r="C56" s="19" t="s">
        <v>439</v>
      </c>
      <c r="D56">
        <v>220</v>
      </c>
      <c r="E56">
        <v>1</v>
      </c>
      <c r="F56" t="s">
        <v>431</v>
      </c>
      <c r="G56" t="b">
        <v>1</v>
      </c>
      <c r="H56">
        <v>0.9</v>
      </c>
      <c r="I56">
        <v>1.1000000000000001</v>
      </c>
      <c r="J56" s="17" t="s">
        <v>406</v>
      </c>
      <c r="K56" s="17" t="s">
        <v>432</v>
      </c>
      <c r="L56">
        <v>4.7420900000000001</v>
      </c>
      <c r="M56">
        <v>-75.913989999999998</v>
      </c>
      <c r="N56">
        <v>0</v>
      </c>
      <c r="O56">
        <v>0</v>
      </c>
      <c r="P56">
        <v>1.0903</v>
      </c>
      <c r="Q56">
        <v>-4.7975459999999996</v>
      </c>
      <c r="R56">
        <v>0</v>
      </c>
      <c r="S56">
        <v>0</v>
      </c>
    </row>
    <row r="57" spans="1:19" x14ac:dyDescent="0.2">
      <c r="A57" t="s">
        <v>191</v>
      </c>
      <c r="B57" s="15">
        <v>63</v>
      </c>
      <c r="C57" s="19" t="s">
        <v>440</v>
      </c>
      <c r="D57">
        <v>220</v>
      </c>
      <c r="E57">
        <v>1</v>
      </c>
      <c r="F57" t="s">
        <v>431</v>
      </c>
      <c r="G57" t="b">
        <v>1</v>
      </c>
      <c r="H57">
        <v>0.9</v>
      </c>
      <c r="I57">
        <v>1.1000000000000001</v>
      </c>
      <c r="J57" s="17" t="s">
        <v>406</v>
      </c>
      <c r="K57" s="17" t="s">
        <v>432</v>
      </c>
      <c r="L57">
        <v>2.9432200000000002</v>
      </c>
      <c r="M57">
        <v>-76.707710000000006</v>
      </c>
      <c r="N57">
        <v>0</v>
      </c>
      <c r="O57">
        <v>0</v>
      </c>
      <c r="P57">
        <v>1.068554</v>
      </c>
      <c r="Q57">
        <v>-3.0346099999999998</v>
      </c>
      <c r="R57">
        <v>190</v>
      </c>
      <c r="S57">
        <v>-45.323419999999999</v>
      </c>
    </row>
    <row r="58" spans="1:19" x14ac:dyDescent="0.2">
      <c r="A58" t="s">
        <v>197</v>
      </c>
      <c r="B58" s="15">
        <v>68</v>
      </c>
      <c r="C58" s="19" t="s">
        <v>441</v>
      </c>
      <c r="D58">
        <v>220</v>
      </c>
      <c r="E58">
        <v>2</v>
      </c>
      <c r="F58" t="s">
        <v>442</v>
      </c>
      <c r="G58" t="b">
        <v>1</v>
      </c>
      <c r="H58">
        <v>0.9</v>
      </c>
      <c r="I58">
        <v>1.1000000000000001</v>
      </c>
      <c r="J58" s="17" t="s">
        <v>360</v>
      </c>
      <c r="K58" s="17" t="s">
        <v>442</v>
      </c>
      <c r="L58">
        <v>10.1586</v>
      </c>
      <c r="M58">
        <v>-73.942030000000003</v>
      </c>
      <c r="N58">
        <v>0</v>
      </c>
      <c r="O58">
        <v>0</v>
      </c>
      <c r="P58">
        <v>1.055366</v>
      </c>
      <c r="Q58">
        <v>-10.24366</v>
      </c>
      <c r="R58">
        <v>0</v>
      </c>
      <c r="S58">
        <v>0</v>
      </c>
    </row>
    <row r="59" spans="1:19" x14ac:dyDescent="0.2">
      <c r="A59" t="s">
        <v>198</v>
      </c>
      <c r="B59" s="15">
        <v>69</v>
      </c>
      <c r="C59" s="19" t="s">
        <v>443</v>
      </c>
      <c r="D59">
        <v>220</v>
      </c>
      <c r="E59">
        <v>1</v>
      </c>
      <c r="F59" t="s">
        <v>442</v>
      </c>
      <c r="G59" t="b">
        <v>1</v>
      </c>
      <c r="H59">
        <v>0.9</v>
      </c>
      <c r="I59">
        <v>1.1000000000000001</v>
      </c>
      <c r="J59" s="17" t="s">
        <v>360</v>
      </c>
      <c r="K59" s="17" t="s">
        <v>442</v>
      </c>
      <c r="L59">
        <v>10.50773</v>
      </c>
      <c r="M59">
        <v>-74.174729999999997</v>
      </c>
      <c r="N59">
        <v>0</v>
      </c>
      <c r="O59">
        <v>0.90558459999999996</v>
      </c>
      <c r="P59">
        <v>1.0542199999999999</v>
      </c>
      <c r="Q59">
        <v>-8.9745690000000007</v>
      </c>
      <c r="R59">
        <v>0</v>
      </c>
      <c r="S59">
        <v>0</v>
      </c>
    </row>
    <row r="60" spans="1:19" x14ac:dyDescent="0.2">
      <c r="A60" t="s">
        <v>79</v>
      </c>
      <c r="B60" s="15">
        <v>70</v>
      </c>
      <c r="C60" s="19" t="s">
        <v>444</v>
      </c>
      <c r="D60">
        <v>500</v>
      </c>
      <c r="E60">
        <v>2</v>
      </c>
      <c r="F60" t="s">
        <v>442</v>
      </c>
      <c r="G60" t="b">
        <v>1</v>
      </c>
      <c r="H60">
        <v>0.9</v>
      </c>
      <c r="I60">
        <v>1.05</v>
      </c>
      <c r="J60" s="17" t="s">
        <v>360</v>
      </c>
      <c r="K60" s="17" t="s">
        <v>442</v>
      </c>
      <c r="L60">
        <v>10.1586</v>
      </c>
      <c r="M60">
        <v>-73.942030000000003</v>
      </c>
      <c r="N60">
        <v>0</v>
      </c>
      <c r="O60">
        <v>0</v>
      </c>
      <c r="P60">
        <v>1.006257</v>
      </c>
      <c r="Q60">
        <v>-9.0958279999999991</v>
      </c>
      <c r="R60">
        <v>0</v>
      </c>
      <c r="S60">
        <v>0</v>
      </c>
    </row>
    <row r="61" spans="1:19" x14ac:dyDescent="0.2">
      <c r="A61" t="s">
        <v>75</v>
      </c>
      <c r="B61" s="15">
        <v>71</v>
      </c>
      <c r="C61" s="19" t="s">
        <v>445</v>
      </c>
      <c r="D61">
        <v>220</v>
      </c>
      <c r="E61">
        <v>1</v>
      </c>
      <c r="F61" t="s">
        <v>442</v>
      </c>
      <c r="G61" t="b">
        <v>1</v>
      </c>
      <c r="H61">
        <v>0.9</v>
      </c>
      <c r="I61">
        <v>1.1000000000000001</v>
      </c>
      <c r="J61" s="17" t="s">
        <v>360</v>
      </c>
      <c r="K61" s="17" t="s">
        <v>442</v>
      </c>
      <c r="L61">
        <v>11.18229</v>
      </c>
      <c r="M61">
        <v>-72.610759999999999</v>
      </c>
      <c r="N61">
        <v>0</v>
      </c>
      <c r="O61">
        <v>-0.23170579999999999</v>
      </c>
      <c r="P61">
        <v>1.0495490000000001</v>
      </c>
      <c r="Q61">
        <v>-12.81265</v>
      </c>
      <c r="R61">
        <v>7</v>
      </c>
      <c r="S61">
        <v>0</v>
      </c>
    </row>
    <row r="62" spans="1:19" x14ac:dyDescent="0.2">
      <c r="A62" t="s">
        <v>205</v>
      </c>
      <c r="B62" s="15">
        <v>72</v>
      </c>
      <c r="C62" s="19" t="s">
        <v>446</v>
      </c>
      <c r="D62">
        <v>220</v>
      </c>
      <c r="E62">
        <v>1</v>
      </c>
      <c r="F62" t="s">
        <v>442</v>
      </c>
      <c r="G62" t="b">
        <v>1</v>
      </c>
      <c r="H62">
        <v>0.9</v>
      </c>
      <c r="I62">
        <v>1.1000000000000001</v>
      </c>
      <c r="J62" s="17" t="s">
        <v>360</v>
      </c>
      <c r="K62" s="17" t="s">
        <v>442</v>
      </c>
      <c r="L62">
        <v>11.26214</v>
      </c>
      <c r="M62">
        <v>-73.415679999999995</v>
      </c>
      <c r="N62">
        <v>0</v>
      </c>
      <c r="O62">
        <v>0</v>
      </c>
      <c r="P62">
        <v>1.0707979999999999</v>
      </c>
      <c r="Q62">
        <v>-8.9878889999999991</v>
      </c>
      <c r="R62">
        <v>273</v>
      </c>
      <c r="S62">
        <v>-25.820869999999999</v>
      </c>
    </row>
    <row r="63" spans="1:19" x14ac:dyDescent="0.2">
      <c r="A63" t="s">
        <v>210</v>
      </c>
      <c r="B63" s="15">
        <v>73</v>
      </c>
      <c r="C63" s="19" t="s">
        <v>447</v>
      </c>
      <c r="D63">
        <v>220</v>
      </c>
      <c r="E63">
        <v>2</v>
      </c>
      <c r="F63" t="s">
        <v>442</v>
      </c>
      <c r="G63" t="b">
        <v>1</v>
      </c>
      <c r="H63">
        <v>0.9</v>
      </c>
      <c r="I63">
        <v>1.1000000000000001</v>
      </c>
      <c r="J63" s="17" t="s">
        <v>360</v>
      </c>
      <c r="K63" s="17" t="s">
        <v>442</v>
      </c>
      <c r="L63">
        <v>11.2179</v>
      </c>
      <c r="M63">
        <v>-74.189679999999996</v>
      </c>
      <c r="N63">
        <v>0</v>
      </c>
      <c r="O63">
        <v>0</v>
      </c>
      <c r="P63">
        <v>1.035671</v>
      </c>
      <c r="Q63">
        <v>-11.326879999999999</v>
      </c>
      <c r="R63">
        <v>0</v>
      </c>
      <c r="S63">
        <v>0</v>
      </c>
    </row>
    <row r="64" spans="1:19" x14ac:dyDescent="0.2">
      <c r="A64" t="s">
        <v>90</v>
      </c>
      <c r="B64" s="15">
        <v>74</v>
      </c>
      <c r="C64" s="19" t="s">
        <v>448</v>
      </c>
      <c r="D64">
        <v>220</v>
      </c>
      <c r="E64">
        <v>1</v>
      </c>
      <c r="F64" t="s">
        <v>442</v>
      </c>
      <c r="G64" t="b">
        <v>1</v>
      </c>
      <c r="H64">
        <v>0.9</v>
      </c>
      <c r="I64">
        <v>1.1000000000000001</v>
      </c>
      <c r="J64" s="17" t="s">
        <v>360</v>
      </c>
      <c r="K64" s="17" t="s">
        <v>442</v>
      </c>
      <c r="L64">
        <v>10.46602</v>
      </c>
      <c r="M64">
        <v>-73.283919999999995</v>
      </c>
      <c r="N64">
        <v>0</v>
      </c>
      <c r="O64">
        <v>0.55502249999999997</v>
      </c>
      <c r="P64">
        <v>1.022796</v>
      </c>
      <c r="Q64">
        <v>-13.88608</v>
      </c>
      <c r="R64">
        <v>0</v>
      </c>
      <c r="S64">
        <v>0</v>
      </c>
    </row>
    <row r="65" spans="1:19" x14ac:dyDescent="0.2">
      <c r="A65" t="s">
        <v>213</v>
      </c>
      <c r="B65" s="15">
        <v>75</v>
      </c>
      <c r="C65" s="19" t="s">
        <v>449</v>
      </c>
      <c r="D65">
        <v>220</v>
      </c>
      <c r="E65">
        <v>1</v>
      </c>
      <c r="F65" t="s">
        <v>442</v>
      </c>
      <c r="G65" t="b">
        <v>1</v>
      </c>
      <c r="H65">
        <v>0.9</v>
      </c>
      <c r="I65">
        <v>1.1000000000000001</v>
      </c>
      <c r="J65" s="17" t="s">
        <v>360</v>
      </c>
      <c r="K65" s="17" t="s">
        <v>442</v>
      </c>
      <c r="L65">
        <v>11.255990000000001</v>
      </c>
      <c r="M65">
        <v>-74.109300000000005</v>
      </c>
      <c r="N65">
        <v>0</v>
      </c>
      <c r="O65">
        <v>0.39643119999999998</v>
      </c>
      <c r="P65">
        <v>1.0444450000000001</v>
      </c>
      <c r="Q65">
        <v>-11.074870000000001</v>
      </c>
      <c r="R65">
        <v>0</v>
      </c>
      <c r="S65">
        <v>0</v>
      </c>
    </row>
    <row r="66" spans="1:19" x14ac:dyDescent="0.2">
      <c r="A66" t="s">
        <v>208</v>
      </c>
      <c r="B66" s="15">
        <v>77</v>
      </c>
      <c r="C66" s="19" t="s">
        <v>450</v>
      </c>
      <c r="D66">
        <v>220</v>
      </c>
      <c r="E66">
        <v>2</v>
      </c>
      <c r="F66" t="s">
        <v>442</v>
      </c>
      <c r="G66" t="b">
        <v>1</v>
      </c>
      <c r="H66">
        <v>0.9</v>
      </c>
      <c r="I66">
        <v>1.1000000000000001</v>
      </c>
      <c r="J66" s="17" t="s">
        <v>360</v>
      </c>
      <c r="K66" s="17" t="s">
        <v>442</v>
      </c>
      <c r="L66">
        <v>11.023300000000001</v>
      </c>
      <c r="M66">
        <v>-74.20635</v>
      </c>
      <c r="N66">
        <v>0</v>
      </c>
      <c r="O66">
        <v>0</v>
      </c>
      <c r="P66">
        <v>1.036152</v>
      </c>
      <c r="Q66">
        <v>-11.03609</v>
      </c>
      <c r="R66">
        <v>0</v>
      </c>
      <c r="S66">
        <v>0</v>
      </c>
    </row>
    <row r="67" spans="1:19" x14ac:dyDescent="0.2">
      <c r="A67" t="s">
        <v>71</v>
      </c>
      <c r="B67" s="15">
        <v>79</v>
      </c>
      <c r="C67" s="19" t="s">
        <v>451</v>
      </c>
      <c r="D67">
        <v>500</v>
      </c>
      <c r="E67">
        <v>1</v>
      </c>
      <c r="F67" t="s">
        <v>452</v>
      </c>
      <c r="G67" t="b">
        <v>1</v>
      </c>
      <c r="H67">
        <v>0.9</v>
      </c>
      <c r="I67">
        <v>1.05</v>
      </c>
      <c r="J67" s="17" t="s">
        <v>360</v>
      </c>
      <c r="K67" s="17" t="s">
        <v>453</v>
      </c>
      <c r="L67">
        <v>9.1187699999999996</v>
      </c>
      <c r="M67">
        <v>-75.426109999999994</v>
      </c>
      <c r="N67">
        <v>0</v>
      </c>
      <c r="O67">
        <v>0</v>
      </c>
      <c r="P67">
        <v>0.99816090000000002</v>
      </c>
      <c r="Q67">
        <v>-3.4753959999999999</v>
      </c>
      <c r="R67">
        <v>0</v>
      </c>
      <c r="S67">
        <v>0</v>
      </c>
    </row>
    <row r="68" spans="1:19" x14ac:dyDescent="0.2">
      <c r="A68" t="s">
        <v>220</v>
      </c>
      <c r="B68" s="15">
        <v>80</v>
      </c>
      <c r="C68" s="19" t="s">
        <v>454</v>
      </c>
      <c r="D68">
        <v>220</v>
      </c>
      <c r="E68">
        <v>1</v>
      </c>
      <c r="F68" t="s">
        <v>452</v>
      </c>
      <c r="G68" t="b">
        <v>1</v>
      </c>
      <c r="H68">
        <v>0.9</v>
      </c>
      <c r="I68">
        <v>1.1000000000000001</v>
      </c>
      <c r="J68" s="17" t="s">
        <v>360</v>
      </c>
      <c r="K68" s="17" t="s">
        <v>453</v>
      </c>
      <c r="L68">
        <v>8.0182699999999993</v>
      </c>
      <c r="M68">
        <v>-76.203299999999999</v>
      </c>
      <c r="N68">
        <v>0</v>
      </c>
      <c r="O68">
        <v>0</v>
      </c>
      <c r="P68">
        <v>1.0969580000000001</v>
      </c>
      <c r="Q68">
        <v>1.3371219999999999</v>
      </c>
      <c r="R68">
        <v>240</v>
      </c>
      <c r="S68">
        <v>-8.4894449999999999</v>
      </c>
    </row>
    <row r="69" spans="1:19" x14ac:dyDescent="0.2">
      <c r="A69" t="s">
        <v>219</v>
      </c>
      <c r="B69" s="15">
        <v>81</v>
      </c>
      <c r="C69" s="19" t="s">
        <v>455</v>
      </c>
      <c r="D69">
        <v>220</v>
      </c>
      <c r="E69">
        <v>1</v>
      </c>
      <c r="F69" t="s">
        <v>452</v>
      </c>
      <c r="G69" t="b">
        <v>1</v>
      </c>
      <c r="H69">
        <v>0.9</v>
      </c>
      <c r="I69">
        <v>1.1000000000000001</v>
      </c>
      <c r="J69" s="17" t="s">
        <v>360</v>
      </c>
      <c r="K69" s="17" t="s">
        <v>453</v>
      </c>
      <c r="L69">
        <v>7.9394400000000003</v>
      </c>
      <c r="M69">
        <v>-75.498220000000003</v>
      </c>
      <c r="N69">
        <v>0</v>
      </c>
      <c r="O69">
        <v>0</v>
      </c>
      <c r="P69">
        <v>1.0975569999999999</v>
      </c>
      <c r="Q69">
        <v>-0.1412059</v>
      </c>
      <c r="R69">
        <v>0</v>
      </c>
      <c r="S69">
        <v>0</v>
      </c>
    </row>
    <row r="70" spans="1:19" x14ac:dyDescent="0.2">
      <c r="A70" t="s">
        <v>222</v>
      </c>
      <c r="B70" s="15">
        <v>82</v>
      </c>
      <c r="C70" s="19" t="s">
        <v>456</v>
      </c>
      <c r="D70">
        <v>220</v>
      </c>
      <c r="E70">
        <v>2</v>
      </c>
      <c r="F70" t="s">
        <v>452</v>
      </c>
      <c r="G70" t="b">
        <v>1</v>
      </c>
      <c r="H70">
        <v>0.9</v>
      </c>
      <c r="I70">
        <v>1.1000000000000001</v>
      </c>
      <c r="J70" s="17" t="s">
        <v>360</v>
      </c>
      <c r="K70" s="17" t="s">
        <v>453</v>
      </c>
      <c r="L70">
        <v>8.0527899999999999</v>
      </c>
      <c r="M70">
        <v>-76.653850000000006</v>
      </c>
      <c r="N70">
        <v>0</v>
      </c>
      <c r="O70">
        <v>0</v>
      </c>
      <c r="P70">
        <v>1.0786519999999999</v>
      </c>
      <c r="Q70">
        <v>-1.9346570000000001</v>
      </c>
      <c r="R70">
        <v>0</v>
      </c>
      <c r="S70">
        <v>0</v>
      </c>
    </row>
    <row r="71" spans="1:19" x14ac:dyDescent="0.2">
      <c r="A71" t="s">
        <v>229</v>
      </c>
      <c r="B71" s="15">
        <v>85</v>
      </c>
      <c r="C71" s="19" t="s">
        <v>457</v>
      </c>
      <c r="D71">
        <v>220</v>
      </c>
      <c r="E71">
        <v>1</v>
      </c>
      <c r="F71" t="s">
        <v>458</v>
      </c>
      <c r="G71" t="b">
        <v>1</v>
      </c>
      <c r="H71">
        <v>0.9</v>
      </c>
      <c r="I71">
        <v>1.1000000000000001</v>
      </c>
      <c r="J71" s="17" t="s">
        <v>388</v>
      </c>
      <c r="K71" s="17" t="s">
        <v>459</v>
      </c>
      <c r="L71">
        <v>4.18032</v>
      </c>
      <c r="M71">
        <v>-73.706019999999995</v>
      </c>
      <c r="N71">
        <v>0</v>
      </c>
      <c r="O71">
        <v>0</v>
      </c>
      <c r="P71">
        <v>1.0401590000000001</v>
      </c>
      <c r="Q71">
        <v>-6.6257380000000001</v>
      </c>
      <c r="R71">
        <v>0</v>
      </c>
      <c r="S71">
        <v>0</v>
      </c>
    </row>
    <row r="72" spans="1:19" x14ac:dyDescent="0.2">
      <c r="A72" t="s">
        <v>234</v>
      </c>
      <c r="B72" s="15">
        <v>87</v>
      </c>
      <c r="C72" s="19" t="s">
        <v>460</v>
      </c>
      <c r="D72">
        <v>220</v>
      </c>
      <c r="E72">
        <v>1</v>
      </c>
      <c r="F72" t="s">
        <v>461</v>
      </c>
      <c r="G72" t="b">
        <v>1</v>
      </c>
      <c r="H72">
        <v>0.9</v>
      </c>
      <c r="I72">
        <v>1.1000000000000001</v>
      </c>
      <c r="J72" s="17" t="s">
        <v>462</v>
      </c>
      <c r="K72" s="17" t="s">
        <v>463</v>
      </c>
      <c r="L72">
        <v>6.9538799999999998</v>
      </c>
      <c r="M72">
        <v>-71.872590000000002</v>
      </c>
      <c r="N72">
        <v>0</v>
      </c>
      <c r="O72">
        <v>0</v>
      </c>
      <c r="P72">
        <v>0.95977849999999998</v>
      </c>
      <c r="Q72">
        <v>-14.241250000000001</v>
      </c>
      <c r="R72">
        <v>0</v>
      </c>
      <c r="S72">
        <v>0</v>
      </c>
    </row>
    <row r="73" spans="1:19" x14ac:dyDescent="0.2">
      <c r="A73" t="s">
        <v>235</v>
      </c>
      <c r="B73" s="15">
        <v>88</v>
      </c>
      <c r="C73" s="19" t="s">
        <v>464</v>
      </c>
      <c r="D73">
        <v>220</v>
      </c>
      <c r="E73">
        <v>2</v>
      </c>
      <c r="F73" t="s">
        <v>461</v>
      </c>
      <c r="G73" t="b">
        <v>1</v>
      </c>
      <c r="H73">
        <v>0.9</v>
      </c>
      <c r="I73">
        <v>1.1000000000000001</v>
      </c>
      <c r="J73" s="17" t="s">
        <v>462</v>
      </c>
      <c r="K73" s="17" t="s">
        <v>463</v>
      </c>
      <c r="L73">
        <v>6.9512400000000003</v>
      </c>
      <c r="M73">
        <v>-71.169110000000003</v>
      </c>
      <c r="N73">
        <v>0</v>
      </c>
      <c r="O73">
        <v>0</v>
      </c>
      <c r="P73">
        <v>0.90935220000000005</v>
      </c>
      <c r="Q73">
        <v>-18.087959999999999</v>
      </c>
      <c r="R73">
        <v>0</v>
      </c>
      <c r="S73">
        <v>0</v>
      </c>
    </row>
    <row r="74" spans="1:19" x14ac:dyDescent="0.2">
      <c r="A74" t="s">
        <v>237</v>
      </c>
      <c r="B74" s="15">
        <v>89</v>
      </c>
      <c r="C74" s="19" t="s">
        <v>465</v>
      </c>
      <c r="D74">
        <v>220</v>
      </c>
      <c r="E74">
        <v>2</v>
      </c>
      <c r="F74" t="s">
        <v>461</v>
      </c>
      <c r="G74" t="b">
        <v>1</v>
      </c>
      <c r="H74">
        <v>0.9</v>
      </c>
      <c r="I74">
        <v>1.1000000000000001</v>
      </c>
      <c r="J74" s="17" t="s">
        <v>462</v>
      </c>
      <c r="K74" s="17" t="s">
        <v>463</v>
      </c>
      <c r="L74">
        <v>7.0653600000000001</v>
      </c>
      <c r="M74">
        <v>-72.230189999999993</v>
      </c>
      <c r="N74">
        <v>0</v>
      </c>
      <c r="O74">
        <v>0</v>
      </c>
      <c r="P74">
        <v>0.99089510000000003</v>
      </c>
      <c r="Q74">
        <v>-11.62862</v>
      </c>
      <c r="R74">
        <v>0</v>
      </c>
      <c r="S74">
        <v>0</v>
      </c>
    </row>
    <row r="75" spans="1:19" x14ac:dyDescent="0.2">
      <c r="A75" t="s">
        <v>240</v>
      </c>
      <c r="B75" s="15">
        <v>90</v>
      </c>
      <c r="C75" s="19" t="s">
        <v>466</v>
      </c>
      <c r="D75">
        <v>220</v>
      </c>
      <c r="E75">
        <v>2</v>
      </c>
      <c r="F75" t="s">
        <v>461</v>
      </c>
      <c r="G75" t="b">
        <v>1</v>
      </c>
      <c r="H75">
        <v>0.9</v>
      </c>
      <c r="I75">
        <v>1.1000000000000001</v>
      </c>
      <c r="J75" s="17" t="s">
        <v>462</v>
      </c>
      <c r="K75" s="17" t="s">
        <v>463</v>
      </c>
      <c r="L75">
        <v>7.3086099999999998</v>
      </c>
      <c r="M75">
        <v>-72.482609999999994</v>
      </c>
      <c r="N75">
        <v>0</v>
      </c>
      <c r="O75">
        <v>0</v>
      </c>
      <c r="P75">
        <v>1.014591</v>
      </c>
      <c r="Q75">
        <v>-9.404909</v>
      </c>
      <c r="R75">
        <v>0</v>
      </c>
      <c r="S75">
        <v>0</v>
      </c>
    </row>
    <row r="76" spans="1:19" x14ac:dyDescent="0.2">
      <c r="A76" t="s">
        <v>244</v>
      </c>
      <c r="B76" s="15">
        <v>91</v>
      </c>
      <c r="C76" s="19" t="s">
        <v>467</v>
      </c>
      <c r="D76">
        <v>220</v>
      </c>
      <c r="E76">
        <v>1</v>
      </c>
      <c r="F76" t="s">
        <v>468</v>
      </c>
      <c r="G76" t="b">
        <v>1</v>
      </c>
      <c r="H76">
        <v>0.9</v>
      </c>
      <c r="I76">
        <v>1.1000000000000001</v>
      </c>
      <c r="J76" s="17" t="s">
        <v>462</v>
      </c>
      <c r="K76" s="17" t="s">
        <v>469</v>
      </c>
      <c r="L76">
        <v>5.7683099999999996</v>
      </c>
      <c r="M76">
        <v>-73.146900000000002</v>
      </c>
      <c r="N76">
        <v>0</v>
      </c>
      <c r="O76">
        <v>0</v>
      </c>
      <c r="P76">
        <v>1.05949</v>
      </c>
      <c r="Q76">
        <v>-0.267343</v>
      </c>
      <c r="R76">
        <v>255</v>
      </c>
      <c r="S76">
        <v>-44.405247000000003</v>
      </c>
    </row>
    <row r="77" spans="1:19" x14ac:dyDescent="0.2">
      <c r="A77" t="s">
        <v>124</v>
      </c>
      <c r="B77" s="15">
        <v>92</v>
      </c>
      <c r="C77" s="19" t="s">
        <v>470</v>
      </c>
      <c r="D77">
        <v>220</v>
      </c>
      <c r="E77">
        <v>2</v>
      </c>
      <c r="F77" t="s">
        <v>468</v>
      </c>
      <c r="G77" t="b">
        <v>1</v>
      </c>
      <c r="H77">
        <v>0.9</v>
      </c>
      <c r="I77">
        <v>1.1000000000000001</v>
      </c>
      <c r="J77" s="17" t="s">
        <v>462</v>
      </c>
      <c r="K77" s="17" t="s">
        <v>469</v>
      </c>
      <c r="L77">
        <v>5.73752</v>
      </c>
      <c r="M77">
        <v>-73.128590000000003</v>
      </c>
      <c r="N77">
        <v>0</v>
      </c>
      <c r="O77">
        <v>0</v>
      </c>
      <c r="P77">
        <v>1.0611060000000001</v>
      </c>
      <c r="Q77">
        <v>-0.40712559999999998</v>
      </c>
      <c r="R77">
        <v>0</v>
      </c>
      <c r="S77">
        <v>0</v>
      </c>
    </row>
    <row r="78" spans="1:19" x14ac:dyDescent="0.2">
      <c r="A78" t="s">
        <v>201</v>
      </c>
      <c r="B78" s="15">
        <v>94</v>
      </c>
      <c r="C78" s="19" t="s">
        <v>471</v>
      </c>
      <c r="D78">
        <v>500</v>
      </c>
      <c r="E78">
        <v>2</v>
      </c>
      <c r="F78" t="s">
        <v>472</v>
      </c>
      <c r="G78" t="b">
        <v>1</v>
      </c>
      <c r="H78">
        <v>0.9</v>
      </c>
      <c r="I78">
        <v>1.05</v>
      </c>
      <c r="J78" s="17" t="s">
        <v>462</v>
      </c>
      <c r="K78" s="17" t="s">
        <v>473</v>
      </c>
      <c r="L78">
        <v>8.2190300000000001</v>
      </c>
      <c r="M78">
        <v>-73.320419999999999</v>
      </c>
      <c r="N78">
        <v>0</v>
      </c>
      <c r="O78">
        <v>0</v>
      </c>
      <c r="P78">
        <v>1.0164139999999999</v>
      </c>
      <c r="Q78">
        <v>-5.6420579999999996</v>
      </c>
      <c r="R78">
        <v>0</v>
      </c>
      <c r="S78">
        <v>0</v>
      </c>
    </row>
    <row r="79" spans="1:19" x14ac:dyDescent="0.2">
      <c r="A79" t="s">
        <v>248</v>
      </c>
      <c r="B79" s="15">
        <v>95</v>
      </c>
      <c r="C79" s="19" t="s">
        <v>474</v>
      </c>
      <c r="D79">
        <v>220</v>
      </c>
      <c r="E79">
        <v>2</v>
      </c>
      <c r="F79" t="s">
        <v>472</v>
      </c>
      <c r="G79" t="b">
        <v>1</v>
      </c>
      <c r="H79">
        <v>0.9</v>
      </c>
      <c r="I79">
        <v>1.1000000000000001</v>
      </c>
      <c r="J79" s="17" t="s">
        <v>462</v>
      </c>
      <c r="K79" s="17" t="s">
        <v>473</v>
      </c>
      <c r="L79">
        <v>7.8798300000000001</v>
      </c>
      <c r="M79">
        <v>-72.526129999999995</v>
      </c>
      <c r="N79">
        <v>0</v>
      </c>
      <c r="O79">
        <v>0</v>
      </c>
      <c r="P79">
        <v>1.070279</v>
      </c>
      <c r="Q79">
        <v>-6.0560580000000002</v>
      </c>
      <c r="R79">
        <v>0</v>
      </c>
      <c r="S79">
        <v>0</v>
      </c>
    </row>
    <row r="80" spans="1:19" x14ac:dyDescent="0.2">
      <c r="A80" t="s">
        <v>253</v>
      </c>
      <c r="B80" s="15">
        <v>96</v>
      </c>
      <c r="C80" s="19" t="s">
        <v>475</v>
      </c>
      <c r="D80">
        <v>220</v>
      </c>
      <c r="E80">
        <v>2</v>
      </c>
      <c r="F80" t="s">
        <v>472</v>
      </c>
      <c r="G80" t="b">
        <v>1</v>
      </c>
      <c r="H80">
        <v>0.9</v>
      </c>
      <c r="I80">
        <v>1.1000000000000001</v>
      </c>
      <c r="J80" s="17" t="s">
        <v>462</v>
      </c>
      <c r="K80" s="17" t="s">
        <v>473</v>
      </c>
      <c r="L80">
        <v>8.2190300000000001</v>
      </c>
      <c r="M80">
        <v>-73.320419999999999</v>
      </c>
      <c r="N80">
        <v>0</v>
      </c>
      <c r="O80">
        <v>0</v>
      </c>
      <c r="P80">
        <v>1.0703309999999999</v>
      </c>
      <c r="Q80">
        <v>-6.4745730000000004</v>
      </c>
      <c r="R80">
        <v>0</v>
      </c>
      <c r="S80">
        <v>0</v>
      </c>
    </row>
    <row r="81" spans="1:19" x14ac:dyDescent="0.2">
      <c r="A81" t="s">
        <v>250</v>
      </c>
      <c r="B81" s="15">
        <v>97</v>
      </c>
      <c r="C81" s="19" t="s">
        <v>476</v>
      </c>
      <c r="D81">
        <v>220</v>
      </c>
      <c r="E81">
        <v>1</v>
      </c>
      <c r="F81" t="s">
        <v>472</v>
      </c>
      <c r="G81" t="b">
        <v>1</v>
      </c>
      <c r="H81">
        <v>0.9</v>
      </c>
      <c r="I81">
        <v>1.1000000000000001</v>
      </c>
      <c r="J81" s="17" t="s">
        <v>462</v>
      </c>
      <c r="K81" s="17" t="s">
        <v>473</v>
      </c>
      <c r="L81">
        <v>7.8748699999999996</v>
      </c>
      <c r="M81">
        <v>-72.56635</v>
      </c>
      <c r="N81">
        <v>0</v>
      </c>
      <c r="O81">
        <v>0</v>
      </c>
      <c r="P81">
        <v>1.0722210000000001</v>
      </c>
      <c r="Q81">
        <v>-5.4573710000000002</v>
      </c>
      <c r="R81">
        <v>155</v>
      </c>
      <c r="S81">
        <v>-5.3133840000000001</v>
      </c>
    </row>
    <row r="82" spans="1:19" x14ac:dyDescent="0.2">
      <c r="A82" t="s">
        <v>258</v>
      </c>
      <c r="B82" s="15">
        <v>99</v>
      </c>
      <c r="C82" s="19" t="s">
        <v>477</v>
      </c>
      <c r="D82">
        <v>220</v>
      </c>
      <c r="E82">
        <v>2</v>
      </c>
      <c r="F82" t="s">
        <v>478</v>
      </c>
      <c r="G82" t="b">
        <v>1</v>
      </c>
      <c r="H82">
        <v>0.9</v>
      </c>
      <c r="I82">
        <v>1.1000000000000001</v>
      </c>
      <c r="J82" s="17" t="s">
        <v>462</v>
      </c>
      <c r="K82" s="17" t="s">
        <v>479</v>
      </c>
      <c r="L82">
        <v>7.09741</v>
      </c>
      <c r="M82">
        <v>-73.895470000000003</v>
      </c>
      <c r="N82">
        <v>0</v>
      </c>
      <c r="O82">
        <v>0</v>
      </c>
      <c r="P82">
        <v>1.0596270000000001</v>
      </c>
      <c r="Q82">
        <v>-3.5935480000000002</v>
      </c>
      <c r="R82">
        <v>0</v>
      </c>
      <c r="S82">
        <v>0</v>
      </c>
    </row>
    <row r="83" spans="1:19" x14ac:dyDescent="0.2">
      <c r="A83" t="s">
        <v>260</v>
      </c>
      <c r="B83" s="15">
        <v>100</v>
      </c>
      <c r="C83" s="19" t="s">
        <v>480</v>
      </c>
      <c r="D83">
        <v>220</v>
      </c>
      <c r="E83">
        <v>2</v>
      </c>
      <c r="F83" t="s">
        <v>478</v>
      </c>
      <c r="G83" t="b">
        <v>1</v>
      </c>
      <c r="H83">
        <v>0.9</v>
      </c>
      <c r="I83">
        <v>1.1000000000000001</v>
      </c>
      <c r="J83" s="17" t="s">
        <v>462</v>
      </c>
      <c r="K83" s="17" t="s">
        <v>479</v>
      </c>
      <c r="L83">
        <v>7.0530200000000001</v>
      </c>
      <c r="M83">
        <v>-73.112440000000007</v>
      </c>
      <c r="N83">
        <v>0</v>
      </c>
      <c r="O83">
        <v>0</v>
      </c>
      <c r="P83">
        <v>1.05094</v>
      </c>
      <c r="Q83">
        <v>-4.6170229999999997</v>
      </c>
      <c r="R83">
        <v>0</v>
      </c>
      <c r="S83">
        <v>0</v>
      </c>
    </row>
    <row r="84" spans="1:19" x14ac:dyDescent="0.2">
      <c r="A84" t="s">
        <v>262</v>
      </c>
      <c r="B84" s="15">
        <v>101</v>
      </c>
      <c r="C84" s="19" t="s">
        <v>481</v>
      </c>
      <c r="D84">
        <v>220</v>
      </c>
      <c r="E84">
        <v>1</v>
      </c>
      <c r="F84" t="s">
        <v>478</v>
      </c>
      <c r="G84" t="b">
        <v>1</v>
      </c>
      <c r="H84">
        <v>0.9</v>
      </c>
      <c r="I84">
        <v>1.1000000000000001</v>
      </c>
      <c r="J84" s="17" t="s">
        <v>462</v>
      </c>
      <c r="K84" s="17" t="s">
        <v>479</v>
      </c>
      <c r="L84">
        <v>7.0690299999999997</v>
      </c>
      <c r="M84">
        <v>-73.814760000000007</v>
      </c>
      <c r="N84">
        <v>0</v>
      </c>
      <c r="O84">
        <v>0</v>
      </c>
      <c r="P84">
        <v>1.0637380000000001</v>
      </c>
      <c r="Q84">
        <v>-3.2044899999999998</v>
      </c>
      <c r="R84">
        <v>0</v>
      </c>
      <c r="S84">
        <v>0</v>
      </c>
    </row>
    <row r="85" spans="1:19" x14ac:dyDescent="0.2">
      <c r="A85" t="s">
        <v>63</v>
      </c>
      <c r="B85" s="15">
        <v>102</v>
      </c>
      <c r="C85" s="19" t="s">
        <v>482</v>
      </c>
      <c r="D85">
        <v>220</v>
      </c>
      <c r="E85">
        <v>1</v>
      </c>
      <c r="F85" t="s">
        <v>478</v>
      </c>
      <c r="G85" t="b">
        <v>1</v>
      </c>
      <c r="H85">
        <v>0.9</v>
      </c>
      <c r="I85">
        <v>1.1000000000000001</v>
      </c>
      <c r="J85" s="17" t="s">
        <v>462</v>
      </c>
      <c r="K85" s="17" t="s">
        <v>479</v>
      </c>
      <c r="L85">
        <v>6.9718499999999999</v>
      </c>
      <c r="M85">
        <v>-73.103179999999995</v>
      </c>
      <c r="N85">
        <v>0</v>
      </c>
      <c r="O85">
        <v>0</v>
      </c>
      <c r="P85">
        <v>1.0599989999999999</v>
      </c>
      <c r="Q85">
        <v>-4.2291889999999999</v>
      </c>
      <c r="R85">
        <v>0</v>
      </c>
      <c r="S85">
        <v>0</v>
      </c>
    </row>
    <row r="86" spans="1:19" x14ac:dyDescent="0.2">
      <c r="A86" t="s">
        <v>266</v>
      </c>
      <c r="B86" s="15">
        <v>103</v>
      </c>
      <c r="C86" s="19" t="s">
        <v>483</v>
      </c>
      <c r="D86">
        <v>220</v>
      </c>
      <c r="E86">
        <v>2</v>
      </c>
      <c r="F86" t="s">
        <v>478</v>
      </c>
      <c r="G86" t="b">
        <v>1</v>
      </c>
      <c r="H86">
        <v>0.9</v>
      </c>
      <c r="I86">
        <v>1.1000000000000001</v>
      </c>
      <c r="J86" s="17" t="s">
        <v>462</v>
      </c>
      <c r="K86" s="17" t="s">
        <v>479</v>
      </c>
      <c r="L86">
        <v>6.9446000000000003</v>
      </c>
      <c r="M86">
        <v>-73.763859999999994</v>
      </c>
      <c r="N86">
        <v>0</v>
      </c>
      <c r="O86">
        <v>0</v>
      </c>
      <c r="P86">
        <v>1.055893</v>
      </c>
      <c r="Q86">
        <v>-3.6844790000000001</v>
      </c>
      <c r="R86">
        <v>0</v>
      </c>
      <c r="S86">
        <v>0</v>
      </c>
    </row>
    <row r="87" spans="1:19" x14ac:dyDescent="0.2">
      <c r="A87" t="s">
        <v>273</v>
      </c>
      <c r="B87" s="15">
        <v>106</v>
      </c>
      <c r="C87" s="19" t="s">
        <v>484</v>
      </c>
      <c r="D87">
        <v>500</v>
      </c>
      <c r="E87">
        <v>2</v>
      </c>
      <c r="F87" t="s">
        <v>478</v>
      </c>
      <c r="G87" t="b">
        <v>1</v>
      </c>
      <c r="H87">
        <v>0.9</v>
      </c>
      <c r="I87">
        <v>1.05</v>
      </c>
      <c r="J87" s="17" t="s">
        <v>462</v>
      </c>
      <c r="K87" s="17" t="s">
        <v>479</v>
      </c>
      <c r="L87">
        <v>7.1013700000000002</v>
      </c>
      <c r="M87">
        <v>-73.407489999999996</v>
      </c>
      <c r="N87">
        <v>0</v>
      </c>
      <c r="O87">
        <v>0.8878781</v>
      </c>
      <c r="P87">
        <v>1.027104</v>
      </c>
      <c r="Q87">
        <v>-2.5277630000000002</v>
      </c>
      <c r="R87">
        <v>0</v>
      </c>
      <c r="S87">
        <v>0</v>
      </c>
    </row>
    <row r="88" spans="1:19" x14ac:dyDescent="0.2">
      <c r="A88" t="s">
        <v>64</v>
      </c>
      <c r="B88" s="15">
        <v>107</v>
      </c>
      <c r="C88" s="19" t="s">
        <v>485</v>
      </c>
      <c r="D88">
        <v>220</v>
      </c>
      <c r="E88">
        <v>1</v>
      </c>
      <c r="F88" t="s">
        <v>478</v>
      </c>
      <c r="G88" t="b">
        <v>1</v>
      </c>
      <c r="H88">
        <v>0.9</v>
      </c>
      <c r="I88">
        <v>1.1000000000000001</v>
      </c>
      <c r="J88" s="17" t="s">
        <v>462</v>
      </c>
      <c r="K88" s="17" t="s">
        <v>479</v>
      </c>
      <c r="L88">
        <v>7.1013700000000002</v>
      </c>
      <c r="M88">
        <v>-73.407489999999996</v>
      </c>
      <c r="N88">
        <v>0</v>
      </c>
      <c r="O88">
        <v>0.47766439999999999</v>
      </c>
      <c r="P88">
        <v>1.065412</v>
      </c>
      <c r="Q88">
        <v>-2.5167899999999999</v>
      </c>
      <c r="R88">
        <v>0</v>
      </c>
      <c r="S88">
        <v>0</v>
      </c>
    </row>
    <row r="89" spans="1:19" x14ac:dyDescent="0.2">
      <c r="A89" t="s">
        <v>239</v>
      </c>
      <c r="B89" s="15">
        <v>108</v>
      </c>
      <c r="C89" s="19" t="s">
        <v>486</v>
      </c>
      <c r="D89">
        <v>220</v>
      </c>
      <c r="E89">
        <v>1</v>
      </c>
      <c r="F89" t="s">
        <v>478</v>
      </c>
      <c r="G89" t="b">
        <v>1</v>
      </c>
      <c r="H89">
        <v>0.9</v>
      </c>
      <c r="I89">
        <v>1.1000000000000001</v>
      </c>
      <c r="J89" s="17" t="s">
        <v>462</v>
      </c>
      <c r="K89" s="17" t="s">
        <v>479</v>
      </c>
      <c r="L89">
        <v>7.1718500000000001</v>
      </c>
      <c r="M89">
        <v>-73.131389999999996</v>
      </c>
      <c r="N89">
        <v>0</v>
      </c>
      <c r="O89">
        <v>0</v>
      </c>
      <c r="P89">
        <v>1.0498259999999999</v>
      </c>
      <c r="Q89">
        <v>-5.4179149999999998</v>
      </c>
      <c r="R89">
        <v>0</v>
      </c>
      <c r="S89">
        <v>0</v>
      </c>
    </row>
    <row r="90" spans="1:19" x14ac:dyDescent="0.2">
      <c r="A90" t="s">
        <v>88</v>
      </c>
      <c r="B90" s="15">
        <v>114</v>
      </c>
      <c r="C90" s="19" t="s">
        <v>487</v>
      </c>
      <c r="D90">
        <v>500</v>
      </c>
      <c r="E90">
        <v>2</v>
      </c>
      <c r="F90" t="s">
        <v>488</v>
      </c>
      <c r="G90" t="b">
        <v>1</v>
      </c>
      <c r="H90">
        <v>0.9</v>
      </c>
      <c r="I90">
        <v>1.05</v>
      </c>
      <c r="J90" s="17" t="s">
        <v>489</v>
      </c>
      <c r="K90" s="17" t="s">
        <v>489</v>
      </c>
      <c r="L90">
        <v>6.52203</v>
      </c>
      <c r="M90">
        <v>-74.352760000000004</v>
      </c>
      <c r="N90">
        <v>0</v>
      </c>
      <c r="O90">
        <v>0.87154529999999997</v>
      </c>
      <c r="P90">
        <v>1.0234099999999999</v>
      </c>
      <c r="Q90">
        <v>-0.80770850000000005</v>
      </c>
      <c r="R90">
        <v>0</v>
      </c>
      <c r="S90">
        <v>0</v>
      </c>
    </row>
    <row r="91" spans="1:19" x14ac:dyDescent="0.2">
      <c r="A91" t="s">
        <v>143</v>
      </c>
      <c r="B91" s="15">
        <v>115</v>
      </c>
      <c r="C91" s="19" t="s">
        <v>490</v>
      </c>
      <c r="D91">
        <v>220</v>
      </c>
      <c r="E91">
        <v>2</v>
      </c>
      <c r="F91" t="s">
        <v>488</v>
      </c>
      <c r="G91" t="b">
        <v>1</v>
      </c>
      <c r="H91">
        <v>0.9</v>
      </c>
      <c r="I91">
        <v>1.1000000000000001</v>
      </c>
      <c r="J91" s="17" t="s">
        <v>489</v>
      </c>
      <c r="K91" s="17" t="s">
        <v>489</v>
      </c>
      <c r="L91">
        <v>6.1477300000000001</v>
      </c>
      <c r="M91">
        <v>-75.632220000000004</v>
      </c>
      <c r="N91">
        <v>0</v>
      </c>
      <c r="O91">
        <v>0</v>
      </c>
      <c r="P91">
        <v>1.0487759999999999</v>
      </c>
      <c r="Q91">
        <v>1.8070029999999999</v>
      </c>
      <c r="R91">
        <v>0</v>
      </c>
      <c r="S91">
        <v>0</v>
      </c>
    </row>
    <row r="92" spans="1:19" x14ac:dyDescent="0.2">
      <c r="A92" t="s">
        <v>289</v>
      </c>
      <c r="B92" s="15">
        <v>116</v>
      </c>
      <c r="C92" s="19" t="s">
        <v>491</v>
      </c>
      <c r="D92">
        <v>220</v>
      </c>
      <c r="E92">
        <v>1</v>
      </c>
      <c r="F92" t="s">
        <v>488</v>
      </c>
      <c r="G92" t="b">
        <v>1</v>
      </c>
      <c r="H92">
        <v>0.9</v>
      </c>
      <c r="I92">
        <v>1.1000000000000001</v>
      </c>
      <c r="J92" s="17" t="s">
        <v>489</v>
      </c>
      <c r="K92" s="17" t="s">
        <v>489</v>
      </c>
      <c r="L92">
        <v>6.2751999999999999</v>
      </c>
      <c r="M92">
        <v>-75.10172</v>
      </c>
      <c r="N92">
        <v>0</v>
      </c>
      <c r="O92">
        <v>0</v>
      </c>
      <c r="P92">
        <v>1.0645180000000001</v>
      </c>
      <c r="Q92">
        <v>6.4114420000000001</v>
      </c>
      <c r="R92">
        <v>438.01</v>
      </c>
      <c r="S92">
        <v>-100.626806</v>
      </c>
    </row>
    <row r="93" spans="1:19" x14ac:dyDescent="0.2">
      <c r="A93" t="s">
        <v>320</v>
      </c>
      <c r="B93" s="15">
        <v>117</v>
      </c>
      <c r="C93" s="19" t="s">
        <v>492</v>
      </c>
      <c r="D93">
        <v>220</v>
      </c>
      <c r="E93">
        <v>1</v>
      </c>
      <c r="F93" t="s">
        <v>488</v>
      </c>
      <c r="G93" t="b">
        <v>1</v>
      </c>
      <c r="H93">
        <v>0.9</v>
      </c>
      <c r="I93">
        <v>1.1000000000000001</v>
      </c>
      <c r="J93" s="17" t="s">
        <v>489</v>
      </c>
      <c r="K93" s="17" t="s">
        <v>489</v>
      </c>
      <c r="L93">
        <v>6.2368300000000003</v>
      </c>
      <c r="M93">
        <v>-74.561130000000006</v>
      </c>
      <c r="N93">
        <v>0</v>
      </c>
      <c r="O93">
        <v>0</v>
      </c>
      <c r="P93">
        <v>1.0929709999999999</v>
      </c>
      <c r="Q93">
        <v>2.407667</v>
      </c>
      <c r="R93">
        <v>0</v>
      </c>
      <c r="S93">
        <v>0</v>
      </c>
    </row>
    <row r="94" spans="1:19" x14ac:dyDescent="0.2">
      <c r="A94" t="s">
        <v>291</v>
      </c>
      <c r="B94" s="15">
        <v>118</v>
      </c>
      <c r="C94" s="19" t="s">
        <v>493</v>
      </c>
      <c r="D94">
        <v>220</v>
      </c>
      <c r="E94">
        <v>1</v>
      </c>
      <c r="F94" t="s">
        <v>488</v>
      </c>
      <c r="G94" t="b">
        <v>1</v>
      </c>
      <c r="H94">
        <v>0.9</v>
      </c>
      <c r="I94">
        <v>1.1000000000000001</v>
      </c>
      <c r="J94" s="17" t="s">
        <v>489</v>
      </c>
      <c r="K94" s="17" t="s">
        <v>489</v>
      </c>
      <c r="L94">
        <v>6.4129399999999999</v>
      </c>
      <c r="M94">
        <v>-75.429640000000006</v>
      </c>
      <c r="N94">
        <v>0</v>
      </c>
      <c r="O94">
        <v>0</v>
      </c>
      <c r="P94">
        <v>1.040319</v>
      </c>
      <c r="Q94">
        <v>6.1517869999999997</v>
      </c>
      <c r="R94">
        <v>300</v>
      </c>
      <c r="S94">
        <v>-4.7236380000000002</v>
      </c>
    </row>
    <row r="95" spans="1:19" x14ac:dyDescent="0.2">
      <c r="A95" t="s">
        <v>303</v>
      </c>
      <c r="B95" s="15">
        <v>119</v>
      </c>
      <c r="C95" s="19" t="s">
        <v>494</v>
      </c>
      <c r="D95">
        <v>220</v>
      </c>
      <c r="E95">
        <v>1</v>
      </c>
      <c r="F95" t="s">
        <v>488</v>
      </c>
      <c r="G95" t="b">
        <v>1</v>
      </c>
      <c r="H95">
        <v>0.9</v>
      </c>
      <c r="I95">
        <v>1.1000000000000001</v>
      </c>
      <c r="J95" s="17" t="s">
        <v>489</v>
      </c>
      <c r="K95" s="17" t="s">
        <v>489</v>
      </c>
      <c r="L95">
        <v>6.3553100000000002</v>
      </c>
      <c r="M95">
        <v>-75.605440000000002</v>
      </c>
      <c r="N95">
        <v>0</v>
      </c>
      <c r="O95">
        <v>0</v>
      </c>
      <c r="P95">
        <v>1.0442659999999999</v>
      </c>
      <c r="Q95">
        <v>3.9048219999999998</v>
      </c>
      <c r="R95">
        <v>13.615</v>
      </c>
      <c r="S95">
        <v>0</v>
      </c>
    </row>
    <row r="96" spans="1:19" x14ac:dyDescent="0.2">
      <c r="A96" t="s">
        <v>269</v>
      </c>
      <c r="B96" s="15">
        <v>120</v>
      </c>
      <c r="C96" s="19" t="s">
        <v>495</v>
      </c>
      <c r="D96">
        <v>220</v>
      </c>
      <c r="E96">
        <v>2</v>
      </c>
      <c r="F96" t="s">
        <v>478</v>
      </c>
      <c r="G96" t="b">
        <v>1</v>
      </c>
      <c r="H96">
        <v>0.9</v>
      </c>
      <c r="I96">
        <v>1.1000000000000001</v>
      </c>
      <c r="J96" s="17" t="s">
        <v>462</v>
      </c>
      <c r="K96" s="17" t="s">
        <v>479</v>
      </c>
      <c r="L96">
        <v>6.52203</v>
      </c>
      <c r="M96">
        <v>-74.352760000000004</v>
      </c>
      <c r="N96">
        <v>0</v>
      </c>
      <c r="O96">
        <v>0</v>
      </c>
      <c r="P96">
        <v>1.0933040000000001</v>
      </c>
      <c r="Q96">
        <v>1.040624</v>
      </c>
      <c r="R96">
        <v>0</v>
      </c>
      <c r="S96">
        <v>0</v>
      </c>
    </row>
    <row r="97" spans="1:19" x14ac:dyDescent="0.2">
      <c r="A97" t="s">
        <v>106</v>
      </c>
      <c r="B97" s="15">
        <v>121</v>
      </c>
      <c r="C97" s="19" t="s">
        <v>496</v>
      </c>
      <c r="D97">
        <v>220</v>
      </c>
      <c r="E97">
        <v>1</v>
      </c>
      <c r="F97" t="s">
        <v>488</v>
      </c>
      <c r="G97" t="b">
        <v>1</v>
      </c>
      <c r="H97">
        <v>0.9</v>
      </c>
      <c r="I97">
        <v>1.1000000000000001</v>
      </c>
      <c r="J97" s="17" t="s">
        <v>489</v>
      </c>
      <c r="K97" s="17" t="s">
        <v>489</v>
      </c>
      <c r="L97">
        <v>5.4235699999999998</v>
      </c>
      <c r="M97">
        <v>-74.718140000000005</v>
      </c>
      <c r="N97">
        <v>0</v>
      </c>
      <c r="O97">
        <v>0</v>
      </c>
      <c r="P97">
        <v>1.0890299999999999</v>
      </c>
      <c r="Q97">
        <v>-0.1049506</v>
      </c>
      <c r="R97">
        <v>0</v>
      </c>
      <c r="S97">
        <v>0</v>
      </c>
    </row>
    <row r="98" spans="1:19" x14ac:dyDescent="0.2">
      <c r="A98" t="s">
        <v>318</v>
      </c>
      <c r="B98" s="15">
        <v>122</v>
      </c>
      <c r="C98" s="19" t="s">
        <v>497</v>
      </c>
      <c r="D98">
        <v>220</v>
      </c>
      <c r="E98">
        <v>1</v>
      </c>
      <c r="F98" t="s">
        <v>488</v>
      </c>
      <c r="G98" t="b">
        <v>1</v>
      </c>
      <c r="H98">
        <v>0.9</v>
      </c>
      <c r="I98">
        <v>1.1000000000000001</v>
      </c>
      <c r="J98" s="17" t="s">
        <v>489</v>
      </c>
      <c r="K98" s="17" t="s">
        <v>489</v>
      </c>
      <c r="L98">
        <v>6.2121000000000004</v>
      </c>
      <c r="M98">
        <v>-74.812510000000003</v>
      </c>
      <c r="N98">
        <v>0</v>
      </c>
      <c r="O98">
        <v>0</v>
      </c>
      <c r="P98">
        <v>1.0930899999999999</v>
      </c>
      <c r="Q98">
        <v>4.7482430000000004</v>
      </c>
      <c r="R98">
        <v>310</v>
      </c>
      <c r="S98">
        <v>-4.4032679999999997</v>
      </c>
    </row>
    <row r="99" spans="1:19" x14ac:dyDescent="0.2">
      <c r="A99" t="s">
        <v>149</v>
      </c>
      <c r="B99" s="15">
        <v>123</v>
      </c>
      <c r="C99" s="19" t="s">
        <v>498</v>
      </c>
      <c r="D99">
        <v>500</v>
      </c>
      <c r="E99">
        <v>1</v>
      </c>
      <c r="F99" t="s">
        <v>488</v>
      </c>
      <c r="G99" t="b">
        <v>1</v>
      </c>
      <c r="H99">
        <v>0.9</v>
      </c>
      <c r="I99">
        <v>1.05</v>
      </c>
      <c r="J99" s="17" t="s">
        <v>489</v>
      </c>
      <c r="K99" s="17" t="s">
        <v>489</v>
      </c>
      <c r="L99">
        <v>6.2121000000000004</v>
      </c>
      <c r="M99">
        <v>-74.812510000000003</v>
      </c>
      <c r="N99">
        <v>0</v>
      </c>
      <c r="O99">
        <v>0.87155179999999999</v>
      </c>
      <c r="P99">
        <v>1.0183139999999999</v>
      </c>
      <c r="Q99">
        <v>1.3668990000000001</v>
      </c>
      <c r="R99">
        <v>620</v>
      </c>
      <c r="S99">
        <v>-8.8955380000000002</v>
      </c>
    </row>
    <row r="100" spans="1:19" x14ac:dyDescent="0.2">
      <c r="A100" t="s">
        <v>279</v>
      </c>
      <c r="B100" s="15">
        <v>124</v>
      </c>
      <c r="C100" s="19" t="s">
        <v>499</v>
      </c>
      <c r="D100">
        <v>220</v>
      </c>
      <c r="E100">
        <v>1</v>
      </c>
      <c r="F100" t="s">
        <v>488</v>
      </c>
      <c r="G100" t="b">
        <v>1</v>
      </c>
      <c r="H100">
        <v>0.9</v>
      </c>
      <c r="I100">
        <v>1.1000000000000001</v>
      </c>
      <c r="J100" s="17" t="s">
        <v>489</v>
      </c>
      <c r="K100" s="17" t="s">
        <v>489</v>
      </c>
      <c r="L100">
        <v>6.3501399999999997</v>
      </c>
      <c r="M100">
        <v>-75.004350000000002</v>
      </c>
      <c r="N100">
        <v>0</v>
      </c>
      <c r="O100">
        <v>0</v>
      </c>
      <c r="P100">
        <v>1.0673889999999999</v>
      </c>
      <c r="Q100">
        <v>6.2479579999999997</v>
      </c>
      <c r="R100">
        <v>85</v>
      </c>
      <c r="S100">
        <v>1.1682239999999999</v>
      </c>
    </row>
    <row r="101" spans="1:19" x14ac:dyDescent="0.2">
      <c r="A101" t="s">
        <v>282</v>
      </c>
      <c r="B101" s="15">
        <v>125</v>
      </c>
      <c r="C101" s="19" t="s">
        <v>500</v>
      </c>
      <c r="D101">
        <v>220</v>
      </c>
      <c r="E101">
        <v>1</v>
      </c>
      <c r="F101" t="s">
        <v>488</v>
      </c>
      <c r="G101" t="b">
        <v>1</v>
      </c>
      <c r="H101">
        <v>0.9</v>
      </c>
      <c r="I101">
        <v>1.1000000000000001</v>
      </c>
      <c r="J101" s="17" t="s">
        <v>489</v>
      </c>
      <c r="K101" s="17" t="s">
        <v>489</v>
      </c>
      <c r="L101">
        <v>6.26004</v>
      </c>
      <c r="M101">
        <v>-74.921580000000006</v>
      </c>
      <c r="N101">
        <v>0</v>
      </c>
      <c r="O101">
        <v>0</v>
      </c>
      <c r="P101">
        <v>1.0688580000000001</v>
      </c>
      <c r="Q101">
        <v>6.1580649999999997</v>
      </c>
      <c r="R101">
        <v>165</v>
      </c>
      <c r="S101">
        <v>3.6137760000000001</v>
      </c>
    </row>
    <row r="102" spans="1:19" x14ac:dyDescent="0.2">
      <c r="A102" t="s">
        <v>286</v>
      </c>
      <c r="B102" s="15">
        <v>126</v>
      </c>
      <c r="C102" s="19" t="s">
        <v>501</v>
      </c>
      <c r="D102">
        <v>220</v>
      </c>
      <c r="E102">
        <v>1</v>
      </c>
      <c r="F102" t="s">
        <v>488</v>
      </c>
      <c r="G102" t="b">
        <v>1</v>
      </c>
      <c r="H102">
        <v>0.9</v>
      </c>
      <c r="I102">
        <v>1.1000000000000001</v>
      </c>
      <c r="J102" s="17" t="s">
        <v>489</v>
      </c>
      <c r="K102" s="17" t="s">
        <v>489</v>
      </c>
      <c r="L102">
        <v>6.4420500000000001</v>
      </c>
      <c r="M102">
        <v>-75.331149999999994</v>
      </c>
      <c r="N102">
        <v>0</v>
      </c>
      <c r="O102">
        <v>0</v>
      </c>
      <c r="P102">
        <v>1.0465789999999999</v>
      </c>
      <c r="Q102">
        <v>6.7741720000000001</v>
      </c>
      <c r="R102">
        <v>0</v>
      </c>
      <c r="S102">
        <v>0</v>
      </c>
    </row>
    <row r="103" spans="1:19" x14ac:dyDescent="0.2">
      <c r="A103" t="s">
        <v>287</v>
      </c>
      <c r="B103" s="15">
        <v>127</v>
      </c>
      <c r="C103" s="19" t="s">
        <v>502</v>
      </c>
      <c r="D103">
        <v>220</v>
      </c>
      <c r="E103">
        <v>1</v>
      </c>
      <c r="F103" t="s">
        <v>488</v>
      </c>
      <c r="G103" t="b">
        <v>1</v>
      </c>
      <c r="H103">
        <v>0.9</v>
      </c>
      <c r="I103">
        <v>1.1000000000000001</v>
      </c>
      <c r="J103" s="17" t="s">
        <v>489</v>
      </c>
      <c r="K103" s="17" t="s">
        <v>489</v>
      </c>
      <c r="L103">
        <v>6.8389100000000003</v>
      </c>
      <c r="M103">
        <v>-75.194190000000006</v>
      </c>
      <c r="N103">
        <v>0</v>
      </c>
      <c r="O103">
        <v>0</v>
      </c>
      <c r="P103">
        <v>1.0468550000000001</v>
      </c>
      <c r="Q103">
        <v>9.2022960000000005</v>
      </c>
      <c r="R103">
        <v>310.969987</v>
      </c>
      <c r="S103">
        <v>38.992224</v>
      </c>
    </row>
    <row r="104" spans="1:19" x14ac:dyDescent="0.2">
      <c r="A104" t="s">
        <v>294</v>
      </c>
      <c r="B104" s="15">
        <v>128</v>
      </c>
      <c r="C104" s="19" t="s">
        <v>503</v>
      </c>
      <c r="D104">
        <v>220</v>
      </c>
      <c r="E104">
        <v>1</v>
      </c>
      <c r="F104" t="s">
        <v>488</v>
      </c>
      <c r="G104" t="b">
        <v>1</v>
      </c>
      <c r="H104">
        <v>0.9</v>
      </c>
      <c r="I104">
        <v>1.1000000000000001</v>
      </c>
      <c r="J104" s="17" t="s">
        <v>489</v>
      </c>
      <c r="K104" s="17" t="s">
        <v>489</v>
      </c>
      <c r="L104">
        <v>6.8058199999999998</v>
      </c>
      <c r="M104">
        <v>-75.149199999999993</v>
      </c>
      <c r="N104">
        <v>0</v>
      </c>
      <c r="O104">
        <v>0</v>
      </c>
      <c r="P104">
        <v>1.0464929999999999</v>
      </c>
      <c r="Q104">
        <v>9.3470809999999993</v>
      </c>
      <c r="R104">
        <v>318.00990000000002</v>
      </c>
      <c r="S104">
        <v>2.0261760000000066</v>
      </c>
    </row>
    <row r="105" spans="1:19" x14ac:dyDescent="0.2">
      <c r="A105" t="s">
        <v>305</v>
      </c>
      <c r="B105" s="15">
        <v>129</v>
      </c>
      <c r="C105" s="19" t="s">
        <v>504</v>
      </c>
      <c r="D105">
        <v>220</v>
      </c>
      <c r="E105">
        <v>1</v>
      </c>
      <c r="F105" t="s">
        <v>488</v>
      </c>
      <c r="G105" t="b">
        <v>1</v>
      </c>
      <c r="H105">
        <v>0.9</v>
      </c>
      <c r="I105">
        <v>1.1000000000000001</v>
      </c>
      <c r="J105" s="17" t="s">
        <v>489</v>
      </c>
      <c r="K105" s="17" t="s">
        <v>489</v>
      </c>
      <c r="L105">
        <v>6.1608000000000001</v>
      </c>
      <c r="M105">
        <v>-75.371679999999998</v>
      </c>
      <c r="N105">
        <v>0</v>
      </c>
      <c r="O105">
        <v>0</v>
      </c>
      <c r="P105">
        <v>1.0590999999999999</v>
      </c>
      <c r="Q105">
        <v>4.2556010000000004</v>
      </c>
      <c r="R105">
        <v>0</v>
      </c>
      <c r="S105">
        <v>0</v>
      </c>
    </row>
    <row r="106" spans="1:19" x14ac:dyDescent="0.2">
      <c r="A106" t="s">
        <v>276</v>
      </c>
      <c r="B106" s="15">
        <v>130</v>
      </c>
      <c r="C106" s="19" t="s">
        <v>505</v>
      </c>
      <c r="D106">
        <v>220</v>
      </c>
      <c r="E106">
        <v>1</v>
      </c>
      <c r="F106" t="s">
        <v>488</v>
      </c>
      <c r="G106" t="b">
        <v>1</v>
      </c>
      <c r="H106">
        <v>0.9</v>
      </c>
      <c r="I106">
        <v>1.1000000000000001</v>
      </c>
      <c r="J106" s="17" t="s">
        <v>489</v>
      </c>
      <c r="K106" s="17" t="s">
        <v>489</v>
      </c>
      <c r="L106">
        <v>6.1494099999999996</v>
      </c>
      <c r="M106">
        <v>-75.636170000000007</v>
      </c>
      <c r="N106">
        <v>0</v>
      </c>
      <c r="O106">
        <v>0</v>
      </c>
      <c r="P106">
        <v>1.0484420000000001</v>
      </c>
      <c r="Q106">
        <v>1.813874</v>
      </c>
      <c r="R106">
        <v>0</v>
      </c>
      <c r="S106">
        <v>0</v>
      </c>
    </row>
    <row r="107" spans="1:19" x14ac:dyDescent="0.2">
      <c r="A107" t="s">
        <v>326</v>
      </c>
      <c r="B107" s="15">
        <v>131</v>
      </c>
      <c r="C107" s="19" t="s">
        <v>506</v>
      </c>
      <c r="D107">
        <v>220</v>
      </c>
      <c r="E107">
        <v>1</v>
      </c>
      <c r="F107" t="s">
        <v>488</v>
      </c>
      <c r="G107" t="b">
        <v>1</v>
      </c>
      <c r="H107">
        <v>0.9</v>
      </c>
      <c r="I107">
        <v>1.1000000000000001</v>
      </c>
      <c r="J107" s="17" t="s">
        <v>489</v>
      </c>
      <c r="K107" s="17" t="s">
        <v>489</v>
      </c>
      <c r="L107">
        <v>6.44475</v>
      </c>
      <c r="M107">
        <v>-74.381979999999999</v>
      </c>
      <c r="N107">
        <v>0</v>
      </c>
      <c r="O107">
        <v>0</v>
      </c>
      <c r="P107">
        <v>1.0928709999999999</v>
      </c>
      <c r="Q107">
        <v>1.240491</v>
      </c>
      <c r="R107">
        <v>98.9</v>
      </c>
      <c r="S107">
        <v>-42.797097000000001</v>
      </c>
    </row>
    <row r="108" spans="1:19" x14ac:dyDescent="0.2">
      <c r="A108" t="s">
        <v>298</v>
      </c>
      <c r="B108" s="15">
        <v>132</v>
      </c>
      <c r="C108" s="19" t="s">
        <v>507</v>
      </c>
      <c r="D108">
        <v>220</v>
      </c>
      <c r="E108">
        <v>1</v>
      </c>
      <c r="F108" t="s">
        <v>488</v>
      </c>
      <c r="G108" t="b">
        <v>1</v>
      </c>
      <c r="H108">
        <v>0.9</v>
      </c>
      <c r="I108">
        <v>1.1000000000000001</v>
      </c>
      <c r="J108" s="17" t="s">
        <v>489</v>
      </c>
      <c r="K108" s="17" t="s">
        <v>489</v>
      </c>
      <c r="L108">
        <v>6.3383399999999996</v>
      </c>
      <c r="M108">
        <v>-75.538049999999998</v>
      </c>
      <c r="N108">
        <v>0</v>
      </c>
      <c r="O108">
        <v>0</v>
      </c>
      <c r="P108">
        <v>1.0321180000000001</v>
      </c>
      <c r="Q108">
        <v>4.4678279999999999</v>
      </c>
      <c r="R108">
        <v>0</v>
      </c>
      <c r="S108">
        <v>0</v>
      </c>
    </row>
    <row r="109" spans="1:19" x14ac:dyDescent="0.2">
      <c r="A109" t="s">
        <v>301</v>
      </c>
      <c r="B109" s="15">
        <v>133</v>
      </c>
      <c r="C109" s="19" t="s">
        <v>508</v>
      </c>
      <c r="D109">
        <v>220</v>
      </c>
      <c r="E109">
        <v>1</v>
      </c>
      <c r="F109" t="s">
        <v>488</v>
      </c>
      <c r="G109" t="b">
        <v>1</v>
      </c>
      <c r="H109">
        <v>0.9</v>
      </c>
      <c r="I109">
        <v>1.1000000000000001</v>
      </c>
      <c r="J109" s="17" t="s">
        <v>489</v>
      </c>
      <c r="K109" s="17" t="s">
        <v>489</v>
      </c>
      <c r="L109">
        <v>6.1754600000000002</v>
      </c>
      <c r="M109">
        <v>-75.594130000000007</v>
      </c>
      <c r="N109">
        <v>0</v>
      </c>
      <c r="O109">
        <v>0</v>
      </c>
      <c r="P109">
        <v>1.057088</v>
      </c>
      <c r="Q109">
        <v>3.5813929999999998</v>
      </c>
      <c r="R109">
        <v>0</v>
      </c>
      <c r="S109">
        <v>0</v>
      </c>
    </row>
    <row r="110" spans="1:19" x14ac:dyDescent="0.2">
      <c r="A110" t="s">
        <v>284</v>
      </c>
      <c r="B110" s="15">
        <v>134</v>
      </c>
      <c r="C110" s="19" t="s">
        <v>509</v>
      </c>
      <c r="D110">
        <v>220</v>
      </c>
      <c r="E110">
        <v>1</v>
      </c>
      <c r="F110" t="s">
        <v>488</v>
      </c>
      <c r="G110" t="b">
        <v>1</v>
      </c>
      <c r="H110">
        <v>0.9</v>
      </c>
      <c r="I110">
        <v>1.1000000000000001</v>
      </c>
      <c r="J110" s="17" t="s">
        <v>489</v>
      </c>
      <c r="K110" s="17" t="s">
        <v>489</v>
      </c>
      <c r="L110">
        <v>6.2308700000000004</v>
      </c>
      <c r="M110">
        <v>-75.53877</v>
      </c>
      <c r="N110">
        <v>0</v>
      </c>
      <c r="O110">
        <v>0</v>
      </c>
      <c r="P110">
        <v>1.0389109999999999</v>
      </c>
      <c r="Q110">
        <v>3.2601360000000001</v>
      </c>
      <c r="R110">
        <v>0</v>
      </c>
      <c r="S110">
        <v>0</v>
      </c>
    </row>
    <row r="111" spans="1:19" x14ac:dyDescent="0.2">
      <c r="A111" t="s">
        <v>296</v>
      </c>
      <c r="B111" s="15">
        <v>135</v>
      </c>
      <c r="C111" s="19" t="s">
        <v>510</v>
      </c>
      <c r="D111">
        <v>220</v>
      </c>
      <c r="E111">
        <v>1</v>
      </c>
      <c r="F111" t="s">
        <v>488</v>
      </c>
      <c r="G111" t="b">
        <v>1</v>
      </c>
      <c r="H111">
        <v>0.9</v>
      </c>
      <c r="I111">
        <v>1.1000000000000001</v>
      </c>
      <c r="J111" s="17" t="s">
        <v>489</v>
      </c>
      <c r="K111" s="17" t="s">
        <v>489</v>
      </c>
      <c r="L111">
        <v>6.7880200000000004</v>
      </c>
      <c r="M111">
        <v>-75.232100000000003</v>
      </c>
      <c r="N111">
        <v>0</v>
      </c>
      <c r="O111">
        <v>0</v>
      </c>
      <c r="P111">
        <v>1.046851</v>
      </c>
      <c r="Q111">
        <v>8.8567879999999999</v>
      </c>
      <c r="R111">
        <v>0</v>
      </c>
      <c r="S111">
        <v>0</v>
      </c>
    </row>
    <row r="112" spans="1:19" x14ac:dyDescent="0.2">
      <c r="A112" t="s">
        <v>92</v>
      </c>
      <c r="B112" s="15">
        <v>136</v>
      </c>
      <c r="C112" s="19" t="s">
        <v>511</v>
      </c>
      <c r="D112">
        <v>500</v>
      </c>
      <c r="E112">
        <v>1</v>
      </c>
      <c r="F112" t="s">
        <v>488</v>
      </c>
      <c r="G112" t="b">
        <v>1</v>
      </c>
      <c r="H112">
        <v>0.9</v>
      </c>
      <c r="I112">
        <v>1.05</v>
      </c>
      <c r="J112" s="17" t="s">
        <v>489</v>
      </c>
      <c r="K112" s="17" t="s">
        <v>489</v>
      </c>
      <c r="L112">
        <v>6.8803400000000003</v>
      </c>
      <c r="M112">
        <v>-75.179569999999998</v>
      </c>
      <c r="N112">
        <v>0</v>
      </c>
      <c r="O112">
        <v>0.89501569999999997</v>
      </c>
      <c r="P112">
        <v>1.032143</v>
      </c>
      <c r="Q112">
        <v>0.72721150000000001</v>
      </c>
      <c r="R112">
        <v>489.99</v>
      </c>
      <c r="S112">
        <v>-85.45</v>
      </c>
    </row>
    <row r="113" spans="1:19" x14ac:dyDescent="0.2">
      <c r="A113" t="s">
        <v>280</v>
      </c>
      <c r="B113" s="15">
        <v>137</v>
      </c>
      <c r="C113" s="19" t="s">
        <v>512</v>
      </c>
      <c r="D113">
        <v>220</v>
      </c>
      <c r="E113">
        <v>1</v>
      </c>
      <c r="F113" t="s">
        <v>488</v>
      </c>
      <c r="G113" t="b">
        <v>1</v>
      </c>
      <c r="H113">
        <v>0.9</v>
      </c>
      <c r="I113">
        <v>1.1000000000000001</v>
      </c>
      <c r="J113" s="17" t="s">
        <v>489</v>
      </c>
      <c r="K113" s="17" t="s">
        <v>489</v>
      </c>
      <c r="L113">
        <v>6.4435799999999999</v>
      </c>
      <c r="M113">
        <v>-74.487650000000002</v>
      </c>
      <c r="N113">
        <v>0</v>
      </c>
      <c r="O113">
        <v>0</v>
      </c>
      <c r="P113">
        <v>1.0907100000000001</v>
      </c>
      <c r="Q113">
        <v>1.5342370000000001</v>
      </c>
      <c r="R113">
        <v>0</v>
      </c>
      <c r="S113">
        <v>0</v>
      </c>
    </row>
    <row r="114" spans="1:19" x14ac:dyDescent="0.2">
      <c r="A114" t="s">
        <v>329</v>
      </c>
      <c r="B114" s="15">
        <v>138</v>
      </c>
      <c r="C114" s="19" t="s">
        <v>513</v>
      </c>
      <c r="D114">
        <v>220</v>
      </c>
      <c r="E114">
        <v>1</v>
      </c>
      <c r="F114" t="s">
        <v>488</v>
      </c>
      <c r="G114" t="b">
        <v>1</v>
      </c>
      <c r="H114">
        <v>0.9</v>
      </c>
      <c r="I114">
        <v>1.05</v>
      </c>
      <c r="J114" s="17" t="s">
        <v>489</v>
      </c>
      <c r="K114" s="17" t="s">
        <v>489</v>
      </c>
      <c r="L114">
        <v>6.2082600000000001</v>
      </c>
      <c r="M114">
        <v>-75.580389999999994</v>
      </c>
      <c r="N114">
        <v>0</v>
      </c>
      <c r="O114">
        <v>0</v>
      </c>
      <c r="P114">
        <v>1.03698</v>
      </c>
      <c r="Q114">
        <v>2.6216910000000002</v>
      </c>
      <c r="R114">
        <v>0</v>
      </c>
      <c r="S114">
        <v>0</v>
      </c>
    </row>
    <row r="115" spans="1:19" x14ac:dyDescent="0.2">
      <c r="A115" t="s">
        <v>232</v>
      </c>
      <c r="B115" s="15">
        <v>140</v>
      </c>
      <c r="C115" s="19" t="s">
        <v>514</v>
      </c>
      <c r="D115">
        <v>220</v>
      </c>
      <c r="E115">
        <v>2</v>
      </c>
      <c r="F115" t="s">
        <v>515</v>
      </c>
      <c r="G115" t="b">
        <v>1</v>
      </c>
      <c r="H115">
        <v>0.9</v>
      </c>
      <c r="I115">
        <v>1.1000000000000001</v>
      </c>
      <c r="J115" s="17" t="s">
        <v>516</v>
      </c>
      <c r="K115" s="17" t="s">
        <v>516</v>
      </c>
      <c r="L115">
        <v>-7.2289999999999993E-2</v>
      </c>
      <c r="M115">
        <v>-78.450779999999995</v>
      </c>
      <c r="N115">
        <v>0</v>
      </c>
      <c r="O115">
        <v>0</v>
      </c>
      <c r="P115">
        <v>1.0633870000000001</v>
      </c>
      <c r="Q115">
        <v>-7.6711980000000004</v>
      </c>
      <c r="R115">
        <v>0</v>
      </c>
      <c r="S115">
        <v>0</v>
      </c>
    </row>
    <row r="116" spans="1:19" x14ac:dyDescent="0.2">
      <c r="A116" t="s">
        <v>211</v>
      </c>
      <c r="B116" s="22">
        <v>141</v>
      </c>
      <c r="C116" s="19" t="s">
        <v>517</v>
      </c>
      <c r="D116">
        <v>220</v>
      </c>
      <c r="E116">
        <v>2</v>
      </c>
      <c r="F116" t="s">
        <v>442</v>
      </c>
      <c r="G116" t="b">
        <v>1</v>
      </c>
      <c r="H116">
        <v>0.9</v>
      </c>
      <c r="I116">
        <v>1.1000000000000001</v>
      </c>
      <c r="J116" s="17" t="s">
        <v>360</v>
      </c>
      <c r="K116" s="17" t="s">
        <v>361</v>
      </c>
      <c r="L116">
        <v>11.061450000000001</v>
      </c>
      <c r="M116">
        <v>-74.208020000000005</v>
      </c>
      <c r="N116">
        <v>0</v>
      </c>
      <c r="O116">
        <v>0</v>
      </c>
      <c r="P116">
        <v>1.0359830000000001</v>
      </c>
      <c r="Q116">
        <v>-11.07729</v>
      </c>
      <c r="R116">
        <v>0</v>
      </c>
      <c r="S116">
        <v>0</v>
      </c>
    </row>
    <row r="117" spans="1:19" x14ac:dyDescent="0.2">
      <c r="A117" t="s">
        <v>59</v>
      </c>
      <c r="B117" s="15">
        <v>142</v>
      </c>
      <c r="C117" s="19" t="s">
        <v>518</v>
      </c>
      <c r="D117">
        <v>220</v>
      </c>
      <c r="E117">
        <v>2</v>
      </c>
      <c r="F117" t="s">
        <v>359</v>
      </c>
      <c r="G117" t="b">
        <v>1</v>
      </c>
      <c r="H117">
        <v>0.9</v>
      </c>
      <c r="I117">
        <v>1.1000000000000001</v>
      </c>
      <c r="J117" s="17" t="s">
        <v>360</v>
      </c>
      <c r="K117" s="17" t="s">
        <v>361</v>
      </c>
      <c r="L117">
        <v>10.984109999999999</v>
      </c>
      <c r="M117">
        <v>-74.765540000000001</v>
      </c>
      <c r="N117">
        <v>0</v>
      </c>
      <c r="O117">
        <v>0</v>
      </c>
      <c r="P117">
        <v>1.058414</v>
      </c>
      <c r="Q117">
        <v>-0.83696420000000005</v>
      </c>
      <c r="R117">
        <v>0</v>
      </c>
      <c r="S117">
        <v>0</v>
      </c>
    </row>
    <row r="118" spans="1:19" x14ac:dyDescent="0.2">
      <c r="A118" t="s">
        <v>200</v>
      </c>
      <c r="B118" s="22">
        <v>143</v>
      </c>
      <c r="C118" s="19" t="s">
        <v>519</v>
      </c>
      <c r="D118">
        <v>500</v>
      </c>
      <c r="E118">
        <v>2</v>
      </c>
      <c r="F118" t="s">
        <v>442</v>
      </c>
      <c r="G118" t="b">
        <v>1</v>
      </c>
      <c r="H118">
        <v>0.9</v>
      </c>
      <c r="I118">
        <v>1.05</v>
      </c>
      <c r="J118" s="17" t="s">
        <v>360</v>
      </c>
      <c r="K118" s="17" t="s">
        <v>442</v>
      </c>
      <c r="L118">
        <v>9.6023399999999999</v>
      </c>
      <c r="M118">
        <v>-73.619140000000002</v>
      </c>
      <c r="N118">
        <v>0</v>
      </c>
      <c r="O118">
        <v>0</v>
      </c>
      <c r="P118">
        <v>1.019579</v>
      </c>
      <c r="Q118">
        <v>-8.4534179999999992</v>
      </c>
      <c r="R118">
        <v>0</v>
      </c>
      <c r="S118">
        <v>0</v>
      </c>
    </row>
    <row r="119" spans="1:19" x14ac:dyDescent="0.2">
      <c r="A119" t="s">
        <v>226</v>
      </c>
      <c r="B119" s="15">
        <v>144</v>
      </c>
      <c r="C119" s="19" t="s">
        <v>520</v>
      </c>
      <c r="D119">
        <v>220</v>
      </c>
      <c r="E119">
        <v>2</v>
      </c>
      <c r="F119" t="s">
        <v>452</v>
      </c>
      <c r="G119" t="b">
        <v>1</v>
      </c>
      <c r="H119">
        <v>0.9</v>
      </c>
      <c r="I119">
        <v>1.1000000000000001</v>
      </c>
      <c r="J119" s="17" t="s">
        <v>360</v>
      </c>
      <c r="K119" s="17" t="s">
        <v>453</v>
      </c>
      <c r="L119">
        <v>9.1187699999999996</v>
      </c>
      <c r="M119">
        <v>-75.426109999999994</v>
      </c>
      <c r="N119">
        <v>0</v>
      </c>
      <c r="O119">
        <v>0</v>
      </c>
      <c r="P119">
        <v>1.0519019999999999</v>
      </c>
      <c r="Q119">
        <v>-3.9019710000000001</v>
      </c>
      <c r="R119">
        <v>0</v>
      </c>
      <c r="S119">
        <v>0</v>
      </c>
    </row>
    <row r="120" spans="1:19" x14ac:dyDescent="0.2">
      <c r="A120" t="s">
        <v>225</v>
      </c>
      <c r="B120" s="22">
        <v>145</v>
      </c>
      <c r="C120" s="19" t="s">
        <v>521</v>
      </c>
      <c r="D120">
        <v>220</v>
      </c>
      <c r="E120">
        <v>2</v>
      </c>
      <c r="F120" t="s">
        <v>452</v>
      </c>
      <c r="G120" t="b">
        <v>1</v>
      </c>
      <c r="H120">
        <v>0.9</v>
      </c>
      <c r="I120">
        <v>1.1000000000000001</v>
      </c>
      <c r="J120" s="17" t="s">
        <v>360</v>
      </c>
      <c r="K120" s="17" t="s">
        <v>453</v>
      </c>
      <c r="L120" s="17">
        <v>8.7559699999999996</v>
      </c>
      <c r="M120" s="17">
        <v>-75.857230000000001</v>
      </c>
      <c r="N120">
        <v>0</v>
      </c>
      <c r="O120">
        <v>0</v>
      </c>
      <c r="P120">
        <v>1.061358</v>
      </c>
      <c r="Q120">
        <v>-4.7831869999999999</v>
      </c>
      <c r="R120">
        <v>0</v>
      </c>
      <c r="S120">
        <v>0</v>
      </c>
    </row>
    <row r="121" spans="1:19" x14ac:dyDescent="0.2">
      <c r="A121" t="s">
        <v>246</v>
      </c>
      <c r="B121" s="22">
        <v>146</v>
      </c>
      <c r="C121" s="19" t="s">
        <v>522</v>
      </c>
      <c r="D121">
        <v>220</v>
      </c>
      <c r="E121">
        <v>2</v>
      </c>
      <c r="F121" t="s">
        <v>468</v>
      </c>
      <c r="G121" t="b">
        <v>1</v>
      </c>
      <c r="H121">
        <v>0.9</v>
      </c>
      <c r="I121">
        <v>1.1000000000000001</v>
      </c>
      <c r="J121" s="17" t="s">
        <v>462</v>
      </c>
      <c r="K121" s="17" t="s">
        <v>469</v>
      </c>
      <c r="L121" s="17">
        <v>5.7586599999999999</v>
      </c>
      <c r="M121" s="17">
        <v>-72.89246</v>
      </c>
      <c r="N121">
        <v>0</v>
      </c>
      <c r="O121">
        <v>0</v>
      </c>
      <c r="P121">
        <v>1.063367</v>
      </c>
      <c r="Q121">
        <v>-0.63622199999999995</v>
      </c>
      <c r="R121">
        <v>0</v>
      </c>
      <c r="S121">
        <v>0</v>
      </c>
    </row>
    <row r="122" spans="1:19" x14ac:dyDescent="0.2">
      <c r="B122" s="23"/>
      <c r="J122" s="17"/>
      <c r="K122" s="17"/>
    </row>
    <row r="123" spans="1:19" x14ac:dyDescent="0.2">
      <c r="B123" s="23"/>
      <c r="J123" s="17"/>
      <c r="K123" s="17"/>
    </row>
    <row r="124" spans="1:19" x14ac:dyDescent="0.2">
      <c r="B124" s="23"/>
      <c r="J124" s="17"/>
      <c r="K124" s="17"/>
    </row>
    <row r="125" spans="1:19" x14ac:dyDescent="0.2">
      <c r="B125" s="23"/>
      <c r="J125" s="17"/>
      <c r="K125" s="17"/>
    </row>
    <row r="126" spans="1:19" x14ac:dyDescent="0.2">
      <c r="B126" s="23"/>
      <c r="J126" s="17"/>
      <c r="K126" s="17"/>
    </row>
    <row r="127" spans="1:19" x14ac:dyDescent="0.2">
      <c r="B127" s="23"/>
      <c r="J127" s="17"/>
      <c r="K127" s="17"/>
    </row>
    <row r="128" spans="1:19" x14ac:dyDescent="0.2">
      <c r="B128" s="23"/>
      <c r="J128" s="17"/>
      <c r="K128" s="17"/>
    </row>
    <row r="129" spans="2:11" x14ac:dyDescent="0.2">
      <c r="B129" s="23"/>
      <c r="J129" s="17"/>
      <c r="K129" s="17"/>
    </row>
    <row r="130" spans="2:11" x14ac:dyDescent="0.2">
      <c r="B130" s="23"/>
      <c r="J130" s="17"/>
      <c r="K130" s="17"/>
    </row>
    <row r="131" spans="2:11" x14ac:dyDescent="0.2">
      <c r="B131" s="23"/>
      <c r="J131" s="17"/>
      <c r="K131" s="17"/>
    </row>
    <row r="132" spans="2:11" x14ac:dyDescent="0.2">
      <c r="B132" s="23"/>
      <c r="J132" s="17"/>
      <c r="K132" s="17"/>
    </row>
    <row r="133" spans="2:11" x14ac:dyDescent="0.2">
      <c r="B133" s="23"/>
      <c r="J133" s="17"/>
      <c r="K133" s="17"/>
    </row>
    <row r="134" spans="2:11" x14ac:dyDescent="0.2">
      <c r="B134" s="23"/>
      <c r="J134" s="17"/>
      <c r="K134" s="17"/>
    </row>
    <row r="135" spans="2:11" x14ac:dyDescent="0.2">
      <c r="B135" s="23"/>
      <c r="J135" s="17"/>
      <c r="K135" s="17"/>
    </row>
    <row r="136" spans="2:11" x14ac:dyDescent="0.2">
      <c r="B136" s="23"/>
      <c r="J136" s="17"/>
      <c r="K136" s="17"/>
    </row>
    <row r="137" spans="2:11" x14ac:dyDescent="0.2">
      <c r="B137" s="23"/>
      <c r="J137" s="17"/>
      <c r="K137" s="17"/>
    </row>
    <row r="138" spans="2:11" x14ac:dyDescent="0.2">
      <c r="B138" s="23"/>
      <c r="J138" s="17"/>
      <c r="K138" s="17"/>
    </row>
    <row r="139" spans="2:11" x14ac:dyDescent="0.2">
      <c r="B139" s="23"/>
      <c r="J139" s="17"/>
      <c r="K139" s="17"/>
    </row>
    <row r="140" spans="2:11" x14ac:dyDescent="0.2">
      <c r="B140" s="23"/>
      <c r="J140" s="17"/>
      <c r="K140" s="17"/>
    </row>
    <row r="141" spans="2:11" x14ac:dyDescent="0.2">
      <c r="B141" s="23"/>
      <c r="J141" s="17"/>
      <c r="K141" s="17"/>
    </row>
    <row r="142" spans="2:11" x14ac:dyDescent="0.2">
      <c r="B142" s="23"/>
      <c r="J142" s="17"/>
      <c r="K142" s="17"/>
    </row>
    <row r="143" spans="2:11" x14ac:dyDescent="0.2">
      <c r="B143" s="23"/>
      <c r="J143" s="17"/>
      <c r="K143" s="17"/>
    </row>
    <row r="144" spans="2:11" x14ac:dyDescent="0.2">
      <c r="B144" s="23"/>
      <c r="J144" s="17"/>
      <c r="K144" s="17"/>
    </row>
    <row r="145" spans="2:11" x14ac:dyDescent="0.2">
      <c r="B145" s="23"/>
      <c r="J145" s="17"/>
      <c r="K145" s="17"/>
    </row>
    <row r="146" spans="2:11" x14ac:dyDescent="0.2">
      <c r="B146" s="23"/>
      <c r="J146" s="17"/>
      <c r="K146" s="17"/>
    </row>
    <row r="147" spans="2:11" x14ac:dyDescent="0.2">
      <c r="B147" s="23"/>
      <c r="J147" s="17"/>
      <c r="K147" s="17"/>
    </row>
    <row r="148" spans="2:11" x14ac:dyDescent="0.2">
      <c r="B148" s="23"/>
      <c r="J148" s="17"/>
      <c r="K148" s="17"/>
    </row>
    <row r="149" spans="2:11" x14ac:dyDescent="0.2">
      <c r="B149" s="23"/>
      <c r="J149" s="17"/>
      <c r="K149" s="17"/>
    </row>
    <row r="150" spans="2:11" x14ac:dyDescent="0.2">
      <c r="B150" s="23"/>
      <c r="J150" s="17"/>
      <c r="K150" s="17"/>
    </row>
    <row r="151" spans="2:11" x14ac:dyDescent="0.2">
      <c r="B151" s="23"/>
      <c r="J151" s="17"/>
      <c r="K151" s="17"/>
    </row>
    <row r="152" spans="2:11" x14ac:dyDescent="0.2">
      <c r="B152" s="23"/>
      <c r="J152" s="17"/>
      <c r="K152" s="17"/>
    </row>
    <row r="153" spans="2:11" x14ac:dyDescent="0.2">
      <c r="B153" s="23"/>
      <c r="J153" s="17"/>
      <c r="K153" s="17"/>
    </row>
    <row r="154" spans="2:11" x14ac:dyDescent="0.2">
      <c r="B154" s="23"/>
      <c r="J154" s="17"/>
      <c r="K154" s="17"/>
    </row>
    <row r="155" spans="2:11" x14ac:dyDescent="0.2">
      <c r="B155" s="23"/>
      <c r="J155" s="17"/>
      <c r="K155" s="17"/>
    </row>
    <row r="156" spans="2:11" x14ac:dyDescent="0.2">
      <c r="B156" s="23"/>
      <c r="J156" s="17"/>
      <c r="K156" s="17"/>
    </row>
    <row r="157" spans="2:11" x14ac:dyDescent="0.2">
      <c r="B157" s="23"/>
      <c r="J157" s="17"/>
      <c r="K157" s="17"/>
    </row>
    <row r="158" spans="2:11" x14ac:dyDescent="0.2">
      <c r="B158" s="23"/>
      <c r="J158" s="17"/>
      <c r="K158" s="17"/>
    </row>
    <row r="159" spans="2:11" x14ac:dyDescent="0.2">
      <c r="B159" s="23"/>
      <c r="J159" s="17"/>
      <c r="K159" s="17"/>
    </row>
    <row r="160" spans="2:11" x14ac:dyDescent="0.2">
      <c r="B160" s="23"/>
      <c r="J160" s="17"/>
      <c r="K160" s="17"/>
    </row>
    <row r="161" spans="2:11" x14ac:dyDescent="0.2">
      <c r="B161" s="23"/>
      <c r="J161" s="17"/>
      <c r="K161" s="17"/>
    </row>
    <row r="162" spans="2:11" x14ac:dyDescent="0.2">
      <c r="B162" s="23"/>
      <c r="J162" s="17"/>
      <c r="K162" s="17"/>
    </row>
    <row r="163" spans="2:11" x14ac:dyDescent="0.2">
      <c r="B163" s="23"/>
      <c r="J163" s="17"/>
      <c r="K163" s="17"/>
    </row>
    <row r="164" spans="2:11" x14ac:dyDescent="0.2">
      <c r="B164" s="23"/>
      <c r="J164" s="17"/>
      <c r="K164" s="17"/>
    </row>
    <row r="165" spans="2:11" x14ac:dyDescent="0.2">
      <c r="B165" s="23"/>
      <c r="J165" s="17"/>
      <c r="K165" s="17"/>
    </row>
    <row r="166" spans="2:11" x14ac:dyDescent="0.2">
      <c r="B166" s="23"/>
      <c r="J166" s="17"/>
      <c r="K166" s="17"/>
    </row>
    <row r="167" spans="2:11" x14ac:dyDescent="0.2">
      <c r="B167" s="23"/>
      <c r="J167" s="17"/>
      <c r="K167" s="17"/>
    </row>
    <row r="168" spans="2:11" x14ac:dyDescent="0.2">
      <c r="B168" s="23"/>
      <c r="J168" s="17"/>
      <c r="K168" s="17"/>
    </row>
    <row r="169" spans="2:11" x14ac:dyDescent="0.2">
      <c r="B169" s="23"/>
      <c r="J169" s="17"/>
      <c r="K169" s="17"/>
    </row>
    <row r="170" spans="2:11" x14ac:dyDescent="0.2">
      <c r="B170" s="23"/>
      <c r="J170" s="17"/>
      <c r="K170" s="17"/>
    </row>
    <row r="171" spans="2:11" x14ac:dyDescent="0.2">
      <c r="B171" s="23"/>
      <c r="J171" s="17"/>
      <c r="K171" s="17"/>
    </row>
    <row r="172" spans="2:11" x14ac:dyDescent="0.2">
      <c r="B172" s="23"/>
      <c r="J172" s="17"/>
      <c r="K172" s="17"/>
    </row>
    <row r="173" spans="2:11" x14ac:dyDescent="0.2">
      <c r="B173" s="23"/>
      <c r="J173" s="17"/>
      <c r="K173" s="17"/>
    </row>
    <row r="174" spans="2:11" x14ac:dyDescent="0.2">
      <c r="B174" s="23"/>
      <c r="J174" s="17"/>
      <c r="K174" s="17"/>
    </row>
    <row r="175" spans="2:11" x14ac:dyDescent="0.2">
      <c r="B175" s="23"/>
      <c r="J175" s="17"/>
      <c r="K175" s="17"/>
    </row>
    <row r="176" spans="2:11" x14ac:dyDescent="0.2">
      <c r="B176" s="23"/>
      <c r="J176" s="17"/>
      <c r="K176" s="17"/>
    </row>
    <row r="177" spans="2:11" x14ac:dyDescent="0.2">
      <c r="B177" s="23"/>
      <c r="J177" s="17"/>
      <c r="K177" s="17"/>
    </row>
    <row r="178" spans="2:11" x14ac:dyDescent="0.2">
      <c r="B178" s="23"/>
      <c r="J178" s="17"/>
      <c r="K178" s="17"/>
    </row>
    <row r="179" spans="2:11" x14ac:dyDescent="0.2">
      <c r="B179" s="23"/>
      <c r="J179" s="17"/>
      <c r="K179" s="17"/>
    </row>
    <row r="180" spans="2:11" x14ac:dyDescent="0.2">
      <c r="B180" s="23"/>
      <c r="J180" s="17"/>
      <c r="K180" s="17"/>
    </row>
    <row r="181" spans="2:11" x14ac:dyDescent="0.2">
      <c r="B181" s="23"/>
      <c r="J181" s="17"/>
      <c r="K181" s="17"/>
    </row>
    <row r="182" spans="2:11" x14ac:dyDescent="0.2">
      <c r="B182" s="23"/>
      <c r="J182" s="17"/>
      <c r="K182" s="17"/>
    </row>
    <row r="183" spans="2:11" x14ac:dyDescent="0.2">
      <c r="B183" s="23"/>
      <c r="J183" s="17"/>
      <c r="K183" s="17"/>
    </row>
    <row r="184" spans="2:11" x14ac:dyDescent="0.2">
      <c r="B184" s="23"/>
      <c r="J184" s="17"/>
      <c r="K184" s="17"/>
    </row>
    <row r="185" spans="2:11" x14ac:dyDescent="0.2">
      <c r="B185" s="23"/>
      <c r="J185" s="17"/>
      <c r="K185" s="17"/>
    </row>
    <row r="186" spans="2:11" x14ac:dyDescent="0.2">
      <c r="B186" s="23"/>
      <c r="J186" s="17"/>
      <c r="K186" s="17"/>
    </row>
    <row r="187" spans="2:11" x14ac:dyDescent="0.2">
      <c r="B187" s="23"/>
      <c r="J187" s="17"/>
      <c r="K187" s="17"/>
    </row>
    <row r="188" spans="2:11" x14ac:dyDescent="0.2">
      <c r="B188" s="23"/>
      <c r="J188" s="17"/>
      <c r="K188" s="17"/>
    </row>
    <row r="189" spans="2:11" x14ac:dyDescent="0.2">
      <c r="B189" s="23"/>
      <c r="J189" s="17"/>
      <c r="K189" s="17"/>
    </row>
    <row r="190" spans="2:11" x14ac:dyDescent="0.2">
      <c r="B190" s="23"/>
      <c r="J190" s="17"/>
      <c r="K190" s="17"/>
    </row>
    <row r="191" spans="2:11" x14ac:dyDescent="0.2">
      <c r="B191" s="23"/>
      <c r="J191" s="17"/>
      <c r="K191" s="17"/>
    </row>
    <row r="192" spans="2:11" x14ac:dyDescent="0.2">
      <c r="B192" s="23"/>
      <c r="J192" s="17"/>
      <c r="K192" s="17"/>
    </row>
    <row r="193" spans="2:11" x14ac:dyDescent="0.2">
      <c r="B193" s="23"/>
      <c r="J193" s="17"/>
      <c r="K193" s="17"/>
    </row>
    <row r="194" spans="2:11" x14ac:dyDescent="0.2">
      <c r="B194" s="23"/>
      <c r="J194" s="17"/>
      <c r="K194" s="17"/>
    </row>
    <row r="195" spans="2:11" x14ac:dyDescent="0.2">
      <c r="B195" s="23"/>
      <c r="J195" s="17"/>
      <c r="K195" s="17"/>
    </row>
    <row r="196" spans="2:11" x14ac:dyDescent="0.2">
      <c r="B196" s="23"/>
      <c r="J196" s="17"/>
      <c r="K196" s="17"/>
    </row>
    <row r="197" spans="2:11" x14ac:dyDescent="0.2">
      <c r="B197" s="23"/>
      <c r="J197" s="17"/>
      <c r="K197" s="17"/>
    </row>
    <row r="198" spans="2:11" x14ac:dyDescent="0.2">
      <c r="B198" s="23"/>
      <c r="J198" s="17"/>
      <c r="K198" s="17"/>
    </row>
    <row r="199" spans="2:11" x14ac:dyDescent="0.2">
      <c r="B199" s="23"/>
      <c r="J199" s="17"/>
      <c r="K199" s="17"/>
    </row>
    <row r="200" spans="2:11" x14ac:dyDescent="0.2">
      <c r="B200" s="23"/>
      <c r="J200" s="17"/>
      <c r="K200" s="17"/>
    </row>
    <row r="201" spans="2:11" x14ac:dyDescent="0.2">
      <c r="B201" s="23"/>
      <c r="J201" s="17"/>
      <c r="K201" s="17"/>
    </row>
    <row r="202" spans="2:11" x14ac:dyDescent="0.2">
      <c r="B202" s="23"/>
      <c r="J202" s="17"/>
      <c r="K202" s="17"/>
    </row>
    <row r="203" spans="2:11" x14ac:dyDescent="0.2">
      <c r="B203" s="23"/>
      <c r="J203" s="17"/>
      <c r="K203" s="17"/>
    </row>
    <row r="204" spans="2:11" x14ac:dyDescent="0.2">
      <c r="B204" s="23"/>
      <c r="J204" s="17"/>
      <c r="K204" s="17"/>
    </row>
    <row r="205" spans="2:11" x14ac:dyDescent="0.2">
      <c r="B205" s="23"/>
      <c r="J205" s="17"/>
      <c r="K205" s="17"/>
    </row>
    <row r="206" spans="2:11" x14ac:dyDescent="0.2">
      <c r="B206" s="23"/>
      <c r="J206" s="17"/>
      <c r="K206" s="17"/>
    </row>
    <row r="207" spans="2:11" x14ac:dyDescent="0.2">
      <c r="B207" s="23"/>
      <c r="J207" s="17"/>
      <c r="K207" s="17"/>
    </row>
    <row r="208" spans="2:11" x14ac:dyDescent="0.2">
      <c r="B208" s="23"/>
      <c r="J208" s="17"/>
      <c r="K208" s="17"/>
    </row>
    <row r="209" spans="2:11" x14ac:dyDescent="0.2">
      <c r="B209" s="23"/>
      <c r="J209" s="17"/>
      <c r="K209" s="17"/>
    </row>
    <row r="210" spans="2:11" x14ac:dyDescent="0.2">
      <c r="B210" s="23"/>
      <c r="J210" s="17"/>
      <c r="K210" s="17"/>
    </row>
    <row r="211" spans="2:11" x14ac:dyDescent="0.2">
      <c r="B211" s="23"/>
      <c r="J211" s="17"/>
      <c r="K211" s="17"/>
    </row>
    <row r="212" spans="2:11" x14ac:dyDescent="0.2">
      <c r="B212" s="23"/>
      <c r="J212" s="17"/>
      <c r="K212" s="17"/>
    </row>
    <row r="213" spans="2:11" x14ac:dyDescent="0.2">
      <c r="B213" s="23"/>
      <c r="J213" s="17"/>
      <c r="K213" s="17"/>
    </row>
    <row r="214" spans="2:11" x14ac:dyDescent="0.2">
      <c r="B214" s="23"/>
      <c r="J214" s="17"/>
      <c r="K214" s="17"/>
    </row>
    <row r="215" spans="2:11" x14ac:dyDescent="0.2">
      <c r="B215" s="23"/>
      <c r="J215" s="17"/>
      <c r="K215" s="17"/>
    </row>
    <row r="216" spans="2:11" x14ac:dyDescent="0.2">
      <c r="B216" s="23"/>
      <c r="J216" s="17"/>
      <c r="K216" s="17"/>
    </row>
    <row r="217" spans="2:11" x14ac:dyDescent="0.2">
      <c r="B217" s="23"/>
      <c r="J217" s="17"/>
      <c r="K217" s="17"/>
    </row>
    <row r="218" spans="2:11" x14ac:dyDescent="0.2">
      <c r="B218" s="23"/>
      <c r="J218" s="17"/>
      <c r="K218" s="17"/>
    </row>
    <row r="219" spans="2:11" x14ac:dyDescent="0.2">
      <c r="B219" s="23"/>
      <c r="J219" s="17"/>
      <c r="K219" s="17"/>
    </row>
    <row r="220" spans="2:11" x14ac:dyDescent="0.2">
      <c r="B220" s="23"/>
      <c r="J220" s="17"/>
      <c r="K220" s="17"/>
    </row>
    <row r="221" spans="2:11" x14ac:dyDescent="0.2">
      <c r="B221" s="23"/>
      <c r="J221" s="17"/>
      <c r="K221" s="17"/>
    </row>
    <row r="222" spans="2:11" x14ac:dyDescent="0.2">
      <c r="B222" s="23"/>
      <c r="J222" s="17"/>
      <c r="K222" s="17"/>
    </row>
    <row r="223" spans="2:11" x14ac:dyDescent="0.2">
      <c r="B223" s="23"/>
      <c r="J223" s="17"/>
      <c r="K223" s="17"/>
    </row>
    <row r="224" spans="2:11" x14ac:dyDescent="0.2">
      <c r="B224" s="23"/>
      <c r="J224" s="17"/>
      <c r="K224" s="17"/>
    </row>
    <row r="225" spans="2:11" x14ac:dyDescent="0.2">
      <c r="B225" s="23"/>
      <c r="J225" s="17"/>
      <c r="K225" s="17"/>
    </row>
    <row r="226" spans="2:11" x14ac:dyDescent="0.2">
      <c r="B226" s="23"/>
      <c r="J226" s="17"/>
      <c r="K226" s="17"/>
    </row>
    <row r="227" spans="2:11" x14ac:dyDescent="0.2">
      <c r="B227" s="23"/>
      <c r="J227" s="17"/>
      <c r="K227" s="17"/>
    </row>
    <row r="228" spans="2:11" x14ac:dyDescent="0.2">
      <c r="B228" s="23"/>
      <c r="J228" s="17"/>
      <c r="K228" s="17"/>
    </row>
    <row r="229" spans="2:11" x14ac:dyDescent="0.2">
      <c r="B229" s="23"/>
      <c r="J229" s="17"/>
      <c r="K229" s="17"/>
    </row>
    <row r="230" spans="2:11" x14ac:dyDescent="0.2">
      <c r="B230" s="23"/>
      <c r="J230" s="17"/>
      <c r="K230" s="17"/>
    </row>
    <row r="231" spans="2:11" x14ac:dyDescent="0.2">
      <c r="B231" s="23"/>
      <c r="J231" s="17"/>
      <c r="K231" s="17"/>
    </row>
    <row r="232" spans="2:11" x14ac:dyDescent="0.2">
      <c r="B232" s="23"/>
      <c r="J232" s="17"/>
      <c r="K232" s="17"/>
    </row>
    <row r="233" spans="2:11" x14ac:dyDescent="0.2">
      <c r="B233" s="23"/>
      <c r="J233" s="17"/>
      <c r="K233" s="17"/>
    </row>
    <row r="234" spans="2:11" x14ac:dyDescent="0.2">
      <c r="B234" s="23"/>
      <c r="J234" s="17"/>
      <c r="K234" s="17"/>
    </row>
    <row r="235" spans="2:11" x14ac:dyDescent="0.2">
      <c r="B235" s="23"/>
      <c r="J235" s="17"/>
      <c r="K235" s="17"/>
    </row>
    <row r="236" spans="2:11" x14ac:dyDescent="0.2">
      <c r="B236" s="23"/>
      <c r="J236" s="17"/>
      <c r="K236" s="17"/>
    </row>
    <row r="237" spans="2:11" x14ac:dyDescent="0.2">
      <c r="B237" s="23"/>
      <c r="J237" s="17"/>
      <c r="K237" s="17"/>
    </row>
    <row r="238" spans="2:11" x14ac:dyDescent="0.2">
      <c r="B238" s="23"/>
      <c r="J238" s="17"/>
      <c r="K238" s="17"/>
    </row>
    <row r="239" spans="2:11" x14ac:dyDescent="0.2">
      <c r="B239" s="23"/>
      <c r="J239" s="17"/>
      <c r="K239" s="17"/>
    </row>
    <row r="240" spans="2:11" x14ac:dyDescent="0.2">
      <c r="B240" s="23"/>
      <c r="J240" s="17"/>
      <c r="K240" s="17"/>
    </row>
    <row r="241" spans="2:11" x14ac:dyDescent="0.2">
      <c r="B241" s="23"/>
      <c r="J241" s="17"/>
      <c r="K241" s="17"/>
    </row>
    <row r="242" spans="2:11" x14ac:dyDescent="0.2">
      <c r="B242" s="23"/>
      <c r="J242" s="17"/>
      <c r="K242" s="17"/>
    </row>
    <row r="243" spans="2:11" x14ac:dyDescent="0.2">
      <c r="B243" s="23"/>
      <c r="J243" s="17"/>
      <c r="K243" s="17"/>
    </row>
    <row r="244" spans="2:11" x14ac:dyDescent="0.2">
      <c r="B244" s="23"/>
      <c r="J244" s="17"/>
      <c r="K244" s="17"/>
    </row>
    <row r="245" spans="2:11" x14ac:dyDescent="0.2">
      <c r="B245" s="23"/>
      <c r="J245" s="17"/>
      <c r="K245" s="17"/>
    </row>
    <row r="246" spans="2:11" x14ac:dyDescent="0.2">
      <c r="B246" s="23"/>
      <c r="J246" s="17"/>
      <c r="K246" s="17"/>
    </row>
    <row r="247" spans="2:11" x14ac:dyDescent="0.2">
      <c r="B247" s="23"/>
      <c r="J247" s="17"/>
      <c r="K247" s="17"/>
    </row>
    <row r="248" spans="2:11" x14ac:dyDescent="0.2">
      <c r="B248" s="23"/>
      <c r="J248" s="17"/>
      <c r="K248" s="17"/>
    </row>
    <row r="249" spans="2:11" x14ac:dyDescent="0.2">
      <c r="B249" s="23"/>
      <c r="J249" s="17"/>
      <c r="K249" s="17"/>
    </row>
    <row r="250" spans="2:11" x14ac:dyDescent="0.2">
      <c r="B250" s="23"/>
      <c r="J250" s="17"/>
      <c r="K250" s="17"/>
    </row>
    <row r="251" spans="2:11" x14ac:dyDescent="0.2">
      <c r="B251" s="23"/>
      <c r="J251" s="17"/>
      <c r="K251" s="17"/>
    </row>
    <row r="252" spans="2:11" x14ac:dyDescent="0.2">
      <c r="B252" s="23"/>
      <c r="J252" s="17"/>
      <c r="K252" s="17"/>
    </row>
    <row r="253" spans="2:11" x14ac:dyDescent="0.2">
      <c r="B253" s="23"/>
      <c r="J253" s="17"/>
      <c r="K253" s="17"/>
    </row>
    <row r="254" spans="2:11" x14ac:dyDescent="0.2">
      <c r="B254" s="23"/>
      <c r="J254" s="17"/>
      <c r="K254" s="17"/>
    </row>
    <row r="255" spans="2:11" x14ac:dyDescent="0.2">
      <c r="B255" s="23"/>
      <c r="J255" s="17"/>
      <c r="K255" s="17"/>
    </row>
    <row r="256" spans="2:11" x14ac:dyDescent="0.2">
      <c r="B256" s="23"/>
      <c r="J256" s="17"/>
      <c r="K256" s="17"/>
    </row>
    <row r="257" spans="2:11" x14ac:dyDescent="0.2">
      <c r="B257" s="23"/>
      <c r="J257" s="17"/>
      <c r="K257" s="17"/>
    </row>
    <row r="258" spans="2:11" x14ac:dyDescent="0.2">
      <c r="B258" s="23"/>
      <c r="J258" s="17"/>
      <c r="K258" s="17"/>
    </row>
    <row r="259" spans="2:11" x14ac:dyDescent="0.2">
      <c r="B259" s="23"/>
      <c r="J259" s="17"/>
      <c r="K259" s="17"/>
    </row>
    <row r="260" spans="2:11" x14ac:dyDescent="0.2">
      <c r="B260" s="23"/>
      <c r="J260" s="17"/>
      <c r="K260" s="17"/>
    </row>
    <row r="261" spans="2:11" x14ac:dyDescent="0.2">
      <c r="B261" s="23"/>
      <c r="J261" s="17"/>
      <c r="K261" s="17"/>
    </row>
    <row r="262" spans="2:11" x14ac:dyDescent="0.2">
      <c r="B262" s="23"/>
      <c r="J262" s="17"/>
      <c r="K262" s="17"/>
    </row>
    <row r="263" spans="2:11" x14ac:dyDescent="0.2">
      <c r="B263" s="23"/>
      <c r="J263" s="17"/>
      <c r="K263" s="17"/>
    </row>
    <row r="264" spans="2:11" x14ac:dyDescent="0.2">
      <c r="B264" s="23"/>
      <c r="J264" s="17"/>
      <c r="K264" s="17"/>
    </row>
    <row r="265" spans="2:11" x14ac:dyDescent="0.2">
      <c r="B265" s="23"/>
      <c r="J265" s="17"/>
      <c r="K265" s="17"/>
    </row>
    <row r="266" spans="2:11" x14ac:dyDescent="0.2">
      <c r="B266" s="23"/>
      <c r="J266" s="17"/>
      <c r="K266" s="17"/>
    </row>
    <row r="267" spans="2:11" x14ac:dyDescent="0.2">
      <c r="B267" s="23"/>
      <c r="J267" s="17"/>
      <c r="K267" s="17"/>
    </row>
    <row r="268" spans="2:11" x14ac:dyDescent="0.2">
      <c r="B268" s="23"/>
      <c r="J268" s="17"/>
      <c r="K268" s="17"/>
    </row>
    <row r="269" spans="2:11" x14ac:dyDescent="0.2">
      <c r="B269" s="23"/>
      <c r="J269" s="17"/>
      <c r="K269" s="17"/>
    </row>
    <row r="270" spans="2:11" x14ac:dyDescent="0.2">
      <c r="B270" s="23"/>
      <c r="J270" s="17"/>
      <c r="K270" s="17"/>
    </row>
    <row r="271" spans="2:11" x14ac:dyDescent="0.2">
      <c r="B271" s="23"/>
      <c r="J271" s="17"/>
      <c r="K271" s="17"/>
    </row>
    <row r="272" spans="2:11" x14ac:dyDescent="0.2">
      <c r="B272" s="23"/>
      <c r="J272" s="17"/>
      <c r="K272" s="17"/>
    </row>
    <row r="273" spans="2:11" x14ac:dyDescent="0.2">
      <c r="B273" s="23"/>
      <c r="J273" s="17"/>
      <c r="K273" s="17"/>
    </row>
    <row r="274" spans="2:11" x14ac:dyDescent="0.2">
      <c r="B274" s="23"/>
      <c r="J274" s="17"/>
      <c r="K274" s="17"/>
    </row>
    <row r="275" spans="2:11" x14ac:dyDescent="0.2">
      <c r="B275" s="23"/>
      <c r="J275" s="17"/>
      <c r="K275" s="17"/>
    </row>
    <row r="276" spans="2:11" x14ac:dyDescent="0.2">
      <c r="B276" s="23"/>
      <c r="J276" s="17"/>
      <c r="K276" s="17"/>
    </row>
    <row r="277" spans="2:11" x14ac:dyDescent="0.2">
      <c r="B277" s="23"/>
      <c r="J277" s="17"/>
      <c r="K277" s="17"/>
    </row>
    <row r="278" spans="2:11" x14ac:dyDescent="0.2">
      <c r="B278" s="23"/>
      <c r="J278" s="17"/>
      <c r="K278" s="17"/>
    </row>
    <row r="279" spans="2:11" x14ac:dyDescent="0.2">
      <c r="B279" s="23"/>
      <c r="J279" s="17"/>
      <c r="K279" s="17"/>
    </row>
    <row r="280" spans="2:11" x14ac:dyDescent="0.2">
      <c r="B280" s="23"/>
      <c r="J280" s="17"/>
      <c r="K280" s="17"/>
    </row>
    <row r="281" spans="2:11" x14ac:dyDescent="0.2">
      <c r="B281" s="23"/>
      <c r="J281" s="17"/>
      <c r="K281" s="17"/>
    </row>
    <row r="282" spans="2:11" x14ac:dyDescent="0.2">
      <c r="B282" s="23"/>
      <c r="J282" s="17"/>
      <c r="K282" s="17"/>
    </row>
    <row r="283" spans="2:11" x14ac:dyDescent="0.2">
      <c r="B283" s="23"/>
      <c r="J283" s="17"/>
      <c r="K283" s="17"/>
    </row>
    <row r="284" spans="2:11" x14ac:dyDescent="0.2">
      <c r="B284" s="23"/>
      <c r="J284" s="17"/>
      <c r="K284" s="17"/>
    </row>
    <row r="285" spans="2:11" x14ac:dyDescent="0.2">
      <c r="B285" s="23"/>
      <c r="J285" s="17"/>
      <c r="K285" s="17"/>
    </row>
    <row r="286" spans="2:11" x14ac:dyDescent="0.2">
      <c r="B286" s="23"/>
      <c r="J286" s="17"/>
      <c r="K286" s="17"/>
    </row>
    <row r="287" spans="2:11" x14ac:dyDescent="0.2">
      <c r="B287" s="23"/>
      <c r="J287" s="17"/>
      <c r="K287" s="17"/>
    </row>
    <row r="288" spans="2:11" x14ac:dyDescent="0.2">
      <c r="B288" s="23"/>
      <c r="J288" s="17"/>
      <c r="K288" s="17"/>
    </row>
    <row r="289" spans="2:11" x14ac:dyDescent="0.2">
      <c r="B289" s="23"/>
      <c r="J289" s="17"/>
      <c r="K289" s="17"/>
    </row>
    <row r="290" spans="2:11" x14ac:dyDescent="0.2">
      <c r="B290" s="23"/>
      <c r="J290" s="17"/>
      <c r="K290" s="17"/>
    </row>
    <row r="291" spans="2:11" x14ac:dyDescent="0.2">
      <c r="B291" s="23"/>
      <c r="J291" s="17"/>
      <c r="K291" s="17"/>
    </row>
    <row r="292" spans="2:11" x14ac:dyDescent="0.2">
      <c r="B292" s="23"/>
      <c r="J292" s="17"/>
      <c r="K292" s="17"/>
    </row>
    <row r="293" spans="2:11" x14ac:dyDescent="0.2">
      <c r="B293" s="23"/>
      <c r="J293" s="17"/>
      <c r="K293" s="17"/>
    </row>
    <row r="294" spans="2:11" x14ac:dyDescent="0.2">
      <c r="B294" s="23"/>
      <c r="J294" s="17"/>
      <c r="K294" s="17"/>
    </row>
    <row r="295" spans="2:11" x14ac:dyDescent="0.2">
      <c r="B295" s="23"/>
      <c r="J295" s="17"/>
      <c r="K295" s="17"/>
    </row>
    <row r="296" spans="2:11" x14ac:dyDescent="0.2">
      <c r="B296" s="23"/>
      <c r="J296" s="17"/>
      <c r="K296" s="17"/>
    </row>
    <row r="297" spans="2:11" x14ac:dyDescent="0.2">
      <c r="B297" s="23"/>
      <c r="J297" s="17"/>
      <c r="K297" s="17"/>
    </row>
    <row r="298" spans="2:11" x14ac:dyDescent="0.2">
      <c r="B298" s="23"/>
      <c r="J298" s="17"/>
      <c r="K298" s="17"/>
    </row>
    <row r="299" spans="2:11" x14ac:dyDescent="0.2">
      <c r="B299" s="23"/>
      <c r="J299" s="17"/>
      <c r="K299" s="17"/>
    </row>
    <row r="300" spans="2:11" x14ac:dyDescent="0.2">
      <c r="B300" s="23"/>
      <c r="J300" s="17"/>
      <c r="K300" s="17"/>
    </row>
    <row r="301" spans="2:11" x14ac:dyDescent="0.2">
      <c r="B301" s="23"/>
      <c r="J301" s="17"/>
      <c r="K301" s="17"/>
    </row>
    <row r="302" spans="2:11" x14ac:dyDescent="0.2">
      <c r="B302" s="23"/>
      <c r="J302" s="17"/>
      <c r="K302" s="17"/>
    </row>
    <row r="303" spans="2:11" x14ac:dyDescent="0.2">
      <c r="B303" s="23"/>
      <c r="J303" s="17"/>
      <c r="K303" s="17"/>
    </row>
    <row r="304" spans="2:11" x14ac:dyDescent="0.2">
      <c r="B304" s="23"/>
      <c r="J304" s="17"/>
      <c r="K304" s="17"/>
    </row>
    <row r="305" spans="2:11" x14ac:dyDescent="0.2">
      <c r="B305" s="23"/>
      <c r="J305" s="17"/>
      <c r="K305" s="17"/>
    </row>
    <row r="306" spans="2:11" x14ac:dyDescent="0.2">
      <c r="B306" s="23"/>
      <c r="J306" s="17"/>
      <c r="K306" s="17"/>
    </row>
    <row r="307" spans="2:11" x14ac:dyDescent="0.2">
      <c r="B307" s="23"/>
      <c r="J307" s="17"/>
      <c r="K307" s="17"/>
    </row>
    <row r="308" spans="2:11" x14ac:dyDescent="0.2">
      <c r="B308" s="23"/>
      <c r="J308" s="17"/>
      <c r="K308" s="17"/>
    </row>
    <row r="309" spans="2:11" x14ac:dyDescent="0.2">
      <c r="B309" s="23"/>
      <c r="J309" s="17"/>
      <c r="K309" s="17"/>
    </row>
    <row r="310" spans="2:11" x14ac:dyDescent="0.2">
      <c r="B310" s="23"/>
      <c r="J310" s="17"/>
      <c r="K310" s="17"/>
    </row>
    <row r="311" spans="2:11" x14ac:dyDescent="0.2">
      <c r="B311" s="23"/>
      <c r="J311" s="17"/>
      <c r="K311" s="17"/>
    </row>
    <row r="312" spans="2:11" x14ac:dyDescent="0.2">
      <c r="B312" s="23"/>
      <c r="J312" s="17"/>
      <c r="K312" s="17"/>
    </row>
    <row r="313" spans="2:11" x14ac:dyDescent="0.2">
      <c r="B313" s="23"/>
      <c r="J313" s="17"/>
      <c r="K313" s="17"/>
    </row>
    <row r="314" spans="2:11" x14ac:dyDescent="0.2">
      <c r="B314" s="23"/>
      <c r="J314" s="17"/>
      <c r="K314" s="17"/>
    </row>
    <row r="315" spans="2:11" x14ac:dyDescent="0.2">
      <c r="B315" s="23"/>
      <c r="J315" s="17"/>
      <c r="K315" s="17"/>
    </row>
    <row r="316" spans="2:11" x14ac:dyDescent="0.2">
      <c r="B316" s="23"/>
      <c r="J316" s="17"/>
      <c r="K316" s="17"/>
    </row>
    <row r="317" spans="2:11" x14ac:dyDescent="0.2">
      <c r="B317" s="23"/>
      <c r="J317" s="17"/>
      <c r="K317" s="17"/>
    </row>
    <row r="318" spans="2:11" x14ac:dyDescent="0.2">
      <c r="B318" s="23"/>
      <c r="J318" s="17"/>
      <c r="K318" s="17"/>
    </row>
    <row r="319" spans="2:11" x14ac:dyDescent="0.2">
      <c r="B319" s="23"/>
      <c r="J319" s="17"/>
      <c r="K319" s="17"/>
    </row>
    <row r="320" spans="2:11" x14ac:dyDescent="0.2">
      <c r="B320" s="23"/>
      <c r="J320" s="17"/>
      <c r="K320" s="17"/>
    </row>
    <row r="321" spans="2:11" x14ac:dyDescent="0.2">
      <c r="B321" s="23"/>
      <c r="J321" s="17"/>
      <c r="K321" s="17"/>
    </row>
    <row r="322" spans="2:11" x14ac:dyDescent="0.2">
      <c r="B322" s="23"/>
      <c r="J322" s="17"/>
      <c r="K322" s="17"/>
    </row>
    <row r="323" spans="2:11" x14ac:dyDescent="0.2">
      <c r="B323" s="23"/>
      <c r="J323" s="17"/>
      <c r="K323" s="17"/>
    </row>
    <row r="324" spans="2:11" x14ac:dyDescent="0.2">
      <c r="B324" s="23"/>
      <c r="J324" s="17"/>
      <c r="K324" s="17"/>
    </row>
    <row r="325" spans="2:11" x14ac:dyDescent="0.2">
      <c r="B325" s="23"/>
      <c r="J325" s="17"/>
      <c r="K325" s="17"/>
    </row>
    <row r="326" spans="2:11" x14ac:dyDescent="0.2">
      <c r="B326" s="23"/>
      <c r="J326" s="17"/>
      <c r="K326" s="17"/>
    </row>
    <row r="327" spans="2:11" x14ac:dyDescent="0.2">
      <c r="B327" s="23"/>
      <c r="J327" s="17"/>
      <c r="K327" s="17"/>
    </row>
    <row r="328" spans="2:11" x14ac:dyDescent="0.2">
      <c r="B328" s="23"/>
      <c r="J328" s="17"/>
      <c r="K328" s="17"/>
    </row>
    <row r="329" spans="2:11" x14ac:dyDescent="0.2">
      <c r="B329" s="23"/>
      <c r="J329" s="17"/>
      <c r="K329" s="17"/>
    </row>
    <row r="330" spans="2:11" x14ac:dyDescent="0.2">
      <c r="B330" s="23"/>
      <c r="J330" s="17"/>
      <c r="K330" s="17"/>
    </row>
    <row r="331" spans="2:11" x14ac:dyDescent="0.2">
      <c r="B331" s="23"/>
      <c r="J331" s="17"/>
      <c r="K331" s="17"/>
    </row>
    <row r="332" spans="2:11" x14ac:dyDescent="0.2">
      <c r="B332" s="23"/>
      <c r="J332" s="17"/>
      <c r="K332" s="17"/>
    </row>
    <row r="333" spans="2:11" x14ac:dyDescent="0.2">
      <c r="B333" s="23"/>
      <c r="J333" s="17"/>
      <c r="K333" s="17"/>
    </row>
    <row r="334" spans="2:11" x14ac:dyDescent="0.2">
      <c r="B334" s="23"/>
      <c r="J334" s="17"/>
      <c r="K334" s="17"/>
    </row>
    <row r="335" spans="2:11" x14ac:dyDescent="0.2">
      <c r="B335" s="23"/>
      <c r="J335" s="17"/>
      <c r="K335" s="17"/>
    </row>
    <row r="336" spans="2:11" x14ac:dyDescent="0.2">
      <c r="B336" s="23"/>
      <c r="J336" s="17"/>
      <c r="K336" s="17"/>
    </row>
    <row r="337" spans="2:11" x14ac:dyDescent="0.2">
      <c r="B337" s="23"/>
      <c r="J337" s="17"/>
      <c r="K337" s="17"/>
    </row>
    <row r="338" spans="2:11" x14ac:dyDescent="0.2">
      <c r="B338" s="23"/>
      <c r="J338" s="17"/>
      <c r="K338" s="17"/>
    </row>
    <row r="339" spans="2:11" x14ac:dyDescent="0.2">
      <c r="B339" s="23"/>
      <c r="J339" s="17"/>
      <c r="K339" s="17"/>
    </row>
    <row r="340" spans="2:11" x14ac:dyDescent="0.2">
      <c r="B340" s="23"/>
      <c r="J340" s="17"/>
      <c r="K340" s="17"/>
    </row>
    <row r="341" spans="2:11" x14ac:dyDescent="0.2">
      <c r="B341" s="23"/>
      <c r="J341" s="17"/>
      <c r="K341" s="17"/>
    </row>
    <row r="342" spans="2:11" x14ac:dyDescent="0.2">
      <c r="B342" s="23"/>
      <c r="J342" s="17"/>
      <c r="K342" s="17"/>
    </row>
    <row r="343" spans="2:11" x14ac:dyDescent="0.2">
      <c r="B343" s="23"/>
      <c r="J343" s="17"/>
      <c r="K343" s="17"/>
    </row>
    <row r="344" spans="2:11" x14ac:dyDescent="0.2">
      <c r="B344" s="23"/>
      <c r="J344" s="17"/>
      <c r="K344" s="17"/>
    </row>
    <row r="345" spans="2:11" x14ac:dyDescent="0.2">
      <c r="B345" s="23"/>
      <c r="J345" s="17"/>
      <c r="K345" s="17"/>
    </row>
    <row r="346" spans="2:11" x14ac:dyDescent="0.2">
      <c r="B346" s="23"/>
      <c r="J346" s="17"/>
      <c r="K346" s="17"/>
    </row>
    <row r="347" spans="2:11" x14ac:dyDescent="0.2">
      <c r="B347" s="23"/>
      <c r="J347" s="17"/>
      <c r="K347" s="17"/>
    </row>
    <row r="348" spans="2:11" x14ac:dyDescent="0.2">
      <c r="B348" s="23"/>
      <c r="J348" s="17"/>
      <c r="K348" s="17"/>
    </row>
    <row r="349" spans="2:11" x14ac:dyDescent="0.2">
      <c r="B349" s="23"/>
      <c r="J349" s="17"/>
      <c r="K349" s="17"/>
    </row>
    <row r="350" spans="2:11" x14ac:dyDescent="0.2">
      <c r="B350" s="23"/>
      <c r="J350" s="17"/>
      <c r="K350" s="17"/>
    </row>
    <row r="351" spans="2:11" x14ac:dyDescent="0.2">
      <c r="B351" s="23"/>
      <c r="J351" s="17"/>
      <c r="K351" s="17"/>
    </row>
    <row r="352" spans="2:11" x14ac:dyDescent="0.2">
      <c r="B352" s="23"/>
      <c r="J352" s="17"/>
      <c r="K352" s="17"/>
    </row>
    <row r="353" spans="2:11" x14ac:dyDescent="0.2">
      <c r="B353" s="23"/>
      <c r="J353" s="17"/>
      <c r="K353" s="17"/>
    </row>
    <row r="354" spans="2:11" x14ac:dyDescent="0.2">
      <c r="B354" s="23"/>
      <c r="J354" s="17"/>
      <c r="K354" s="17"/>
    </row>
    <row r="355" spans="2:11" x14ac:dyDescent="0.2">
      <c r="B355" s="23"/>
      <c r="J355" s="17"/>
      <c r="K355" s="17"/>
    </row>
    <row r="356" spans="2:11" x14ac:dyDescent="0.2">
      <c r="B356" s="23"/>
      <c r="J356" s="17"/>
      <c r="K356" s="17"/>
    </row>
    <row r="357" spans="2:11" x14ac:dyDescent="0.2">
      <c r="B357" s="23"/>
      <c r="J357" s="17"/>
      <c r="K357" s="17"/>
    </row>
    <row r="358" spans="2:11" x14ac:dyDescent="0.2">
      <c r="B358" s="23"/>
      <c r="J358" s="17"/>
      <c r="K358" s="17"/>
    </row>
    <row r="359" spans="2:11" x14ac:dyDescent="0.2">
      <c r="B359" s="23"/>
      <c r="J359" s="17"/>
      <c r="K359" s="17"/>
    </row>
    <row r="360" spans="2:11" x14ac:dyDescent="0.2">
      <c r="B360" s="23"/>
      <c r="J360" s="17"/>
      <c r="K360" s="17"/>
    </row>
    <row r="361" spans="2:11" x14ac:dyDescent="0.2">
      <c r="B361" s="23"/>
      <c r="J361" s="17"/>
      <c r="K361" s="17"/>
    </row>
    <row r="362" spans="2:11" x14ac:dyDescent="0.2">
      <c r="B362" s="23"/>
      <c r="J362" s="17"/>
      <c r="K362" s="17"/>
    </row>
    <row r="363" spans="2:11" x14ac:dyDescent="0.2">
      <c r="B363" s="23"/>
      <c r="J363" s="17"/>
      <c r="K363" s="17"/>
    </row>
    <row r="364" spans="2:11" x14ac:dyDescent="0.2">
      <c r="B364" s="23"/>
      <c r="J364" s="17"/>
      <c r="K364" s="17"/>
    </row>
    <row r="365" spans="2:11" x14ac:dyDescent="0.2">
      <c r="B365" s="23"/>
      <c r="J365" s="17"/>
      <c r="K365" s="17"/>
    </row>
    <row r="366" spans="2:11" x14ac:dyDescent="0.2">
      <c r="B366" s="23"/>
      <c r="J366" s="17"/>
      <c r="K366" s="17"/>
    </row>
    <row r="367" spans="2:11" x14ac:dyDescent="0.2">
      <c r="B367" s="23"/>
      <c r="J367" s="17"/>
      <c r="K367" s="17"/>
    </row>
    <row r="368" spans="2:11" x14ac:dyDescent="0.2">
      <c r="B368" s="23"/>
      <c r="J368" s="17"/>
      <c r="K368" s="17"/>
    </row>
    <row r="369" spans="2:11" x14ac:dyDescent="0.2">
      <c r="B369" s="23"/>
      <c r="J369" s="17"/>
      <c r="K369" s="17"/>
    </row>
    <row r="370" spans="2:11" x14ac:dyDescent="0.2">
      <c r="B370" s="23"/>
      <c r="J370" s="17"/>
      <c r="K370" s="17"/>
    </row>
    <row r="371" spans="2:11" x14ac:dyDescent="0.2">
      <c r="B371" s="23"/>
      <c r="J371" s="17"/>
      <c r="K371" s="17"/>
    </row>
    <row r="372" spans="2:11" x14ac:dyDescent="0.2">
      <c r="B372" s="23"/>
      <c r="J372" s="17"/>
      <c r="K372" s="17"/>
    </row>
    <row r="373" spans="2:11" x14ac:dyDescent="0.2">
      <c r="B373" s="23"/>
      <c r="J373" s="17"/>
      <c r="K373" s="17"/>
    </row>
    <row r="374" spans="2:11" x14ac:dyDescent="0.2">
      <c r="B374" s="23"/>
      <c r="J374" s="17"/>
      <c r="K374" s="17"/>
    </row>
    <row r="375" spans="2:11" x14ac:dyDescent="0.2">
      <c r="B375" s="23"/>
      <c r="J375" s="17"/>
      <c r="K375" s="17"/>
    </row>
    <row r="376" spans="2:11" x14ac:dyDescent="0.2">
      <c r="B376" s="23"/>
      <c r="J376" s="17"/>
      <c r="K376" s="17"/>
    </row>
    <row r="377" spans="2:11" x14ac:dyDescent="0.2">
      <c r="B377" s="23"/>
      <c r="J377" s="17"/>
      <c r="K377" s="17"/>
    </row>
    <row r="378" spans="2:11" x14ac:dyDescent="0.2">
      <c r="B378" s="23"/>
      <c r="J378" s="17"/>
      <c r="K378" s="17"/>
    </row>
    <row r="379" spans="2:11" x14ac:dyDescent="0.2">
      <c r="B379" s="23"/>
      <c r="J379" s="17"/>
      <c r="K379" s="17"/>
    </row>
    <row r="380" spans="2:11" x14ac:dyDescent="0.2">
      <c r="B380" s="23"/>
      <c r="J380" s="17"/>
      <c r="K380" s="17"/>
    </row>
    <row r="381" spans="2:11" x14ac:dyDescent="0.2">
      <c r="B381" s="23"/>
      <c r="J381" s="17"/>
      <c r="K381" s="17"/>
    </row>
    <row r="382" spans="2:11" x14ac:dyDescent="0.2">
      <c r="B382" s="23"/>
      <c r="J382" s="17"/>
      <c r="K382" s="17"/>
    </row>
    <row r="383" spans="2:11" x14ac:dyDescent="0.2">
      <c r="B383" s="23"/>
      <c r="J383" s="17"/>
      <c r="K383" s="17"/>
    </row>
    <row r="384" spans="2:11" x14ac:dyDescent="0.2">
      <c r="B384" s="23"/>
      <c r="J384" s="17"/>
      <c r="K384" s="17"/>
    </row>
    <row r="385" spans="2:11" x14ac:dyDescent="0.2">
      <c r="B385" s="23"/>
      <c r="J385" s="17"/>
      <c r="K385" s="17"/>
    </row>
    <row r="386" spans="2:11" x14ac:dyDescent="0.2">
      <c r="B386" s="23"/>
      <c r="J386" s="17"/>
      <c r="K386" s="17"/>
    </row>
    <row r="387" spans="2:11" x14ac:dyDescent="0.2">
      <c r="B387" s="23"/>
      <c r="J387" s="17"/>
      <c r="K387" s="17"/>
    </row>
    <row r="388" spans="2:11" x14ac:dyDescent="0.2">
      <c r="B388" s="23"/>
      <c r="J388" s="17"/>
      <c r="K388" s="17"/>
    </row>
    <row r="389" spans="2:11" x14ac:dyDescent="0.2">
      <c r="B389" s="23"/>
      <c r="J389" s="17"/>
      <c r="K389" s="17"/>
    </row>
    <row r="390" spans="2:11" x14ac:dyDescent="0.2">
      <c r="B390" s="23"/>
      <c r="J390" s="17"/>
      <c r="K390" s="17"/>
    </row>
    <row r="391" spans="2:11" x14ac:dyDescent="0.2">
      <c r="B391" s="23"/>
      <c r="J391" s="17"/>
      <c r="K391" s="17"/>
    </row>
    <row r="392" spans="2:11" x14ac:dyDescent="0.2">
      <c r="B392" s="23"/>
      <c r="J392" s="17"/>
      <c r="K392" s="17"/>
    </row>
    <row r="393" spans="2:11" x14ac:dyDescent="0.2">
      <c r="B393" s="23"/>
      <c r="J393" s="17"/>
      <c r="K393" s="17"/>
    </row>
    <row r="394" spans="2:11" x14ac:dyDescent="0.2">
      <c r="B394" s="23"/>
      <c r="J394" s="17"/>
      <c r="K394" s="17"/>
    </row>
    <row r="395" spans="2:11" x14ac:dyDescent="0.2">
      <c r="B395" s="23"/>
      <c r="J395" s="17"/>
      <c r="K395" s="17"/>
    </row>
    <row r="396" spans="2:11" x14ac:dyDescent="0.2">
      <c r="B396" s="23"/>
      <c r="J396" s="17"/>
      <c r="K396" s="17"/>
    </row>
    <row r="397" spans="2:11" x14ac:dyDescent="0.2">
      <c r="B397" s="23"/>
      <c r="J397" s="17"/>
      <c r="K397" s="17"/>
    </row>
    <row r="398" spans="2:11" x14ac:dyDescent="0.2">
      <c r="B398" s="23"/>
      <c r="J398" s="17"/>
      <c r="K398" s="17"/>
    </row>
    <row r="399" spans="2:11" x14ac:dyDescent="0.2">
      <c r="B399" s="23"/>
      <c r="J399" s="17"/>
      <c r="K399" s="17"/>
    </row>
    <row r="400" spans="2:11" x14ac:dyDescent="0.2">
      <c r="B400" s="23"/>
      <c r="J400" s="17"/>
      <c r="K400" s="17"/>
    </row>
    <row r="401" spans="2:11" x14ac:dyDescent="0.2">
      <c r="B401" s="23"/>
      <c r="J401" s="17"/>
      <c r="K401" s="17"/>
    </row>
    <row r="402" spans="2:11" x14ac:dyDescent="0.2">
      <c r="B402" s="23"/>
      <c r="J402" s="17"/>
      <c r="K402" s="17"/>
    </row>
    <row r="403" spans="2:11" x14ac:dyDescent="0.2">
      <c r="B403" s="23"/>
      <c r="J403" s="17"/>
      <c r="K403" s="17"/>
    </row>
    <row r="404" spans="2:11" x14ac:dyDescent="0.2">
      <c r="B404" s="23"/>
      <c r="J404" s="17"/>
      <c r="K404" s="17"/>
    </row>
    <row r="405" spans="2:11" x14ac:dyDescent="0.2">
      <c r="B405" s="23"/>
      <c r="J405" s="17"/>
      <c r="K405" s="17"/>
    </row>
    <row r="406" spans="2:11" x14ac:dyDescent="0.2">
      <c r="B406" s="23"/>
      <c r="J406" s="17"/>
      <c r="K406" s="17"/>
    </row>
    <row r="407" spans="2:11" x14ac:dyDescent="0.2">
      <c r="B407" s="23"/>
      <c r="J407" s="17"/>
      <c r="K407" s="17"/>
    </row>
    <row r="408" spans="2:11" x14ac:dyDescent="0.2">
      <c r="B408" s="23"/>
      <c r="J408" s="17"/>
      <c r="K408" s="17"/>
    </row>
    <row r="409" spans="2:11" x14ac:dyDescent="0.2">
      <c r="B409" s="23"/>
      <c r="J409" s="17"/>
      <c r="K409" s="17"/>
    </row>
    <row r="410" spans="2:11" x14ac:dyDescent="0.2">
      <c r="B410" s="23"/>
      <c r="J410" s="17"/>
      <c r="K410" s="17"/>
    </row>
    <row r="411" spans="2:11" x14ac:dyDescent="0.2">
      <c r="B411" s="23"/>
      <c r="J411" s="17"/>
      <c r="K411" s="17"/>
    </row>
    <row r="412" spans="2:11" x14ac:dyDescent="0.2">
      <c r="B412" s="23"/>
      <c r="J412" s="17"/>
      <c r="K412" s="17"/>
    </row>
    <row r="413" spans="2:11" x14ac:dyDescent="0.2">
      <c r="B413" s="23"/>
      <c r="J413" s="17"/>
      <c r="K413" s="17"/>
    </row>
    <row r="414" spans="2:11" x14ac:dyDescent="0.2">
      <c r="B414" s="23"/>
      <c r="J414" s="17"/>
      <c r="K414" s="17"/>
    </row>
    <row r="415" spans="2:11" x14ac:dyDescent="0.2">
      <c r="B415" s="23"/>
      <c r="J415" s="17"/>
      <c r="K415" s="17"/>
    </row>
    <row r="416" spans="2:11" x14ac:dyDescent="0.2">
      <c r="B416" s="23"/>
      <c r="J416" s="17"/>
      <c r="K416" s="17"/>
    </row>
    <row r="417" spans="2:11" x14ac:dyDescent="0.2">
      <c r="B417" s="23"/>
      <c r="J417" s="17"/>
      <c r="K417" s="17"/>
    </row>
    <row r="418" spans="2:11" x14ac:dyDescent="0.2">
      <c r="B418" s="23"/>
      <c r="J418" s="17"/>
      <c r="K418" s="17"/>
    </row>
    <row r="419" spans="2:11" x14ac:dyDescent="0.2">
      <c r="B419" s="23"/>
      <c r="J419" s="17"/>
      <c r="K419" s="17"/>
    </row>
    <row r="420" spans="2:11" x14ac:dyDescent="0.2">
      <c r="B420" s="23"/>
      <c r="J420" s="17"/>
      <c r="K420" s="17"/>
    </row>
    <row r="421" spans="2:11" x14ac:dyDescent="0.2">
      <c r="B421" s="23"/>
      <c r="J421" s="17"/>
      <c r="K421" s="17"/>
    </row>
    <row r="422" spans="2:11" x14ac:dyDescent="0.2">
      <c r="B422" s="23"/>
      <c r="J422" s="17"/>
      <c r="K422" s="17"/>
    </row>
    <row r="423" spans="2:11" x14ac:dyDescent="0.2">
      <c r="B423" s="23"/>
      <c r="J423" s="17"/>
      <c r="K423" s="17"/>
    </row>
    <row r="424" spans="2:11" x14ac:dyDescent="0.2">
      <c r="B424" s="23"/>
      <c r="J424" s="17"/>
      <c r="K424" s="17"/>
    </row>
    <row r="425" spans="2:11" x14ac:dyDescent="0.2">
      <c r="B425" s="23"/>
      <c r="J425" s="17"/>
      <c r="K425" s="17"/>
    </row>
    <row r="426" spans="2:11" x14ac:dyDescent="0.2">
      <c r="B426" s="23"/>
      <c r="J426" s="17"/>
      <c r="K426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11A0-5C02-794D-BFA5-ADA7C501AAF6}">
  <dimension ref="A1:B2"/>
  <sheetViews>
    <sheetView tabSelected="1" workbookViewId="0">
      <selection activeCell="C10" sqref="C10"/>
    </sheetView>
  </sheetViews>
  <sheetFormatPr baseColWidth="10" defaultRowHeight="16" x14ac:dyDescent="0.2"/>
  <sheetData>
    <row r="1" spans="1:2" x14ac:dyDescent="0.2">
      <c r="B1" s="1" t="s">
        <v>523</v>
      </c>
    </row>
    <row r="2" spans="1:2" x14ac:dyDescent="0.2">
      <c r="A2" s="1" t="s">
        <v>523</v>
      </c>
      <c r="B2">
        <v>4906688.5386908976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P_size</vt:lpstr>
      <vt:lpstr>E_size</vt:lpstr>
      <vt:lpstr>Branch</vt:lpstr>
      <vt:lpstr>Bus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Avendaño</dc:creator>
  <cp:lastModifiedBy>Alvaro Avendaño</cp:lastModifiedBy>
  <dcterms:created xsi:type="dcterms:W3CDTF">2022-05-25T15:04:36Z</dcterms:created>
  <dcterms:modified xsi:type="dcterms:W3CDTF">2022-05-25T15:25:25Z</dcterms:modified>
</cp:coreProperties>
</file>