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박순홍\Desktop\박준형\부동산학과 과제\유리드\유리드 15기\개발IM 메인 프로젝트(래미안목동아델리체)\유리드 배포자료\"/>
    </mc:Choice>
  </mc:AlternateContent>
  <xr:revisionPtr revIDLastSave="0" documentId="13_ncr:1_{CD2A1C09-6B47-4E7C-9DAA-083F22B879BC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건축개요" sheetId="1" r:id="rId1"/>
    <sheet name="사업검토" sheetId="4" r:id="rId2"/>
    <sheet name="개발-운영" sheetId="2" state="hidden" r:id="rId3"/>
    <sheet name="English" sheetId="3" state="hidden" r:id="rId4"/>
    <sheet name="개발부담금" sheetId="5" r:id="rId5"/>
    <sheet name="토지조서" sheetId="6" r:id="rId6"/>
    <sheet name="세금" sheetId="7" r:id="rId7"/>
  </sheets>
  <externalReferences>
    <externalReference r:id="rId8"/>
  </externalReferences>
  <definedNames>
    <definedName name="__">#REF!</definedName>
    <definedName name="__1_2000년입출고">#REF!</definedName>
    <definedName name="__KEY2">#REF!</definedName>
    <definedName name="_0">#REF!</definedName>
    <definedName name="_1">#REF!</definedName>
    <definedName name="_1_2000년입출고">#REF!</definedName>
    <definedName name="_10H_0Print_Area">#REF!</definedName>
    <definedName name="_13R_0PA">#REF!</definedName>
    <definedName name="_16U_0PA">#REF!</definedName>
    <definedName name="_2">#REF!</definedName>
    <definedName name="_2C_0PA">#REF!</definedName>
    <definedName name="_3">#REF!</definedName>
    <definedName name="_3H_0PA">#REF!</definedName>
    <definedName name="_4">#REF!</definedName>
    <definedName name="_4C_0PA">#REF!</definedName>
    <definedName name="_4H_0Print_Area">#REF!</definedName>
    <definedName name="_6R_0PA">#REF!</definedName>
    <definedName name="_7H_0PA">#REF!</definedName>
    <definedName name="_7U_0PA">#REF!</definedName>
    <definedName name="_Fill">#REF!</definedName>
    <definedName name="_Key2">#REF!</definedName>
    <definedName name="_Sort">#REF!</definedName>
    <definedName name="A">#REF!</definedName>
    <definedName name="AAA">#REF!</definedName>
    <definedName name="Acquisition_Costs">#REF!</definedName>
    <definedName name="Adjusted_Basis">#REF!</definedName>
    <definedName name="Bal_EOY1_Mtg_1">#REF!</definedName>
    <definedName name="Bal_EOY1_Mtg_2">#REF!</definedName>
    <definedName name="Bal_EOY2_Mtg_1">#REF!</definedName>
    <definedName name="Bal_EOY2_Mtg_2">#REF!</definedName>
    <definedName name="Bal_EOY3_Mtg_1">#REF!</definedName>
    <definedName name="Bal_EOY3_Mtg_2">#REF!</definedName>
    <definedName name="Bal_EOY4_Mtg_1">#REF!</definedName>
    <definedName name="Bal_EOY4_Mtg_2">#REF!</definedName>
    <definedName name="Bal_EOY5_Mtg_1">#REF!</definedName>
    <definedName name="Bal_EOY5_Mtg_2">#REF!</definedName>
    <definedName name="BS">#REF!</definedName>
    <definedName name="BTL">#REF!</definedName>
    <definedName name="CFBT_APOD">#REF!</definedName>
    <definedName name="data">#REF!</definedName>
    <definedName name="Date">#REF!</definedName>
    <definedName name="dfakdf">#REF!</definedName>
    <definedName name="Down_Payment">#REF!</definedName>
    <definedName name="ERI_APOD">#REF!</definedName>
    <definedName name="file">#REF!</definedName>
    <definedName name="FKFK">#REF!</definedName>
    <definedName name="GOI">#REF!</definedName>
    <definedName name="GOI_APOD">#REF!</definedName>
    <definedName name="Initial_Investment">#REF!</definedName>
    <definedName name="INPUT">#REF!</definedName>
    <definedName name="Land_summary">토지조서!$A$140:$AA$150</definedName>
    <definedName name="Leasing_Commissions">#REF!</definedName>
    <definedName name="Loan_Points">#REF!</definedName>
    <definedName name="Location">#REF!</definedName>
    <definedName name="mii">#REF!</definedName>
    <definedName name="ML">#REF!</definedName>
    <definedName name="Name">#REF!</definedName>
    <definedName name="NOI_APOD">#REF!</definedName>
    <definedName name="OP_EXP_APOD">#REF!</definedName>
    <definedName name="OTHER_APOD">#REF!</definedName>
    <definedName name="Other_Inc_with_vac">#REF!</definedName>
    <definedName name="Percent_Improvements">#REF!</definedName>
    <definedName name="Percent_Land">#REF!</definedName>
    <definedName name="PERIOD_END">#REF!</definedName>
    <definedName name="Prepared_by">#REF!</definedName>
    <definedName name="PRI_APOD">#REF!</definedName>
    <definedName name="PRICE">#REF!</definedName>
    <definedName name="PRINT_AREA_MI">#REF!</definedName>
    <definedName name="PRINT_TITLES_MI">#REF!</definedName>
    <definedName name="printarea">#REF!</definedName>
    <definedName name="Property_Type">#REF!</definedName>
    <definedName name="PTR">#REF!</definedName>
    <definedName name="Puchase_Price">#REF!</definedName>
    <definedName name="purchase_price">#REF!</definedName>
    <definedName name="PYA">#REF!</definedName>
    <definedName name="PYB">#REF!</definedName>
    <definedName name="PYC">#REF!</definedName>
    <definedName name="PYD">#REF!</definedName>
    <definedName name="PYE">#REF!</definedName>
    <definedName name="PYF">#REF!</definedName>
    <definedName name="PYG">#REF!</definedName>
    <definedName name="Q">#REF!</definedName>
    <definedName name="Size_of_Property">#REF!</definedName>
    <definedName name="SPAT_1">#REF!</definedName>
    <definedName name="SPAT_2">#REF!</definedName>
    <definedName name="SPAT_3">#REF!</definedName>
    <definedName name="SPBT_1">#REF!</definedName>
    <definedName name="SPBT_2">#REF!</definedName>
    <definedName name="SPBT_3">#REF!</definedName>
    <definedName name="SS">#REF!</definedName>
    <definedName name="table">#REF!</definedName>
    <definedName name="TABLE1">#REF!</definedName>
    <definedName name="Total_Beginning_Mortgages">#REF!</definedName>
    <definedName name="W">#REF!</definedName>
    <definedName name="YEAREND">#REF!</definedName>
    <definedName name="가10층">#REF!</definedName>
    <definedName name="가11층">#REF!</definedName>
    <definedName name="가12층">#REF!</definedName>
    <definedName name="가13층">#REF!</definedName>
    <definedName name="가14층">#REF!</definedName>
    <definedName name="가15층">#REF!</definedName>
    <definedName name="가16층">#REF!</definedName>
    <definedName name="가17층">#REF!</definedName>
    <definedName name="가18층">#REF!</definedName>
    <definedName name="가19층">#REF!</definedName>
    <definedName name="가20층">#REF!</definedName>
    <definedName name="가21층">#REF!</definedName>
    <definedName name="가22층">#REF!</definedName>
    <definedName name="가23층">#REF!</definedName>
    <definedName name="가24층">#REF!</definedName>
    <definedName name="가25층">#REF!</definedName>
    <definedName name="가2층">#REF!</definedName>
    <definedName name="가3층">#REF!</definedName>
    <definedName name="가4층">#REF!</definedName>
    <definedName name="가5층">#REF!</definedName>
    <definedName name="가6층">#REF!</definedName>
    <definedName name="가7층">#REF!</definedName>
    <definedName name="가8층">#REF!</definedName>
    <definedName name="가9층">#REF!</definedName>
    <definedName name="가입보증금누계액">#REF!</definedName>
    <definedName name="가입보증금총액">#REF!</definedName>
    <definedName name="개관행사비">#REF!</definedName>
    <definedName name="건물관리비">#REF!</definedName>
    <definedName name="건축공사비">#REF!</definedName>
    <definedName name="검축공사비계">#REF!</definedName>
    <definedName name="공사기간">#REF!</definedName>
    <definedName name="공사일정">#REF!</definedName>
    <definedName name="관리팀인건비">#REF!</definedName>
    <definedName name="기간">#REF!</definedName>
    <definedName name="농_____산">#REF!</definedName>
    <definedName name="대지매입비">#REF!</definedName>
    <definedName name="리스">#REF!</definedName>
    <definedName name="ㅁㄴㅇ">#REF!</definedName>
    <definedName name="면적표">#REF!</definedName>
    <definedName name="물가지수">#REF!</definedName>
    <definedName name="벽산35">#REF!</definedName>
    <definedName name="벽산35평형">#REF!</definedName>
    <definedName name="보람">#REF!</definedName>
    <definedName name="보증금보유계">#REF!</definedName>
    <definedName name="부가세율표">#REF!</definedName>
    <definedName name="사물함대여수입총액">#REF!</definedName>
    <definedName name="설계감리비">#REF!</definedName>
    <definedName name="성남모란">#REF!</definedName>
    <definedName name="손익계산서">#REF!</definedName>
    <definedName name="수입계">#REF!</definedName>
    <definedName name="시설설치비">#REF!</definedName>
    <definedName name="시설설치비계">#REF!</definedName>
    <definedName name="실자본금">#REF!</definedName>
    <definedName name="연습">#REF!</definedName>
    <definedName name="연회비총액">#REF!</definedName>
    <definedName name="영업홍보비">#REF!</definedName>
    <definedName name="예비비">#REF!</definedName>
    <definedName name="운영팀인건비">#REF!</definedName>
    <definedName name="유틸리티비">#REF!</definedName>
    <definedName name="유틸리티비계">#REF!</definedName>
    <definedName name="인건비계">#REF!</definedName>
    <definedName name="인쇄광고비">#REF!</definedName>
    <definedName name="인쇄광고비계">#REF!</definedName>
    <definedName name="인테리어공사비">#REF!</definedName>
    <definedName name="일반관리비">#REF!</definedName>
    <definedName name="일일입장수입총액">#REF!</definedName>
    <definedName name="임대보증금누계액">#REF!</definedName>
    <definedName name="임대보증금총액">#REF!</definedName>
    <definedName name="자본금">#REF!</definedName>
    <definedName name="지출계">#REF!</definedName>
    <definedName name="창고">#REF!</definedName>
    <definedName name="초기투자비">#REF!</definedName>
    <definedName name="총괄">#REF!</definedName>
    <definedName name="케이스1">#REF!</definedName>
    <definedName name="케이스2">#REF!</definedName>
    <definedName name="케이스3">#REF!</definedName>
    <definedName name="코드">#REF!</definedName>
    <definedName name="타입평">#REF!</definedName>
    <definedName name="투입자본금">#REF!</definedName>
    <definedName name="평">토지조서!$C$35</definedName>
    <definedName name="평형구분">#REF!</definedName>
    <definedName name="하하">#REF!</definedName>
    <definedName name="현금누계">#REF!</definedName>
    <definedName name="호별가격">#REF!</definedName>
    <definedName name="호별시가안분">#REF!</definedName>
    <definedName name="회사측대손">#REF!</definedName>
    <definedName name="회원권분양수수료">#REF!</definedName>
    <definedName name="ㅐ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42" i="4" l="1"/>
  <c r="BE156" i="4"/>
  <c r="AX156" i="4"/>
  <c r="AW156" i="4"/>
  <c r="AV156" i="4"/>
  <c r="AU156" i="4"/>
  <c r="AT156" i="4"/>
  <c r="AY157" i="4"/>
  <c r="AX157" i="4"/>
  <c r="AW157" i="4"/>
  <c r="AV157" i="4"/>
  <c r="AU157" i="4"/>
  <c r="BA161" i="4" l="1"/>
  <c r="AZ157" i="4"/>
  <c r="BA157" i="4" s="1"/>
  <c r="BB157" i="4" s="1"/>
  <c r="BC157" i="4" s="1"/>
  <c r="BD157" i="4" s="1"/>
  <c r="BE157" i="4" s="1"/>
  <c r="BF157" i="4" s="1"/>
  <c r="BG157" i="4" s="1"/>
  <c r="BH157" i="4" s="1"/>
  <c r="BI157" i="4" s="1"/>
  <c r="BJ157" i="4" s="1"/>
  <c r="AY161" i="4"/>
  <c r="AV161" i="4"/>
  <c r="AU161" i="4"/>
  <c r="BB161" i="4"/>
  <c r="AT157" i="4"/>
  <c r="S144" i="4"/>
  <c r="S142" i="4"/>
  <c r="S141" i="4"/>
  <c r="M114" i="4"/>
  <c r="M113" i="4"/>
  <c r="D21" i="7"/>
  <c r="K50" i="4"/>
  <c r="I50" i="4"/>
  <c r="BI54" i="4"/>
  <c r="W23" i="4"/>
  <c r="V23" i="4"/>
  <c r="U5" i="4"/>
  <c r="T169" i="4"/>
  <c r="AZ145" i="4"/>
  <c r="M141" i="4"/>
  <c r="BH142" i="4"/>
  <c r="BG142" i="4"/>
  <c r="BF142" i="4"/>
  <c r="BE142" i="4"/>
  <c r="BD142" i="4"/>
  <c r="BC142" i="4"/>
  <c r="BB142" i="4"/>
  <c r="BA142" i="4"/>
  <c r="AZ142" i="4"/>
  <c r="AY142" i="4"/>
  <c r="AX142" i="4"/>
  <c r="AW142" i="4"/>
  <c r="G72" i="4"/>
  <c r="M72" i="4"/>
  <c r="B42" i="1"/>
  <c r="M168" i="4"/>
  <c r="I4" i="4"/>
  <c r="J35" i="1"/>
  <c r="D1155" i="6"/>
  <c r="D1154" i="6"/>
  <c r="D1153" i="6"/>
  <c r="D1152" i="6"/>
  <c r="D1151" i="6"/>
  <c r="D1150" i="6"/>
  <c r="C1148" i="6"/>
  <c r="C1145" i="6"/>
  <c r="C1143" i="6"/>
  <c r="D1140" i="6"/>
  <c r="D1139" i="6"/>
  <c r="D1138" i="6"/>
  <c r="D1137" i="6"/>
  <c r="D1136" i="6"/>
  <c r="D1135" i="6"/>
  <c r="E1134" i="6"/>
  <c r="E1135" i="6" s="1"/>
  <c r="C1133" i="6"/>
  <c r="C1142" i="6" s="1"/>
  <c r="C1130" i="6"/>
  <c r="C1128" i="6"/>
  <c r="D1125" i="6"/>
  <c r="D1124" i="6"/>
  <c r="D1123" i="6"/>
  <c r="D1122" i="6"/>
  <c r="D1121" i="6"/>
  <c r="D1120" i="6"/>
  <c r="C1118" i="6"/>
  <c r="C1127" i="6" s="1"/>
  <c r="D1110" i="6"/>
  <c r="D1109" i="6"/>
  <c r="D1108" i="6"/>
  <c r="D1107" i="6"/>
  <c r="D1106" i="6"/>
  <c r="D1105" i="6"/>
  <c r="C1103" i="6"/>
  <c r="C1115" i="6" s="1"/>
  <c r="C1100" i="6"/>
  <c r="C1098" i="6"/>
  <c r="C1097" i="6"/>
  <c r="D1095" i="6"/>
  <c r="D1094" i="6"/>
  <c r="D1093" i="6"/>
  <c r="D1092" i="6"/>
  <c r="E1091" i="6"/>
  <c r="E1092" i="6" s="1"/>
  <c r="D1091" i="6"/>
  <c r="C1091" i="6"/>
  <c r="E1090" i="6"/>
  <c r="D1090" i="6"/>
  <c r="E1089" i="6"/>
  <c r="C1090" i="6" s="1"/>
  <c r="C1088" i="6"/>
  <c r="D1080" i="6"/>
  <c r="D1079" i="6"/>
  <c r="D1078" i="6"/>
  <c r="D1077" i="6"/>
  <c r="D1076" i="6"/>
  <c r="D1075" i="6"/>
  <c r="C1073" i="6"/>
  <c r="C1070" i="6"/>
  <c r="C1068" i="6"/>
  <c r="C1067" i="6"/>
  <c r="D1065" i="6"/>
  <c r="D1064" i="6"/>
  <c r="D1063" i="6"/>
  <c r="D1062" i="6"/>
  <c r="D1061" i="6"/>
  <c r="D1060" i="6"/>
  <c r="E1059" i="6"/>
  <c r="C1060" i="6" s="1"/>
  <c r="C1058" i="6"/>
  <c r="D1050" i="6"/>
  <c r="D1049" i="6"/>
  <c r="D1048" i="6"/>
  <c r="D1047" i="6"/>
  <c r="D1046" i="6"/>
  <c r="D1045" i="6"/>
  <c r="C1043" i="6"/>
  <c r="C1038" i="6"/>
  <c r="C1037" i="6"/>
  <c r="D1035" i="6"/>
  <c r="D1034" i="6"/>
  <c r="D1033" i="6"/>
  <c r="D1032" i="6"/>
  <c r="D1031" i="6"/>
  <c r="D1030" i="6"/>
  <c r="C1028" i="6"/>
  <c r="C1025" i="6"/>
  <c r="H644" i="6" s="1"/>
  <c r="D1020" i="6"/>
  <c r="D1019" i="6"/>
  <c r="D1018" i="6"/>
  <c r="D1017" i="6"/>
  <c r="D1016" i="6"/>
  <c r="D1015" i="6"/>
  <c r="C1013" i="6"/>
  <c r="C1023" i="6" s="1"/>
  <c r="H642" i="6" s="1"/>
  <c r="C1010" i="6"/>
  <c r="D1005" i="6"/>
  <c r="D1004" i="6"/>
  <c r="D1003" i="6"/>
  <c r="D1002" i="6"/>
  <c r="D1001" i="6"/>
  <c r="D1000" i="6"/>
  <c r="C998" i="6"/>
  <c r="C1008" i="6" s="1"/>
  <c r="C995" i="6"/>
  <c r="H624" i="6" s="1"/>
  <c r="C993" i="6"/>
  <c r="H622" i="6" s="1"/>
  <c r="C992" i="6"/>
  <c r="H621" i="6" s="1"/>
  <c r="D990" i="6"/>
  <c r="D989" i="6"/>
  <c r="D988" i="6"/>
  <c r="D987" i="6"/>
  <c r="D986" i="6"/>
  <c r="E985" i="6"/>
  <c r="E986" i="6" s="1"/>
  <c r="D985" i="6"/>
  <c r="C985" i="6"/>
  <c r="E984" i="6"/>
  <c r="C983" i="6"/>
  <c r="C977" i="6"/>
  <c r="H611" i="6" s="1"/>
  <c r="D975" i="6"/>
  <c r="D974" i="6"/>
  <c r="D973" i="6"/>
  <c r="D972" i="6"/>
  <c r="D971" i="6"/>
  <c r="D970" i="6"/>
  <c r="C968" i="6"/>
  <c r="E969" i="6" s="1"/>
  <c r="C965" i="6"/>
  <c r="C963" i="6"/>
  <c r="C962" i="6"/>
  <c r="H610" i="6" s="1"/>
  <c r="D960" i="6"/>
  <c r="D959" i="6"/>
  <c r="D958" i="6"/>
  <c r="D957" i="6"/>
  <c r="D956" i="6"/>
  <c r="E955" i="6"/>
  <c r="E956" i="6" s="1"/>
  <c r="D955" i="6"/>
  <c r="C955" i="6"/>
  <c r="C953" i="6"/>
  <c r="E954" i="6" s="1"/>
  <c r="D945" i="6"/>
  <c r="D944" i="6"/>
  <c r="D943" i="6"/>
  <c r="D942" i="6"/>
  <c r="D941" i="6"/>
  <c r="D940" i="6"/>
  <c r="C938" i="6"/>
  <c r="C935" i="6"/>
  <c r="C932" i="6"/>
  <c r="D930" i="6"/>
  <c r="D929" i="6"/>
  <c r="D928" i="6"/>
  <c r="D927" i="6"/>
  <c r="D926" i="6"/>
  <c r="E925" i="6"/>
  <c r="E926" i="6" s="1"/>
  <c r="D925" i="6"/>
  <c r="E924" i="6"/>
  <c r="C925" i="6" s="1"/>
  <c r="H585" i="6" s="1"/>
  <c r="C923" i="6"/>
  <c r="C933" i="6" s="1"/>
  <c r="H593" i="6" s="1"/>
  <c r="D915" i="6"/>
  <c r="D914" i="6"/>
  <c r="D913" i="6"/>
  <c r="D912" i="6"/>
  <c r="D911" i="6"/>
  <c r="D910" i="6"/>
  <c r="C908" i="6"/>
  <c r="D900" i="6"/>
  <c r="D899" i="6"/>
  <c r="D898" i="6"/>
  <c r="D897" i="6"/>
  <c r="D896" i="6"/>
  <c r="D895" i="6"/>
  <c r="C893" i="6"/>
  <c r="C905" i="6" s="1"/>
  <c r="H569" i="6" s="1"/>
  <c r="C890" i="6"/>
  <c r="C888" i="6"/>
  <c r="H552" i="6" s="1"/>
  <c r="D885" i="6"/>
  <c r="D884" i="6"/>
  <c r="D883" i="6"/>
  <c r="D882" i="6"/>
  <c r="D881" i="6"/>
  <c r="D880" i="6"/>
  <c r="C878" i="6"/>
  <c r="C887" i="6" s="1"/>
  <c r="H565" i="6" s="1"/>
  <c r="D870" i="6"/>
  <c r="D869" i="6"/>
  <c r="D868" i="6"/>
  <c r="D867" i="6"/>
  <c r="D866" i="6"/>
  <c r="D865" i="6"/>
  <c r="C863" i="6"/>
  <c r="C873" i="6" s="1"/>
  <c r="C860" i="6"/>
  <c r="C858" i="6"/>
  <c r="C857" i="6"/>
  <c r="D855" i="6"/>
  <c r="D854" i="6"/>
  <c r="D853" i="6"/>
  <c r="D852" i="6"/>
  <c r="D851" i="6"/>
  <c r="E850" i="6"/>
  <c r="E851" i="6" s="1"/>
  <c r="D850" i="6"/>
  <c r="E849" i="6"/>
  <c r="C850" i="6" s="1"/>
  <c r="H514" i="6" s="1"/>
  <c r="C848" i="6"/>
  <c r="D840" i="6"/>
  <c r="D839" i="6"/>
  <c r="D838" i="6"/>
  <c r="D837" i="6"/>
  <c r="D836" i="6"/>
  <c r="D835" i="6"/>
  <c r="C833" i="6"/>
  <c r="C830" i="6"/>
  <c r="H494" i="6" s="1"/>
  <c r="C828" i="6"/>
  <c r="H492" i="6" s="1"/>
  <c r="C827" i="6"/>
  <c r="H505" i="6" s="1"/>
  <c r="D825" i="6"/>
  <c r="D824" i="6"/>
  <c r="D823" i="6"/>
  <c r="D822" i="6"/>
  <c r="D821" i="6"/>
  <c r="D820" i="6"/>
  <c r="E819" i="6"/>
  <c r="E820" i="6" s="1"/>
  <c r="C818" i="6"/>
  <c r="D810" i="6"/>
  <c r="D809" i="6"/>
  <c r="D808" i="6"/>
  <c r="D807" i="6"/>
  <c r="D806" i="6"/>
  <c r="D805" i="6"/>
  <c r="E804" i="6"/>
  <c r="E805" i="6" s="1"/>
  <c r="C803" i="6"/>
  <c r="C798" i="6"/>
  <c r="H462" i="6" s="1"/>
  <c r="D795" i="6"/>
  <c r="D794" i="6"/>
  <c r="D793" i="6"/>
  <c r="D792" i="6"/>
  <c r="D791" i="6"/>
  <c r="E790" i="6"/>
  <c r="E791" i="6" s="1"/>
  <c r="D790" i="6"/>
  <c r="E789" i="6"/>
  <c r="C790" i="6" s="1"/>
  <c r="H454" i="6" s="1"/>
  <c r="C788" i="6"/>
  <c r="C800" i="6" s="1"/>
  <c r="H464" i="6" s="1"/>
  <c r="C785" i="6"/>
  <c r="D780" i="6"/>
  <c r="D779" i="6"/>
  <c r="D778" i="6"/>
  <c r="D777" i="6"/>
  <c r="D776" i="6"/>
  <c r="D775" i="6"/>
  <c r="C773" i="6"/>
  <c r="D765" i="6"/>
  <c r="D764" i="6"/>
  <c r="D763" i="6"/>
  <c r="D762" i="6"/>
  <c r="D761" i="6"/>
  <c r="D760" i="6"/>
  <c r="C758" i="6"/>
  <c r="H422" i="6" s="1"/>
  <c r="C755" i="6"/>
  <c r="C753" i="6"/>
  <c r="H417" i="6" s="1"/>
  <c r="C752" i="6"/>
  <c r="H430" i="6" s="1"/>
  <c r="D750" i="6"/>
  <c r="D749" i="6"/>
  <c r="D748" i="6"/>
  <c r="D747" i="6"/>
  <c r="D746" i="6"/>
  <c r="D745" i="6"/>
  <c r="C743" i="6"/>
  <c r="E744" i="6" s="1"/>
  <c r="C738" i="6"/>
  <c r="H402" i="6" s="1"/>
  <c r="C737" i="6"/>
  <c r="H401" i="6" s="1"/>
  <c r="D735" i="6"/>
  <c r="D734" i="6"/>
  <c r="D733" i="6"/>
  <c r="D732" i="6"/>
  <c r="D731" i="6"/>
  <c r="D730" i="6"/>
  <c r="C728" i="6"/>
  <c r="C725" i="6"/>
  <c r="H389" i="6" s="1"/>
  <c r="C723" i="6"/>
  <c r="H387" i="6" s="1"/>
  <c r="C722" i="6"/>
  <c r="H386" i="6" s="1"/>
  <c r="D720" i="6"/>
  <c r="D719" i="6"/>
  <c r="D718" i="6"/>
  <c r="D717" i="6"/>
  <c r="D716" i="6"/>
  <c r="D715" i="6"/>
  <c r="C713" i="6"/>
  <c r="E714" i="6" s="1"/>
  <c r="E715" i="6" s="1"/>
  <c r="D705" i="6"/>
  <c r="D704" i="6"/>
  <c r="D703" i="6"/>
  <c r="D702" i="6"/>
  <c r="D701" i="6"/>
  <c r="D700" i="6"/>
  <c r="C698" i="6"/>
  <c r="D690" i="6"/>
  <c r="D689" i="6"/>
  <c r="D688" i="6"/>
  <c r="D687" i="6"/>
  <c r="D686" i="6"/>
  <c r="D685" i="6"/>
  <c r="I676" i="6"/>
  <c r="I675" i="6"/>
  <c r="D675" i="6"/>
  <c r="I674" i="6"/>
  <c r="D674" i="6"/>
  <c r="I673" i="6"/>
  <c r="D673" i="6"/>
  <c r="I672" i="6"/>
  <c r="D672" i="6"/>
  <c r="I671" i="6"/>
  <c r="D671" i="6"/>
  <c r="I670" i="6"/>
  <c r="D670" i="6"/>
  <c r="H668" i="6"/>
  <c r="J669" i="6" s="1"/>
  <c r="J670" i="6" s="1"/>
  <c r="C661" i="6"/>
  <c r="H660" i="6"/>
  <c r="E660" i="6"/>
  <c r="G660" i="6" s="1"/>
  <c r="D660" i="6"/>
  <c r="H659" i="6"/>
  <c r="G659" i="6"/>
  <c r="F659" i="6"/>
  <c r="E659" i="6"/>
  <c r="D659" i="6"/>
  <c r="H658" i="6"/>
  <c r="E658" i="6"/>
  <c r="G658" i="6" s="1"/>
  <c r="D658" i="6"/>
  <c r="H657" i="6"/>
  <c r="E657" i="6"/>
  <c r="G657" i="6" s="1"/>
  <c r="D657" i="6"/>
  <c r="H656" i="6"/>
  <c r="E656" i="6"/>
  <c r="F656" i="6" s="1"/>
  <c r="D656" i="6"/>
  <c r="H655" i="6"/>
  <c r="G655" i="6"/>
  <c r="F655" i="6"/>
  <c r="E655" i="6"/>
  <c r="D655" i="6"/>
  <c r="H654" i="6"/>
  <c r="E654" i="6"/>
  <c r="D654" i="6"/>
  <c r="H653" i="6"/>
  <c r="E653" i="6"/>
  <c r="G653" i="6" s="1"/>
  <c r="D653" i="6"/>
  <c r="H652" i="6"/>
  <c r="F652" i="6"/>
  <c r="E652" i="6"/>
  <c r="G652" i="6" s="1"/>
  <c r="D652" i="6"/>
  <c r="E651" i="6"/>
  <c r="G651" i="6" s="1"/>
  <c r="D651" i="6"/>
  <c r="E650" i="6"/>
  <c r="G650" i="6" s="1"/>
  <c r="D650" i="6"/>
  <c r="G649" i="6"/>
  <c r="E649" i="6"/>
  <c r="F649" i="6" s="1"/>
  <c r="D649" i="6"/>
  <c r="H648" i="6"/>
  <c r="F648" i="6"/>
  <c r="E648" i="6"/>
  <c r="G648" i="6" s="1"/>
  <c r="D648" i="6"/>
  <c r="E647" i="6"/>
  <c r="G647" i="6" s="1"/>
  <c r="D647" i="6"/>
  <c r="H646" i="6"/>
  <c r="G646" i="6"/>
  <c r="F646" i="6"/>
  <c r="E646" i="6"/>
  <c r="D646" i="6"/>
  <c r="H645" i="6"/>
  <c r="E645" i="6"/>
  <c r="D645" i="6"/>
  <c r="F644" i="6"/>
  <c r="E644" i="6"/>
  <c r="G644" i="6" s="1"/>
  <c r="D644" i="6"/>
  <c r="H643" i="6"/>
  <c r="E643" i="6"/>
  <c r="G643" i="6" s="1"/>
  <c r="D643" i="6"/>
  <c r="E642" i="6"/>
  <c r="G642" i="6" s="1"/>
  <c r="D642" i="6"/>
  <c r="E641" i="6"/>
  <c r="G641" i="6" s="1"/>
  <c r="D641" i="6"/>
  <c r="E640" i="6"/>
  <c r="G640" i="6" s="1"/>
  <c r="D640" i="6"/>
  <c r="G639" i="6"/>
  <c r="F639" i="6"/>
  <c r="E639" i="6"/>
  <c r="D639" i="6"/>
  <c r="E638" i="6"/>
  <c r="F638" i="6" s="1"/>
  <c r="D638" i="6"/>
  <c r="E637" i="6"/>
  <c r="G637" i="6" s="1"/>
  <c r="D637" i="6"/>
  <c r="F636" i="6"/>
  <c r="E636" i="6"/>
  <c r="G636" i="6" s="1"/>
  <c r="D636" i="6"/>
  <c r="H635" i="6"/>
  <c r="E635" i="6"/>
  <c r="F635" i="6" s="1"/>
  <c r="D635" i="6"/>
  <c r="G634" i="6"/>
  <c r="F634" i="6"/>
  <c r="E634" i="6"/>
  <c r="D634" i="6"/>
  <c r="G633" i="6"/>
  <c r="E633" i="6"/>
  <c r="F633" i="6" s="1"/>
  <c r="D633" i="6"/>
  <c r="E632" i="6"/>
  <c r="D632" i="6"/>
  <c r="E631" i="6"/>
  <c r="G631" i="6" s="1"/>
  <c r="D631" i="6"/>
  <c r="G630" i="6"/>
  <c r="F630" i="6"/>
  <c r="E630" i="6"/>
  <c r="D630" i="6"/>
  <c r="E629" i="6"/>
  <c r="D629" i="6"/>
  <c r="H628" i="6"/>
  <c r="E628" i="6"/>
  <c r="G628" i="6" s="1"/>
  <c r="D628" i="6"/>
  <c r="E627" i="6"/>
  <c r="G627" i="6" s="1"/>
  <c r="D627" i="6"/>
  <c r="H626" i="6"/>
  <c r="E626" i="6"/>
  <c r="G626" i="6" s="1"/>
  <c r="D626" i="6"/>
  <c r="H625" i="6"/>
  <c r="E625" i="6"/>
  <c r="G625" i="6" s="1"/>
  <c r="D625" i="6"/>
  <c r="E624" i="6"/>
  <c r="G624" i="6" s="1"/>
  <c r="D624" i="6"/>
  <c r="H623" i="6"/>
  <c r="G623" i="6"/>
  <c r="F623" i="6"/>
  <c r="E623" i="6"/>
  <c r="D623" i="6"/>
  <c r="E622" i="6"/>
  <c r="G622" i="6" s="1"/>
  <c r="D622" i="6"/>
  <c r="E621" i="6"/>
  <c r="G621" i="6" s="1"/>
  <c r="D621" i="6"/>
  <c r="F620" i="6"/>
  <c r="E620" i="6"/>
  <c r="G620" i="6" s="1"/>
  <c r="D620" i="6"/>
  <c r="G619" i="6"/>
  <c r="F619" i="6"/>
  <c r="E619" i="6"/>
  <c r="D619" i="6"/>
  <c r="H618" i="6"/>
  <c r="E618" i="6"/>
  <c r="F618" i="6" s="1"/>
  <c r="D618" i="6"/>
  <c r="H617" i="6"/>
  <c r="G617" i="6"/>
  <c r="E617" i="6"/>
  <c r="F617" i="6" s="1"/>
  <c r="D617" i="6"/>
  <c r="H616" i="6"/>
  <c r="E616" i="6"/>
  <c r="G616" i="6" s="1"/>
  <c r="D616" i="6"/>
  <c r="H615" i="6"/>
  <c r="F615" i="6"/>
  <c r="E615" i="6"/>
  <c r="G615" i="6" s="1"/>
  <c r="D615" i="6"/>
  <c r="G614" i="6"/>
  <c r="F614" i="6"/>
  <c r="E614" i="6"/>
  <c r="D614" i="6"/>
  <c r="H613" i="6"/>
  <c r="E613" i="6"/>
  <c r="D613" i="6"/>
  <c r="G612" i="6"/>
  <c r="F612" i="6"/>
  <c r="E612" i="6"/>
  <c r="D612" i="6"/>
  <c r="E611" i="6"/>
  <c r="G611" i="6" s="1"/>
  <c r="D611" i="6"/>
  <c r="E610" i="6"/>
  <c r="G610" i="6" s="1"/>
  <c r="D610" i="6"/>
  <c r="E609" i="6"/>
  <c r="G609" i="6" s="1"/>
  <c r="D609" i="6"/>
  <c r="G608" i="6"/>
  <c r="F608" i="6"/>
  <c r="E608" i="6"/>
  <c r="D608" i="6"/>
  <c r="G607" i="6"/>
  <c r="F607" i="6"/>
  <c r="E607" i="6"/>
  <c r="D607" i="6"/>
  <c r="E606" i="6"/>
  <c r="G606" i="6" s="1"/>
  <c r="D606" i="6"/>
  <c r="E605" i="6"/>
  <c r="G605" i="6" s="1"/>
  <c r="D605" i="6"/>
  <c r="F604" i="6"/>
  <c r="E604" i="6"/>
  <c r="G604" i="6" s="1"/>
  <c r="D604" i="6"/>
  <c r="H603" i="6"/>
  <c r="E603" i="6"/>
  <c r="G603" i="6" s="1"/>
  <c r="D603" i="6"/>
  <c r="H602" i="6"/>
  <c r="E602" i="6"/>
  <c r="G602" i="6" s="1"/>
  <c r="D602" i="6"/>
  <c r="H601" i="6"/>
  <c r="G601" i="6"/>
  <c r="E601" i="6"/>
  <c r="F601" i="6" s="1"/>
  <c r="D601" i="6"/>
  <c r="E600" i="6"/>
  <c r="G600" i="6" s="1"/>
  <c r="D600" i="6"/>
  <c r="H599" i="6"/>
  <c r="E599" i="6"/>
  <c r="G599" i="6" s="1"/>
  <c r="D599" i="6"/>
  <c r="H598" i="6"/>
  <c r="G598" i="6"/>
  <c r="F598" i="6"/>
  <c r="E598" i="6"/>
  <c r="D598" i="6"/>
  <c r="H597" i="6"/>
  <c r="E597" i="6"/>
  <c r="D597" i="6"/>
  <c r="H596" i="6"/>
  <c r="E596" i="6"/>
  <c r="F596" i="6" s="1"/>
  <c r="D596" i="6"/>
  <c r="H595" i="6"/>
  <c r="E595" i="6"/>
  <c r="G595" i="6" s="1"/>
  <c r="D595" i="6"/>
  <c r="H594" i="6"/>
  <c r="E594" i="6"/>
  <c r="G594" i="6" s="1"/>
  <c r="D594" i="6"/>
  <c r="F593" i="6"/>
  <c r="E593" i="6"/>
  <c r="G593" i="6" s="1"/>
  <c r="D593" i="6"/>
  <c r="H592" i="6"/>
  <c r="E592" i="6"/>
  <c r="G592" i="6" s="1"/>
  <c r="D592" i="6"/>
  <c r="G591" i="6"/>
  <c r="F591" i="6"/>
  <c r="E591" i="6"/>
  <c r="D591" i="6"/>
  <c r="G590" i="6"/>
  <c r="F590" i="6"/>
  <c r="E590" i="6"/>
  <c r="D590" i="6"/>
  <c r="E589" i="6"/>
  <c r="G589" i="6" s="1"/>
  <c r="D589" i="6"/>
  <c r="F588" i="6"/>
  <c r="E588" i="6"/>
  <c r="G588" i="6" s="1"/>
  <c r="D588" i="6"/>
  <c r="E587" i="6"/>
  <c r="G587" i="6" s="1"/>
  <c r="D587" i="6"/>
  <c r="F586" i="6"/>
  <c r="E586" i="6"/>
  <c r="G586" i="6" s="1"/>
  <c r="D586" i="6"/>
  <c r="G585" i="6"/>
  <c r="E585" i="6"/>
  <c r="F585" i="6" s="1"/>
  <c r="D585" i="6"/>
  <c r="H584" i="6"/>
  <c r="E584" i="6"/>
  <c r="G584" i="6" s="1"/>
  <c r="D584" i="6"/>
  <c r="H583" i="6"/>
  <c r="G583" i="6"/>
  <c r="F583" i="6"/>
  <c r="E583" i="6"/>
  <c r="D583" i="6"/>
  <c r="H582" i="6"/>
  <c r="G582" i="6"/>
  <c r="F582" i="6"/>
  <c r="E582" i="6"/>
  <c r="D582" i="6"/>
  <c r="H581" i="6"/>
  <c r="E581" i="6"/>
  <c r="D581" i="6"/>
  <c r="E580" i="6"/>
  <c r="G580" i="6" s="1"/>
  <c r="D580" i="6"/>
  <c r="E579" i="6"/>
  <c r="G579" i="6" s="1"/>
  <c r="D579" i="6"/>
  <c r="E578" i="6"/>
  <c r="G578" i="6" s="1"/>
  <c r="D578" i="6"/>
  <c r="E577" i="6"/>
  <c r="G577" i="6" s="1"/>
  <c r="D577" i="6"/>
  <c r="E576" i="6"/>
  <c r="F576" i="6" s="1"/>
  <c r="D576" i="6"/>
  <c r="G575" i="6"/>
  <c r="F575" i="6"/>
  <c r="E575" i="6"/>
  <c r="D575" i="6"/>
  <c r="E574" i="6"/>
  <c r="D574" i="6"/>
  <c r="H573" i="6"/>
  <c r="E573" i="6"/>
  <c r="F573" i="6" s="1"/>
  <c r="D573" i="6"/>
  <c r="H572" i="6"/>
  <c r="F572" i="6"/>
  <c r="E572" i="6"/>
  <c r="G572" i="6" s="1"/>
  <c r="D572" i="6"/>
  <c r="H571" i="6"/>
  <c r="E571" i="6"/>
  <c r="G571" i="6" s="1"/>
  <c r="D571" i="6"/>
  <c r="H570" i="6"/>
  <c r="E570" i="6"/>
  <c r="G570" i="6" s="1"/>
  <c r="D570" i="6"/>
  <c r="G569" i="6"/>
  <c r="E569" i="6"/>
  <c r="F569" i="6" s="1"/>
  <c r="D569" i="6"/>
  <c r="H568" i="6"/>
  <c r="E568" i="6"/>
  <c r="G568" i="6" s="1"/>
  <c r="D568" i="6"/>
  <c r="E567" i="6"/>
  <c r="D567" i="6"/>
  <c r="G566" i="6"/>
  <c r="F566" i="6"/>
  <c r="E566" i="6"/>
  <c r="D566" i="6"/>
  <c r="E565" i="6"/>
  <c r="D565" i="6"/>
  <c r="F564" i="6"/>
  <c r="E564" i="6"/>
  <c r="G564" i="6" s="1"/>
  <c r="D564" i="6"/>
  <c r="E563" i="6"/>
  <c r="G563" i="6" s="1"/>
  <c r="D563" i="6"/>
  <c r="E562" i="6"/>
  <c r="G562" i="6" s="1"/>
  <c r="D562" i="6"/>
  <c r="G561" i="6"/>
  <c r="F561" i="6"/>
  <c r="E561" i="6"/>
  <c r="D561" i="6"/>
  <c r="E560" i="6"/>
  <c r="G560" i="6" s="1"/>
  <c r="D560" i="6"/>
  <c r="G559" i="6"/>
  <c r="F559" i="6"/>
  <c r="E559" i="6"/>
  <c r="D559" i="6"/>
  <c r="H558" i="6"/>
  <c r="E558" i="6"/>
  <c r="F558" i="6" s="1"/>
  <c r="D558" i="6"/>
  <c r="H557" i="6"/>
  <c r="E557" i="6"/>
  <c r="G557" i="6" s="1"/>
  <c r="D557" i="6"/>
  <c r="H556" i="6"/>
  <c r="F556" i="6"/>
  <c r="E556" i="6"/>
  <c r="G556" i="6" s="1"/>
  <c r="D556" i="6"/>
  <c r="H555" i="6"/>
  <c r="E555" i="6"/>
  <c r="G555" i="6" s="1"/>
  <c r="D555" i="6"/>
  <c r="H554" i="6"/>
  <c r="G554" i="6"/>
  <c r="F554" i="6"/>
  <c r="E554" i="6"/>
  <c r="D554" i="6"/>
  <c r="H553" i="6"/>
  <c r="G553" i="6"/>
  <c r="E553" i="6"/>
  <c r="F553" i="6" s="1"/>
  <c r="D553" i="6"/>
  <c r="E552" i="6"/>
  <c r="D552" i="6"/>
  <c r="H551" i="6"/>
  <c r="E551" i="6"/>
  <c r="F551" i="6" s="1"/>
  <c r="D551" i="6"/>
  <c r="G550" i="6"/>
  <c r="F550" i="6"/>
  <c r="E550" i="6"/>
  <c r="D550" i="6"/>
  <c r="E549" i="6"/>
  <c r="D549" i="6"/>
  <c r="F548" i="6"/>
  <c r="E548" i="6"/>
  <c r="G548" i="6" s="1"/>
  <c r="D548" i="6"/>
  <c r="E547" i="6"/>
  <c r="G547" i="6" s="1"/>
  <c r="D547" i="6"/>
  <c r="E546" i="6"/>
  <c r="G546" i="6" s="1"/>
  <c r="D546" i="6"/>
  <c r="E545" i="6"/>
  <c r="G545" i="6" s="1"/>
  <c r="D545" i="6"/>
  <c r="E544" i="6"/>
  <c r="G544" i="6" s="1"/>
  <c r="D544" i="6"/>
  <c r="H543" i="6"/>
  <c r="G543" i="6"/>
  <c r="F543" i="6"/>
  <c r="E543" i="6"/>
  <c r="D543" i="6"/>
  <c r="H542" i="6"/>
  <c r="F542" i="6"/>
  <c r="E542" i="6"/>
  <c r="G542" i="6" s="1"/>
  <c r="D542" i="6"/>
  <c r="H541" i="6"/>
  <c r="E541" i="6"/>
  <c r="G541" i="6" s="1"/>
  <c r="D541" i="6"/>
  <c r="H540" i="6"/>
  <c r="F540" i="6"/>
  <c r="E540" i="6"/>
  <c r="G540" i="6" s="1"/>
  <c r="D540" i="6"/>
  <c r="G539" i="6"/>
  <c r="F539" i="6"/>
  <c r="E539" i="6"/>
  <c r="D539" i="6"/>
  <c r="H538" i="6"/>
  <c r="E538" i="6"/>
  <c r="G538" i="6" s="1"/>
  <c r="D538" i="6"/>
  <c r="H537" i="6"/>
  <c r="G537" i="6"/>
  <c r="E537" i="6"/>
  <c r="F537" i="6" s="1"/>
  <c r="D537" i="6"/>
  <c r="E536" i="6"/>
  <c r="G536" i="6" s="1"/>
  <c r="D536" i="6"/>
  <c r="H535" i="6"/>
  <c r="G535" i="6"/>
  <c r="F535" i="6"/>
  <c r="E535" i="6"/>
  <c r="D535" i="6"/>
  <c r="G534" i="6"/>
  <c r="F534" i="6"/>
  <c r="E534" i="6"/>
  <c r="D534" i="6"/>
  <c r="E533" i="6"/>
  <c r="D533" i="6"/>
  <c r="E532" i="6"/>
  <c r="G532" i="6" s="1"/>
  <c r="D532" i="6"/>
  <c r="E531" i="6"/>
  <c r="G531" i="6" s="1"/>
  <c r="D531" i="6"/>
  <c r="E530" i="6"/>
  <c r="G530" i="6" s="1"/>
  <c r="D530" i="6"/>
  <c r="E529" i="6"/>
  <c r="G529" i="6" s="1"/>
  <c r="D529" i="6"/>
  <c r="H528" i="6"/>
  <c r="E528" i="6"/>
  <c r="F528" i="6" s="1"/>
  <c r="D528" i="6"/>
  <c r="G527" i="6"/>
  <c r="F527" i="6"/>
  <c r="E527" i="6"/>
  <c r="D527" i="6"/>
  <c r="H526" i="6"/>
  <c r="E526" i="6"/>
  <c r="D526" i="6"/>
  <c r="H525" i="6"/>
  <c r="E525" i="6"/>
  <c r="G525" i="6" s="1"/>
  <c r="D525" i="6"/>
  <c r="H524" i="6"/>
  <c r="G524" i="6"/>
  <c r="F524" i="6"/>
  <c r="E524" i="6"/>
  <c r="D524" i="6"/>
  <c r="H523" i="6"/>
  <c r="E523" i="6"/>
  <c r="F523" i="6" s="1"/>
  <c r="D523" i="6"/>
  <c r="H522" i="6"/>
  <c r="E522" i="6"/>
  <c r="G522" i="6" s="1"/>
  <c r="D522" i="6"/>
  <c r="H521" i="6"/>
  <c r="G521" i="6"/>
  <c r="E521" i="6"/>
  <c r="F521" i="6" s="1"/>
  <c r="D521" i="6"/>
  <c r="E520" i="6"/>
  <c r="G520" i="6" s="1"/>
  <c r="D520" i="6"/>
  <c r="E519" i="6"/>
  <c r="D519" i="6"/>
  <c r="G518" i="6"/>
  <c r="F518" i="6"/>
  <c r="E518" i="6"/>
  <c r="D518" i="6"/>
  <c r="E517" i="6"/>
  <c r="D517" i="6"/>
  <c r="F516" i="6"/>
  <c r="E516" i="6"/>
  <c r="G516" i="6" s="1"/>
  <c r="D516" i="6"/>
  <c r="E515" i="6"/>
  <c r="G515" i="6" s="1"/>
  <c r="D515" i="6"/>
  <c r="E514" i="6"/>
  <c r="G514" i="6" s="1"/>
  <c r="D514" i="6"/>
  <c r="H513" i="6"/>
  <c r="G513" i="6"/>
  <c r="F513" i="6"/>
  <c r="E513" i="6"/>
  <c r="D513" i="6"/>
  <c r="H512" i="6"/>
  <c r="E512" i="6"/>
  <c r="G512" i="6" s="1"/>
  <c r="D512" i="6"/>
  <c r="H511" i="6"/>
  <c r="G511" i="6"/>
  <c r="F511" i="6"/>
  <c r="E511" i="6"/>
  <c r="D511" i="6"/>
  <c r="H510" i="6"/>
  <c r="E510" i="6"/>
  <c r="F510" i="6" s="1"/>
  <c r="D510" i="6"/>
  <c r="F509" i="6"/>
  <c r="E509" i="6"/>
  <c r="G509" i="6" s="1"/>
  <c r="D509" i="6"/>
  <c r="H508" i="6"/>
  <c r="G508" i="6"/>
  <c r="F508" i="6"/>
  <c r="E508" i="6"/>
  <c r="D508" i="6"/>
  <c r="E507" i="6"/>
  <c r="G507" i="6" s="1"/>
  <c r="D507" i="6"/>
  <c r="G506" i="6"/>
  <c r="F506" i="6"/>
  <c r="E506" i="6"/>
  <c r="D506" i="6"/>
  <c r="G505" i="6"/>
  <c r="E505" i="6"/>
  <c r="F505" i="6" s="1"/>
  <c r="D505" i="6"/>
  <c r="E504" i="6"/>
  <c r="G504" i="6" s="1"/>
  <c r="D504" i="6"/>
  <c r="E503" i="6"/>
  <c r="G503" i="6" s="1"/>
  <c r="D503" i="6"/>
  <c r="G502" i="6"/>
  <c r="F502" i="6"/>
  <c r="E502" i="6"/>
  <c r="D502" i="6"/>
  <c r="E501" i="6"/>
  <c r="D501" i="6"/>
  <c r="E500" i="6"/>
  <c r="G500" i="6" s="1"/>
  <c r="D500" i="6"/>
  <c r="E499" i="6"/>
  <c r="F499" i="6" s="1"/>
  <c r="D499" i="6"/>
  <c r="H498" i="6"/>
  <c r="G498" i="6"/>
  <c r="F498" i="6"/>
  <c r="D498" i="6"/>
  <c r="G497" i="6"/>
  <c r="F497" i="6"/>
  <c r="D497" i="6"/>
  <c r="H496" i="6"/>
  <c r="G496" i="6"/>
  <c r="F496" i="6"/>
  <c r="D496" i="6"/>
  <c r="H495" i="6"/>
  <c r="G495" i="6"/>
  <c r="F495" i="6"/>
  <c r="D495" i="6"/>
  <c r="G494" i="6"/>
  <c r="F494" i="6"/>
  <c r="D494" i="6"/>
  <c r="H493" i="6"/>
  <c r="G493" i="6"/>
  <c r="F493" i="6"/>
  <c r="D493" i="6"/>
  <c r="G492" i="6"/>
  <c r="F492" i="6"/>
  <c r="D492" i="6"/>
  <c r="H491" i="6"/>
  <c r="G491" i="6"/>
  <c r="F491" i="6"/>
  <c r="D491" i="6"/>
  <c r="G490" i="6"/>
  <c r="F490" i="6"/>
  <c r="D490" i="6"/>
  <c r="G489" i="6"/>
  <c r="F489" i="6"/>
  <c r="D489" i="6"/>
  <c r="G488" i="6"/>
  <c r="F488" i="6"/>
  <c r="D488" i="6"/>
  <c r="G487" i="6"/>
  <c r="F487" i="6"/>
  <c r="D487" i="6"/>
  <c r="G486" i="6"/>
  <c r="F486" i="6"/>
  <c r="D486" i="6"/>
  <c r="G485" i="6"/>
  <c r="F485" i="6"/>
  <c r="D485" i="6"/>
  <c r="G484" i="6"/>
  <c r="F484" i="6"/>
  <c r="D484" i="6"/>
  <c r="H483" i="6"/>
  <c r="G483" i="6"/>
  <c r="F483" i="6"/>
  <c r="D483" i="6"/>
  <c r="H482" i="6"/>
  <c r="G482" i="6"/>
  <c r="F482" i="6"/>
  <c r="D482" i="6"/>
  <c r="H481" i="6"/>
  <c r="G481" i="6"/>
  <c r="F481" i="6"/>
  <c r="D481" i="6"/>
  <c r="H480" i="6"/>
  <c r="G480" i="6"/>
  <c r="F480" i="6"/>
  <c r="D480" i="6"/>
  <c r="G479" i="6"/>
  <c r="F479" i="6"/>
  <c r="D479" i="6"/>
  <c r="H478" i="6"/>
  <c r="G478" i="6"/>
  <c r="F478" i="6"/>
  <c r="D478" i="6"/>
  <c r="G477" i="6"/>
  <c r="F477" i="6"/>
  <c r="D477" i="6"/>
  <c r="G476" i="6"/>
  <c r="F476" i="6"/>
  <c r="D476" i="6"/>
  <c r="G475" i="6"/>
  <c r="F475" i="6"/>
  <c r="D475" i="6"/>
  <c r="G474" i="6"/>
  <c r="F474" i="6"/>
  <c r="D474" i="6"/>
  <c r="G473" i="6"/>
  <c r="F473" i="6"/>
  <c r="D473" i="6"/>
  <c r="G472" i="6"/>
  <c r="F472" i="6"/>
  <c r="D472" i="6"/>
  <c r="G471" i="6"/>
  <c r="F471" i="6"/>
  <c r="D471" i="6"/>
  <c r="G470" i="6"/>
  <c r="F470" i="6"/>
  <c r="D470" i="6"/>
  <c r="G469" i="6"/>
  <c r="F469" i="6"/>
  <c r="D469" i="6"/>
  <c r="H468" i="6"/>
  <c r="G468" i="6"/>
  <c r="F468" i="6"/>
  <c r="D468" i="6"/>
  <c r="H467" i="6"/>
  <c r="G467" i="6"/>
  <c r="F467" i="6"/>
  <c r="D467" i="6"/>
  <c r="H466" i="6"/>
  <c r="G466" i="6"/>
  <c r="F466" i="6"/>
  <c r="D466" i="6"/>
  <c r="H465" i="6"/>
  <c r="G465" i="6"/>
  <c r="F465" i="6"/>
  <c r="D465" i="6"/>
  <c r="G464" i="6"/>
  <c r="F464" i="6"/>
  <c r="D464" i="6"/>
  <c r="H463" i="6"/>
  <c r="G463" i="6"/>
  <c r="F463" i="6"/>
  <c r="D463" i="6"/>
  <c r="G462" i="6"/>
  <c r="F462" i="6"/>
  <c r="D462" i="6"/>
  <c r="G461" i="6"/>
  <c r="F461" i="6"/>
  <c r="D461" i="6"/>
  <c r="G460" i="6"/>
  <c r="F460" i="6"/>
  <c r="D460" i="6"/>
  <c r="G459" i="6"/>
  <c r="F459" i="6"/>
  <c r="D459" i="6"/>
  <c r="G458" i="6"/>
  <c r="F458" i="6"/>
  <c r="D458" i="6"/>
  <c r="G457" i="6"/>
  <c r="F457" i="6"/>
  <c r="D457" i="6"/>
  <c r="G456" i="6"/>
  <c r="F456" i="6"/>
  <c r="D456" i="6"/>
  <c r="G455" i="6"/>
  <c r="F455" i="6"/>
  <c r="D455" i="6"/>
  <c r="G454" i="6"/>
  <c r="F454" i="6"/>
  <c r="D454" i="6"/>
  <c r="H453" i="6"/>
  <c r="G453" i="6"/>
  <c r="F453" i="6"/>
  <c r="D453" i="6"/>
  <c r="H452" i="6"/>
  <c r="G452" i="6"/>
  <c r="F452" i="6"/>
  <c r="D452" i="6"/>
  <c r="H451" i="6"/>
  <c r="G451" i="6"/>
  <c r="F451" i="6"/>
  <c r="D451" i="6"/>
  <c r="H450" i="6"/>
  <c r="G450" i="6"/>
  <c r="F450" i="6"/>
  <c r="D450" i="6"/>
  <c r="H449" i="6"/>
  <c r="G449" i="6"/>
  <c r="F449" i="6"/>
  <c r="D449" i="6"/>
  <c r="H448" i="6"/>
  <c r="G448" i="6"/>
  <c r="F448" i="6"/>
  <c r="D448" i="6"/>
  <c r="G447" i="6"/>
  <c r="F447" i="6"/>
  <c r="D447" i="6"/>
  <c r="G446" i="6"/>
  <c r="F446" i="6"/>
  <c r="D446" i="6"/>
  <c r="G445" i="6"/>
  <c r="F445" i="6"/>
  <c r="D445" i="6"/>
  <c r="G444" i="6"/>
  <c r="F444" i="6"/>
  <c r="D444" i="6"/>
  <c r="G443" i="6"/>
  <c r="F443" i="6"/>
  <c r="D443" i="6"/>
  <c r="G442" i="6"/>
  <c r="F442" i="6"/>
  <c r="D442" i="6"/>
  <c r="G441" i="6"/>
  <c r="F441" i="6"/>
  <c r="D441" i="6"/>
  <c r="G440" i="6"/>
  <c r="F440" i="6"/>
  <c r="D440" i="6"/>
  <c r="G439" i="6"/>
  <c r="F439" i="6"/>
  <c r="D439" i="6"/>
  <c r="H438" i="6"/>
  <c r="G438" i="6"/>
  <c r="F438" i="6"/>
  <c r="D438" i="6"/>
  <c r="H437" i="6"/>
  <c r="G437" i="6"/>
  <c r="F437" i="6"/>
  <c r="D437" i="6"/>
  <c r="H436" i="6"/>
  <c r="G436" i="6"/>
  <c r="F436" i="6"/>
  <c r="D436" i="6"/>
  <c r="H435" i="6"/>
  <c r="G435" i="6"/>
  <c r="F435" i="6"/>
  <c r="D435" i="6"/>
  <c r="G434" i="6"/>
  <c r="F434" i="6"/>
  <c r="D434" i="6"/>
  <c r="H433" i="6"/>
  <c r="G433" i="6"/>
  <c r="F433" i="6"/>
  <c r="D433" i="6"/>
  <c r="G432" i="6"/>
  <c r="F432" i="6"/>
  <c r="D432" i="6"/>
  <c r="G431" i="6"/>
  <c r="F431" i="6"/>
  <c r="D431" i="6"/>
  <c r="G430" i="6"/>
  <c r="F430" i="6"/>
  <c r="D430" i="6"/>
  <c r="G429" i="6"/>
  <c r="F429" i="6"/>
  <c r="D429" i="6"/>
  <c r="G428" i="6"/>
  <c r="F428" i="6"/>
  <c r="D428" i="6"/>
  <c r="G427" i="6"/>
  <c r="F427" i="6"/>
  <c r="D427" i="6"/>
  <c r="G426" i="6"/>
  <c r="F426" i="6"/>
  <c r="D426" i="6"/>
  <c r="G425" i="6"/>
  <c r="F425" i="6"/>
  <c r="D425" i="6"/>
  <c r="G424" i="6"/>
  <c r="F424" i="6"/>
  <c r="D424" i="6"/>
  <c r="H423" i="6"/>
  <c r="G423" i="6"/>
  <c r="F423" i="6"/>
  <c r="D423" i="6"/>
  <c r="G422" i="6"/>
  <c r="F422" i="6"/>
  <c r="D422" i="6"/>
  <c r="H421" i="6"/>
  <c r="G421" i="6"/>
  <c r="F421" i="6"/>
  <c r="D421" i="6"/>
  <c r="H420" i="6"/>
  <c r="G420" i="6"/>
  <c r="F420" i="6"/>
  <c r="D420" i="6"/>
  <c r="H419" i="6"/>
  <c r="G419" i="6"/>
  <c r="F419" i="6"/>
  <c r="D419" i="6"/>
  <c r="H418" i="6"/>
  <c r="G418" i="6"/>
  <c r="F418" i="6"/>
  <c r="D418" i="6"/>
  <c r="G417" i="6"/>
  <c r="F417" i="6"/>
  <c r="D417" i="6"/>
  <c r="H416" i="6"/>
  <c r="G416" i="6"/>
  <c r="F416" i="6"/>
  <c r="D416" i="6"/>
  <c r="G415" i="6"/>
  <c r="F415" i="6"/>
  <c r="D415" i="6"/>
  <c r="G414" i="6"/>
  <c r="F414" i="6"/>
  <c r="D414" i="6"/>
  <c r="G413" i="6"/>
  <c r="F413" i="6"/>
  <c r="D413" i="6"/>
  <c r="G412" i="6"/>
  <c r="F412" i="6"/>
  <c r="D412" i="6"/>
  <c r="G411" i="6"/>
  <c r="F411" i="6"/>
  <c r="D411" i="6"/>
  <c r="G410" i="6"/>
  <c r="F410" i="6"/>
  <c r="D410" i="6"/>
  <c r="G409" i="6"/>
  <c r="F409" i="6"/>
  <c r="D409" i="6"/>
  <c r="H408" i="6"/>
  <c r="G408" i="6"/>
  <c r="F408" i="6"/>
  <c r="D408" i="6"/>
  <c r="H407" i="6"/>
  <c r="G407" i="6"/>
  <c r="F407" i="6"/>
  <c r="D407" i="6"/>
  <c r="H406" i="6"/>
  <c r="G406" i="6"/>
  <c r="F406" i="6"/>
  <c r="D406" i="6"/>
  <c r="H405" i="6"/>
  <c r="G405" i="6"/>
  <c r="F405" i="6"/>
  <c r="D405" i="6"/>
  <c r="G404" i="6"/>
  <c r="F404" i="6"/>
  <c r="D404" i="6"/>
  <c r="H403" i="6"/>
  <c r="G403" i="6"/>
  <c r="F403" i="6"/>
  <c r="D403" i="6"/>
  <c r="G402" i="6"/>
  <c r="F402" i="6"/>
  <c r="D402" i="6"/>
  <c r="G401" i="6"/>
  <c r="F401" i="6"/>
  <c r="D401" i="6"/>
  <c r="G400" i="6"/>
  <c r="F400" i="6"/>
  <c r="D400" i="6"/>
  <c r="G399" i="6"/>
  <c r="F399" i="6"/>
  <c r="D399" i="6"/>
  <c r="G398" i="6"/>
  <c r="F398" i="6"/>
  <c r="D398" i="6"/>
  <c r="G397" i="6"/>
  <c r="F397" i="6"/>
  <c r="D397" i="6"/>
  <c r="G396" i="6"/>
  <c r="F396" i="6"/>
  <c r="D396" i="6"/>
  <c r="G395" i="6"/>
  <c r="F395" i="6"/>
  <c r="D395" i="6"/>
  <c r="G394" i="6"/>
  <c r="F394" i="6"/>
  <c r="D394" i="6"/>
  <c r="H393" i="6"/>
  <c r="G393" i="6"/>
  <c r="F393" i="6"/>
  <c r="D393" i="6"/>
  <c r="G392" i="6"/>
  <c r="F392" i="6"/>
  <c r="D392" i="6"/>
  <c r="H391" i="6"/>
  <c r="G391" i="6"/>
  <c r="F391" i="6"/>
  <c r="D391" i="6"/>
  <c r="H390" i="6"/>
  <c r="G390" i="6"/>
  <c r="F390" i="6"/>
  <c r="D390" i="6"/>
  <c r="G389" i="6"/>
  <c r="F389" i="6"/>
  <c r="D389" i="6"/>
  <c r="H388" i="6"/>
  <c r="G388" i="6"/>
  <c r="F388" i="6"/>
  <c r="D388" i="6"/>
  <c r="G387" i="6"/>
  <c r="F387" i="6"/>
  <c r="D387" i="6"/>
  <c r="G386" i="6"/>
  <c r="F386" i="6"/>
  <c r="D386" i="6"/>
  <c r="G385" i="6"/>
  <c r="F385" i="6"/>
  <c r="D385" i="6"/>
  <c r="G384" i="6"/>
  <c r="F384" i="6"/>
  <c r="D384" i="6"/>
  <c r="G383" i="6"/>
  <c r="F383" i="6"/>
  <c r="D383" i="6"/>
  <c r="G382" i="6"/>
  <c r="F382" i="6"/>
  <c r="D382" i="6"/>
  <c r="G381" i="6"/>
  <c r="F381" i="6"/>
  <c r="D381" i="6"/>
  <c r="G380" i="6"/>
  <c r="F380" i="6"/>
  <c r="D380" i="6"/>
  <c r="G379" i="6"/>
  <c r="F379" i="6"/>
  <c r="D379" i="6"/>
  <c r="H378" i="6"/>
  <c r="G378" i="6"/>
  <c r="F378" i="6"/>
  <c r="D378" i="6"/>
  <c r="H377" i="6"/>
  <c r="G377" i="6"/>
  <c r="F377" i="6"/>
  <c r="D377" i="6"/>
  <c r="H376" i="6"/>
  <c r="G376" i="6"/>
  <c r="F376" i="6"/>
  <c r="D376" i="6"/>
  <c r="H375" i="6"/>
  <c r="G375" i="6"/>
  <c r="F375" i="6"/>
  <c r="D375" i="6"/>
  <c r="G374" i="6"/>
  <c r="F374" i="6"/>
  <c r="D374" i="6"/>
  <c r="H373" i="6"/>
  <c r="G373" i="6"/>
  <c r="F373" i="6"/>
  <c r="D373" i="6"/>
  <c r="G372" i="6"/>
  <c r="F372" i="6"/>
  <c r="D372" i="6"/>
  <c r="G371" i="6"/>
  <c r="F371" i="6"/>
  <c r="D371" i="6"/>
  <c r="G370" i="6"/>
  <c r="F370" i="6"/>
  <c r="D370" i="6"/>
  <c r="G369" i="6"/>
  <c r="F369" i="6"/>
  <c r="D369" i="6"/>
  <c r="G368" i="6"/>
  <c r="F368" i="6"/>
  <c r="D368" i="6"/>
  <c r="G367" i="6"/>
  <c r="F367" i="6"/>
  <c r="D367" i="6"/>
  <c r="G366" i="6"/>
  <c r="F366" i="6"/>
  <c r="D366" i="6"/>
  <c r="G365" i="6"/>
  <c r="F365" i="6"/>
  <c r="D365" i="6"/>
  <c r="G364" i="6"/>
  <c r="F364" i="6"/>
  <c r="D364" i="6"/>
  <c r="H363" i="6"/>
  <c r="G363" i="6"/>
  <c r="F363" i="6"/>
  <c r="D363" i="6"/>
  <c r="G362" i="6"/>
  <c r="F362" i="6"/>
  <c r="D362" i="6"/>
  <c r="H361" i="6"/>
  <c r="G361" i="6"/>
  <c r="F361" i="6"/>
  <c r="D361" i="6"/>
  <c r="H360" i="6"/>
  <c r="G360" i="6"/>
  <c r="F360" i="6"/>
  <c r="D360" i="6"/>
  <c r="G359" i="6"/>
  <c r="F359" i="6"/>
  <c r="D359" i="6"/>
  <c r="H358" i="6"/>
  <c r="G358" i="6"/>
  <c r="F358" i="6"/>
  <c r="D358" i="6"/>
  <c r="G357" i="6"/>
  <c r="F357" i="6"/>
  <c r="D357" i="6"/>
  <c r="G356" i="6"/>
  <c r="F356" i="6"/>
  <c r="D356" i="6"/>
  <c r="G355" i="6"/>
  <c r="F355" i="6"/>
  <c r="D355" i="6"/>
  <c r="G354" i="6"/>
  <c r="F354" i="6"/>
  <c r="D354" i="6"/>
  <c r="G353" i="6"/>
  <c r="F353" i="6"/>
  <c r="D353" i="6"/>
  <c r="G352" i="6"/>
  <c r="F352" i="6"/>
  <c r="D352" i="6"/>
  <c r="G351" i="6"/>
  <c r="F351" i="6"/>
  <c r="D351" i="6"/>
  <c r="G350" i="6"/>
  <c r="F350" i="6"/>
  <c r="D350" i="6"/>
  <c r="G349" i="6"/>
  <c r="F349" i="6"/>
  <c r="D349" i="6"/>
  <c r="H348" i="6"/>
  <c r="G348" i="6"/>
  <c r="F348" i="6"/>
  <c r="D348" i="6"/>
  <c r="G347" i="6"/>
  <c r="F347" i="6"/>
  <c r="D347" i="6"/>
  <c r="H346" i="6"/>
  <c r="G346" i="6"/>
  <c r="F346" i="6"/>
  <c r="D346" i="6"/>
  <c r="H345" i="6"/>
  <c r="G345" i="6"/>
  <c r="F345" i="6"/>
  <c r="D345" i="6"/>
  <c r="G344" i="6"/>
  <c r="F344" i="6"/>
  <c r="D344" i="6"/>
  <c r="H343" i="6"/>
  <c r="G343" i="6"/>
  <c r="F343" i="6"/>
  <c r="D343" i="6"/>
  <c r="G342" i="6"/>
  <c r="F342" i="6"/>
  <c r="D342" i="6"/>
  <c r="G341" i="6"/>
  <c r="F341" i="6"/>
  <c r="D341" i="6"/>
  <c r="H340" i="6"/>
  <c r="G340" i="6"/>
  <c r="F340" i="6"/>
  <c r="D340" i="6"/>
  <c r="G339" i="6"/>
  <c r="F339" i="6"/>
  <c r="D339" i="6"/>
  <c r="G338" i="6"/>
  <c r="F338" i="6"/>
  <c r="D338" i="6"/>
  <c r="G337" i="6"/>
  <c r="F337" i="6"/>
  <c r="D337" i="6"/>
  <c r="G336" i="6"/>
  <c r="F336" i="6"/>
  <c r="D336" i="6"/>
  <c r="H335" i="6"/>
  <c r="G335" i="6"/>
  <c r="F335" i="6"/>
  <c r="D335" i="6"/>
  <c r="G334" i="6"/>
  <c r="F334" i="6"/>
  <c r="D334" i="6"/>
  <c r="H333" i="6"/>
  <c r="G333" i="6"/>
  <c r="F333" i="6"/>
  <c r="D333" i="6"/>
  <c r="G332" i="6"/>
  <c r="F332" i="6"/>
  <c r="D332" i="6"/>
  <c r="H331" i="6"/>
  <c r="G331" i="6"/>
  <c r="F331" i="6"/>
  <c r="D331" i="6"/>
  <c r="H330" i="6"/>
  <c r="G330" i="6"/>
  <c r="F330" i="6"/>
  <c r="D330" i="6"/>
  <c r="H329" i="6"/>
  <c r="G329" i="6"/>
  <c r="F329" i="6"/>
  <c r="D329" i="6"/>
  <c r="H328" i="6"/>
  <c r="G328" i="6"/>
  <c r="F328" i="6"/>
  <c r="D328" i="6"/>
  <c r="H327" i="6"/>
  <c r="G327" i="6"/>
  <c r="F327" i="6"/>
  <c r="D327" i="6"/>
  <c r="H326" i="6"/>
  <c r="G326" i="6"/>
  <c r="F326" i="6"/>
  <c r="D326" i="6"/>
  <c r="H325" i="6"/>
  <c r="G325" i="6"/>
  <c r="F325" i="6"/>
  <c r="D325" i="6"/>
  <c r="H324" i="6"/>
  <c r="G324" i="6"/>
  <c r="F324" i="6"/>
  <c r="D324" i="6"/>
  <c r="H323" i="6"/>
  <c r="G323" i="6"/>
  <c r="F323" i="6"/>
  <c r="D323" i="6"/>
  <c r="H322" i="6"/>
  <c r="G322" i="6"/>
  <c r="F322" i="6"/>
  <c r="D322" i="6"/>
  <c r="H321" i="6"/>
  <c r="G321" i="6"/>
  <c r="F321" i="6"/>
  <c r="D321" i="6"/>
  <c r="H320" i="6"/>
  <c r="G320" i="6"/>
  <c r="F320" i="6"/>
  <c r="D320" i="6"/>
  <c r="H319" i="6"/>
  <c r="G319" i="6"/>
  <c r="F319" i="6"/>
  <c r="D319" i="6"/>
  <c r="H318" i="6"/>
  <c r="G318" i="6"/>
  <c r="F318" i="6"/>
  <c r="D318" i="6"/>
  <c r="H317" i="6"/>
  <c r="G317" i="6"/>
  <c r="F317" i="6"/>
  <c r="D317" i="6"/>
  <c r="H316" i="6"/>
  <c r="G316" i="6"/>
  <c r="F316" i="6"/>
  <c r="D316" i="6"/>
  <c r="H315" i="6"/>
  <c r="G315" i="6"/>
  <c r="F315" i="6"/>
  <c r="D315" i="6"/>
  <c r="H314" i="6"/>
  <c r="G314" i="6"/>
  <c r="F314" i="6"/>
  <c r="D314" i="6"/>
  <c r="H313" i="6"/>
  <c r="G313" i="6"/>
  <c r="F313" i="6"/>
  <c r="D313" i="6"/>
  <c r="H312" i="6"/>
  <c r="G312" i="6"/>
  <c r="F312" i="6"/>
  <c r="D312" i="6"/>
  <c r="H311" i="6"/>
  <c r="G311" i="6"/>
  <c r="F311" i="6"/>
  <c r="D311" i="6"/>
  <c r="H310" i="6"/>
  <c r="G310" i="6"/>
  <c r="F310" i="6"/>
  <c r="D310" i="6"/>
  <c r="H309" i="6"/>
  <c r="G309" i="6"/>
  <c r="F309" i="6"/>
  <c r="D309" i="6"/>
  <c r="H308" i="6"/>
  <c r="G308" i="6"/>
  <c r="F308" i="6"/>
  <c r="D308" i="6"/>
  <c r="H307" i="6"/>
  <c r="G307" i="6"/>
  <c r="F307" i="6"/>
  <c r="D307" i="6"/>
  <c r="H306" i="6"/>
  <c r="G306" i="6"/>
  <c r="F306" i="6"/>
  <c r="D306" i="6"/>
  <c r="H305" i="6"/>
  <c r="G305" i="6"/>
  <c r="F305" i="6"/>
  <c r="D305" i="6"/>
  <c r="H304" i="6"/>
  <c r="G304" i="6"/>
  <c r="F304" i="6"/>
  <c r="D304" i="6"/>
  <c r="H303" i="6"/>
  <c r="G303" i="6"/>
  <c r="F303" i="6"/>
  <c r="D303" i="6"/>
  <c r="H302" i="6"/>
  <c r="G302" i="6"/>
  <c r="F302" i="6"/>
  <c r="D302" i="6"/>
  <c r="H301" i="6"/>
  <c r="G301" i="6"/>
  <c r="F301" i="6"/>
  <c r="D301" i="6"/>
  <c r="H300" i="6"/>
  <c r="G300" i="6"/>
  <c r="F300" i="6"/>
  <c r="D300" i="6"/>
  <c r="H299" i="6"/>
  <c r="G299" i="6"/>
  <c r="F299" i="6"/>
  <c r="D299" i="6"/>
  <c r="H298" i="6"/>
  <c r="G298" i="6"/>
  <c r="F298" i="6"/>
  <c r="D298" i="6"/>
  <c r="H297" i="6"/>
  <c r="G297" i="6"/>
  <c r="F297" i="6"/>
  <c r="D297" i="6"/>
  <c r="H296" i="6"/>
  <c r="G296" i="6"/>
  <c r="F296" i="6"/>
  <c r="D296" i="6"/>
  <c r="H295" i="6"/>
  <c r="G295" i="6"/>
  <c r="F295" i="6"/>
  <c r="D295" i="6"/>
  <c r="H294" i="6"/>
  <c r="G294" i="6"/>
  <c r="F294" i="6"/>
  <c r="D294" i="6"/>
  <c r="H293" i="6"/>
  <c r="G293" i="6"/>
  <c r="F293" i="6"/>
  <c r="D293" i="6"/>
  <c r="H292" i="6"/>
  <c r="G292" i="6"/>
  <c r="F292" i="6"/>
  <c r="D292" i="6"/>
  <c r="H291" i="6"/>
  <c r="G291" i="6"/>
  <c r="F291" i="6"/>
  <c r="D291" i="6"/>
  <c r="H290" i="6"/>
  <c r="G290" i="6"/>
  <c r="F290" i="6"/>
  <c r="D290" i="6"/>
  <c r="H289" i="6"/>
  <c r="G289" i="6"/>
  <c r="F289" i="6"/>
  <c r="D289" i="6"/>
  <c r="H288" i="6"/>
  <c r="G288" i="6"/>
  <c r="F288" i="6"/>
  <c r="D288" i="6"/>
  <c r="H287" i="6"/>
  <c r="G287" i="6"/>
  <c r="F287" i="6"/>
  <c r="D287" i="6"/>
  <c r="H286" i="6"/>
  <c r="G286" i="6"/>
  <c r="F286" i="6"/>
  <c r="D286" i="6"/>
  <c r="H285" i="6"/>
  <c r="G285" i="6"/>
  <c r="F285" i="6"/>
  <c r="D285" i="6"/>
  <c r="H284" i="6"/>
  <c r="G284" i="6"/>
  <c r="F284" i="6"/>
  <c r="D284" i="6"/>
  <c r="H283" i="6"/>
  <c r="G283" i="6"/>
  <c r="F283" i="6"/>
  <c r="D283" i="6"/>
  <c r="H282" i="6"/>
  <c r="G282" i="6"/>
  <c r="F282" i="6"/>
  <c r="D282" i="6"/>
  <c r="H281" i="6"/>
  <c r="G281" i="6"/>
  <c r="F281" i="6"/>
  <c r="D281" i="6"/>
  <c r="H280" i="6"/>
  <c r="G280" i="6"/>
  <c r="F280" i="6"/>
  <c r="D280" i="6"/>
  <c r="H279" i="6"/>
  <c r="G279" i="6"/>
  <c r="F279" i="6"/>
  <c r="D279" i="6"/>
  <c r="H278" i="6"/>
  <c r="G278" i="6"/>
  <c r="F278" i="6"/>
  <c r="D278" i="6"/>
  <c r="H277" i="6"/>
  <c r="G277" i="6"/>
  <c r="F277" i="6"/>
  <c r="D277" i="6"/>
  <c r="H276" i="6"/>
  <c r="G276" i="6"/>
  <c r="F276" i="6"/>
  <c r="D276" i="6"/>
  <c r="H275" i="6"/>
  <c r="G275" i="6"/>
  <c r="F275" i="6"/>
  <c r="D275" i="6"/>
  <c r="H274" i="6"/>
  <c r="G274" i="6"/>
  <c r="F274" i="6"/>
  <c r="D274" i="6"/>
  <c r="H273" i="6"/>
  <c r="G273" i="6"/>
  <c r="F273" i="6"/>
  <c r="D273" i="6"/>
  <c r="H272" i="6"/>
  <c r="G272" i="6"/>
  <c r="F272" i="6"/>
  <c r="D272" i="6"/>
  <c r="H271" i="6"/>
  <c r="G271" i="6"/>
  <c r="F271" i="6"/>
  <c r="D271" i="6"/>
  <c r="H270" i="6"/>
  <c r="G270" i="6"/>
  <c r="F270" i="6"/>
  <c r="D270" i="6"/>
  <c r="H269" i="6"/>
  <c r="G269" i="6"/>
  <c r="F269" i="6"/>
  <c r="D269" i="6"/>
  <c r="H268" i="6"/>
  <c r="G268" i="6"/>
  <c r="F268" i="6"/>
  <c r="D268" i="6"/>
  <c r="H267" i="6"/>
  <c r="G267" i="6"/>
  <c r="F267" i="6"/>
  <c r="D267" i="6"/>
  <c r="H266" i="6"/>
  <c r="G266" i="6"/>
  <c r="F266" i="6"/>
  <c r="D266" i="6"/>
  <c r="H265" i="6"/>
  <c r="G265" i="6"/>
  <c r="F265" i="6"/>
  <c r="D265" i="6"/>
  <c r="H264" i="6"/>
  <c r="G264" i="6"/>
  <c r="F264" i="6"/>
  <c r="D264" i="6"/>
  <c r="H263" i="6"/>
  <c r="G263" i="6"/>
  <c r="F263" i="6"/>
  <c r="D263" i="6"/>
  <c r="H262" i="6"/>
  <c r="G262" i="6"/>
  <c r="F262" i="6"/>
  <c r="D262" i="6"/>
  <c r="H261" i="6"/>
  <c r="G261" i="6"/>
  <c r="F261" i="6"/>
  <c r="D261" i="6"/>
  <c r="H260" i="6"/>
  <c r="G260" i="6"/>
  <c r="F260" i="6"/>
  <c r="D260" i="6"/>
  <c r="H259" i="6"/>
  <c r="G259" i="6"/>
  <c r="F259" i="6"/>
  <c r="D259" i="6"/>
  <c r="H258" i="6"/>
  <c r="G258" i="6"/>
  <c r="F258" i="6"/>
  <c r="D258" i="6"/>
  <c r="H257" i="6"/>
  <c r="G257" i="6"/>
  <c r="F257" i="6"/>
  <c r="D257" i="6"/>
  <c r="H256" i="6"/>
  <c r="G256" i="6"/>
  <c r="F256" i="6"/>
  <c r="D256" i="6"/>
  <c r="H255" i="6"/>
  <c r="G255" i="6"/>
  <c r="F255" i="6"/>
  <c r="D255" i="6"/>
  <c r="H254" i="6"/>
  <c r="G254" i="6"/>
  <c r="F254" i="6"/>
  <c r="D254" i="6"/>
  <c r="H253" i="6"/>
  <c r="G253" i="6"/>
  <c r="F253" i="6"/>
  <c r="D253" i="6"/>
  <c r="H252" i="6"/>
  <c r="G252" i="6"/>
  <c r="F252" i="6"/>
  <c r="D252" i="6"/>
  <c r="H251" i="6"/>
  <c r="G251" i="6"/>
  <c r="F251" i="6"/>
  <c r="D251" i="6"/>
  <c r="H250" i="6"/>
  <c r="G250" i="6"/>
  <c r="F250" i="6"/>
  <c r="D250" i="6"/>
  <c r="H249" i="6"/>
  <c r="G249" i="6"/>
  <c r="F249" i="6"/>
  <c r="D249" i="6"/>
  <c r="H248" i="6"/>
  <c r="G248" i="6"/>
  <c r="F248" i="6"/>
  <c r="D248" i="6"/>
  <c r="H247" i="6"/>
  <c r="G247" i="6"/>
  <c r="F247" i="6"/>
  <c r="D247" i="6"/>
  <c r="H246" i="6"/>
  <c r="G246" i="6"/>
  <c r="F246" i="6"/>
  <c r="D246" i="6"/>
  <c r="H245" i="6"/>
  <c r="G245" i="6"/>
  <c r="F245" i="6"/>
  <c r="D245" i="6"/>
  <c r="H244" i="6"/>
  <c r="G244" i="6"/>
  <c r="F244" i="6"/>
  <c r="D244" i="6"/>
  <c r="H243" i="6"/>
  <c r="G243" i="6"/>
  <c r="F243" i="6"/>
  <c r="D243" i="6"/>
  <c r="H242" i="6"/>
  <c r="G242" i="6"/>
  <c r="F242" i="6"/>
  <c r="D242" i="6"/>
  <c r="H241" i="6"/>
  <c r="G241" i="6"/>
  <c r="F241" i="6"/>
  <c r="D241" i="6"/>
  <c r="H240" i="6"/>
  <c r="G240" i="6"/>
  <c r="F240" i="6"/>
  <c r="D240" i="6"/>
  <c r="H239" i="6"/>
  <c r="G239" i="6"/>
  <c r="F239" i="6"/>
  <c r="D239" i="6"/>
  <c r="H238" i="6"/>
  <c r="G238" i="6"/>
  <c r="F238" i="6"/>
  <c r="D238" i="6"/>
  <c r="H237" i="6"/>
  <c r="G237" i="6"/>
  <c r="F237" i="6"/>
  <c r="D237" i="6"/>
  <c r="H236" i="6"/>
  <c r="G236" i="6"/>
  <c r="F236" i="6"/>
  <c r="D236" i="6"/>
  <c r="H235" i="6"/>
  <c r="G235" i="6"/>
  <c r="F235" i="6"/>
  <c r="D235" i="6"/>
  <c r="H234" i="6"/>
  <c r="G234" i="6"/>
  <c r="F234" i="6"/>
  <c r="D234" i="6"/>
  <c r="H233" i="6"/>
  <c r="G233" i="6"/>
  <c r="F233" i="6"/>
  <c r="D233" i="6"/>
  <c r="H232" i="6"/>
  <c r="G232" i="6"/>
  <c r="F232" i="6"/>
  <c r="D232" i="6"/>
  <c r="H231" i="6"/>
  <c r="G231" i="6"/>
  <c r="F231" i="6"/>
  <c r="D231" i="6"/>
  <c r="H230" i="6"/>
  <c r="G230" i="6"/>
  <c r="F230" i="6"/>
  <c r="D230" i="6"/>
  <c r="H229" i="6"/>
  <c r="G229" i="6"/>
  <c r="F229" i="6"/>
  <c r="D229" i="6"/>
  <c r="H228" i="6"/>
  <c r="G228" i="6"/>
  <c r="F228" i="6"/>
  <c r="D228" i="6"/>
  <c r="H227" i="6"/>
  <c r="G227" i="6"/>
  <c r="F227" i="6"/>
  <c r="D227" i="6"/>
  <c r="H226" i="6"/>
  <c r="G226" i="6"/>
  <c r="F226" i="6"/>
  <c r="D226" i="6"/>
  <c r="H225" i="6"/>
  <c r="G225" i="6"/>
  <c r="F225" i="6"/>
  <c r="D225" i="6"/>
  <c r="H224" i="6"/>
  <c r="G224" i="6"/>
  <c r="F224" i="6"/>
  <c r="D224" i="6"/>
  <c r="H223" i="6"/>
  <c r="G223" i="6"/>
  <c r="F223" i="6"/>
  <c r="D223" i="6"/>
  <c r="H222" i="6"/>
  <c r="G222" i="6"/>
  <c r="F222" i="6"/>
  <c r="D222" i="6"/>
  <c r="H221" i="6"/>
  <c r="G221" i="6"/>
  <c r="F221" i="6"/>
  <c r="D221" i="6"/>
  <c r="H220" i="6"/>
  <c r="G220" i="6"/>
  <c r="F220" i="6"/>
  <c r="D220" i="6"/>
  <c r="H219" i="6"/>
  <c r="G219" i="6"/>
  <c r="F219" i="6"/>
  <c r="D219" i="6"/>
  <c r="H218" i="6"/>
  <c r="G218" i="6"/>
  <c r="F218" i="6"/>
  <c r="D218" i="6"/>
  <c r="H217" i="6"/>
  <c r="G217" i="6"/>
  <c r="F217" i="6"/>
  <c r="D217" i="6"/>
  <c r="H216" i="6"/>
  <c r="G216" i="6"/>
  <c r="F216" i="6"/>
  <c r="D216" i="6"/>
  <c r="H215" i="6"/>
  <c r="G215" i="6"/>
  <c r="F215" i="6"/>
  <c r="D215" i="6"/>
  <c r="H214" i="6"/>
  <c r="G214" i="6"/>
  <c r="F214" i="6"/>
  <c r="D214" i="6"/>
  <c r="H213" i="6"/>
  <c r="G213" i="6"/>
  <c r="F213" i="6"/>
  <c r="D213" i="6"/>
  <c r="H212" i="6"/>
  <c r="G212" i="6"/>
  <c r="F212" i="6"/>
  <c r="D212" i="6"/>
  <c r="H211" i="6"/>
  <c r="G211" i="6"/>
  <c r="F211" i="6"/>
  <c r="D211" i="6"/>
  <c r="H210" i="6"/>
  <c r="G210" i="6"/>
  <c r="F210" i="6"/>
  <c r="D210" i="6"/>
  <c r="H209" i="6"/>
  <c r="G209" i="6"/>
  <c r="F209" i="6"/>
  <c r="D209" i="6"/>
  <c r="H208" i="6"/>
  <c r="G208" i="6"/>
  <c r="F208" i="6"/>
  <c r="D208" i="6"/>
  <c r="H207" i="6"/>
  <c r="G207" i="6"/>
  <c r="F207" i="6"/>
  <c r="D207" i="6"/>
  <c r="H206" i="6"/>
  <c r="G206" i="6"/>
  <c r="F206" i="6"/>
  <c r="D206" i="6"/>
  <c r="H205" i="6"/>
  <c r="G205" i="6"/>
  <c r="F205" i="6"/>
  <c r="D205" i="6"/>
  <c r="H204" i="6"/>
  <c r="G204" i="6"/>
  <c r="F204" i="6"/>
  <c r="D204" i="6"/>
  <c r="H203" i="6"/>
  <c r="G203" i="6"/>
  <c r="F203" i="6"/>
  <c r="D203" i="6"/>
  <c r="H202" i="6"/>
  <c r="G202" i="6"/>
  <c r="F202" i="6"/>
  <c r="D202" i="6"/>
  <c r="H201" i="6"/>
  <c r="G201" i="6"/>
  <c r="F201" i="6"/>
  <c r="D201" i="6"/>
  <c r="H200" i="6"/>
  <c r="G200" i="6"/>
  <c r="F200" i="6"/>
  <c r="D200" i="6"/>
  <c r="H199" i="6"/>
  <c r="G199" i="6"/>
  <c r="F199" i="6"/>
  <c r="D199" i="6"/>
  <c r="H198" i="6"/>
  <c r="G198" i="6"/>
  <c r="F198" i="6"/>
  <c r="D198" i="6"/>
  <c r="H197" i="6"/>
  <c r="G197" i="6"/>
  <c r="F197" i="6"/>
  <c r="D197" i="6"/>
  <c r="H196" i="6"/>
  <c r="G196" i="6"/>
  <c r="F196" i="6"/>
  <c r="D196" i="6"/>
  <c r="H195" i="6"/>
  <c r="G195" i="6"/>
  <c r="F195" i="6"/>
  <c r="D195" i="6"/>
  <c r="H194" i="6"/>
  <c r="G194" i="6"/>
  <c r="F194" i="6"/>
  <c r="D194" i="6"/>
  <c r="H193" i="6"/>
  <c r="G193" i="6"/>
  <c r="F193" i="6"/>
  <c r="D193" i="6"/>
  <c r="H192" i="6"/>
  <c r="G192" i="6"/>
  <c r="F192" i="6"/>
  <c r="D192" i="6"/>
  <c r="H191" i="6"/>
  <c r="G191" i="6"/>
  <c r="F191" i="6"/>
  <c r="D191" i="6"/>
  <c r="H190" i="6"/>
  <c r="G190" i="6"/>
  <c r="F190" i="6"/>
  <c r="D190" i="6"/>
  <c r="H189" i="6"/>
  <c r="G189" i="6"/>
  <c r="F189" i="6"/>
  <c r="D189" i="6"/>
  <c r="H188" i="6"/>
  <c r="G188" i="6"/>
  <c r="F188" i="6"/>
  <c r="D188" i="6"/>
  <c r="H187" i="6"/>
  <c r="G187" i="6"/>
  <c r="F187" i="6"/>
  <c r="D187" i="6"/>
  <c r="H186" i="6"/>
  <c r="G186" i="6"/>
  <c r="F186" i="6"/>
  <c r="D186" i="6"/>
  <c r="H185" i="6"/>
  <c r="G185" i="6"/>
  <c r="F185" i="6"/>
  <c r="D185" i="6"/>
  <c r="H184" i="6"/>
  <c r="G184" i="6"/>
  <c r="F184" i="6"/>
  <c r="D184" i="6"/>
  <c r="H183" i="6"/>
  <c r="G183" i="6"/>
  <c r="F183" i="6"/>
  <c r="D183" i="6"/>
  <c r="H182" i="6"/>
  <c r="G182" i="6"/>
  <c r="F182" i="6"/>
  <c r="D182" i="6"/>
  <c r="H181" i="6"/>
  <c r="G181" i="6"/>
  <c r="F181" i="6"/>
  <c r="D181" i="6"/>
  <c r="H180" i="6"/>
  <c r="G180" i="6"/>
  <c r="F180" i="6"/>
  <c r="D180" i="6"/>
  <c r="H179" i="6"/>
  <c r="G179" i="6"/>
  <c r="F179" i="6"/>
  <c r="D179" i="6"/>
  <c r="H178" i="6"/>
  <c r="G178" i="6"/>
  <c r="F178" i="6"/>
  <c r="D178" i="6"/>
  <c r="H177" i="6"/>
  <c r="G177" i="6"/>
  <c r="F177" i="6"/>
  <c r="D177" i="6"/>
  <c r="H176" i="6"/>
  <c r="G176" i="6"/>
  <c r="F176" i="6"/>
  <c r="D176" i="6"/>
  <c r="H175" i="6"/>
  <c r="G175" i="6"/>
  <c r="F175" i="6"/>
  <c r="D175" i="6"/>
  <c r="H174" i="6"/>
  <c r="G174" i="6"/>
  <c r="F174" i="6"/>
  <c r="D174" i="6"/>
  <c r="H173" i="6"/>
  <c r="G173" i="6"/>
  <c r="F173" i="6"/>
  <c r="D173" i="6"/>
  <c r="H172" i="6"/>
  <c r="G172" i="6"/>
  <c r="F172" i="6"/>
  <c r="D172" i="6"/>
  <c r="H171" i="6"/>
  <c r="G171" i="6"/>
  <c r="F171" i="6"/>
  <c r="D171" i="6"/>
  <c r="H170" i="6"/>
  <c r="G170" i="6"/>
  <c r="F170" i="6"/>
  <c r="D170" i="6"/>
  <c r="H169" i="6"/>
  <c r="G169" i="6"/>
  <c r="F169" i="6"/>
  <c r="D169" i="6"/>
  <c r="H168" i="6"/>
  <c r="G168" i="6"/>
  <c r="F168" i="6"/>
  <c r="E168" i="6"/>
  <c r="D168" i="6"/>
  <c r="H167" i="6"/>
  <c r="G167" i="6"/>
  <c r="E167" i="6"/>
  <c r="F167" i="6" s="1"/>
  <c r="D167" i="6"/>
  <c r="H166" i="6"/>
  <c r="E166" i="6"/>
  <c r="G166" i="6" s="1"/>
  <c r="D166" i="6"/>
  <c r="H165" i="6"/>
  <c r="E165" i="6"/>
  <c r="G165" i="6" s="1"/>
  <c r="D165" i="6"/>
  <c r="H164" i="6"/>
  <c r="G164" i="6"/>
  <c r="F164" i="6"/>
  <c r="E164" i="6"/>
  <c r="D164" i="6"/>
  <c r="H163" i="6"/>
  <c r="E163" i="6"/>
  <c r="D163" i="6"/>
  <c r="H162" i="6"/>
  <c r="E162" i="6"/>
  <c r="D162" i="6"/>
  <c r="H161" i="6"/>
  <c r="E161" i="6"/>
  <c r="G161" i="6" s="1"/>
  <c r="D161" i="6"/>
  <c r="H160" i="6"/>
  <c r="E160" i="6"/>
  <c r="G160" i="6" s="1"/>
  <c r="D160" i="6"/>
  <c r="H159" i="6"/>
  <c r="E159" i="6"/>
  <c r="G159" i="6" s="1"/>
  <c r="D159" i="6"/>
  <c r="H158" i="6"/>
  <c r="E158" i="6"/>
  <c r="G158" i="6" s="1"/>
  <c r="D158" i="6"/>
  <c r="H157" i="6"/>
  <c r="G157" i="6"/>
  <c r="E157" i="6"/>
  <c r="F157" i="6" s="1"/>
  <c r="D157" i="6"/>
  <c r="H156" i="6"/>
  <c r="E156" i="6"/>
  <c r="G156" i="6" s="1"/>
  <c r="D156" i="6"/>
  <c r="H155" i="6"/>
  <c r="E155" i="6"/>
  <c r="D155" i="6"/>
  <c r="H154" i="6"/>
  <c r="G154" i="6"/>
  <c r="F154" i="6"/>
  <c r="E154" i="6"/>
  <c r="D154" i="6"/>
  <c r="H153" i="6"/>
  <c r="G153" i="6"/>
  <c r="F153" i="6"/>
  <c r="E153" i="6"/>
  <c r="D153" i="6"/>
  <c r="H152" i="6"/>
  <c r="E152" i="6"/>
  <c r="F152" i="6" s="1"/>
  <c r="D152" i="6"/>
  <c r="H151" i="6"/>
  <c r="G151" i="6"/>
  <c r="E151" i="6"/>
  <c r="F151" i="6" s="1"/>
  <c r="D151" i="6"/>
  <c r="H150" i="6"/>
  <c r="E150" i="6"/>
  <c r="G150" i="6" s="1"/>
  <c r="D150" i="6"/>
  <c r="H149" i="6"/>
  <c r="F149" i="6"/>
  <c r="E149" i="6"/>
  <c r="G149" i="6" s="1"/>
  <c r="D149" i="6"/>
  <c r="H148" i="6"/>
  <c r="G148" i="6"/>
  <c r="F148" i="6"/>
  <c r="E148" i="6"/>
  <c r="D148" i="6"/>
  <c r="H147" i="6"/>
  <c r="E147" i="6"/>
  <c r="D147" i="6"/>
  <c r="H146" i="6"/>
  <c r="G146" i="6"/>
  <c r="F146" i="6"/>
  <c r="E146" i="6"/>
  <c r="D146" i="6"/>
  <c r="H145" i="6"/>
  <c r="E145" i="6"/>
  <c r="G145" i="6" s="1"/>
  <c r="D145" i="6"/>
  <c r="H144" i="6"/>
  <c r="E144" i="6"/>
  <c r="G144" i="6" s="1"/>
  <c r="D144" i="6"/>
  <c r="H143" i="6"/>
  <c r="E143" i="6"/>
  <c r="G143" i="6" s="1"/>
  <c r="D143" i="6"/>
  <c r="H142" i="6"/>
  <c r="E142" i="6"/>
  <c r="G142" i="6" s="1"/>
  <c r="D142" i="6"/>
  <c r="H141" i="6"/>
  <c r="G141" i="6"/>
  <c r="E141" i="6"/>
  <c r="F141" i="6" s="1"/>
  <c r="D141" i="6"/>
  <c r="H140" i="6"/>
  <c r="E140" i="6"/>
  <c r="G140" i="6" s="1"/>
  <c r="D140" i="6"/>
  <c r="H139" i="6"/>
  <c r="G139" i="6"/>
  <c r="F139" i="6"/>
  <c r="E139" i="6"/>
  <c r="D139" i="6"/>
  <c r="H138" i="6"/>
  <c r="G138" i="6"/>
  <c r="F138" i="6"/>
  <c r="E138" i="6"/>
  <c r="D138" i="6"/>
  <c r="H137" i="6"/>
  <c r="E137" i="6"/>
  <c r="F137" i="6" s="1"/>
  <c r="D137" i="6"/>
  <c r="H136" i="6"/>
  <c r="E136" i="6"/>
  <c r="G136" i="6" s="1"/>
  <c r="D136" i="6"/>
  <c r="H135" i="6"/>
  <c r="G135" i="6"/>
  <c r="E135" i="6"/>
  <c r="F135" i="6" s="1"/>
  <c r="D135" i="6"/>
  <c r="H134" i="6"/>
  <c r="E134" i="6"/>
  <c r="D134" i="6"/>
  <c r="H133" i="6"/>
  <c r="E133" i="6"/>
  <c r="F133" i="6" s="1"/>
  <c r="D133" i="6"/>
  <c r="H132" i="6"/>
  <c r="G132" i="6"/>
  <c r="F132" i="6"/>
  <c r="E132" i="6"/>
  <c r="D132" i="6"/>
  <c r="H131" i="6"/>
  <c r="E131" i="6"/>
  <c r="D131" i="6"/>
  <c r="H130" i="6"/>
  <c r="E130" i="6"/>
  <c r="G130" i="6" s="1"/>
  <c r="D130" i="6"/>
  <c r="H129" i="6"/>
  <c r="G129" i="6"/>
  <c r="F129" i="6"/>
  <c r="E129" i="6"/>
  <c r="D129" i="6"/>
  <c r="H128" i="6"/>
  <c r="E128" i="6"/>
  <c r="G128" i="6" s="1"/>
  <c r="D128" i="6"/>
  <c r="H127" i="6"/>
  <c r="E127" i="6"/>
  <c r="F127" i="6" s="1"/>
  <c r="D127" i="6"/>
  <c r="H126" i="6"/>
  <c r="E126" i="6"/>
  <c r="G126" i="6" s="1"/>
  <c r="D126" i="6"/>
  <c r="H125" i="6"/>
  <c r="G125" i="6"/>
  <c r="E125" i="6"/>
  <c r="F125" i="6" s="1"/>
  <c r="D125" i="6"/>
  <c r="H124" i="6"/>
  <c r="E124" i="6"/>
  <c r="G124" i="6" s="1"/>
  <c r="D124" i="6"/>
  <c r="H123" i="6"/>
  <c r="E123" i="6"/>
  <c r="F123" i="6" s="1"/>
  <c r="D123" i="6"/>
  <c r="H122" i="6"/>
  <c r="G122" i="6"/>
  <c r="F122" i="6"/>
  <c r="E122" i="6"/>
  <c r="D122" i="6"/>
  <c r="H121" i="6"/>
  <c r="F121" i="6"/>
  <c r="E121" i="6"/>
  <c r="G121" i="6" s="1"/>
  <c r="D121" i="6"/>
  <c r="H120" i="6"/>
  <c r="E120" i="6"/>
  <c r="G120" i="6" s="1"/>
  <c r="D120" i="6"/>
  <c r="H119" i="6"/>
  <c r="G119" i="6"/>
  <c r="E119" i="6"/>
  <c r="F119" i="6" s="1"/>
  <c r="D119" i="6"/>
  <c r="H118" i="6"/>
  <c r="F118" i="6"/>
  <c r="E118" i="6"/>
  <c r="G118" i="6" s="1"/>
  <c r="D118" i="6"/>
  <c r="H117" i="6"/>
  <c r="E117" i="6"/>
  <c r="F117" i="6" s="1"/>
  <c r="D117" i="6"/>
  <c r="H116" i="6"/>
  <c r="G116" i="6"/>
  <c r="F116" i="6"/>
  <c r="E116" i="6"/>
  <c r="D116" i="6"/>
  <c r="H115" i="6"/>
  <c r="E115" i="6"/>
  <c r="D115" i="6"/>
  <c r="H114" i="6"/>
  <c r="E114" i="6"/>
  <c r="G114" i="6" s="1"/>
  <c r="D114" i="6"/>
  <c r="H113" i="6"/>
  <c r="E113" i="6"/>
  <c r="D113" i="6"/>
  <c r="H112" i="6"/>
  <c r="E112" i="6"/>
  <c r="G112" i="6" s="1"/>
  <c r="D112" i="6"/>
  <c r="H111" i="6"/>
  <c r="E111" i="6"/>
  <c r="G111" i="6" s="1"/>
  <c r="D111" i="6"/>
  <c r="H110" i="6"/>
  <c r="E110" i="6"/>
  <c r="G110" i="6" s="1"/>
  <c r="D110" i="6"/>
  <c r="H109" i="6"/>
  <c r="G109" i="6"/>
  <c r="F109" i="6"/>
  <c r="E109" i="6"/>
  <c r="D109" i="6"/>
  <c r="H108" i="6"/>
  <c r="E108" i="6"/>
  <c r="G108" i="6" s="1"/>
  <c r="D108" i="6"/>
  <c r="H107" i="6"/>
  <c r="F107" i="6"/>
  <c r="E107" i="6"/>
  <c r="G107" i="6" s="1"/>
  <c r="D107" i="6"/>
  <c r="H106" i="6"/>
  <c r="G106" i="6"/>
  <c r="F106" i="6"/>
  <c r="E106" i="6"/>
  <c r="D106" i="6"/>
  <c r="H105" i="6"/>
  <c r="G105" i="6"/>
  <c r="F105" i="6"/>
  <c r="E105" i="6"/>
  <c r="D105" i="6"/>
  <c r="H104" i="6"/>
  <c r="E104" i="6"/>
  <c r="G104" i="6" s="1"/>
  <c r="D104" i="6"/>
  <c r="H103" i="6"/>
  <c r="G103" i="6"/>
  <c r="E103" i="6"/>
  <c r="F103" i="6" s="1"/>
  <c r="D103" i="6"/>
  <c r="H102" i="6"/>
  <c r="E102" i="6"/>
  <c r="G102" i="6" s="1"/>
  <c r="D102" i="6"/>
  <c r="H101" i="6"/>
  <c r="G101" i="6"/>
  <c r="F101" i="6"/>
  <c r="E101" i="6"/>
  <c r="D101" i="6"/>
  <c r="H100" i="6"/>
  <c r="G100" i="6"/>
  <c r="F100" i="6"/>
  <c r="E100" i="6"/>
  <c r="D100" i="6"/>
  <c r="H99" i="6"/>
  <c r="E99" i="6"/>
  <c r="D99" i="6"/>
  <c r="H98" i="6"/>
  <c r="E98" i="6"/>
  <c r="G98" i="6" s="1"/>
  <c r="D98" i="6"/>
  <c r="H97" i="6"/>
  <c r="G97" i="6"/>
  <c r="F97" i="6"/>
  <c r="E97" i="6"/>
  <c r="D97" i="6"/>
  <c r="H96" i="6"/>
  <c r="E96" i="6"/>
  <c r="G96" i="6" s="1"/>
  <c r="D96" i="6"/>
  <c r="H95" i="6"/>
  <c r="E95" i="6"/>
  <c r="F95" i="6" s="1"/>
  <c r="D95" i="6"/>
  <c r="H94" i="6"/>
  <c r="E94" i="6"/>
  <c r="F94" i="6" s="1"/>
  <c r="D94" i="6"/>
  <c r="H93" i="6"/>
  <c r="G93" i="6"/>
  <c r="F93" i="6"/>
  <c r="E93" i="6"/>
  <c r="D93" i="6"/>
  <c r="H92" i="6"/>
  <c r="E92" i="6"/>
  <c r="G92" i="6" s="1"/>
  <c r="D92" i="6"/>
  <c r="H91" i="6"/>
  <c r="E91" i="6"/>
  <c r="F91" i="6" s="1"/>
  <c r="D91" i="6"/>
  <c r="H90" i="6"/>
  <c r="G90" i="6"/>
  <c r="F90" i="6"/>
  <c r="E90" i="6"/>
  <c r="D90" i="6"/>
  <c r="H89" i="6"/>
  <c r="E89" i="6"/>
  <c r="D89" i="6"/>
  <c r="H88" i="6"/>
  <c r="E88" i="6"/>
  <c r="G88" i="6" s="1"/>
  <c r="D88" i="6"/>
  <c r="H87" i="6"/>
  <c r="G87" i="6"/>
  <c r="E87" i="6"/>
  <c r="F87" i="6" s="1"/>
  <c r="D87" i="6"/>
  <c r="H86" i="6"/>
  <c r="E86" i="6"/>
  <c r="G86" i="6" s="1"/>
  <c r="D86" i="6"/>
  <c r="H85" i="6"/>
  <c r="E85" i="6"/>
  <c r="F85" i="6" s="1"/>
  <c r="D85" i="6"/>
  <c r="H84" i="6"/>
  <c r="G84" i="6"/>
  <c r="F84" i="6"/>
  <c r="E84" i="6"/>
  <c r="D84" i="6"/>
  <c r="H83" i="6"/>
  <c r="E83" i="6"/>
  <c r="D83" i="6"/>
  <c r="H82" i="6"/>
  <c r="E82" i="6"/>
  <c r="F82" i="6" s="1"/>
  <c r="D82" i="6"/>
  <c r="H81" i="6"/>
  <c r="E81" i="6"/>
  <c r="G81" i="6" s="1"/>
  <c r="D81" i="6"/>
  <c r="H80" i="6"/>
  <c r="E80" i="6"/>
  <c r="G80" i="6" s="1"/>
  <c r="D80" i="6"/>
  <c r="H79" i="6"/>
  <c r="F79" i="6"/>
  <c r="E79" i="6"/>
  <c r="G79" i="6" s="1"/>
  <c r="D79" i="6"/>
  <c r="H78" i="6"/>
  <c r="E78" i="6"/>
  <c r="G78" i="6" s="1"/>
  <c r="D78" i="6"/>
  <c r="H77" i="6"/>
  <c r="G77" i="6"/>
  <c r="F77" i="6"/>
  <c r="E77" i="6"/>
  <c r="D77" i="6"/>
  <c r="H76" i="6"/>
  <c r="E76" i="6"/>
  <c r="G76" i="6" s="1"/>
  <c r="D76" i="6"/>
  <c r="H75" i="6"/>
  <c r="E75" i="6"/>
  <c r="D75" i="6"/>
  <c r="H74" i="6"/>
  <c r="G74" i="6"/>
  <c r="F74" i="6"/>
  <c r="E74" i="6"/>
  <c r="D74" i="6"/>
  <c r="H73" i="6"/>
  <c r="G73" i="6"/>
  <c r="F73" i="6"/>
  <c r="E73" i="6"/>
  <c r="D73" i="6"/>
  <c r="H72" i="6"/>
  <c r="E72" i="6"/>
  <c r="F72" i="6" s="1"/>
  <c r="D72" i="6"/>
  <c r="H71" i="6"/>
  <c r="G71" i="6"/>
  <c r="E71" i="6"/>
  <c r="F71" i="6" s="1"/>
  <c r="D71" i="6"/>
  <c r="H70" i="6"/>
  <c r="E70" i="6"/>
  <c r="G70" i="6" s="1"/>
  <c r="D70" i="6"/>
  <c r="H69" i="6"/>
  <c r="F69" i="6"/>
  <c r="E69" i="6"/>
  <c r="G69" i="6" s="1"/>
  <c r="D69" i="6"/>
  <c r="H68" i="6"/>
  <c r="G68" i="6"/>
  <c r="F68" i="6"/>
  <c r="E68" i="6"/>
  <c r="D68" i="6"/>
  <c r="H67" i="6"/>
  <c r="E67" i="6"/>
  <c r="D67" i="6"/>
  <c r="H66" i="6"/>
  <c r="G66" i="6"/>
  <c r="F66" i="6"/>
  <c r="E66" i="6"/>
  <c r="D66" i="6"/>
  <c r="H65" i="6"/>
  <c r="E65" i="6"/>
  <c r="F65" i="6" s="1"/>
  <c r="D65" i="6"/>
  <c r="H64" i="6"/>
  <c r="E64" i="6"/>
  <c r="G64" i="6" s="1"/>
  <c r="D64" i="6"/>
  <c r="H63" i="6"/>
  <c r="E63" i="6"/>
  <c r="F63" i="6" s="1"/>
  <c r="D63" i="6"/>
  <c r="H62" i="6"/>
  <c r="E62" i="6"/>
  <c r="G62" i="6" s="1"/>
  <c r="D62" i="6"/>
  <c r="H61" i="6"/>
  <c r="G61" i="6"/>
  <c r="E61" i="6"/>
  <c r="F61" i="6" s="1"/>
  <c r="D61" i="6"/>
  <c r="H60" i="6"/>
  <c r="E60" i="6"/>
  <c r="F60" i="6" s="1"/>
  <c r="D60" i="6"/>
  <c r="H59" i="6"/>
  <c r="G59" i="6"/>
  <c r="F59" i="6"/>
  <c r="E59" i="6"/>
  <c r="D59" i="6"/>
  <c r="H58" i="6"/>
  <c r="G58" i="6"/>
  <c r="F58" i="6"/>
  <c r="E58" i="6"/>
  <c r="D58" i="6"/>
  <c r="H57" i="6"/>
  <c r="E57" i="6"/>
  <c r="G57" i="6" s="1"/>
  <c r="D57" i="6"/>
  <c r="H56" i="6"/>
  <c r="E56" i="6"/>
  <c r="F56" i="6" s="1"/>
  <c r="D56" i="6"/>
  <c r="H55" i="6"/>
  <c r="G55" i="6"/>
  <c r="E55" i="6"/>
  <c r="F55" i="6" s="1"/>
  <c r="D55" i="6"/>
  <c r="H54" i="6"/>
  <c r="E54" i="6"/>
  <c r="D54" i="6"/>
  <c r="H53" i="6"/>
  <c r="E53" i="6"/>
  <c r="G53" i="6" s="1"/>
  <c r="D53" i="6"/>
  <c r="H52" i="6"/>
  <c r="G52" i="6"/>
  <c r="F52" i="6"/>
  <c r="E52" i="6"/>
  <c r="D52" i="6"/>
  <c r="H51" i="6"/>
  <c r="E51" i="6"/>
  <c r="D51" i="6"/>
  <c r="H50" i="6"/>
  <c r="E50" i="6"/>
  <c r="G50" i="6" s="1"/>
  <c r="D50" i="6"/>
  <c r="H49" i="6"/>
  <c r="E49" i="6"/>
  <c r="F49" i="6" s="1"/>
  <c r="D49" i="6"/>
  <c r="H48" i="6"/>
  <c r="E48" i="6"/>
  <c r="G48" i="6" s="1"/>
  <c r="D48" i="6"/>
  <c r="H47" i="6"/>
  <c r="E47" i="6"/>
  <c r="G47" i="6" s="1"/>
  <c r="D47" i="6"/>
  <c r="H46" i="6"/>
  <c r="E46" i="6"/>
  <c r="F46" i="6" s="1"/>
  <c r="D46" i="6"/>
  <c r="H45" i="6"/>
  <c r="G45" i="6"/>
  <c r="E45" i="6"/>
  <c r="F45" i="6" s="1"/>
  <c r="D45" i="6"/>
  <c r="H44" i="6"/>
  <c r="E44" i="6"/>
  <c r="G44" i="6" s="1"/>
  <c r="D44" i="6"/>
  <c r="H43" i="6"/>
  <c r="F43" i="6"/>
  <c r="E43" i="6"/>
  <c r="G43" i="6" s="1"/>
  <c r="D43" i="6"/>
  <c r="H42" i="6"/>
  <c r="G42" i="6"/>
  <c r="F42" i="6"/>
  <c r="E42" i="6"/>
  <c r="D42" i="6"/>
  <c r="H41" i="6"/>
  <c r="F41" i="6"/>
  <c r="E41" i="6"/>
  <c r="G41" i="6" s="1"/>
  <c r="D41" i="6"/>
  <c r="H40" i="6"/>
  <c r="E40" i="6"/>
  <c r="G40" i="6" s="1"/>
  <c r="D40" i="6"/>
  <c r="H39" i="6"/>
  <c r="G39" i="6"/>
  <c r="E39" i="6"/>
  <c r="F39" i="6" s="1"/>
  <c r="D39" i="6"/>
  <c r="H38" i="6"/>
  <c r="F38" i="6"/>
  <c r="E38" i="6"/>
  <c r="G38" i="6" s="1"/>
  <c r="D38" i="6"/>
  <c r="H37" i="6"/>
  <c r="E37" i="6"/>
  <c r="G37" i="6" s="1"/>
  <c r="D37" i="6"/>
  <c r="H36" i="6"/>
  <c r="G36" i="6"/>
  <c r="F36" i="6"/>
  <c r="E36" i="6"/>
  <c r="D36" i="6"/>
  <c r="H35" i="6"/>
  <c r="E35" i="6"/>
  <c r="D35" i="6"/>
  <c r="H34" i="6"/>
  <c r="E34" i="6"/>
  <c r="G34" i="6" s="1"/>
  <c r="D34" i="6"/>
  <c r="H33" i="6"/>
  <c r="E33" i="6"/>
  <c r="D33" i="6"/>
  <c r="H32" i="6"/>
  <c r="E32" i="6"/>
  <c r="G32" i="6" s="1"/>
  <c r="D32" i="6"/>
  <c r="H31" i="6"/>
  <c r="G31" i="6"/>
  <c r="F31" i="6"/>
  <c r="E31" i="6"/>
  <c r="D31" i="6"/>
  <c r="H30" i="6"/>
  <c r="E30" i="6"/>
  <c r="G30" i="6" s="1"/>
  <c r="D30" i="6"/>
  <c r="H29" i="6"/>
  <c r="G29" i="6"/>
  <c r="E29" i="6"/>
  <c r="F29" i="6" s="1"/>
  <c r="D29" i="6"/>
  <c r="H28" i="6"/>
  <c r="E28" i="6"/>
  <c r="G28" i="6" s="1"/>
  <c r="D28" i="6"/>
  <c r="H27" i="6"/>
  <c r="E27" i="6"/>
  <c r="G27" i="6" s="1"/>
  <c r="D27" i="6"/>
  <c r="H26" i="6"/>
  <c r="G26" i="6"/>
  <c r="F26" i="6"/>
  <c r="E26" i="6"/>
  <c r="D26" i="6"/>
  <c r="H25" i="6"/>
  <c r="E25" i="6"/>
  <c r="F25" i="6" s="1"/>
  <c r="D25" i="6"/>
  <c r="H24" i="6"/>
  <c r="G24" i="6"/>
  <c r="F24" i="6"/>
  <c r="E24" i="6"/>
  <c r="D24" i="6"/>
  <c r="H23" i="6"/>
  <c r="G23" i="6"/>
  <c r="E23" i="6"/>
  <c r="F23" i="6" s="1"/>
  <c r="D23" i="6"/>
  <c r="H22" i="6"/>
  <c r="E22" i="6"/>
  <c r="G22" i="6" s="1"/>
  <c r="D22" i="6"/>
  <c r="H21" i="6"/>
  <c r="E21" i="6"/>
  <c r="F21" i="6" s="1"/>
  <c r="D21" i="6"/>
  <c r="H20" i="6"/>
  <c r="G20" i="6"/>
  <c r="F20" i="6"/>
  <c r="E20" i="6"/>
  <c r="D20" i="6"/>
  <c r="H19" i="6"/>
  <c r="E19" i="6"/>
  <c r="D19" i="6"/>
  <c r="H18" i="6"/>
  <c r="E18" i="6"/>
  <c r="F18" i="6" s="1"/>
  <c r="D18" i="6"/>
  <c r="H17" i="6"/>
  <c r="G17" i="6"/>
  <c r="F17" i="6"/>
  <c r="E17" i="6"/>
  <c r="D17" i="6"/>
  <c r="H16" i="6"/>
  <c r="E16" i="6"/>
  <c r="G16" i="6" s="1"/>
  <c r="D16" i="6"/>
  <c r="H15" i="6"/>
  <c r="E15" i="6"/>
  <c r="G15" i="6" s="1"/>
  <c r="D15" i="6"/>
  <c r="H14" i="6"/>
  <c r="E14" i="6"/>
  <c r="F14" i="6" s="1"/>
  <c r="D14" i="6"/>
  <c r="H13" i="6"/>
  <c r="G13" i="6"/>
  <c r="F13" i="6"/>
  <c r="E13" i="6"/>
  <c r="D13" i="6"/>
  <c r="H12" i="6"/>
  <c r="E12" i="6"/>
  <c r="D12" i="6"/>
  <c r="H11" i="6"/>
  <c r="E11" i="6"/>
  <c r="G11" i="6" s="1"/>
  <c r="D11" i="6"/>
  <c r="H10" i="6"/>
  <c r="G10" i="6"/>
  <c r="F10" i="6"/>
  <c r="E10" i="6"/>
  <c r="D10" i="6"/>
  <c r="H9" i="6"/>
  <c r="E9" i="6"/>
  <c r="F9" i="6" s="1"/>
  <c r="D9" i="6"/>
  <c r="H8" i="6"/>
  <c r="G8" i="6"/>
  <c r="F8" i="6"/>
  <c r="E8" i="6"/>
  <c r="D8" i="6"/>
  <c r="H7" i="6"/>
  <c r="G7" i="6"/>
  <c r="E7" i="6"/>
  <c r="F7" i="6" s="1"/>
  <c r="D7" i="6"/>
  <c r="H6" i="6"/>
  <c r="F6" i="6"/>
  <c r="E6" i="6"/>
  <c r="G6" i="6" s="1"/>
  <c r="D6" i="6"/>
  <c r="E5" i="6"/>
  <c r="G5" i="6" s="1"/>
  <c r="D5" i="6"/>
  <c r="D661" i="6" s="1"/>
  <c r="E792" i="6" l="1"/>
  <c r="C792" i="6"/>
  <c r="E957" i="6"/>
  <c r="C957" i="6"/>
  <c r="H605" i="6" s="1"/>
  <c r="E716" i="6"/>
  <c r="C716" i="6"/>
  <c r="E970" i="6"/>
  <c r="C970" i="6"/>
  <c r="H604" i="6" s="1"/>
  <c r="E1093" i="6"/>
  <c r="C1093" i="6"/>
  <c r="C1136" i="6"/>
  <c r="E1136" i="6"/>
  <c r="E821" i="6"/>
  <c r="C821" i="6"/>
  <c r="J671" i="6"/>
  <c r="H671" i="6"/>
  <c r="E927" i="6"/>
  <c r="C927" i="6"/>
  <c r="H587" i="6" s="1"/>
  <c r="F5" i="6"/>
  <c r="G94" i="6"/>
  <c r="F544" i="6"/>
  <c r="F580" i="6"/>
  <c r="G638" i="6"/>
  <c r="C745" i="6"/>
  <c r="H409" i="6" s="1"/>
  <c r="E745" i="6"/>
  <c r="E852" i="6"/>
  <c r="C852" i="6"/>
  <c r="C926" i="6"/>
  <c r="E999" i="6"/>
  <c r="F28" i="6"/>
  <c r="G63" i="6"/>
  <c r="G137" i="6"/>
  <c r="F161" i="6"/>
  <c r="G510" i="6"/>
  <c r="G656" i="6"/>
  <c r="G576" i="6"/>
  <c r="F609" i="6"/>
  <c r="G21" i="6"/>
  <c r="G49" i="6"/>
  <c r="F88" i="6"/>
  <c r="G134" i="6"/>
  <c r="F134" i="6"/>
  <c r="F653" i="6"/>
  <c r="G95" i="6"/>
  <c r="F507" i="6"/>
  <c r="F606" i="6"/>
  <c r="F627" i="6"/>
  <c r="C715" i="6"/>
  <c r="H379" i="6" s="1"/>
  <c r="C1160" i="6"/>
  <c r="C1158" i="6"/>
  <c r="C1157" i="6"/>
  <c r="E1149" i="6"/>
  <c r="G25" i="6"/>
  <c r="G162" i="6"/>
  <c r="F162" i="6"/>
  <c r="E987" i="6"/>
  <c r="C987" i="6"/>
  <c r="H630" i="6" s="1"/>
  <c r="F555" i="6"/>
  <c r="F577" i="6"/>
  <c r="H627" i="6"/>
  <c r="F11" i="6"/>
  <c r="F22" i="6"/>
  <c r="F50" i="6"/>
  <c r="F81" i="6"/>
  <c r="G89" i="6"/>
  <c r="F89" i="6"/>
  <c r="F150" i="6"/>
  <c r="H415" i="6"/>
  <c r="F529" i="6"/>
  <c r="F547" i="6"/>
  <c r="G573" i="6"/>
  <c r="H670" i="6"/>
  <c r="G46" i="6"/>
  <c r="G54" i="6"/>
  <c r="F54" i="6"/>
  <c r="G85" i="6"/>
  <c r="F111" i="6"/>
  <c r="F595" i="6"/>
  <c r="F599" i="6"/>
  <c r="F603" i="6"/>
  <c r="G632" i="6"/>
  <c r="F632" i="6"/>
  <c r="C1040" i="6"/>
  <c r="H647" i="6"/>
  <c r="C1135" i="6"/>
  <c r="F40" i="6"/>
  <c r="F592" i="6"/>
  <c r="F621" i="6"/>
  <c r="F140" i="6"/>
  <c r="F605" i="6"/>
  <c r="C845" i="6"/>
  <c r="H509" i="6" s="1"/>
  <c r="C843" i="6"/>
  <c r="H507" i="6" s="1"/>
  <c r="H497" i="6"/>
  <c r="F536" i="6"/>
  <c r="E834" i="6"/>
  <c r="G91" i="6"/>
  <c r="F584" i="6"/>
  <c r="F660" i="6"/>
  <c r="C740" i="6"/>
  <c r="H404" i="6" s="1"/>
  <c r="H392" i="6"/>
  <c r="C820" i="6"/>
  <c r="H484" i="6" s="1"/>
  <c r="F130" i="6"/>
  <c r="E729" i="6"/>
  <c r="G528" i="6"/>
  <c r="G581" i="6"/>
  <c r="F581" i="6"/>
  <c r="F503" i="6"/>
  <c r="G533" i="6"/>
  <c r="F533" i="6"/>
  <c r="G635" i="6"/>
  <c r="E806" i="6"/>
  <c r="C806" i="6"/>
  <c r="F57" i="6"/>
  <c r="F92" i="6"/>
  <c r="C805" i="6"/>
  <c r="H469" i="6" s="1"/>
  <c r="C978" i="6"/>
  <c r="H612" i="6" s="1"/>
  <c r="C980" i="6"/>
  <c r="H614" i="6" s="1"/>
  <c r="G18" i="6"/>
  <c r="F158" i="6"/>
  <c r="F525" i="6"/>
  <c r="C986" i="6"/>
  <c r="G123" i="6"/>
  <c r="G551" i="6"/>
  <c r="G654" i="6"/>
  <c r="F654" i="6"/>
  <c r="F15" i="6"/>
  <c r="F120" i="6"/>
  <c r="F500" i="6"/>
  <c r="F504" i="6"/>
  <c r="G517" i="6"/>
  <c r="F517" i="6"/>
  <c r="F522" i="6"/>
  <c r="G565" i="6"/>
  <c r="F565" i="6"/>
  <c r="F624" i="6"/>
  <c r="F628" i="6"/>
  <c r="F641" i="6"/>
  <c r="F650" i="6"/>
  <c r="H362" i="6"/>
  <c r="C710" i="6"/>
  <c r="H374" i="6" s="1"/>
  <c r="C708" i="6"/>
  <c r="H372" i="6" s="1"/>
  <c r="C707" i="6"/>
  <c r="E1029" i="6"/>
  <c r="G113" i="6"/>
  <c r="F113" i="6"/>
  <c r="F532" i="6"/>
  <c r="G56" i="6"/>
  <c r="F165" i="6"/>
  <c r="H400" i="6"/>
  <c r="F102" i="6"/>
  <c r="F126" i="6"/>
  <c r="G558" i="6"/>
  <c r="F602" i="6"/>
  <c r="F53" i="6"/>
  <c r="G99" i="6"/>
  <c r="F99" i="6"/>
  <c r="G14" i="6"/>
  <c r="G60" i="6"/>
  <c r="G499" i="6"/>
  <c r="G35" i="6"/>
  <c r="F35" i="6"/>
  <c r="G147" i="6"/>
  <c r="F147" i="6"/>
  <c r="G526" i="6"/>
  <c r="F526" i="6"/>
  <c r="G552" i="6"/>
  <c r="F552" i="6"/>
  <c r="F570" i="6"/>
  <c r="F574" i="6"/>
  <c r="G574" i="6"/>
  <c r="E699" i="6"/>
  <c r="C791" i="6"/>
  <c r="C956" i="6"/>
  <c r="C668" i="6"/>
  <c r="G67" i="6"/>
  <c r="F67" i="6"/>
  <c r="G133" i="6"/>
  <c r="G567" i="6"/>
  <c r="F567" i="6"/>
  <c r="F541" i="6"/>
  <c r="C1092" i="6"/>
  <c r="F563" i="6"/>
  <c r="G115" i="6"/>
  <c r="F115" i="6"/>
  <c r="F657" i="6"/>
  <c r="F12" i="6"/>
  <c r="G12" i="6"/>
  <c r="F108" i="6"/>
  <c r="F136" i="6"/>
  <c r="F143" i="6"/>
  <c r="G155" i="6"/>
  <c r="F155" i="6"/>
  <c r="F587" i="6"/>
  <c r="F616" i="6"/>
  <c r="H620" i="6"/>
  <c r="C950" i="6"/>
  <c r="C948" i="6"/>
  <c r="C947" i="6"/>
  <c r="C1007" i="6"/>
  <c r="H640" i="6" s="1"/>
  <c r="G613" i="6"/>
  <c r="F613" i="6"/>
  <c r="G75" i="6"/>
  <c r="F75" i="6"/>
  <c r="F98" i="6"/>
  <c r="G519" i="6"/>
  <c r="F519" i="6"/>
  <c r="F643" i="6"/>
  <c r="G33" i="6"/>
  <c r="F33" i="6"/>
  <c r="F515" i="6"/>
  <c r="F631" i="6"/>
  <c r="G645" i="6"/>
  <c r="F645" i="6"/>
  <c r="F70" i="6"/>
  <c r="F78" i="6"/>
  <c r="C842" i="6"/>
  <c r="E939" i="6"/>
  <c r="C872" i="6"/>
  <c r="C851" i="6"/>
  <c r="F589" i="6"/>
  <c r="F647" i="6"/>
  <c r="G9" i="6"/>
  <c r="G661" i="6" s="1"/>
  <c r="G72" i="6"/>
  <c r="G82" i="6"/>
  <c r="G152" i="6"/>
  <c r="F166" i="6"/>
  <c r="G501" i="6"/>
  <c r="F501" i="6"/>
  <c r="G523" i="6"/>
  <c r="F538" i="6"/>
  <c r="F571" i="6"/>
  <c r="G596" i="6"/>
  <c r="F611" i="6"/>
  <c r="G618" i="6"/>
  <c r="F625" i="6"/>
  <c r="C768" i="6"/>
  <c r="H432" i="6" s="1"/>
  <c r="E894" i="6"/>
  <c r="C903" i="6"/>
  <c r="H567" i="6" s="1"/>
  <c r="C1085" i="6"/>
  <c r="C1083" i="6"/>
  <c r="C1082" i="6"/>
  <c r="G19" i="6"/>
  <c r="F19" i="6"/>
  <c r="C1055" i="6"/>
  <c r="C1053" i="6"/>
  <c r="C1052" i="6"/>
  <c r="F47" i="6"/>
  <c r="C902" i="6"/>
  <c r="E1044" i="6"/>
  <c r="F37" i="6"/>
  <c r="G51" i="6"/>
  <c r="F51" i="6"/>
  <c r="G127" i="6"/>
  <c r="F145" i="6"/>
  <c r="F30" i="6"/>
  <c r="F44" i="6"/>
  <c r="G65" i="6"/>
  <c r="F86" i="6"/>
  <c r="F110" i="6"/>
  <c r="G117" i="6"/>
  <c r="F124" i="6"/>
  <c r="F159" i="6"/>
  <c r="F512" i="6"/>
  <c r="F545" i="6"/>
  <c r="G549" i="6"/>
  <c r="F549" i="6"/>
  <c r="F560" i="6"/>
  <c r="F600" i="6"/>
  <c r="F622" i="6"/>
  <c r="G629" i="6"/>
  <c r="F629" i="6"/>
  <c r="F640" i="6"/>
  <c r="F651" i="6"/>
  <c r="C770" i="6"/>
  <c r="H434" i="6" s="1"/>
  <c r="C797" i="6"/>
  <c r="E1060" i="6"/>
  <c r="E1074" i="6"/>
  <c r="G163" i="6"/>
  <c r="F163" i="6"/>
  <c r="C783" i="6"/>
  <c r="H447" i="6" s="1"/>
  <c r="C782" i="6"/>
  <c r="E774" i="6"/>
  <c r="C920" i="6"/>
  <c r="C918" i="6"/>
  <c r="E909" i="6"/>
  <c r="C917" i="6"/>
  <c r="H591" i="6" s="1"/>
  <c r="C1112" i="6"/>
  <c r="H527" i="6"/>
  <c r="C875" i="6"/>
  <c r="H539" i="6" s="1"/>
  <c r="F27" i="6"/>
  <c r="F34" i="6"/>
  <c r="F62" i="6"/>
  <c r="F76" i="6"/>
  <c r="G83" i="6"/>
  <c r="F83" i="6"/>
  <c r="F104" i="6"/>
  <c r="F114" i="6"/>
  <c r="F142" i="6"/>
  <c r="F156" i="6"/>
  <c r="F520" i="6"/>
  <c r="F531" i="6"/>
  <c r="F557" i="6"/>
  <c r="F568" i="6"/>
  <c r="F579" i="6"/>
  <c r="G597" i="6"/>
  <c r="F597" i="6"/>
  <c r="F637" i="6"/>
  <c r="E1104" i="6"/>
  <c r="C1113" i="6"/>
  <c r="E864" i="6"/>
  <c r="H681" i="6"/>
  <c r="H679" i="6"/>
  <c r="H678" i="6"/>
  <c r="E759" i="6"/>
  <c r="C767" i="6"/>
  <c r="G131" i="6"/>
  <c r="F131" i="6"/>
  <c r="C815" i="6"/>
  <c r="H479" i="6" s="1"/>
  <c r="C813" i="6"/>
  <c r="H477" i="6" s="1"/>
  <c r="C812" i="6"/>
  <c r="E1014" i="6"/>
  <c r="F16" i="6"/>
  <c r="F32" i="6"/>
  <c r="F48" i="6"/>
  <c r="F64" i="6"/>
  <c r="F80" i="6"/>
  <c r="F96" i="6"/>
  <c r="F112" i="6"/>
  <c r="F128" i="6"/>
  <c r="F144" i="6"/>
  <c r="F160" i="6"/>
  <c r="F514" i="6"/>
  <c r="F530" i="6"/>
  <c r="F546" i="6"/>
  <c r="F562" i="6"/>
  <c r="F578" i="6"/>
  <c r="F594" i="6"/>
  <c r="F610" i="6"/>
  <c r="F626" i="6"/>
  <c r="F642" i="6"/>
  <c r="F658" i="6"/>
  <c r="E879" i="6"/>
  <c r="E1119" i="6"/>
  <c r="C1022" i="6"/>
  <c r="H641" i="6" s="1"/>
  <c r="F661" i="6" l="1"/>
  <c r="E661" i="6"/>
  <c r="C683" i="6"/>
  <c r="E1030" i="6"/>
  <c r="C1030" i="6"/>
  <c r="H649" i="6" s="1"/>
  <c r="E835" i="6"/>
  <c r="C835" i="6"/>
  <c r="H499" i="6" s="1"/>
  <c r="E910" i="6"/>
  <c r="C910" i="6"/>
  <c r="H574" i="6" s="1"/>
  <c r="C678" i="6"/>
  <c r="H342" i="6" s="1"/>
  <c r="E669" i="6"/>
  <c r="H332" i="6"/>
  <c r="H431" i="6"/>
  <c r="H445" i="6"/>
  <c r="E775" i="6"/>
  <c r="C775" i="6"/>
  <c r="H439" i="6" s="1"/>
  <c r="C1045" i="6"/>
  <c r="E1045" i="6"/>
  <c r="E807" i="6"/>
  <c r="C807" i="6"/>
  <c r="H536" i="6"/>
  <c r="H550" i="6"/>
  <c r="C1105" i="6"/>
  <c r="E1105" i="6"/>
  <c r="H461" i="6"/>
  <c r="H475" i="6"/>
  <c r="E1150" i="6"/>
  <c r="C1150" i="6"/>
  <c r="E1000" i="6"/>
  <c r="C1000" i="6"/>
  <c r="H629" i="6" s="1"/>
  <c r="E1137" i="6"/>
  <c r="C1137" i="6"/>
  <c r="E760" i="6"/>
  <c r="C760" i="6"/>
  <c r="H424" i="6" s="1"/>
  <c r="H530" i="6"/>
  <c r="H516" i="6"/>
  <c r="C853" i="6"/>
  <c r="H517" i="6" s="1"/>
  <c r="E853" i="6"/>
  <c r="H520" i="6"/>
  <c r="H506" i="6"/>
  <c r="C746" i="6"/>
  <c r="E746" i="6"/>
  <c r="E880" i="6"/>
  <c r="C880" i="6"/>
  <c r="H544" i="6" s="1"/>
  <c r="E1075" i="6"/>
  <c r="C1075" i="6"/>
  <c r="E1061" i="6"/>
  <c r="C1061" i="6"/>
  <c r="E958" i="6"/>
  <c r="C958" i="6"/>
  <c r="J672" i="6"/>
  <c r="H672" i="6"/>
  <c r="H385" i="6"/>
  <c r="H371" i="6"/>
  <c r="E822" i="6"/>
  <c r="C822" i="6"/>
  <c r="E700" i="6"/>
  <c r="C700" i="6"/>
  <c r="H364" i="6" s="1"/>
  <c r="H446" i="6"/>
  <c r="H460" i="6"/>
  <c r="H566" i="6"/>
  <c r="H580" i="6"/>
  <c r="E1094" i="6"/>
  <c r="C1094" i="6"/>
  <c r="C865" i="6"/>
  <c r="H529" i="6" s="1"/>
  <c r="E865" i="6"/>
  <c r="E730" i="6"/>
  <c r="C730" i="6"/>
  <c r="H394" i="6" s="1"/>
  <c r="E971" i="6"/>
  <c r="C971" i="6"/>
  <c r="E1015" i="6"/>
  <c r="C1015" i="6"/>
  <c r="H470" i="6"/>
  <c r="H456" i="6"/>
  <c r="E895" i="6"/>
  <c r="C895" i="6"/>
  <c r="H559" i="6" s="1"/>
  <c r="E940" i="6"/>
  <c r="C940" i="6"/>
  <c r="H600" i="6" s="1"/>
  <c r="E1120" i="6"/>
  <c r="C1120" i="6"/>
  <c r="E988" i="6"/>
  <c r="C988" i="6"/>
  <c r="C717" i="6"/>
  <c r="E717" i="6"/>
  <c r="H490" i="6"/>
  <c r="H476" i="6"/>
  <c r="E928" i="6"/>
  <c r="C928" i="6"/>
  <c r="H588" i="6" s="1"/>
  <c r="E793" i="6"/>
  <c r="C793" i="6"/>
  <c r="H457" i="6" s="1"/>
  <c r="E941" i="6" l="1"/>
  <c r="C941" i="6"/>
  <c r="E747" i="6"/>
  <c r="C747" i="6"/>
  <c r="E1001" i="6"/>
  <c r="C1001" i="6"/>
  <c r="C896" i="6"/>
  <c r="E896" i="6"/>
  <c r="C794" i="6"/>
  <c r="H458" i="6" s="1"/>
  <c r="E794" i="6"/>
  <c r="H486" i="6"/>
  <c r="H500" i="6"/>
  <c r="E823" i="6"/>
  <c r="C823" i="6"/>
  <c r="H487" i="6" s="1"/>
  <c r="E1076" i="6"/>
  <c r="C1076" i="6"/>
  <c r="E670" i="6"/>
  <c r="C670" i="6"/>
  <c r="H381" i="6"/>
  <c r="H395" i="6"/>
  <c r="E881" i="6"/>
  <c r="C881" i="6"/>
  <c r="E701" i="6"/>
  <c r="C701" i="6"/>
  <c r="C1016" i="6"/>
  <c r="E1016" i="6"/>
  <c r="C911" i="6"/>
  <c r="E911" i="6"/>
  <c r="E972" i="6"/>
  <c r="C972" i="6"/>
  <c r="H606" i="6" s="1"/>
  <c r="E718" i="6"/>
  <c r="C718" i="6"/>
  <c r="H382" i="6" s="1"/>
  <c r="E836" i="6"/>
  <c r="C836" i="6"/>
  <c r="E731" i="6"/>
  <c r="C731" i="6"/>
  <c r="E808" i="6"/>
  <c r="C808" i="6"/>
  <c r="H472" i="6" s="1"/>
  <c r="E1046" i="6"/>
  <c r="C1046" i="6"/>
  <c r="C1151" i="6"/>
  <c r="E1151" i="6"/>
  <c r="E1106" i="6"/>
  <c r="C1106" i="6"/>
  <c r="C929" i="6"/>
  <c r="H589" i="6" s="1"/>
  <c r="E929" i="6"/>
  <c r="E854" i="6"/>
  <c r="C854" i="6"/>
  <c r="H518" i="6" s="1"/>
  <c r="H485" i="6"/>
  <c r="H471" i="6"/>
  <c r="H673" i="6"/>
  <c r="J673" i="6"/>
  <c r="E866" i="6"/>
  <c r="C866" i="6"/>
  <c r="E1031" i="6"/>
  <c r="C1031" i="6"/>
  <c r="C989" i="6"/>
  <c r="E989" i="6"/>
  <c r="E959" i="6"/>
  <c r="C959" i="6"/>
  <c r="C761" i="6"/>
  <c r="E761" i="6"/>
  <c r="C692" i="6"/>
  <c r="E684" i="6"/>
  <c r="H347" i="6"/>
  <c r="C693" i="6"/>
  <c r="H357" i="6" s="1"/>
  <c r="E1121" i="6"/>
  <c r="C1121" i="6"/>
  <c r="C1095" i="6"/>
  <c r="E1095" i="6"/>
  <c r="E1062" i="6"/>
  <c r="C1062" i="6"/>
  <c r="E1138" i="6"/>
  <c r="C1138" i="6"/>
  <c r="C776" i="6"/>
  <c r="E776" i="6"/>
  <c r="C685" i="6" l="1"/>
  <c r="H349" i="6" s="1"/>
  <c r="E685" i="6"/>
  <c r="C1077" i="6"/>
  <c r="E1077" i="6"/>
  <c r="C777" i="6"/>
  <c r="E777" i="6"/>
  <c r="E973" i="6"/>
  <c r="C973" i="6"/>
  <c r="H607" i="6" s="1"/>
  <c r="E990" i="6"/>
  <c r="C990" i="6"/>
  <c r="H619" i="6" s="1"/>
  <c r="E1032" i="6"/>
  <c r="C1032" i="6"/>
  <c r="H651" i="6" s="1"/>
  <c r="E1122" i="6"/>
  <c r="C1122" i="6"/>
  <c r="H674" i="6"/>
  <c r="J674" i="6"/>
  <c r="H411" i="6"/>
  <c r="H425" i="6"/>
  <c r="E719" i="6"/>
  <c r="C719" i="6"/>
  <c r="H383" i="6" s="1"/>
  <c r="E930" i="6"/>
  <c r="C930" i="6"/>
  <c r="H590" i="6" s="1"/>
  <c r="E824" i="6"/>
  <c r="C824" i="6"/>
  <c r="H488" i="6" s="1"/>
  <c r="E1139" i="6"/>
  <c r="C1139" i="6"/>
  <c r="C795" i="6"/>
  <c r="H459" i="6" s="1"/>
  <c r="E795" i="6"/>
  <c r="E1063" i="6"/>
  <c r="C1063" i="6"/>
  <c r="E1047" i="6"/>
  <c r="C1047" i="6"/>
  <c r="E867" i="6"/>
  <c r="C867" i="6"/>
  <c r="E1002" i="6"/>
  <c r="C1002" i="6"/>
  <c r="H631" i="6" s="1"/>
  <c r="E732" i="6"/>
  <c r="C732" i="6"/>
  <c r="E748" i="6"/>
  <c r="C748" i="6"/>
  <c r="H412" i="6" s="1"/>
  <c r="H370" i="6"/>
  <c r="H356" i="6"/>
  <c r="C960" i="6"/>
  <c r="E960" i="6"/>
  <c r="E1152" i="6"/>
  <c r="C1152" i="6"/>
  <c r="C897" i="6"/>
  <c r="E897" i="6"/>
  <c r="C702" i="6"/>
  <c r="E702" i="6"/>
  <c r="C809" i="6"/>
  <c r="H473" i="6" s="1"/>
  <c r="E809" i="6"/>
  <c r="C695" i="6"/>
  <c r="H334" i="6"/>
  <c r="C855" i="6"/>
  <c r="H519" i="6" s="1"/>
  <c r="E855" i="6"/>
  <c r="E762" i="6"/>
  <c r="C762" i="6"/>
  <c r="E912" i="6"/>
  <c r="C912" i="6"/>
  <c r="E1107" i="6"/>
  <c r="C1107" i="6"/>
  <c r="E1017" i="6"/>
  <c r="C1017" i="6"/>
  <c r="C882" i="6"/>
  <c r="E882" i="6"/>
  <c r="C837" i="6"/>
  <c r="E837" i="6"/>
  <c r="E671" i="6"/>
  <c r="C671" i="6"/>
  <c r="C942" i="6"/>
  <c r="E942" i="6"/>
  <c r="C1018" i="6" l="1"/>
  <c r="H637" i="6" s="1"/>
  <c r="E1018" i="6"/>
  <c r="H575" i="6"/>
  <c r="H561" i="6"/>
  <c r="C1108" i="6"/>
  <c r="E1108" i="6"/>
  <c r="E1123" i="6"/>
  <c r="C1123" i="6"/>
  <c r="H426" i="6"/>
  <c r="H440" i="6"/>
  <c r="C763" i="6"/>
  <c r="H427" i="6" s="1"/>
  <c r="E763" i="6"/>
  <c r="E943" i="6"/>
  <c r="C943" i="6"/>
  <c r="E825" i="6"/>
  <c r="C825" i="6"/>
  <c r="H489" i="6" s="1"/>
  <c r="C672" i="6"/>
  <c r="E672" i="6"/>
  <c r="H410" i="6"/>
  <c r="H396" i="6"/>
  <c r="H661" i="6"/>
  <c r="H359" i="6"/>
  <c r="H501" i="6"/>
  <c r="H515" i="6"/>
  <c r="E810" i="6"/>
  <c r="C810" i="6"/>
  <c r="H474" i="6" s="1"/>
  <c r="E1078" i="6"/>
  <c r="C1078" i="6"/>
  <c r="E1064" i="6"/>
  <c r="C1064" i="6"/>
  <c r="E1033" i="6"/>
  <c r="C1033" i="6"/>
  <c r="H455" i="6"/>
  <c r="H441" i="6"/>
  <c r="C883" i="6"/>
  <c r="H547" i="6" s="1"/>
  <c r="E883" i="6"/>
  <c r="C1003" i="6"/>
  <c r="H632" i="6" s="1"/>
  <c r="E1003" i="6"/>
  <c r="C720" i="6"/>
  <c r="H384" i="6" s="1"/>
  <c r="E720" i="6"/>
  <c r="J675" i="6"/>
  <c r="H675" i="6"/>
  <c r="H586" i="6"/>
  <c r="H576" i="6"/>
  <c r="E1140" i="6"/>
  <c r="C1140" i="6"/>
  <c r="E749" i="6"/>
  <c r="C749" i="6"/>
  <c r="H413" i="6" s="1"/>
  <c r="E778" i="6"/>
  <c r="C778" i="6"/>
  <c r="H442" i="6" s="1"/>
  <c r="E733" i="6"/>
  <c r="C733" i="6"/>
  <c r="H397" i="6" s="1"/>
  <c r="H546" i="6"/>
  <c r="H560" i="6"/>
  <c r="C703" i="6"/>
  <c r="H367" i="6" s="1"/>
  <c r="E703" i="6"/>
  <c r="H545" i="6"/>
  <c r="H531" i="6"/>
  <c r="C686" i="6"/>
  <c r="E686" i="6"/>
  <c r="E898" i="6"/>
  <c r="C898" i="6"/>
  <c r="H562" i="6" s="1"/>
  <c r="E1048" i="6"/>
  <c r="C1048" i="6"/>
  <c r="C1153" i="6"/>
  <c r="E1153" i="6"/>
  <c r="C913" i="6"/>
  <c r="H577" i="6" s="1"/>
  <c r="E913" i="6"/>
  <c r="E974" i="6"/>
  <c r="C974" i="6"/>
  <c r="H608" i="6" s="1"/>
  <c r="E838" i="6"/>
  <c r="C838" i="6"/>
  <c r="H502" i="6" s="1"/>
  <c r="H650" i="6"/>
  <c r="H636" i="6"/>
  <c r="H366" i="6"/>
  <c r="H380" i="6"/>
  <c r="C868" i="6"/>
  <c r="H532" i="6" s="1"/>
  <c r="E868" i="6"/>
  <c r="C1034" i="6" l="1"/>
  <c r="E1034" i="6"/>
  <c r="C869" i="6"/>
  <c r="H533" i="6" s="1"/>
  <c r="E869" i="6"/>
  <c r="C944" i="6"/>
  <c r="E944" i="6"/>
  <c r="E704" i="6"/>
  <c r="C704" i="6"/>
  <c r="H368" i="6" s="1"/>
  <c r="E1079" i="6"/>
  <c r="C1079" i="6"/>
  <c r="C1004" i="6"/>
  <c r="H633" i="6" s="1"/>
  <c r="E1004" i="6"/>
  <c r="E884" i="6"/>
  <c r="C884" i="6"/>
  <c r="H548" i="6" s="1"/>
  <c r="E1154" i="6"/>
  <c r="C1154" i="6"/>
  <c r="E673" i="6"/>
  <c r="C673" i="6"/>
  <c r="H337" i="6" s="1"/>
  <c r="E1019" i="6"/>
  <c r="C1019" i="6"/>
  <c r="H638" i="6" s="1"/>
  <c r="C1049" i="6"/>
  <c r="E1049" i="6"/>
  <c r="E899" i="6"/>
  <c r="C899" i="6"/>
  <c r="H563" i="6" s="1"/>
  <c r="E764" i="6"/>
  <c r="C764" i="6"/>
  <c r="H428" i="6" s="1"/>
  <c r="H676" i="6"/>
  <c r="J676" i="6"/>
  <c r="C839" i="6"/>
  <c r="H503" i="6" s="1"/>
  <c r="E839" i="6"/>
  <c r="E1124" i="6"/>
  <c r="C1124" i="6"/>
  <c r="C975" i="6"/>
  <c r="H609" i="6" s="1"/>
  <c r="E975" i="6"/>
  <c r="E914" i="6"/>
  <c r="C914" i="6"/>
  <c r="H578" i="6" s="1"/>
  <c r="C734" i="6"/>
  <c r="H398" i="6" s="1"/>
  <c r="E734" i="6"/>
  <c r="E779" i="6"/>
  <c r="C779" i="6"/>
  <c r="H443" i="6" s="1"/>
  <c r="H350" i="6"/>
  <c r="H336" i="6"/>
  <c r="E750" i="6"/>
  <c r="C750" i="6"/>
  <c r="H414" i="6" s="1"/>
  <c r="E1065" i="6"/>
  <c r="C1065" i="6"/>
  <c r="E687" i="6"/>
  <c r="C687" i="6"/>
  <c r="E1109" i="6"/>
  <c r="C1109" i="6"/>
  <c r="C1155" i="6" l="1"/>
  <c r="E1155" i="6"/>
  <c r="E900" i="6"/>
  <c r="C900" i="6"/>
  <c r="H564" i="6" s="1"/>
  <c r="E735" i="6"/>
  <c r="C735" i="6"/>
  <c r="H399" i="6" s="1"/>
  <c r="E915" i="6"/>
  <c r="C915" i="6"/>
  <c r="H579" i="6" s="1"/>
  <c r="E1020" i="6"/>
  <c r="C1020" i="6"/>
  <c r="H639" i="6" s="1"/>
  <c r="E1125" i="6"/>
  <c r="C1125" i="6"/>
  <c r="E840" i="6"/>
  <c r="C840" i="6"/>
  <c r="H504" i="6" s="1"/>
  <c r="E885" i="6"/>
  <c r="C885" i="6"/>
  <c r="H549" i="6" s="1"/>
  <c r="E1005" i="6"/>
  <c r="C1005" i="6"/>
  <c r="H634" i="6" s="1"/>
  <c r="E1080" i="6"/>
  <c r="C1080" i="6"/>
  <c r="C705" i="6"/>
  <c r="H369" i="6" s="1"/>
  <c r="E705" i="6"/>
  <c r="E945" i="6"/>
  <c r="C945" i="6"/>
  <c r="E870" i="6"/>
  <c r="C870" i="6"/>
  <c r="H534" i="6" s="1"/>
  <c r="E1035" i="6"/>
  <c r="C1035" i="6"/>
  <c r="H351" i="6"/>
  <c r="H365" i="6"/>
  <c r="E688" i="6"/>
  <c r="C688" i="6"/>
  <c r="H352" i="6" s="1"/>
  <c r="E765" i="6"/>
  <c r="C765" i="6"/>
  <c r="H429" i="6" s="1"/>
  <c r="E780" i="6"/>
  <c r="C780" i="6"/>
  <c r="H444" i="6" s="1"/>
  <c r="E1050" i="6"/>
  <c r="C1050" i="6"/>
  <c r="E1110" i="6"/>
  <c r="C1110" i="6"/>
  <c r="E674" i="6"/>
  <c r="C674" i="6"/>
  <c r="H338" i="6" s="1"/>
  <c r="E675" i="6" l="1"/>
  <c r="C675" i="6"/>
  <c r="C689" i="6"/>
  <c r="H353" i="6" s="1"/>
  <c r="E689" i="6"/>
  <c r="E690" i="6" l="1"/>
  <c r="C690" i="6"/>
  <c r="H354" i="6" s="1"/>
  <c r="H339" i="6"/>
  <c r="C677" i="6"/>
  <c r="H355" i="6" l="1"/>
  <c r="H341" i="6"/>
  <c r="C680" i="6"/>
  <c r="H5" i="6" l="1"/>
  <c r="H344" i="6"/>
  <c r="I6" i="4" l="1"/>
  <c r="C10" i="5"/>
  <c r="C9" i="1"/>
  <c r="E2" i="4" l="1"/>
  <c r="F129" i="4" l="1"/>
  <c r="K178" i="4" l="1"/>
  <c r="I70" i="4" l="1"/>
  <c r="H77" i="1" l="1"/>
  <c r="BP54" i="4" l="1"/>
  <c r="BO54" i="4"/>
  <c r="BN54" i="4"/>
  <c r="BM54" i="4"/>
  <c r="BL54" i="4"/>
  <c r="BK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T54" i="4"/>
  <c r="AS54" i="4"/>
  <c r="AR54" i="4"/>
  <c r="AQ54" i="4"/>
  <c r="AP54" i="4"/>
  <c r="AO54" i="4"/>
  <c r="AN54" i="4"/>
  <c r="AM54" i="4"/>
  <c r="AL54" i="4"/>
  <c r="AK54" i="4"/>
  <c r="AH54" i="4"/>
  <c r="AG54" i="4"/>
  <c r="AF54" i="4"/>
  <c r="AE54" i="4"/>
  <c r="AD54" i="4"/>
  <c r="AC54" i="4"/>
  <c r="AB54" i="4"/>
  <c r="AA54" i="4"/>
  <c r="X54" i="4"/>
  <c r="W54" i="4"/>
  <c r="V54" i="4"/>
  <c r="U54" i="4"/>
  <c r="T54" i="4"/>
  <c r="S54" i="4"/>
  <c r="R54" i="4"/>
  <c r="Q54" i="4"/>
  <c r="P54" i="4"/>
  <c r="K57" i="4"/>
  <c r="K56" i="4"/>
  <c r="K55" i="4"/>
  <c r="BP49" i="4"/>
  <c r="BO49" i="4"/>
  <c r="BN49" i="4"/>
  <c r="BM49" i="4"/>
  <c r="BL49" i="4"/>
  <c r="BK49" i="4"/>
  <c r="BJ49" i="4"/>
  <c r="BI49" i="4"/>
  <c r="BG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S49" i="4"/>
  <c r="R49" i="4"/>
  <c r="Q49" i="4"/>
  <c r="P49" i="4"/>
  <c r="BP38" i="4"/>
  <c r="BO38" i="4"/>
  <c r="BN38" i="4"/>
  <c r="BM38" i="4"/>
  <c r="BL38" i="4"/>
  <c r="BK38" i="4"/>
  <c r="BJ38" i="4"/>
  <c r="BH38" i="4"/>
  <c r="BG38" i="4"/>
  <c r="BE38" i="4"/>
  <c r="BD38" i="4"/>
  <c r="BC38" i="4"/>
  <c r="BB38" i="4"/>
  <c r="BA38" i="4"/>
  <c r="AY38" i="4"/>
  <c r="AX38" i="4"/>
  <c r="AW38" i="4"/>
  <c r="AV38" i="4"/>
  <c r="AU38" i="4"/>
  <c r="AS38" i="4"/>
  <c r="AR38" i="4"/>
  <c r="AQ38" i="4"/>
  <c r="AP38" i="4"/>
  <c r="AO38" i="4"/>
  <c r="AM38" i="4"/>
  <c r="AL38" i="4"/>
  <c r="AK38" i="4"/>
  <c r="AJ38" i="4"/>
  <c r="AI38" i="4"/>
  <c r="AG38" i="4"/>
  <c r="AF38" i="4"/>
  <c r="AE38" i="4"/>
  <c r="AD38" i="4"/>
  <c r="AC38" i="4"/>
  <c r="AA38" i="4"/>
  <c r="Z38" i="4"/>
  <c r="Y38" i="4"/>
  <c r="X38" i="4"/>
  <c r="W38" i="4"/>
  <c r="U38" i="4"/>
  <c r="T38" i="4"/>
  <c r="S38" i="4"/>
  <c r="R38" i="4"/>
  <c r="Q38" i="4"/>
  <c r="BP22" i="4"/>
  <c r="BP58" i="4" s="1"/>
  <c r="BO22" i="4"/>
  <c r="BN22" i="4"/>
  <c r="BM22" i="4"/>
  <c r="BL22" i="4"/>
  <c r="BK22" i="4"/>
  <c r="BJ22" i="4"/>
  <c r="BH22" i="4"/>
  <c r="BG22" i="4"/>
  <c r="BE22" i="4"/>
  <c r="BD22" i="4"/>
  <c r="BC22" i="4"/>
  <c r="BB22" i="4"/>
  <c r="BA22" i="4"/>
  <c r="AY22" i="4"/>
  <c r="AX22" i="4"/>
  <c r="AX58" i="4" s="1"/>
  <c r="AW22" i="4"/>
  <c r="AW58" i="4" s="1"/>
  <c r="AV22" i="4"/>
  <c r="AU22" i="4"/>
  <c r="AS22" i="4"/>
  <c r="AR22" i="4"/>
  <c r="AQ22" i="4"/>
  <c r="AP22" i="4"/>
  <c r="AO22" i="4"/>
  <c r="AM22" i="4"/>
  <c r="AL22" i="4"/>
  <c r="AK22" i="4"/>
  <c r="AJ22" i="4"/>
  <c r="AI22" i="4"/>
  <c r="AG22" i="4"/>
  <c r="AF22" i="4"/>
  <c r="AE22" i="4"/>
  <c r="AD22" i="4"/>
  <c r="AD58" i="4" s="1"/>
  <c r="AC22" i="4"/>
  <c r="AA22" i="4"/>
  <c r="Z22" i="4"/>
  <c r="U22" i="4"/>
  <c r="T22" i="4"/>
  <c r="T102" i="4" s="1"/>
  <c r="S22" i="4"/>
  <c r="S102" i="4" s="1"/>
  <c r="R22" i="4"/>
  <c r="R102" i="4" s="1"/>
  <c r="Q22" i="4"/>
  <c r="P22" i="4"/>
  <c r="M122" i="4"/>
  <c r="I85" i="4"/>
  <c r="M73" i="4"/>
  <c r="AF58" i="4" l="1"/>
  <c r="BB58" i="4"/>
  <c r="BD58" i="4"/>
  <c r="AM58" i="4"/>
  <c r="BG58" i="4"/>
  <c r="AP58" i="4"/>
  <c r="AR58" i="4"/>
  <c r="BL58" i="4"/>
  <c r="BN58" i="4"/>
  <c r="Q58" i="4"/>
  <c r="Q102" i="4"/>
  <c r="U58" i="4"/>
  <c r="U102" i="4"/>
  <c r="P102" i="4"/>
  <c r="R58" i="4"/>
  <c r="AE58" i="4"/>
  <c r="AO58" i="4"/>
  <c r="AS58" i="4"/>
  <c r="BC58" i="4"/>
  <c r="BM58" i="4"/>
  <c r="S58" i="4"/>
  <c r="AA58" i="4"/>
  <c r="AK58" i="4"/>
  <c r="AY58" i="4"/>
  <c r="AC58" i="4"/>
  <c r="AG58" i="4"/>
  <c r="AL58" i="4"/>
  <c r="AQ58" i="4"/>
  <c r="BA58" i="4"/>
  <c r="BE58" i="4"/>
  <c r="BK58" i="4"/>
  <c r="BO58" i="4"/>
  <c r="I75" i="4"/>
  <c r="D57" i="4"/>
  <c r="D56" i="4"/>
  <c r="D55" i="4"/>
  <c r="I53" i="4"/>
  <c r="I52" i="4"/>
  <c r="I51" i="4"/>
  <c r="G53" i="4"/>
  <c r="G52" i="4"/>
  <c r="G51" i="4"/>
  <c r="G50" i="4"/>
  <c r="G48" i="4"/>
  <c r="G47" i="4"/>
  <c r="G46" i="4"/>
  <c r="G45" i="4"/>
  <c r="G44" i="4"/>
  <c r="G43" i="4"/>
  <c r="G42" i="4"/>
  <c r="G41" i="4"/>
  <c r="G40" i="4"/>
  <c r="G39" i="4"/>
  <c r="G49" i="4" l="1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J72" i="1" l="1"/>
  <c r="F72" i="1"/>
  <c r="D72" i="1"/>
  <c r="C72" i="1"/>
  <c r="K71" i="1"/>
  <c r="H71" i="1"/>
  <c r="L71" i="1" s="1"/>
  <c r="M71" i="1" s="1"/>
  <c r="G71" i="1"/>
  <c r="E71" i="1"/>
  <c r="B71" i="1" s="1"/>
  <c r="E48" i="4" s="1"/>
  <c r="K48" i="4" s="1"/>
  <c r="M48" i="4" l="1"/>
  <c r="I71" i="1"/>
  <c r="J81" i="1"/>
  <c r="K81" i="1" s="1"/>
  <c r="F81" i="1"/>
  <c r="G81" i="1" s="1"/>
  <c r="D81" i="1"/>
  <c r="E81" i="1" s="1"/>
  <c r="C81" i="1"/>
  <c r="K80" i="1"/>
  <c r="H80" i="1"/>
  <c r="L80" i="1" s="1"/>
  <c r="M80" i="1" s="1"/>
  <c r="G80" i="1"/>
  <c r="E80" i="1"/>
  <c r="B80" i="1" s="1"/>
  <c r="E53" i="4" s="1"/>
  <c r="K79" i="1"/>
  <c r="H79" i="1"/>
  <c r="L79" i="1" s="1"/>
  <c r="M79" i="1" s="1"/>
  <c r="G79" i="1"/>
  <c r="E79" i="1"/>
  <c r="B79" i="1" s="1"/>
  <c r="E52" i="4" s="1"/>
  <c r="K52" i="4" s="1"/>
  <c r="K78" i="1"/>
  <c r="H78" i="1"/>
  <c r="L78" i="1" s="1"/>
  <c r="M78" i="1" s="1"/>
  <c r="G78" i="1"/>
  <c r="E78" i="1"/>
  <c r="B78" i="1" s="1"/>
  <c r="E51" i="4" s="1"/>
  <c r="K51" i="4" s="1"/>
  <c r="K77" i="1"/>
  <c r="L77" i="1"/>
  <c r="G77" i="1"/>
  <c r="E77" i="1"/>
  <c r="B77" i="1" s="1"/>
  <c r="E50" i="4" s="1"/>
  <c r="M50" i="4" s="1"/>
  <c r="K72" i="1"/>
  <c r="G72" i="1"/>
  <c r="E72" i="1"/>
  <c r="K70" i="1"/>
  <c r="H70" i="1"/>
  <c r="L70" i="1" s="1"/>
  <c r="M70" i="1" s="1"/>
  <c r="G70" i="1"/>
  <c r="E70" i="1"/>
  <c r="B70" i="1" s="1"/>
  <c r="E47" i="4"/>
  <c r="K47" i="4" s="1"/>
  <c r="K69" i="1"/>
  <c r="H69" i="1"/>
  <c r="L69" i="1" s="1"/>
  <c r="M69" i="1" s="1"/>
  <c r="G69" i="1"/>
  <c r="E69" i="1"/>
  <c r="B69" i="1" s="1"/>
  <c r="E46" i="4"/>
  <c r="K46" i="4" s="1"/>
  <c r="K68" i="1"/>
  <c r="H68" i="1"/>
  <c r="L68" i="1" s="1"/>
  <c r="M68" i="1" s="1"/>
  <c r="G68" i="1"/>
  <c r="E68" i="1"/>
  <c r="B68" i="1" s="1"/>
  <c r="E45" i="4" s="1"/>
  <c r="K45" i="4" s="1"/>
  <c r="K67" i="1"/>
  <c r="H67" i="1"/>
  <c r="L67" i="1" s="1"/>
  <c r="M67" i="1" s="1"/>
  <c r="G67" i="1"/>
  <c r="E67" i="1"/>
  <c r="B67" i="1" s="1"/>
  <c r="E44" i="4"/>
  <c r="K44" i="4" s="1"/>
  <c r="K66" i="1"/>
  <c r="H66" i="1"/>
  <c r="L66" i="1" s="1"/>
  <c r="M66" i="1" s="1"/>
  <c r="G66" i="1"/>
  <c r="E66" i="1"/>
  <c r="B66" i="1" s="1"/>
  <c r="E43" i="4" s="1"/>
  <c r="K43" i="4" s="1"/>
  <c r="K65" i="1"/>
  <c r="H65" i="1"/>
  <c r="L65" i="1" s="1"/>
  <c r="M65" i="1" s="1"/>
  <c r="G65" i="1"/>
  <c r="E65" i="1"/>
  <c r="B65" i="1" s="1"/>
  <c r="E42" i="4"/>
  <c r="K42" i="4" s="1"/>
  <c r="K64" i="1"/>
  <c r="H64" i="1"/>
  <c r="L64" i="1" s="1"/>
  <c r="M64" i="1" s="1"/>
  <c r="G64" i="1"/>
  <c r="E64" i="1"/>
  <c r="B64" i="1" s="1"/>
  <c r="E41" i="4"/>
  <c r="K41" i="4" s="1"/>
  <c r="K63" i="1"/>
  <c r="H63" i="1"/>
  <c r="L63" i="1" s="1"/>
  <c r="M63" i="1" s="1"/>
  <c r="G63" i="1"/>
  <c r="E63" i="1"/>
  <c r="B63" i="1" s="1"/>
  <c r="E40" i="4" s="1"/>
  <c r="K40" i="4" s="1"/>
  <c r="K62" i="1"/>
  <c r="H62" i="1"/>
  <c r="G62" i="1"/>
  <c r="E62" i="1"/>
  <c r="D89" i="1"/>
  <c r="K56" i="1"/>
  <c r="K55" i="1"/>
  <c r="K54" i="1"/>
  <c r="K53" i="1"/>
  <c r="K52" i="1"/>
  <c r="K51" i="1"/>
  <c r="K50" i="1"/>
  <c r="K49" i="1"/>
  <c r="K48" i="1"/>
  <c r="K47" i="1"/>
  <c r="K46" i="1"/>
  <c r="H56" i="1"/>
  <c r="I56" i="1" s="1"/>
  <c r="H55" i="1"/>
  <c r="L55" i="1" s="1"/>
  <c r="M55" i="1" s="1"/>
  <c r="H54" i="1"/>
  <c r="L54" i="1" s="1"/>
  <c r="M54" i="1" s="1"/>
  <c r="H53" i="1"/>
  <c r="I53" i="1" s="1"/>
  <c r="H52" i="1"/>
  <c r="I52" i="1" s="1"/>
  <c r="H51" i="1"/>
  <c r="L51" i="1" s="1"/>
  <c r="M51" i="1" s="1"/>
  <c r="H50" i="1"/>
  <c r="L50" i="1" s="1"/>
  <c r="M50" i="1" s="1"/>
  <c r="H49" i="1"/>
  <c r="L49" i="1" s="1"/>
  <c r="M49" i="1" s="1"/>
  <c r="H48" i="1"/>
  <c r="I48" i="1" s="1"/>
  <c r="H47" i="1"/>
  <c r="L47" i="1" s="1"/>
  <c r="M47" i="1" s="1"/>
  <c r="H46" i="1"/>
  <c r="L46" i="1" s="1"/>
  <c r="M46" i="1" s="1"/>
  <c r="G56" i="1"/>
  <c r="G55" i="1"/>
  <c r="G54" i="1"/>
  <c r="G53" i="1"/>
  <c r="G52" i="1"/>
  <c r="G51" i="1"/>
  <c r="G50" i="1"/>
  <c r="G49" i="1"/>
  <c r="G48" i="1"/>
  <c r="G47" i="1"/>
  <c r="G46" i="1"/>
  <c r="E56" i="1"/>
  <c r="B56" i="1" s="1"/>
  <c r="E37" i="4" s="1"/>
  <c r="E55" i="1"/>
  <c r="B55" i="1" s="1"/>
  <c r="E36" i="4" s="1"/>
  <c r="E54" i="1"/>
  <c r="B54" i="1" s="1"/>
  <c r="E35" i="4" s="1"/>
  <c r="E53" i="1"/>
  <c r="B53" i="1" s="1"/>
  <c r="E34" i="4" s="1"/>
  <c r="E52" i="1"/>
  <c r="B52" i="1" s="1"/>
  <c r="E33" i="4" s="1"/>
  <c r="E51" i="1"/>
  <c r="B51" i="1" s="1"/>
  <c r="E32" i="4" s="1"/>
  <c r="E50" i="1"/>
  <c r="B50" i="1" s="1"/>
  <c r="E31" i="4" s="1"/>
  <c r="E49" i="1"/>
  <c r="B49" i="1" s="1"/>
  <c r="E30" i="4" s="1"/>
  <c r="E48" i="1"/>
  <c r="B48" i="1" s="1"/>
  <c r="E29" i="4" s="1"/>
  <c r="E47" i="1"/>
  <c r="B47" i="1" s="1"/>
  <c r="E28" i="4" s="1"/>
  <c r="E46" i="1"/>
  <c r="B46" i="1" s="1"/>
  <c r="E27" i="4" s="1"/>
  <c r="J57" i="1"/>
  <c r="F57" i="1"/>
  <c r="D57" i="1"/>
  <c r="C57" i="1"/>
  <c r="B62" i="1" l="1"/>
  <c r="E39" i="4" s="1"/>
  <c r="K39" i="4" s="1"/>
  <c r="BI48" i="4"/>
  <c r="P48" i="4"/>
  <c r="M46" i="4"/>
  <c r="M47" i="4"/>
  <c r="M53" i="4"/>
  <c r="BR53" i="4" s="1"/>
  <c r="K53" i="4"/>
  <c r="BR48" i="4"/>
  <c r="J37" i="1"/>
  <c r="BF53" i="4"/>
  <c r="BF48" i="4"/>
  <c r="AT48" i="4"/>
  <c r="AH48" i="4"/>
  <c r="V48" i="4"/>
  <c r="AZ48" i="4"/>
  <c r="AN48" i="4"/>
  <c r="AB48" i="4"/>
  <c r="M51" i="4"/>
  <c r="BR51" i="4" s="1"/>
  <c r="M52" i="4"/>
  <c r="BR52" i="4" s="1"/>
  <c r="L62" i="1"/>
  <c r="L72" i="1" s="1"/>
  <c r="M72" i="1" s="1"/>
  <c r="H72" i="1"/>
  <c r="I72" i="1" s="1"/>
  <c r="BR50" i="4"/>
  <c r="D35" i="1"/>
  <c r="F35" i="1"/>
  <c r="I49" i="1"/>
  <c r="L53" i="1"/>
  <c r="M53" i="1" s="1"/>
  <c r="L81" i="1"/>
  <c r="M81" i="1" s="1"/>
  <c r="M77" i="1"/>
  <c r="I77" i="1"/>
  <c r="I78" i="1"/>
  <c r="I79" i="1"/>
  <c r="I80" i="1"/>
  <c r="H81" i="1"/>
  <c r="I81" i="1" s="1"/>
  <c r="I51" i="1"/>
  <c r="I47" i="1"/>
  <c r="I55" i="1"/>
  <c r="I62" i="1"/>
  <c r="I63" i="1"/>
  <c r="I64" i="1"/>
  <c r="I65" i="1"/>
  <c r="I66" i="1"/>
  <c r="I67" i="1"/>
  <c r="I68" i="1"/>
  <c r="I69" i="1"/>
  <c r="I70" i="1"/>
  <c r="I46" i="1"/>
  <c r="I50" i="1"/>
  <c r="I54" i="1"/>
  <c r="L48" i="1"/>
  <c r="M48" i="1" s="1"/>
  <c r="L52" i="1"/>
  <c r="M52" i="1" s="1"/>
  <c r="L56" i="1"/>
  <c r="M56" i="1" s="1"/>
  <c r="G57" i="1"/>
  <c r="E38" i="4" l="1"/>
  <c r="P47" i="4"/>
  <c r="BI47" i="4"/>
  <c r="BI46" i="4"/>
  <c r="P46" i="4"/>
  <c r="T53" i="4"/>
  <c r="BH53" i="4"/>
  <c r="M62" i="1"/>
  <c r="BR47" i="4"/>
  <c r="BR46" i="4"/>
  <c r="BF51" i="4"/>
  <c r="BH51" i="4"/>
  <c r="T51" i="4"/>
  <c r="BQ48" i="4"/>
  <c r="BS48" i="4" s="1"/>
  <c r="BF52" i="4"/>
  <c r="BH52" i="4"/>
  <c r="T52" i="4"/>
  <c r="BF50" i="4"/>
  <c r="BH50" i="4"/>
  <c r="T50" i="4"/>
  <c r="AZ46" i="4"/>
  <c r="AN46" i="4"/>
  <c r="AB46" i="4"/>
  <c r="BF46" i="4"/>
  <c r="AT46" i="4"/>
  <c r="AH46" i="4"/>
  <c r="V46" i="4"/>
  <c r="AZ47" i="4"/>
  <c r="AN47" i="4"/>
  <c r="AB47" i="4"/>
  <c r="BF47" i="4"/>
  <c r="AT47" i="4"/>
  <c r="AH47" i="4"/>
  <c r="V47" i="4"/>
  <c r="M49" i="4"/>
  <c r="BR49" i="4" s="1"/>
  <c r="C28" i="1"/>
  <c r="E235" i="7"/>
  <c r="B235" i="7" s="1"/>
  <c r="D235" i="7"/>
  <c r="C160" i="7"/>
  <c r="C157" i="7" s="1"/>
  <c r="C152" i="7"/>
  <c r="C151" i="7"/>
  <c r="C132" i="7"/>
  <c r="D115" i="7"/>
  <c r="D114" i="7"/>
  <c r="D113" i="7"/>
  <c r="D111" i="7"/>
  <c r="D110" i="7"/>
  <c r="D109" i="7"/>
  <c r="C110" i="7"/>
  <c r="C109" i="7"/>
  <c r="C116" i="7"/>
  <c r="C115" i="7"/>
  <c r="C114" i="7"/>
  <c r="C113" i="7"/>
  <c r="C111" i="7"/>
  <c r="BQ53" i="4" l="1"/>
  <c r="BS53" i="4" s="1"/>
  <c r="BQ52" i="4"/>
  <c r="BS52" i="4" s="1"/>
  <c r="BH49" i="4"/>
  <c r="BH58" i="4" s="1"/>
  <c r="BQ46" i="4"/>
  <c r="BS46" i="4" s="1"/>
  <c r="BF49" i="4"/>
  <c r="BQ51" i="4"/>
  <c r="BS51" i="4" s="1"/>
  <c r="BQ47" i="4"/>
  <c r="BS47" i="4" s="1"/>
  <c r="T49" i="4"/>
  <c r="BQ50" i="4"/>
  <c r="BS50" i="4" s="1"/>
  <c r="F164" i="7"/>
  <c r="F160" i="7"/>
  <c r="B224" i="7"/>
  <c r="F162" i="7"/>
  <c r="F158" i="7"/>
  <c r="F161" i="7"/>
  <c r="F157" i="7"/>
  <c r="F163" i="7"/>
  <c r="F159" i="7"/>
  <c r="BQ49" i="4" l="1"/>
  <c r="BS49" i="4" s="1"/>
  <c r="T58" i="4"/>
  <c r="D19" i="7" l="1"/>
  <c r="G109" i="4"/>
  <c r="C20" i="7"/>
  <c r="C98" i="7" s="1"/>
  <c r="D20" i="7"/>
  <c r="C19" i="7" l="1"/>
  <c r="C21" i="7" s="1"/>
  <c r="C41" i="7" l="1"/>
  <c r="C44" i="7" s="1"/>
  <c r="C48" i="7" s="1"/>
  <c r="C28" i="7"/>
  <c r="C30" i="7" s="1"/>
  <c r="G24" i="4"/>
  <c r="G23" i="4"/>
  <c r="G22" i="4" s="1"/>
  <c r="C32" i="7" l="1"/>
  <c r="C34" i="7" s="1"/>
  <c r="G111" i="4"/>
  <c r="M111" i="4" s="1"/>
  <c r="J109" i="4"/>
  <c r="L7" i="4"/>
  <c r="AL81" i="4"/>
  <c r="BN81" i="4"/>
  <c r="BO81" i="4"/>
  <c r="BP81" i="4"/>
  <c r="AF81" i="4"/>
  <c r="AH81" i="4"/>
  <c r="AT81" i="4"/>
  <c r="BB81" i="4"/>
  <c r="BD81" i="4"/>
  <c r="C355" i="7"/>
  <c r="E354" i="7"/>
  <c r="E355" i="7" s="1"/>
  <c r="D354" i="7"/>
  <c r="C354" i="7"/>
  <c r="E353" i="7"/>
  <c r="C353" i="7"/>
  <c r="E347" i="7"/>
  <c r="D341" i="7"/>
  <c r="C341" i="7"/>
  <c r="F301" i="7"/>
  <c r="E301" i="7"/>
  <c r="E304" i="7" s="1"/>
  <c r="C293" i="7"/>
  <c r="G284" i="7" s="1"/>
  <c r="H284" i="7" s="1"/>
  <c r="G135" i="7"/>
  <c r="G134" i="7"/>
  <c r="G132" i="7"/>
  <c r="E116" i="7"/>
  <c r="E115" i="7"/>
  <c r="E114" i="7"/>
  <c r="E113" i="7"/>
  <c r="E111" i="7"/>
  <c r="E110" i="7"/>
  <c r="E109" i="7"/>
  <c r="C102" i="7"/>
  <c r="F98" i="7" s="1"/>
  <c r="C89" i="7"/>
  <c r="C93" i="7" s="1"/>
  <c r="F100" i="7" s="1"/>
  <c r="D6" i="7"/>
  <c r="D72" i="5"/>
  <c r="H58" i="5"/>
  <c r="H57" i="5"/>
  <c r="D57" i="5"/>
  <c r="E57" i="5" s="1"/>
  <c r="H56" i="5"/>
  <c r="D56" i="5"/>
  <c r="E56" i="5" s="1"/>
  <c r="H55" i="5"/>
  <c r="D55" i="5"/>
  <c r="E55" i="5" s="1"/>
  <c r="H54" i="5"/>
  <c r="D54" i="5"/>
  <c r="E54" i="5" s="1"/>
  <c r="E59" i="5" s="1"/>
  <c r="H47" i="5"/>
  <c r="H46" i="5"/>
  <c r="E46" i="5"/>
  <c r="D46" i="5"/>
  <c r="H45" i="5"/>
  <c r="E45" i="5"/>
  <c r="D45" i="5"/>
  <c r="H44" i="5"/>
  <c r="E44" i="5"/>
  <c r="E48" i="5" s="1"/>
  <c r="C36" i="5" s="1"/>
  <c r="D44" i="5"/>
  <c r="H43" i="5"/>
  <c r="D43" i="5"/>
  <c r="C42" i="5"/>
  <c r="C41" i="5" s="1"/>
  <c r="D41" i="5" s="1"/>
  <c r="C35" i="5"/>
  <c r="C23" i="5"/>
  <c r="C24" i="5" s="1"/>
  <c r="C16" i="5"/>
  <c r="D16" i="5" s="1"/>
  <c r="AU166" i="4"/>
  <c r="AU138" i="4" s="1"/>
  <c r="S158" i="4"/>
  <c r="AU160" i="4" s="1"/>
  <c r="M160" i="4" s="1"/>
  <c r="BP141" i="4"/>
  <c r="BO141" i="4"/>
  <c r="BN141" i="4"/>
  <c r="BM141" i="4"/>
  <c r="BL141" i="4"/>
  <c r="BK141" i="4"/>
  <c r="BJ141" i="4"/>
  <c r="BI141" i="4"/>
  <c r="BH141" i="4"/>
  <c r="BG141" i="4"/>
  <c r="BF141" i="4"/>
  <c r="BE141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R141" i="4"/>
  <c r="Q141" i="4"/>
  <c r="P141" i="4"/>
  <c r="K141" i="4"/>
  <c r="BP140" i="4"/>
  <c r="BO140" i="4"/>
  <c r="BN140" i="4"/>
  <c r="BM140" i="4"/>
  <c r="BL140" i="4"/>
  <c r="BK140" i="4"/>
  <c r="R140" i="4"/>
  <c r="Q140" i="4"/>
  <c r="P140" i="4"/>
  <c r="K140" i="4"/>
  <c r="BP139" i="4"/>
  <c r="BO139" i="4"/>
  <c r="BN139" i="4"/>
  <c r="BM139" i="4"/>
  <c r="BL139" i="4"/>
  <c r="BK139" i="4"/>
  <c r="BJ139" i="4"/>
  <c r="BI139" i="4"/>
  <c r="BH139" i="4"/>
  <c r="BG139" i="4"/>
  <c r="BF139" i="4"/>
  <c r="BE139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R139" i="4"/>
  <c r="Q139" i="4"/>
  <c r="P139" i="4"/>
  <c r="K139" i="4"/>
  <c r="BP138" i="4"/>
  <c r="BO138" i="4"/>
  <c r="BN138" i="4"/>
  <c r="BM138" i="4"/>
  <c r="BL138" i="4"/>
  <c r="BK138" i="4"/>
  <c r="BJ138" i="4"/>
  <c r="BI138" i="4"/>
  <c r="BH138" i="4"/>
  <c r="BG138" i="4"/>
  <c r="BF138" i="4"/>
  <c r="BE138" i="4"/>
  <c r="BD138" i="4"/>
  <c r="BC138" i="4"/>
  <c r="BB138" i="4"/>
  <c r="BA138" i="4"/>
  <c r="AZ138" i="4"/>
  <c r="AY138" i="4"/>
  <c r="AX138" i="4"/>
  <c r="AW138" i="4"/>
  <c r="AV138" i="4"/>
  <c r="K138" i="4"/>
  <c r="BP137" i="4"/>
  <c r="BO137" i="4"/>
  <c r="BN137" i="4"/>
  <c r="BM137" i="4"/>
  <c r="BL137" i="4"/>
  <c r="BK137" i="4"/>
  <c r="BJ137" i="4"/>
  <c r="BI137" i="4"/>
  <c r="BH137" i="4"/>
  <c r="BG137" i="4"/>
  <c r="BF137" i="4"/>
  <c r="BE137" i="4"/>
  <c r="BD137" i="4"/>
  <c r="BC137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R137" i="4"/>
  <c r="Q137" i="4"/>
  <c r="M137" i="4"/>
  <c r="S137" i="4" s="1"/>
  <c r="BR136" i="4"/>
  <c r="BR135" i="4"/>
  <c r="BR134" i="4"/>
  <c r="BR133" i="4"/>
  <c r="BR132" i="4"/>
  <c r="BR131" i="4"/>
  <c r="BR130" i="4"/>
  <c r="BR129" i="4"/>
  <c r="BP128" i="4"/>
  <c r="BP144" i="4" s="1"/>
  <c r="BO128" i="4"/>
  <c r="BO144" i="4" s="1"/>
  <c r="BN128" i="4"/>
  <c r="BN144" i="4" s="1"/>
  <c r="BM128" i="4"/>
  <c r="BM144" i="4" s="1"/>
  <c r="BL128" i="4"/>
  <c r="BL144" i="4" s="1"/>
  <c r="BK128" i="4"/>
  <c r="BK144" i="4" s="1"/>
  <c r="BJ128" i="4"/>
  <c r="BI128" i="4"/>
  <c r="BH128" i="4"/>
  <c r="BH144" i="4" s="1"/>
  <c r="BG128" i="4"/>
  <c r="BG144" i="4" s="1"/>
  <c r="BF128" i="4"/>
  <c r="BF144" i="4" s="1"/>
  <c r="BE128" i="4"/>
  <c r="BE144" i="4" s="1"/>
  <c r="BD128" i="4"/>
  <c r="BD144" i="4" s="1"/>
  <c r="BC128" i="4"/>
  <c r="BC144" i="4" s="1"/>
  <c r="BB128" i="4"/>
  <c r="BB144" i="4" s="1"/>
  <c r="BA128" i="4"/>
  <c r="BA144" i="4" s="1"/>
  <c r="AZ128" i="4"/>
  <c r="AZ144" i="4" s="1"/>
  <c r="AY128" i="4"/>
  <c r="AY144" i="4" s="1"/>
  <c r="AX128" i="4"/>
  <c r="AX144" i="4" s="1"/>
  <c r="AW128" i="4"/>
  <c r="AV128" i="4"/>
  <c r="AU128" i="4"/>
  <c r="Z128" i="4"/>
  <c r="Y128" i="4"/>
  <c r="X128" i="4"/>
  <c r="W128" i="4"/>
  <c r="V128" i="4"/>
  <c r="K128" i="4"/>
  <c r="I128" i="4"/>
  <c r="H127" i="4"/>
  <c r="BP125" i="4"/>
  <c r="BO125" i="4"/>
  <c r="BN125" i="4"/>
  <c r="BM125" i="4"/>
  <c r="BL125" i="4"/>
  <c r="R125" i="4"/>
  <c r="Q125" i="4"/>
  <c r="P125" i="4"/>
  <c r="K123" i="4"/>
  <c r="BR122" i="4"/>
  <c r="V122" i="4"/>
  <c r="T122" i="4"/>
  <c r="BR120" i="4"/>
  <c r="G116" i="4"/>
  <c r="G114" i="4"/>
  <c r="AX114" i="4" s="1"/>
  <c r="G113" i="4"/>
  <c r="BR112" i="4"/>
  <c r="AT112" i="4"/>
  <c r="BQ112" i="4" s="1"/>
  <c r="S106" i="4"/>
  <c r="R106" i="4"/>
  <c r="Q106" i="4"/>
  <c r="BR105" i="4"/>
  <c r="AK105" i="4"/>
  <c r="AI105" i="4"/>
  <c r="AG105" i="4"/>
  <c r="AD105" i="4"/>
  <c r="AA105" i="4"/>
  <c r="Z105" i="4"/>
  <c r="X105" i="4"/>
  <c r="W105" i="4"/>
  <c r="V105" i="4"/>
  <c r="U105" i="4"/>
  <c r="T101" i="4"/>
  <c r="M101" i="4"/>
  <c r="BR100" i="4"/>
  <c r="W100" i="4"/>
  <c r="V100" i="4"/>
  <c r="G100" i="4"/>
  <c r="I100" i="4" s="1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S99" i="4"/>
  <c r="R99" i="4"/>
  <c r="Q99" i="4"/>
  <c r="BR98" i="4"/>
  <c r="U98" i="4"/>
  <c r="T98" i="4"/>
  <c r="M97" i="4"/>
  <c r="U97" i="4" s="1"/>
  <c r="M96" i="4"/>
  <c r="V96" i="4" s="1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J95" i="4"/>
  <c r="AH95" i="4"/>
  <c r="AF95" i="4"/>
  <c r="S95" i="4"/>
  <c r="R95" i="4"/>
  <c r="Q95" i="4"/>
  <c r="BR94" i="4"/>
  <c r="AK94" i="4"/>
  <c r="AI94" i="4"/>
  <c r="AI95" i="4" s="1"/>
  <c r="AG94" i="4"/>
  <c r="AG95" i="4" s="1"/>
  <c r="K94" i="4"/>
  <c r="M93" i="4"/>
  <c r="U93" i="4" s="1"/>
  <c r="M92" i="4"/>
  <c r="T91" i="4"/>
  <c r="U91" i="4" s="1"/>
  <c r="M91" i="4"/>
  <c r="BR91" i="4" s="1"/>
  <c r="BP90" i="4"/>
  <c r="BO90" i="4"/>
  <c r="BM90" i="4"/>
  <c r="BK90" i="4"/>
  <c r="BQ89" i="4"/>
  <c r="BQ88" i="4"/>
  <c r="BL90" i="4"/>
  <c r="I84" i="4"/>
  <c r="BM81" i="4"/>
  <c r="BL81" i="4"/>
  <c r="BK81" i="4"/>
  <c r="BJ81" i="4"/>
  <c r="BH81" i="4"/>
  <c r="AZ81" i="4"/>
  <c r="AX81" i="4"/>
  <c r="AV81" i="4"/>
  <c r="AR81" i="4"/>
  <c r="AN81" i="4"/>
  <c r="AJ81" i="4"/>
  <c r="AB81" i="4"/>
  <c r="Z81" i="4"/>
  <c r="X81" i="4"/>
  <c r="S81" i="4"/>
  <c r="R81" i="4"/>
  <c r="Q81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R74" i="4"/>
  <c r="Q74" i="4"/>
  <c r="S73" i="4"/>
  <c r="BQ73" i="4" s="1"/>
  <c r="I71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BR66" i="4"/>
  <c r="BQ66" i="4"/>
  <c r="G65" i="4"/>
  <c r="Q65" i="4" s="1"/>
  <c r="Q67" i="4" s="1"/>
  <c r="BP64" i="4"/>
  <c r="BO64" i="4"/>
  <c r="BN64" i="4"/>
  <c r="BM64" i="4"/>
  <c r="BL64" i="4"/>
  <c r="BK64" i="4"/>
  <c r="BJ64" i="4"/>
  <c r="BJ68" i="4" s="1"/>
  <c r="BI64" i="4"/>
  <c r="BI68" i="4" s="1"/>
  <c r="BH64" i="4"/>
  <c r="BH68" i="4" s="1"/>
  <c r="BG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Z64" i="4"/>
  <c r="Y64" i="4"/>
  <c r="X64" i="4"/>
  <c r="W64" i="4"/>
  <c r="V64" i="4"/>
  <c r="U64" i="4"/>
  <c r="T64" i="4"/>
  <c r="S64" i="4"/>
  <c r="R64" i="4"/>
  <c r="Q64" i="4"/>
  <c r="P64" i="4"/>
  <c r="P68" i="4" s="1"/>
  <c r="BQ63" i="4"/>
  <c r="M63" i="4"/>
  <c r="BR63" i="4" s="1"/>
  <c r="BQ62" i="4"/>
  <c r="M62" i="4"/>
  <c r="BR62" i="4" s="1"/>
  <c r="AA61" i="4"/>
  <c r="BP103" i="4"/>
  <c r="BO103" i="4"/>
  <c r="BN103" i="4"/>
  <c r="BM103" i="4"/>
  <c r="BL103" i="4"/>
  <c r="BK103" i="4"/>
  <c r="BH103" i="4"/>
  <c r="BG103" i="4"/>
  <c r="BF103" i="4"/>
  <c r="BE103" i="4"/>
  <c r="BD103" i="4"/>
  <c r="BC103" i="4"/>
  <c r="BB103" i="4"/>
  <c r="BA103" i="4"/>
  <c r="AZ103" i="4"/>
  <c r="AY103" i="4"/>
  <c r="AX103" i="4"/>
  <c r="AS103" i="4"/>
  <c r="AR103" i="4"/>
  <c r="AQ103" i="4"/>
  <c r="AP103" i="4"/>
  <c r="AO103" i="4"/>
  <c r="AL103" i="4"/>
  <c r="AK103" i="4"/>
  <c r="AE103" i="4"/>
  <c r="AD103" i="4"/>
  <c r="AC103" i="4"/>
  <c r="AB103" i="4"/>
  <c r="AA103" i="4"/>
  <c r="X103" i="4"/>
  <c r="W103" i="4"/>
  <c r="V103" i="4"/>
  <c r="I23" i="4"/>
  <c r="I37" i="4" s="1"/>
  <c r="F12" i="2"/>
  <c r="Q20" i="4"/>
  <c r="U17" i="4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V16" i="4"/>
  <c r="W16" i="4" s="1"/>
  <c r="L14" i="4"/>
  <c r="T11" i="4"/>
  <c r="S11" i="4"/>
  <c r="L8" i="4"/>
  <c r="E7" i="4"/>
  <c r="G7" i="4" s="1"/>
  <c r="M6" i="4"/>
  <c r="L6" i="4"/>
  <c r="E5" i="4"/>
  <c r="E4" i="4"/>
  <c r="M2" i="4"/>
  <c r="L161" i="3"/>
  <c r="N161" i="3" s="1"/>
  <c r="G161" i="3"/>
  <c r="N158" i="3"/>
  <c r="M158" i="3"/>
  <c r="L158" i="3"/>
  <c r="K158" i="3"/>
  <c r="J158" i="3"/>
  <c r="I158" i="3"/>
  <c r="H158" i="3"/>
  <c r="G158" i="3"/>
  <c r="J156" i="3"/>
  <c r="H156" i="3"/>
  <c r="G156" i="3"/>
  <c r="E154" i="3"/>
  <c r="E113" i="3" s="1"/>
  <c r="G117" i="3"/>
  <c r="G118" i="3" s="1"/>
  <c r="H115" i="3"/>
  <c r="I115" i="3" s="1"/>
  <c r="J115" i="3" s="1"/>
  <c r="K115" i="3" s="1"/>
  <c r="L115" i="3" s="1"/>
  <c r="M115" i="3" s="1"/>
  <c r="N115" i="3" s="1"/>
  <c r="O115" i="3" s="1"/>
  <c r="B113" i="3"/>
  <c r="C113" i="3" s="1"/>
  <c r="K97" i="3"/>
  <c r="L97" i="3" s="1"/>
  <c r="M97" i="3" s="1"/>
  <c r="N97" i="3" s="1"/>
  <c r="O97" i="3" s="1"/>
  <c r="F94" i="3"/>
  <c r="G94" i="3" s="1"/>
  <c r="H94" i="3" s="1"/>
  <c r="I94" i="3" s="1"/>
  <c r="J94" i="3" s="1"/>
  <c r="K94" i="3" s="1"/>
  <c r="L94" i="3" s="1"/>
  <c r="M94" i="3" s="1"/>
  <c r="N94" i="3" s="1"/>
  <c r="O94" i="3" s="1"/>
  <c r="D94" i="3"/>
  <c r="F93" i="3"/>
  <c r="G93" i="3" s="1"/>
  <c r="H93" i="3" s="1"/>
  <c r="I93" i="3" s="1"/>
  <c r="J93" i="3" s="1"/>
  <c r="K93" i="3" s="1"/>
  <c r="L93" i="3" s="1"/>
  <c r="M93" i="3" s="1"/>
  <c r="N93" i="3" s="1"/>
  <c r="O93" i="3" s="1"/>
  <c r="F91" i="3"/>
  <c r="G91" i="3" s="1"/>
  <c r="H91" i="3" s="1"/>
  <c r="I91" i="3" s="1"/>
  <c r="J91" i="3" s="1"/>
  <c r="K91" i="3" s="1"/>
  <c r="L91" i="3" s="1"/>
  <c r="M91" i="3" s="1"/>
  <c r="N91" i="3" s="1"/>
  <c r="O91" i="3" s="1"/>
  <c r="F90" i="3"/>
  <c r="G90" i="3" s="1"/>
  <c r="H90" i="3" s="1"/>
  <c r="I90" i="3" s="1"/>
  <c r="J90" i="3" s="1"/>
  <c r="K90" i="3" s="1"/>
  <c r="L90" i="3" s="1"/>
  <c r="M90" i="3" s="1"/>
  <c r="N90" i="3" s="1"/>
  <c r="O90" i="3" s="1"/>
  <c r="F89" i="3"/>
  <c r="G89" i="3" s="1"/>
  <c r="H89" i="3" s="1"/>
  <c r="I89" i="3" s="1"/>
  <c r="J89" i="3" s="1"/>
  <c r="K89" i="3" s="1"/>
  <c r="L89" i="3" s="1"/>
  <c r="M89" i="3" s="1"/>
  <c r="N89" i="3" s="1"/>
  <c r="O89" i="3" s="1"/>
  <c r="F88" i="3"/>
  <c r="G88" i="3" s="1"/>
  <c r="H88" i="3" s="1"/>
  <c r="I88" i="3" s="1"/>
  <c r="J88" i="3" s="1"/>
  <c r="K88" i="3" s="1"/>
  <c r="L88" i="3" s="1"/>
  <c r="M88" i="3" s="1"/>
  <c r="N88" i="3" s="1"/>
  <c r="O88" i="3" s="1"/>
  <c r="F87" i="3"/>
  <c r="G87" i="3" s="1"/>
  <c r="H87" i="3" s="1"/>
  <c r="I87" i="3" s="1"/>
  <c r="J87" i="3" s="1"/>
  <c r="K87" i="3" s="1"/>
  <c r="L87" i="3" s="1"/>
  <c r="M87" i="3" s="1"/>
  <c r="N87" i="3" s="1"/>
  <c r="O87" i="3" s="1"/>
  <c r="H86" i="3"/>
  <c r="I86" i="3" s="1"/>
  <c r="J86" i="3" s="1"/>
  <c r="K86" i="3" s="1"/>
  <c r="L86" i="3" s="1"/>
  <c r="M86" i="3" s="1"/>
  <c r="N86" i="3" s="1"/>
  <c r="G84" i="3"/>
  <c r="H84" i="3" s="1"/>
  <c r="I84" i="3" s="1"/>
  <c r="J84" i="3" s="1"/>
  <c r="K84" i="3" s="1"/>
  <c r="L84" i="3" s="1"/>
  <c r="M84" i="3" s="1"/>
  <c r="N84" i="3" s="1"/>
  <c r="O84" i="3" s="1"/>
  <c r="G83" i="3"/>
  <c r="H83" i="3" s="1"/>
  <c r="I83" i="3" s="1"/>
  <c r="J83" i="3" s="1"/>
  <c r="K83" i="3" s="1"/>
  <c r="L83" i="3" s="1"/>
  <c r="M83" i="3" s="1"/>
  <c r="N83" i="3" s="1"/>
  <c r="O83" i="3" s="1"/>
  <c r="D81" i="3"/>
  <c r="G79" i="3"/>
  <c r="H79" i="3" s="1"/>
  <c r="I79" i="3" s="1"/>
  <c r="J79" i="3" s="1"/>
  <c r="K79" i="3" s="1"/>
  <c r="L79" i="3" s="1"/>
  <c r="M79" i="3" s="1"/>
  <c r="N79" i="3" s="1"/>
  <c r="O79" i="3" s="1"/>
  <c r="G78" i="3"/>
  <c r="H78" i="3" s="1"/>
  <c r="I78" i="3" s="1"/>
  <c r="J78" i="3" s="1"/>
  <c r="K78" i="3" s="1"/>
  <c r="L78" i="3" s="1"/>
  <c r="M78" i="3" s="1"/>
  <c r="N78" i="3" s="1"/>
  <c r="O78" i="3" s="1"/>
  <c r="G73" i="3"/>
  <c r="H73" i="3" s="1"/>
  <c r="I73" i="3" s="1"/>
  <c r="J73" i="3" s="1"/>
  <c r="K73" i="3" s="1"/>
  <c r="L73" i="3" s="1"/>
  <c r="M73" i="3" s="1"/>
  <c r="N73" i="3" s="1"/>
  <c r="O73" i="3" s="1"/>
  <c r="N72" i="3"/>
  <c r="H72" i="3"/>
  <c r="E71" i="3"/>
  <c r="D71" i="3"/>
  <c r="D106" i="3" s="1"/>
  <c r="E70" i="3"/>
  <c r="E93" i="3" s="1"/>
  <c r="D70" i="3"/>
  <c r="F69" i="3"/>
  <c r="G69" i="3" s="1"/>
  <c r="H69" i="3" s="1"/>
  <c r="I69" i="3" s="1"/>
  <c r="J69" i="3" s="1"/>
  <c r="K69" i="3" s="1"/>
  <c r="L69" i="3" s="1"/>
  <c r="M69" i="3" s="1"/>
  <c r="N69" i="3" s="1"/>
  <c r="O69" i="3" s="1"/>
  <c r="E69" i="3"/>
  <c r="E92" i="3" s="1"/>
  <c r="D69" i="3"/>
  <c r="F68" i="3"/>
  <c r="G68" i="3" s="1"/>
  <c r="H68" i="3" s="1"/>
  <c r="I68" i="3" s="1"/>
  <c r="J68" i="3" s="1"/>
  <c r="K68" i="3" s="1"/>
  <c r="L68" i="3" s="1"/>
  <c r="M68" i="3" s="1"/>
  <c r="N68" i="3" s="1"/>
  <c r="O68" i="3" s="1"/>
  <c r="E68" i="3"/>
  <c r="D68" i="3"/>
  <c r="D91" i="3" s="1"/>
  <c r="E67" i="3"/>
  <c r="E90" i="3" s="1"/>
  <c r="D67" i="3"/>
  <c r="E66" i="3"/>
  <c r="D66" i="3"/>
  <c r="E65" i="3"/>
  <c r="E75" i="3" s="1"/>
  <c r="D65" i="3"/>
  <c r="D75" i="3" s="1"/>
  <c r="E64" i="3"/>
  <c r="E87" i="3" s="1"/>
  <c r="D64" i="3"/>
  <c r="D74" i="3" s="1"/>
  <c r="F63" i="3"/>
  <c r="F86" i="3" s="1"/>
  <c r="G86" i="3" s="1"/>
  <c r="E63" i="3"/>
  <c r="G61" i="3"/>
  <c r="G62" i="3" s="1"/>
  <c r="H59" i="3"/>
  <c r="I59" i="3" s="1"/>
  <c r="J59" i="3" s="1"/>
  <c r="K59" i="3" s="1"/>
  <c r="L59" i="3" s="1"/>
  <c r="M59" i="3" s="1"/>
  <c r="N59" i="3" s="1"/>
  <c r="O59" i="3" s="1"/>
  <c r="B55" i="3"/>
  <c r="Q151" i="3" s="1"/>
  <c r="AA52" i="3"/>
  <c r="V52" i="3"/>
  <c r="W52" i="3" s="1"/>
  <c r="X52" i="3" s="1"/>
  <c r="Y52" i="3" s="1"/>
  <c r="W51" i="3"/>
  <c r="X51" i="3" s="1"/>
  <c r="Y51" i="3" s="1"/>
  <c r="T50" i="3"/>
  <c r="I48" i="3"/>
  <c r="I49" i="3" s="1"/>
  <c r="B48" i="3"/>
  <c r="B49" i="3" s="1"/>
  <c r="I46" i="3"/>
  <c r="B46" i="3"/>
  <c r="I45" i="3"/>
  <c r="B45" i="3"/>
  <c r="M44" i="3"/>
  <c r="N44" i="3" s="1"/>
  <c r="K44" i="3"/>
  <c r="J44" i="3" s="1"/>
  <c r="F44" i="3"/>
  <c r="G44" i="3" s="1"/>
  <c r="D44" i="3"/>
  <c r="C44" i="3" s="1"/>
  <c r="E37" i="3"/>
  <c r="B44" i="3" s="1"/>
  <c r="C12" i="3"/>
  <c r="C11" i="3"/>
  <c r="J8" i="3"/>
  <c r="I8" i="3"/>
  <c r="H8" i="3"/>
  <c r="G8" i="3"/>
  <c r="F8" i="3"/>
  <c r="E8" i="3" s="1"/>
  <c r="C8" i="3"/>
  <c r="J7" i="3"/>
  <c r="I7" i="3"/>
  <c r="H7" i="3"/>
  <c r="G7" i="3"/>
  <c r="F7" i="3"/>
  <c r="E7" i="3" s="1"/>
  <c r="C7" i="3"/>
  <c r="G5" i="3"/>
  <c r="H5" i="3" s="1"/>
  <c r="H3" i="3"/>
  <c r="I3" i="3" s="1"/>
  <c r="J3" i="3" s="1"/>
  <c r="K3" i="3" s="1"/>
  <c r="L3" i="3" s="1"/>
  <c r="M3" i="3" s="1"/>
  <c r="N3" i="3" s="1"/>
  <c r="O3" i="3" s="1"/>
  <c r="J149" i="2"/>
  <c r="K149" i="2" s="1"/>
  <c r="L149" i="2" s="1"/>
  <c r="M149" i="2" s="1"/>
  <c r="N149" i="2" s="1"/>
  <c r="O149" i="2" s="1"/>
  <c r="I149" i="2"/>
  <c r="O141" i="2"/>
  <c r="N141" i="2"/>
  <c r="M141" i="2"/>
  <c r="L141" i="2"/>
  <c r="K141" i="2"/>
  <c r="J139" i="2"/>
  <c r="J146" i="2" s="1"/>
  <c r="I139" i="2"/>
  <c r="I146" i="2" s="1"/>
  <c r="H139" i="2"/>
  <c r="H146" i="2" s="1"/>
  <c r="H136" i="2"/>
  <c r="G121" i="2"/>
  <c r="H120" i="2"/>
  <c r="H121" i="2" s="1"/>
  <c r="G120" i="2"/>
  <c r="H118" i="2"/>
  <c r="I118" i="2" s="1"/>
  <c r="J118" i="2" s="1"/>
  <c r="K118" i="2" s="1"/>
  <c r="L118" i="2" s="1"/>
  <c r="M118" i="2" s="1"/>
  <c r="N118" i="2" s="1"/>
  <c r="O118" i="2" s="1"/>
  <c r="E108" i="2"/>
  <c r="J108" i="2" s="1"/>
  <c r="E107" i="2"/>
  <c r="D107" i="2"/>
  <c r="E105" i="2"/>
  <c r="I105" i="2" s="1"/>
  <c r="D105" i="2"/>
  <c r="E104" i="2"/>
  <c r="D104" i="2"/>
  <c r="K100" i="2"/>
  <c r="F97" i="2"/>
  <c r="G97" i="2" s="1"/>
  <c r="H97" i="2" s="1"/>
  <c r="I97" i="2" s="1"/>
  <c r="J97" i="2" s="1"/>
  <c r="K97" i="2" s="1"/>
  <c r="L97" i="2" s="1"/>
  <c r="M97" i="2" s="1"/>
  <c r="N97" i="2" s="1"/>
  <c r="O97" i="2" s="1"/>
  <c r="F96" i="2"/>
  <c r="G96" i="2" s="1"/>
  <c r="H96" i="2" s="1"/>
  <c r="I96" i="2" s="1"/>
  <c r="J96" i="2" s="1"/>
  <c r="K96" i="2" s="1"/>
  <c r="L96" i="2" s="1"/>
  <c r="M96" i="2" s="1"/>
  <c r="N96" i="2" s="1"/>
  <c r="O96" i="2" s="1"/>
  <c r="E96" i="2"/>
  <c r="F95" i="2"/>
  <c r="G95" i="2" s="1"/>
  <c r="H95" i="2" s="1"/>
  <c r="I95" i="2" s="1"/>
  <c r="J95" i="2" s="1"/>
  <c r="K95" i="2" s="1"/>
  <c r="L95" i="2" s="1"/>
  <c r="M95" i="2" s="1"/>
  <c r="N95" i="2" s="1"/>
  <c r="O95" i="2" s="1"/>
  <c r="E95" i="2"/>
  <c r="G94" i="2"/>
  <c r="H94" i="2" s="1"/>
  <c r="I94" i="2" s="1"/>
  <c r="J94" i="2" s="1"/>
  <c r="K94" i="2" s="1"/>
  <c r="L94" i="2" s="1"/>
  <c r="M94" i="2" s="1"/>
  <c r="N94" i="2" s="1"/>
  <c r="O94" i="2" s="1"/>
  <c r="F94" i="2"/>
  <c r="E94" i="2"/>
  <c r="F93" i="2"/>
  <c r="G93" i="2" s="1"/>
  <c r="H93" i="2" s="1"/>
  <c r="I93" i="2" s="1"/>
  <c r="J93" i="2" s="1"/>
  <c r="K93" i="2" s="1"/>
  <c r="L93" i="2" s="1"/>
  <c r="M93" i="2" s="1"/>
  <c r="N93" i="2" s="1"/>
  <c r="O93" i="2" s="1"/>
  <c r="E93" i="2"/>
  <c r="F92" i="2"/>
  <c r="G92" i="2" s="1"/>
  <c r="H92" i="2" s="1"/>
  <c r="I92" i="2" s="1"/>
  <c r="J92" i="2" s="1"/>
  <c r="K92" i="2" s="1"/>
  <c r="L92" i="2" s="1"/>
  <c r="M92" i="2" s="1"/>
  <c r="N92" i="2" s="1"/>
  <c r="O92" i="2" s="1"/>
  <c r="F91" i="2"/>
  <c r="G91" i="2" s="1"/>
  <c r="H91" i="2" s="1"/>
  <c r="I91" i="2" s="1"/>
  <c r="J91" i="2" s="1"/>
  <c r="K91" i="2" s="1"/>
  <c r="L91" i="2" s="1"/>
  <c r="M91" i="2" s="1"/>
  <c r="N91" i="2" s="1"/>
  <c r="O91" i="2" s="1"/>
  <c r="F90" i="2"/>
  <c r="G90" i="2" s="1"/>
  <c r="H90" i="2" s="1"/>
  <c r="I90" i="2" s="1"/>
  <c r="J90" i="2" s="1"/>
  <c r="K90" i="2" s="1"/>
  <c r="L90" i="2" s="1"/>
  <c r="M90" i="2" s="1"/>
  <c r="N90" i="2" s="1"/>
  <c r="O90" i="2" s="1"/>
  <c r="G87" i="2"/>
  <c r="H87" i="2" s="1"/>
  <c r="I87" i="2" s="1"/>
  <c r="J87" i="2" s="1"/>
  <c r="K87" i="2" s="1"/>
  <c r="L87" i="2" s="1"/>
  <c r="M87" i="2" s="1"/>
  <c r="N87" i="2" s="1"/>
  <c r="O87" i="2" s="1"/>
  <c r="G86" i="2"/>
  <c r="H86" i="2" s="1"/>
  <c r="I86" i="2" s="1"/>
  <c r="J86" i="2" s="1"/>
  <c r="K86" i="2" s="1"/>
  <c r="L86" i="2" s="1"/>
  <c r="M86" i="2" s="1"/>
  <c r="N86" i="2" s="1"/>
  <c r="O86" i="2" s="1"/>
  <c r="E83" i="2"/>
  <c r="D83" i="2"/>
  <c r="G82" i="2"/>
  <c r="H82" i="2" s="1"/>
  <c r="I82" i="2" s="1"/>
  <c r="J82" i="2" s="1"/>
  <c r="K82" i="2" s="1"/>
  <c r="L82" i="2" s="1"/>
  <c r="M82" i="2" s="1"/>
  <c r="N82" i="2" s="1"/>
  <c r="O82" i="2" s="1"/>
  <c r="E82" i="2"/>
  <c r="D82" i="2"/>
  <c r="G81" i="2"/>
  <c r="H81" i="2" s="1"/>
  <c r="I81" i="2" s="1"/>
  <c r="J81" i="2" s="1"/>
  <c r="K81" i="2" s="1"/>
  <c r="L81" i="2" s="1"/>
  <c r="M81" i="2" s="1"/>
  <c r="N81" i="2" s="1"/>
  <c r="O81" i="2" s="1"/>
  <c r="D78" i="2"/>
  <c r="D77" i="2"/>
  <c r="G76" i="2"/>
  <c r="H76" i="2" s="1"/>
  <c r="I76" i="2" s="1"/>
  <c r="L75" i="2"/>
  <c r="I75" i="2"/>
  <c r="I135" i="2" s="1"/>
  <c r="J135" i="2" s="1"/>
  <c r="K135" i="2" s="1"/>
  <c r="L135" i="2" s="1"/>
  <c r="F75" i="2"/>
  <c r="E74" i="2"/>
  <c r="E97" i="2" s="1"/>
  <c r="D74" i="2"/>
  <c r="D97" i="2" s="1"/>
  <c r="E73" i="2"/>
  <c r="D73" i="2"/>
  <c r="F72" i="2"/>
  <c r="G72" i="2" s="1"/>
  <c r="H72" i="2" s="1"/>
  <c r="I72" i="2" s="1"/>
  <c r="J72" i="2" s="1"/>
  <c r="K72" i="2" s="1"/>
  <c r="L72" i="2" s="1"/>
  <c r="M72" i="2" s="1"/>
  <c r="N72" i="2" s="1"/>
  <c r="O72" i="2" s="1"/>
  <c r="E72" i="2"/>
  <c r="D72" i="2"/>
  <c r="D95" i="2" s="1"/>
  <c r="F71" i="2"/>
  <c r="G71" i="2" s="1"/>
  <c r="H71" i="2" s="1"/>
  <c r="I71" i="2" s="1"/>
  <c r="J71" i="2" s="1"/>
  <c r="K71" i="2" s="1"/>
  <c r="L71" i="2" s="1"/>
  <c r="M71" i="2" s="1"/>
  <c r="N71" i="2" s="1"/>
  <c r="O71" i="2" s="1"/>
  <c r="E71" i="2"/>
  <c r="E81" i="2" s="1"/>
  <c r="D71" i="2"/>
  <c r="D106" i="2" s="1"/>
  <c r="E70" i="2"/>
  <c r="E80" i="2" s="1"/>
  <c r="D70" i="2"/>
  <c r="D93" i="2" s="1"/>
  <c r="E69" i="2"/>
  <c r="E92" i="2" s="1"/>
  <c r="D69" i="2"/>
  <c r="D92" i="2" s="1"/>
  <c r="E68" i="2"/>
  <c r="D68" i="2"/>
  <c r="E67" i="2"/>
  <c r="E102" i="2" s="1"/>
  <c r="D67" i="2"/>
  <c r="F66" i="2"/>
  <c r="E66" i="2"/>
  <c r="E101" i="2" s="1"/>
  <c r="G64" i="2"/>
  <c r="G65" i="2" s="1"/>
  <c r="H62" i="2"/>
  <c r="I62" i="2" s="1"/>
  <c r="J62" i="2" s="1"/>
  <c r="K62" i="2" s="1"/>
  <c r="L62" i="2" s="1"/>
  <c r="M62" i="2" s="1"/>
  <c r="N62" i="2" s="1"/>
  <c r="O62" i="2" s="1"/>
  <c r="B58" i="2"/>
  <c r="H144" i="2" s="1"/>
  <c r="I51" i="2"/>
  <c r="I52" i="2" s="1"/>
  <c r="B51" i="2"/>
  <c r="B52" i="2" s="1"/>
  <c r="I49" i="2"/>
  <c r="I48" i="2" s="1"/>
  <c r="B49" i="2"/>
  <c r="B48" i="2" s="1"/>
  <c r="M47" i="2"/>
  <c r="N47" i="2" s="1"/>
  <c r="K47" i="2"/>
  <c r="J47" i="2"/>
  <c r="G47" i="2"/>
  <c r="F47" i="2"/>
  <c r="D47" i="2"/>
  <c r="C47" i="2"/>
  <c r="J38" i="2"/>
  <c r="J37" i="2"/>
  <c r="I37" i="2"/>
  <c r="H37" i="2"/>
  <c r="G37" i="2"/>
  <c r="F37" i="2"/>
  <c r="E37" i="2" s="1"/>
  <c r="E178" i="2" s="1"/>
  <c r="E211" i="2" s="1"/>
  <c r="I36" i="2"/>
  <c r="H36" i="2"/>
  <c r="G36" i="2"/>
  <c r="F36" i="2"/>
  <c r="E36" i="2" s="1"/>
  <c r="J34" i="2"/>
  <c r="I34" i="2"/>
  <c r="H34" i="2"/>
  <c r="G34" i="2"/>
  <c r="F34" i="2"/>
  <c r="J33" i="2"/>
  <c r="I33" i="2"/>
  <c r="H33" i="2"/>
  <c r="G33" i="2"/>
  <c r="F33" i="2"/>
  <c r="E33" i="2" s="1"/>
  <c r="J31" i="2"/>
  <c r="I31" i="2"/>
  <c r="H31" i="2"/>
  <c r="G31" i="2"/>
  <c r="F31" i="2"/>
  <c r="E31" i="2" s="1"/>
  <c r="E201" i="2" s="1"/>
  <c r="J30" i="2"/>
  <c r="I30" i="2"/>
  <c r="H30" i="2"/>
  <c r="G30" i="2"/>
  <c r="F30" i="2"/>
  <c r="E30" i="2" s="1"/>
  <c r="J28" i="2"/>
  <c r="J130" i="2" s="1"/>
  <c r="I28" i="2"/>
  <c r="I130" i="2" s="1"/>
  <c r="H28" i="2"/>
  <c r="H130" i="2" s="1"/>
  <c r="G28" i="2"/>
  <c r="G130" i="2" s="1"/>
  <c r="F28" i="2"/>
  <c r="E28" i="2" s="1"/>
  <c r="E198" i="2" s="1"/>
  <c r="J27" i="2"/>
  <c r="J129" i="2" s="1"/>
  <c r="J26" i="2"/>
  <c r="J128" i="2" s="1"/>
  <c r="J25" i="2"/>
  <c r="J127" i="2" s="1"/>
  <c r="I25" i="2"/>
  <c r="I127" i="2" s="1"/>
  <c r="H25" i="2"/>
  <c r="H127" i="2" s="1"/>
  <c r="F25" i="2"/>
  <c r="F127" i="2" s="1"/>
  <c r="J24" i="2"/>
  <c r="J126" i="2" s="1"/>
  <c r="J23" i="2"/>
  <c r="J125" i="2" s="1"/>
  <c r="J22" i="2"/>
  <c r="J124" i="2" s="1"/>
  <c r="J21" i="2"/>
  <c r="J123" i="2" s="1"/>
  <c r="J20" i="2"/>
  <c r="J122" i="2" s="1"/>
  <c r="E18" i="2"/>
  <c r="J17" i="2"/>
  <c r="J16" i="2"/>
  <c r="J15" i="2"/>
  <c r="I15" i="2"/>
  <c r="H15" i="2"/>
  <c r="G15" i="2"/>
  <c r="F15" i="2"/>
  <c r="E15" i="2" s="1"/>
  <c r="E184" i="2" s="1"/>
  <c r="C15" i="2"/>
  <c r="J14" i="2"/>
  <c r="I14" i="2"/>
  <c r="H14" i="2"/>
  <c r="G14" i="2"/>
  <c r="F14" i="2"/>
  <c r="E14" i="2" s="1"/>
  <c r="E183" i="2" s="1"/>
  <c r="C14" i="2"/>
  <c r="J13" i="2"/>
  <c r="J12" i="2"/>
  <c r="J11" i="2"/>
  <c r="I11" i="2"/>
  <c r="H11" i="2"/>
  <c r="G11" i="2"/>
  <c r="F11" i="2"/>
  <c r="E11" i="2" s="1"/>
  <c r="E180" i="2" s="1"/>
  <c r="C11" i="2"/>
  <c r="J10" i="2"/>
  <c r="I10" i="2"/>
  <c r="H10" i="2"/>
  <c r="G10" i="2"/>
  <c r="F10" i="2"/>
  <c r="E10" i="2" s="1"/>
  <c r="E179" i="2" s="1"/>
  <c r="E185" i="2" s="1"/>
  <c r="C10" i="2"/>
  <c r="G8" i="2"/>
  <c r="H8" i="2" s="1"/>
  <c r="H9" i="2" s="1"/>
  <c r="H6" i="2"/>
  <c r="I6" i="2" s="1"/>
  <c r="J6" i="2" s="1"/>
  <c r="K6" i="2" s="1"/>
  <c r="L6" i="2" s="1"/>
  <c r="M6" i="2" s="1"/>
  <c r="N6" i="2" s="1"/>
  <c r="O6" i="2" s="1"/>
  <c r="J3" i="2"/>
  <c r="B2" i="2"/>
  <c r="C89" i="1"/>
  <c r="K88" i="1"/>
  <c r="E88" i="1"/>
  <c r="K87" i="1"/>
  <c r="E87" i="1"/>
  <c r="B84" i="1"/>
  <c r="C112" i="7"/>
  <c r="H114" i="7" s="1"/>
  <c r="K45" i="1"/>
  <c r="H45" i="1"/>
  <c r="E45" i="1"/>
  <c r="B45" i="1" s="1"/>
  <c r="E26" i="4" s="1"/>
  <c r="K44" i="1"/>
  <c r="G44" i="1"/>
  <c r="E44" i="1"/>
  <c r="B44" i="1" s="1"/>
  <c r="E25" i="4" s="1"/>
  <c r="K43" i="1"/>
  <c r="E43" i="1"/>
  <c r="B43" i="1" s="1"/>
  <c r="K42" i="1"/>
  <c r="E42" i="1"/>
  <c r="A36" i="1"/>
  <c r="A35" i="1"/>
  <c r="C27" i="1"/>
  <c r="J9" i="1"/>
  <c r="E6" i="4"/>
  <c r="I8" i="1"/>
  <c r="H6" i="3" l="1"/>
  <c r="I5" i="3"/>
  <c r="J105" i="2"/>
  <c r="E84" i="2"/>
  <c r="D84" i="2"/>
  <c r="Z54" i="3"/>
  <c r="I44" i="3"/>
  <c r="E102" i="3"/>
  <c r="O102" i="3" s="1"/>
  <c r="H117" i="3"/>
  <c r="H118" i="3" s="1"/>
  <c r="D88" i="3"/>
  <c r="H61" i="3"/>
  <c r="F92" i="3"/>
  <c r="G92" i="3" s="1"/>
  <c r="H92" i="3" s="1"/>
  <c r="I92" i="3" s="1"/>
  <c r="J92" i="3" s="1"/>
  <c r="K92" i="3" s="1"/>
  <c r="L92" i="3" s="1"/>
  <c r="M92" i="3" s="1"/>
  <c r="N92" i="3" s="1"/>
  <c r="O92" i="3" s="1"/>
  <c r="G6" i="3"/>
  <c r="E106" i="2"/>
  <c r="K106" i="2" s="1"/>
  <c r="E99" i="3"/>
  <c r="N99" i="3" s="1"/>
  <c r="E79" i="2"/>
  <c r="D80" i="2"/>
  <c r="E105" i="3"/>
  <c r="E109" i="2"/>
  <c r="I144" i="2"/>
  <c r="E74" i="3"/>
  <c r="E84" i="3" s="1"/>
  <c r="J136" i="2"/>
  <c r="J140" i="2" s="1"/>
  <c r="J142" i="2" s="1"/>
  <c r="D79" i="2"/>
  <c r="D100" i="3"/>
  <c r="I8" i="2"/>
  <c r="I9" i="2" s="1"/>
  <c r="G9" i="2"/>
  <c r="E77" i="3"/>
  <c r="F54" i="5"/>
  <c r="C53" i="5" s="1"/>
  <c r="C49" i="7"/>
  <c r="C50" i="7" s="1"/>
  <c r="M116" i="4" s="1"/>
  <c r="Y116" i="4" s="1"/>
  <c r="AX113" i="4"/>
  <c r="F13" i="2"/>
  <c r="AJ68" i="4"/>
  <c r="AV68" i="4"/>
  <c r="BS112" i="4"/>
  <c r="BD68" i="4"/>
  <c r="BS62" i="4"/>
  <c r="X68" i="4"/>
  <c r="BS66" i="4"/>
  <c r="K37" i="4"/>
  <c r="H37" i="4"/>
  <c r="M37" i="4"/>
  <c r="BR37" i="4" s="1"/>
  <c r="H23" i="4"/>
  <c r="I34" i="4"/>
  <c r="M34" i="4" s="1"/>
  <c r="BR34" i="4" s="1"/>
  <c r="I30" i="4"/>
  <c r="I26" i="4"/>
  <c r="H26" i="4" s="1"/>
  <c r="I33" i="4"/>
  <c r="I29" i="4"/>
  <c r="M29" i="4" s="1"/>
  <c r="BR29" i="4" s="1"/>
  <c r="I25" i="4"/>
  <c r="H25" i="4" s="1"/>
  <c r="I35" i="4"/>
  <c r="M35" i="4" s="1"/>
  <c r="BR35" i="4" s="1"/>
  <c r="I27" i="4"/>
  <c r="M27" i="4" s="1"/>
  <c r="BR27" i="4" s="1"/>
  <c r="I36" i="4"/>
  <c r="M36" i="4" s="1"/>
  <c r="BR36" i="4" s="1"/>
  <c r="I32" i="4"/>
  <c r="I28" i="4"/>
  <c r="M28" i="4" s="1"/>
  <c r="BR28" i="4" s="1"/>
  <c r="I24" i="4"/>
  <c r="I31" i="4"/>
  <c r="AI68" i="4"/>
  <c r="AQ68" i="4"/>
  <c r="BC68" i="4"/>
  <c r="AO68" i="4"/>
  <c r="BA68" i="4"/>
  <c r="BM68" i="4"/>
  <c r="U68" i="4"/>
  <c r="Y68" i="4"/>
  <c r="AL68" i="4"/>
  <c r="AX68" i="4"/>
  <c r="AM132" i="4"/>
  <c r="AK68" i="4"/>
  <c r="Z68" i="4"/>
  <c r="AB68" i="4"/>
  <c r="AZ68" i="4"/>
  <c r="H109" i="7"/>
  <c r="H111" i="7"/>
  <c r="H113" i="7"/>
  <c r="E112" i="7"/>
  <c r="H110" i="7"/>
  <c r="H112" i="7"/>
  <c r="D42" i="5"/>
  <c r="F101" i="7"/>
  <c r="F99" i="7"/>
  <c r="F102" i="7"/>
  <c r="B341" i="7"/>
  <c r="B301" i="7"/>
  <c r="L45" i="1"/>
  <c r="M45" i="1" s="1"/>
  <c r="H44" i="1"/>
  <c r="L44" i="1" s="1"/>
  <c r="M44" i="1" s="1"/>
  <c r="AF130" i="4"/>
  <c r="BF61" i="4"/>
  <c r="BF64" i="4" s="1"/>
  <c r="BQ98" i="4"/>
  <c r="BS98" i="4" s="1"/>
  <c r="I35" i="2"/>
  <c r="AN68" i="4"/>
  <c r="I20" i="2"/>
  <c r="I122" i="2" s="1"/>
  <c r="S107" i="4"/>
  <c r="AN132" i="4"/>
  <c r="BO68" i="4"/>
  <c r="V93" i="4"/>
  <c r="I129" i="4"/>
  <c r="AA129" i="4"/>
  <c r="AC68" i="4"/>
  <c r="G20" i="2"/>
  <c r="G122" i="2" s="1"/>
  <c r="H20" i="2"/>
  <c r="H122" i="2" s="1"/>
  <c r="BN90" i="4"/>
  <c r="F32" i="2"/>
  <c r="E32" i="2" s="1"/>
  <c r="E202" i="2" s="1"/>
  <c r="BK68" i="4"/>
  <c r="V68" i="4"/>
  <c r="AH68" i="4"/>
  <c r="AT68" i="4"/>
  <c r="U96" i="4"/>
  <c r="U99" i="4" s="1"/>
  <c r="I133" i="4"/>
  <c r="AM135" i="4" s="1"/>
  <c r="D90" i="5"/>
  <c r="Q107" i="4"/>
  <c r="T68" i="4"/>
  <c r="AA64" i="4"/>
  <c r="AA68" i="4" s="1"/>
  <c r="AM68" i="4"/>
  <c r="AY68" i="4"/>
  <c r="BL68" i="4"/>
  <c r="W68" i="4"/>
  <c r="AU68" i="4"/>
  <c r="BG68" i="4"/>
  <c r="C13" i="2"/>
  <c r="E175" i="2"/>
  <c r="E177" i="2" s="1"/>
  <c r="E186" i="2" s="1"/>
  <c r="BR93" i="4"/>
  <c r="BP68" i="4"/>
  <c r="AW68" i="4"/>
  <c r="BR137" i="4"/>
  <c r="R65" i="4"/>
  <c r="R67" i="4" s="1"/>
  <c r="AI120" i="4"/>
  <c r="BQ120" i="4" s="1"/>
  <c r="BS120" i="4" s="1"/>
  <c r="R107" i="4"/>
  <c r="J32" i="2"/>
  <c r="BS63" i="4"/>
  <c r="G32" i="2"/>
  <c r="H32" i="2"/>
  <c r="F16" i="2"/>
  <c r="AD68" i="4"/>
  <c r="AP68" i="4"/>
  <c r="BB68" i="4"/>
  <c r="BR73" i="4"/>
  <c r="BS73" i="4" s="1"/>
  <c r="BQ105" i="4"/>
  <c r="BS105" i="4" s="1"/>
  <c r="E200" i="2"/>
  <c r="F130" i="2"/>
  <c r="E130" i="2" s="1"/>
  <c r="J29" i="2"/>
  <c r="J131" i="2" s="1"/>
  <c r="H35" i="2"/>
  <c r="J2" i="2"/>
  <c r="J8" i="2"/>
  <c r="E34" i="2"/>
  <c r="E176" i="2" s="1"/>
  <c r="F35" i="2"/>
  <c r="D79" i="3"/>
  <c r="D104" i="3"/>
  <c r="D92" i="3"/>
  <c r="K105" i="2"/>
  <c r="L100" i="2"/>
  <c r="L105" i="2" s="1"/>
  <c r="D89" i="3"/>
  <c r="D101" i="3"/>
  <c r="D76" i="3"/>
  <c r="O86" i="3"/>
  <c r="I102" i="2"/>
  <c r="H102" i="2"/>
  <c r="L102" i="2"/>
  <c r="K102" i="2"/>
  <c r="J102" i="2"/>
  <c r="E89" i="3"/>
  <c r="E101" i="3"/>
  <c r="E76" i="3"/>
  <c r="E103" i="2"/>
  <c r="E91" i="2"/>
  <c r="E78" i="2"/>
  <c r="K139" i="2"/>
  <c r="K146" i="2" s="1"/>
  <c r="E57" i="1"/>
  <c r="K107" i="2"/>
  <c r="J107" i="2"/>
  <c r="I107" i="2"/>
  <c r="H107" i="2"/>
  <c r="L107" i="2"/>
  <c r="L136" i="2"/>
  <c r="L140" i="2" s="1"/>
  <c r="L142" i="2" s="1"/>
  <c r="M135" i="2"/>
  <c r="J76" i="2"/>
  <c r="J5" i="3"/>
  <c r="I6" i="3"/>
  <c r="L105" i="3"/>
  <c r="O105" i="3"/>
  <c r="K105" i="3"/>
  <c r="N105" i="3"/>
  <c r="M105" i="3"/>
  <c r="J105" i="3"/>
  <c r="H105" i="3"/>
  <c r="I105" i="3"/>
  <c r="E9" i="4"/>
  <c r="C14" i="5"/>
  <c r="G6" i="4"/>
  <c r="G80" i="4" s="1"/>
  <c r="M80" i="4" s="1"/>
  <c r="C29" i="5" s="1"/>
  <c r="J143" i="2"/>
  <c r="J147" i="2" s="1"/>
  <c r="J148" i="2" s="1"/>
  <c r="D102" i="3"/>
  <c r="D77" i="3"/>
  <c r="E86" i="3"/>
  <c r="H95" i="3" s="1"/>
  <c r="G163" i="3" s="1"/>
  <c r="E73" i="3"/>
  <c r="M72" i="3"/>
  <c r="J72" i="3"/>
  <c r="I72" i="3"/>
  <c r="G72" i="3"/>
  <c r="F72" i="3"/>
  <c r="O72" i="3"/>
  <c r="L72" i="3"/>
  <c r="K72" i="3"/>
  <c r="G45" i="1"/>
  <c r="J101" i="2"/>
  <c r="I45" i="1"/>
  <c r="O75" i="2"/>
  <c r="K75" i="2"/>
  <c r="J75" i="2"/>
  <c r="H75" i="2"/>
  <c r="G75" i="2"/>
  <c r="E89" i="2"/>
  <c r="M75" i="2"/>
  <c r="I108" i="2"/>
  <c r="AL114" i="4"/>
  <c r="F102" i="4"/>
  <c r="O22" i="4"/>
  <c r="C12" i="2"/>
  <c r="I32" i="2"/>
  <c r="N75" i="2"/>
  <c r="J104" i="2"/>
  <c r="I104" i="2"/>
  <c r="H104" i="2"/>
  <c r="I120" i="2"/>
  <c r="E80" i="3"/>
  <c r="K102" i="3"/>
  <c r="I117" i="3"/>
  <c r="Y114" i="4"/>
  <c r="H102" i="3"/>
  <c r="D94" i="2"/>
  <c r="D81" i="2"/>
  <c r="H108" i="2"/>
  <c r="G63" i="3"/>
  <c r="H63" i="3" s="1"/>
  <c r="I63" i="3" s="1"/>
  <c r="J63" i="3" s="1"/>
  <c r="K63" i="3" s="1"/>
  <c r="L63" i="3" s="1"/>
  <c r="M63" i="3" s="1"/>
  <c r="N63" i="3" s="1"/>
  <c r="O63" i="3" s="1"/>
  <c r="G66" i="2"/>
  <c r="H66" i="2" s="1"/>
  <c r="I66" i="2" s="1"/>
  <c r="J66" i="2" s="1"/>
  <c r="K66" i="2" s="1"/>
  <c r="L66" i="2" s="1"/>
  <c r="M66" i="2" s="1"/>
  <c r="N66" i="2" s="1"/>
  <c r="O66" i="2" s="1"/>
  <c r="F89" i="2"/>
  <c r="G89" i="2" s="1"/>
  <c r="H89" i="2" s="1"/>
  <c r="I89" i="2" s="1"/>
  <c r="J102" i="3"/>
  <c r="G35" i="2"/>
  <c r="H64" i="2"/>
  <c r="E76" i="2"/>
  <c r="K104" i="2"/>
  <c r="K108" i="2"/>
  <c r="D99" i="3"/>
  <c r="D87" i="3"/>
  <c r="D105" i="3"/>
  <c r="D93" i="3"/>
  <c r="D80" i="3"/>
  <c r="R20" i="4"/>
  <c r="Q19" i="4"/>
  <c r="U95" i="4"/>
  <c r="V91" i="4"/>
  <c r="BR114" i="4"/>
  <c r="X16" i="4"/>
  <c r="K136" i="2"/>
  <c r="K140" i="2" s="1"/>
  <c r="K142" i="2" s="1"/>
  <c r="E98" i="3"/>
  <c r="D102" i="2"/>
  <c r="D90" i="2"/>
  <c r="L108" i="2"/>
  <c r="K99" i="3"/>
  <c r="J19" i="2"/>
  <c r="H109" i="2"/>
  <c r="J109" i="2"/>
  <c r="I109" i="2"/>
  <c r="E110" i="2"/>
  <c r="L101" i="2"/>
  <c r="K101" i="2"/>
  <c r="I101" i="2"/>
  <c r="I111" i="2" s="1"/>
  <c r="H101" i="2"/>
  <c r="E79" i="3"/>
  <c r="D87" i="5"/>
  <c r="C15" i="5"/>
  <c r="E91" i="3"/>
  <c r="E103" i="3"/>
  <c r="E78" i="3"/>
  <c r="F20" i="2"/>
  <c r="BQ94" i="4"/>
  <c r="BS94" i="4" s="1"/>
  <c r="AK95" i="4"/>
  <c r="E77" i="2"/>
  <c r="E87" i="2" s="1"/>
  <c r="E90" i="2"/>
  <c r="F133" i="4"/>
  <c r="F103" i="4"/>
  <c r="D91" i="2"/>
  <c r="D103" i="2"/>
  <c r="D108" i="2"/>
  <c r="D96" i="2"/>
  <c r="H105" i="2"/>
  <c r="K109" i="2"/>
  <c r="I136" i="2"/>
  <c r="I140" i="2" s="1"/>
  <c r="I142" i="2" s="1"/>
  <c r="E88" i="3"/>
  <c r="E100" i="3"/>
  <c r="E94" i="3"/>
  <c r="E106" i="3"/>
  <c r="E81" i="3"/>
  <c r="D90" i="3"/>
  <c r="E104" i="3"/>
  <c r="J144" i="2"/>
  <c r="C12" i="1"/>
  <c r="D109" i="2"/>
  <c r="K144" i="2"/>
  <c r="D103" i="3"/>
  <c r="D78" i="3"/>
  <c r="I156" i="3"/>
  <c r="N156" i="3"/>
  <c r="K156" i="3"/>
  <c r="G165" i="3"/>
  <c r="M156" i="3"/>
  <c r="L156" i="3"/>
  <c r="G9" i="1"/>
  <c r="AW103" i="4"/>
  <c r="T97" i="4"/>
  <c r="V97" i="4"/>
  <c r="V99" i="4" s="1"/>
  <c r="BR97" i="4"/>
  <c r="J35" i="2"/>
  <c r="AG68" i="4"/>
  <c r="AS68" i="4"/>
  <c r="BE68" i="4"/>
  <c r="M65" i="4"/>
  <c r="BR92" i="4"/>
  <c r="M95" i="4"/>
  <c r="T92" i="4"/>
  <c r="H106" i="2"/>
  <c r="AF68" i="4"/>
  <c r="AR68" i="4"/>
  <c r="BQ100" i="4"/>
  <c r="BS100" i="4" s="1"/>
  <c r="BQ122" i="4"/>
  <c r="BS122" i="4" s="1"/>
  <c r="BR111" i="4"/>
  <c r="AT111" i="4"/>
  <c r="BR101" i="4"/>
  <c r="D73" i="5"/>
  <c r="BF68" i="4"/>
  <c r="T106" i="4"/>
  <c r="BQ128" i="4"/>
  <c r="M99" i="4"/>
  <c r="BR96" i="4"/>
  <c r="U101" i="4"/>
  <c r="C148" i="7"/>
  <c r="C147" i="7" s="1"/>
  <c r="C153" i="7" s="1"/>
  <c r="AE68" i="4"/>
  <c r="T96" i="4"/>
  <c r="M158" i="4"/>
  <c r="T93" i="4"/>
  <c r="Q68" i="4"/>
  <c r="BN68" i="4"/>
  <c r="AH130" i="4"/>
  <c r="AG130" i="4"/>
  <c r="AB129" i="4"/>
  <c r="AE130" i="4"/>
  <c r="F103" i="7"/>
  <c r="F91" i="7"/>
  <c r="F90" i="7"/>
  <c r="F89" i="7"/>
  <c r="G354" i="7"/>
  <c r="M128" i="4"/>
  <c r="M33" i="4" l="1"/>
  <c r="BR33" i="4" s="1"/>
  <c r="K33" i="4"/>
  <c r="I99" i="3"/>
  <c r="D53" i="5"/>
  <c r="E53" i="5" s="1"/>
  <c r="C52" i="5"/>
  <c r="D52" i="5" s="1"/>
  <c r="E52" i="5" s="1"/>
  <c r="F52" i="5" s="1"/>
  <c r="C37" i="5" s="1"/>
  <c r="I61" i="3"/>
  <c r="H62" i="3"/>
  <c r="O99" i="3"/>
  <c r="M115" i="4"/>
  <c r="AX115" i="4" s="1"/>
  <c r="BR113" i="4"/>
  <c r="J99" i="3"/>
  <c r="M102" i="3"/>
  <c r="H99" i="3"/>
  <c r="L99" i="3"/>
  <c r="M117" i="4"/>
  <c r="AX117" i="4" s="1"/>
  <c r="M99" i="3"/>
  <c r="L104" i="2"/>
  <c r="BR116" i="4"/>
  <c r="L102" i="3"/>
  <c r="N102" i="3"/>
  <c r="I106" i="2"/>
  <c r="J106" i="2"/>
  <c r="AL116" i="4"/>
  <c r="Y113" i="4"/>
  <c r="I102" i="3"/>
  <c r="B98" i="7"/>
  <c r="B100" i="7" s="1"/>
  <c r="T80" i="4"/>
  <c r="AX116" i="4"/>
  <c r="BQ116" i="4" s="1"/>
  <c r="AL113" i="4"/>
  <c r="BQ113" i="4" s="1"/>
  <c r="BS113" i="4" s="1"/>
  <c r="B89" i="7"/>
  <c r="B91" i="7" s="1"/>
  <c r="B102" i="7" s="1"/>
  <c r="H132" i="2"/>
  <c r="BF27" i="4"/>
  <c r="AH27" i="4"/>
  <c r="W27" i="4"/>
  <c r="BI27" i="4"/>
  <c r="AN27" i="4"/>
  <c r="X27" i="4"/>
  <c r="V27" i="4"/>
  <c r="AT27" i="4"/>
  <c r="AZ27" i="4"/>
  <c r="AB27" i="4"/>
  <c r="Y27" i="4"/>
  <c r="Y33" i="4"/>
  <c r="AZ33" i="4"/>
  <c r="AB33" i="4"/>
  <c r="BF33" i="4"/>
  <c r="AH33" i="4"/>
  <c r="BI33" i="4"/>
  <c r="AN33" i="4"/>
  <c r="BI28" i="4"/>
  <c r="AN28" i="4"/>
  <c r="X28" i="4"/>
  <c r="V28" i="4"/>
  <c r="AT28" i="4"/>
  <c r="Y28" i="4"/>
  <c r="AZ28" i="4"/>
  <c r="BF28" i="4"/>
  <c r="AH28" i="4"/>
  <c r="W28" i="4"/>
  <c r="AB28" i="4"/>
  <c r="BF35" i="4"/>
  <c r="AH35" i="4"/>
  <c r="W35" i="4"/>
  <c r="BI35" i="4"/>
  <c r="AN35" i="4"/>
  <c r="X35" i="4"/>
  <c r="V35" i="4"/>
  <c r="AT35" i="4"/>
  <c r="AZ35" i="4"/>
  <c r="AB35" i="4"/>
  <c r="Y35" i="4"/>
  <c r="BI36" i="4"/>
  <c r="AN36" i="4"/>
  <c r="X36" i="4"/>
  <c r="V36" i="4"/>
  <c r="AT36" i="4"/>
  <c r="Y36" i="4"/>
  <c r="AZ36" i="4"/>
  <c r="BF36" i="4"/>
  <c r="AH36" i="4"/>
  <c r="W36" i="4"/>
  <c r="AB36" i="4"/>
  <c r="AT29" i="4"/>
  <c r="Y29" i="4"/>
  <c r="W29" i="4"/>
  <c r="AZ29" i="4"/>
  <c r="AB29" i="4"/>
  <c r="BF29" i="4"/>
  <c r="AH29" i="4"/>
  <c r="BI29" i="4"/>
  <c r="AN29" i="4"/>
  <c r="X29" i="4"/>
  <c r="V29" i="4"/>
  <c r="AZ34" i="4"/>
  <c r="AB34" i="4"/>
  <c r="X34" i="4"/>
  <c r="V34" i="4"/>
  <c r="BF34" i="4"/>
  <c r="AH34" i="4"/>
  <c r="W34" i="4"/>
  <c r="BI34" i="4"/>
  <c r="AN34" i="4"/>
  <c r="AT34" i="4"/>
  <c r="Y34" i="4"/>
  <c r="AT37" i="4"/>
  <c r="Y37" i="4"/>
  <c r="W37" i="4"/>
  <c r="AZ37" i="4"/>
  <c r="AB37" i="4"/>
  <c r="BF37" i="4"/>
  <c r="AH37" i="4"/>
  <c r="BI37" i="4"/>
  <c r="AN37" i="4"/>
  <c r="X37" i="4"/>
  <c r="V37" i="4"/>
  <c r="V80" i="4"/>
  <c r="BR80" i="4"/>
  <c r="BQ93" i="4"/>
  <c r="BS93" i="4" s="1"/>
  <c r="K26" i="4"/>
  <c r="K32" i="4"/>
  <c r="M32" i="4"/>
  <c r="BR32" i="4" s="1"/>
  <c r="K30" i="4"/>
  <c r="M30" i="4"/>
  <c r="BR30" i="4" s="1"/>
  <c r="M26" i="4"/>
  <c r="BR26" i="4" s="1"/>
  <c r="K31" i="4"/>
  <c r="M31" i="4"/>
  <c r="BR31" i="4" s="1"/>
  <c r="K36" i="4"/>
  <c r="H36" i="4"/>
  <c r="K29" i="4"/>
  <c r="H29" i="4"/>
  <c r="H27" i="4"/>
  <c r="K27" i="4"/>
  <c r="H33" i="4"/>
  <c r="H34" i="4"/>
  <c r="K34" i="4"/>
  <c r="K25" i="4"/>
  <c r="H28" i="4"/>
  <c r="K28" i="4"/>
  <c r="K35" i="4"/>
  <c r="H35" i="4"/>
  <c r="M25" i="4"/>
  <c r="BR25" i="4" s="1"/>
  <c r="S65" i="4"/>
  <c r="I132" i="2"/>
  <c r="BQ61" i="4"/>
  <c r="AL135" i="4"/>
  <c r="AG134" i="4"/>
  <c r="AO133" i="4"/>
  <c r="AG135" i="4"/>
  <c r="BQ135" i="4" s="1"/>
  <c r="BS135" i="4" s="1"/>
  <c r="AE133" i="4"/>
  <c r="AJ136" i="4"/>
  <c r="BQ136" i="4" s="1"/>
  <c r="BS136" i="4" s="1"/>
  <c r="AF134" i="4"/>
  <c r="AE134" i="4"/>
  <c r="AD133" i="4"/>
  <c r="AO134" i="4"/>
  <c r="AK136" i="4"/>
  <c r="AT136" i="4"/>
  <c r="AJ135" i="4"/>
  <c r="AL133" i="4"/>
  <c r="AH135" i="4"/>
  <c r="AM136" i="4"/>
  <c r="AR134" i="4"/>
  <c r="AT135" i="4"/>
  <c r="AN134" i="4"/>
  <c r="AS135" i="4"/>
  <c r="AP133" i="4"/>
  <c r="AS133" i="4"/>
  <c r="AA133" i="4"/>
  <c r="BQ133" i="4" s="1"/>
  <c r="BS133" i="4" s="1"/>
  <c r="AB133" i="4"/>
  <c r="AN135" i="4"/>
  <c r="I44" i="1"/>
  <c r="AK134" i="4"/>
  <c r="AI134" i="4"/>
  <c r="AQ135" i="4"/>
  <c r="AR135" i="4"/>
  <c r="AI133" i="4"/>
  <c r="AJ134" i="4"/>
  <c r="AM134" i="4"/>
  <c r="AQ134" i="4"/>
  <c r="AN133" i="4"/>
  <c r="AL136" i="4"/>
  <c r="AK133" i="4"/>
  <c r="AJ133" i="4"/>
  <c r="AM133" i="4"/>
  <c r="AS134" i="4"/>
  <c r="AL134" i="4"/>
  <c r="AH134" i="4"/>
  <c r="AD134" i="4"/>
  <c r="BQ134" i="4" s="1"/>
  <c r="BS134" i="4" s="1"/>
  <c r="M61" i="4"/>
  <c r="G132" i="2"/>
  <c r="AP135" i="4"/>
  <c r="AN136" i="4"/>
  <c r="AH133" i="4"/>
  <c r="AT134" i="4"/>
  <c r="AQ136" i="4"/>
  <c r="AQ133" i="4"/>
  <c r="AG133" i="4"/>
  <c r="AP134" i="4"/>
  <c r="AO136" i="4"/>
  <c r="AO135" i="4"/>
  <c r="AF133" i="4"/>
  <c r="AR136" i="4"/>
  <c r="AT133" i="4"/>
  <c r="AK135" i="4"/>
  <c r="AC133" i="4"/>
  <c r="AP136" i="4"/>
  <c r="AI135" i="4"/>
  <c r="AS136" i="4"/>
  <c r="AR133" i="4"/>
  <c r="BQ64" i="4"/>
  <c r="G102" i="4"/>
  <c r="L110" i="2"/>
  <c r="V95" i="4"/>
  <c r="W91" i="4"/>
  <c r="I121" i="2"/>
  <c r="J120" i="2"/>
  <c r="N100" i="3"/>
  <c r="L100" i="3"/>
  <c r="I100" i="3"/>
  <c r="H100" i="3"/>
  <c r="M100" i="3"/>
  <c r="K100" i="3"/>
  <c r="J100" i="3"/>
  <c r="O100" i="3"/>
  <c r="E35" i="1"/>
  <c r="V101" i="4"/>
  <c r="BQ114" i="4"/>
  <c r="BS114" i="4" s="1"/>
  <c r="I143" i="2"/>
  <c r="I147" i="2" s="1"/>
  <c r="I148" i="2" s="1"/>
  <c r="I85" i="2"/>
  <c r="J85" i="2"/>
  <c r="H85" i="2"/>
  <c r="E86" i="2"/>
  <c r="O85" i="2"/>
  <c r="M85" i="2"/>
  <c r="L85" i="2"/>
  <c r="K85" i="2"/>
  <c r="F85" i="2"/>
  <c r="G85" i="2"/>
  <c r="N85" i="2"/>
  <c r="K76" i="2"/>
  <c r="L76" i="2" s="1"/>
  <c r="M76" i="2" s="1"/>
  <c r="N76" i="2" s="1"/>
  <c r="O76" i="2" s="1"/>
  <c r="J137" i="2"/>
  <c r="E35" i="2"/>
  <c r="F132" i="2"/>
  <c r="N135" i="2"/>
  <c r="BR128" i="4"/>
  <c r="BS128" i="4" s="1"/>
  <c r="R68" i="4"/>
  <c r="BQ97" i="4"/>
  <c r="BS97" i="4" s="1"/>
  <c r="Y16" i="4"/>
  <c r="L143" i="2"/>
  <c r="L147" i="2" s="1"/>
  <c r="L148" i="2" s="1"/>
  <c r="K8" i="2"/>
  <c r="J9" i="2"/>
  <c r="H103" i="3"/>
  <c r="I103" i="3"/>
  <c r="K103" i="3"/>
  <c r="J103" i="3"/>
  <c r="O103" i="3"/>
  <c r="N103" i="3"/>
  <c r="L103" i="3"/>
  <c r="M103" i="3"/>
  <c r="BR99" i="4"/>
  <c r="D9" i="1"/>
  <c r="I118" i="3"/>
  <c r="J117" i="3"/>
  <c r="J155" i="2"/>
  <c r="L164" i="2"/>
  <c r="N164" i="2" s="1"/>
  <c r="BQ92" i="4"/>
  <c r="BS92" i="4" s="1"/>
  <c r="T95" i="4"/>
  <c r="M67" i="4"/>
  <c r="BR67" i="4" s="1"/>
  <c r="BR65" i="4"/>
  <c r="J104" i="3"/>
  <c r="L104" i="3"/>
  <c r="H104" i="3"/>
  <c r="O104" i="3"/>
  <c r="N104" i="3"/>
  <c r="M104" i="3"/>
  <c r="K104" i="3"/>
  <c r="I104" i="3"/>
  <c r="E20" i="2"/>
  <c r="E190" i="2" s="1"/>
  <c r="F122" i="2"/>
  <c r="E122" i="2" s="1"/>
  <c r="J82" i="3"/>
  <c r="G82" i="3"/>
  <c r="N82" i="3"/>
  <c r="M82" i="3"/>
  <c r="K82" i="3"/>
  <c r="I82" i="3"/>
  <c r="L82" i="3"/>
  <c r="F82" i="3"/>
  <c r="H82" i="3"/>
  <c r="O82" i="3"/>
  <c r="E83" i="3"/>
  <c r="M85" i="4"/>
  <c r="M84" i="4"/>
  <c r="G70" i="4"/>
  <c r="M70" i="4" s="1"/>
  <c r="I7" i="4" s="1"/>
  <c r="J6" i="3"/>
  <c r="K5" i="3"/>
  <c r="H103" i="2"/>
  <c r="L103" i="2"/>
  <c r="K103" i="2"/>
  <c r="J103" i="2"/>
  <c r="I103" i="2"/>
  <c r="F98" i="2"/>
  <c r="G98" i="2"/>
  <c r="K98" i="2"/>
  <c r="H98" i="2"/>
  <c r="O98" i="2"/>
  <c r="I64" i="2"/>
  <c r="H65" i="2"/>
  <c r="D15" i="5"/>
  <c r="C30" i="5"/>
  <c r="BR95" i="4"/>
  <c r="H110" i="2"/>
  <c r="H111" i="2"/>
  <c r="H137" i="2"/>
  <c r="H140" i="2" s="1"/>
  <c r="H142" i="2" s="1"/>
  <c r="L95" i="3"/>
  <c r="G95" i="3"/>
  <c r="K95" i="3"/>
  <c r="J95" i="3"/>
  <c r="F95" i="3"/>
  <c r="I95" i="3"/>
  <c r="M95" i="3"/>
  <c r="N95" i="3"/>
  <c r="BQ96" i="4"/>
  <c r="BS96" i="4" s="1"/>
  <c r="T99" i="4"/>
  <c r="BQ99" i="4" s="1"/>
  <c r="BQ111" i="4"/>
  <c r="BS111" i="4" s="1"/>
  <c r="I137" i="2"/>
  <c r="I110" i="2"/>
  <c r="I98" i="2"/>
  <c r="J89" i="2"/>
  <c r="J111" i="2"/>
  <c r="J110" i="2"/>
  <c r="G9" i="4"/>
  <c r="C17" i="5"/>
  <c r="D17" i="5" s="1"/>
  <c r="D69" i="5"/>
  <c r="P7" i="4"/>
  <c r="O95" i="3"/>
  <c r="K143" i="2"/>
  <c r="K147" i="2" s="1"/>
  <c r="K148" i="2" s="1"/>
  <c r="S20" i="4"/>
  <c r="R19" i="4"/>
  <c r="C22" i="5"/>
  <c r="D14" i="5"/>
  <c r="H180" i="4"/>
  <c r="H179" i="4"/>
  <c r="N106" i="3"/>
  <c r="O106" i="3"/>
  <c r="K106" i="3"/>
  <c r="I106" i="3"/>
  <c r="J106" i="3"/>
  <c r="H106" i="3"/>
  <c r="M106" i="3"/>
  <c r="L106" i="3"/>
  <c r="K110" i="2"/>
  <c r="J98" i="3"/>
  <c r="M98" i="3"/>
  <c r="L98" i="3"/>
  <c r="K98" i="3"/>
  <c r="I98" i="3"/>
  <c r="H98" i="3"/>
  <c r="O98" i="3"/>
  <c r="N98" i="3"/>
  <c r="E107" i="3"/>
  <c r="O101" i="3"/>
  <c r="L101" i="3"/>
  <c r="N101" i="3"/>
  <c r="M101" i="3"/>
  <c r="K101" i="3"/>
  <c r="J101" i="3"/>
  <c r="I101" i="3"/>
  <c r="H101" i="3"/>
  <c r="M100" i="2"/>
  <c r="M103" i="2" s="1"/>
  <c r="L144" i="2"/>
  <c r="L106" i="2"/>
  <c r="L139" i="2"/>
  <c r="L146" i="2" s="1"/>
  <c r="L109" i="2"/>
  <c r="AT33" i="4" l="1"/>
  <c r="V33" i="4"/>
  <c r="W33" i="4"/>
  <c r="X33" i="4"/>
  <c r="BQ33" i="4" s="1"/>
  <c r="BS33" i="4" s="1"/>
  <c r="Y115" i="4"/>
  <c r="BR115" i="4"/>
  <c r="AL115" i="4"/>
  <c r="BR117" i="4"/>
  <c r="Y117" i="4"/>
  <c r="AL117" i="4"/>
  <c r="J61" i="3"/>
  <c r="I62" i="3"/>
  <c r="BS116" i="4"/>
  <c r="BQ80" i="4"/>
  <c r="BS80" i="4" s="1"/>
  <c r="BQ29" i="4"/>
  <c r="BS29" i="4" s="1"/>
  <c r="BQ27" i="4"/>
  <c r="BS27" i="4" s="1"/>
  <c r="BQ28" i="4"/>
  <c r="BS28" i="4" s="1"/>
  <c r="BQ34" i="4"/>
  <c r="BS34" i="4" s="1"/>
  <c r="BQ37" i="4"/>
  <c r="BS37" i="4" s="1"/>
  <c r="BQ36" i="4"/>
  <c r="BS36" i="4" s="1"/>
  <c r="BQ35" i="4"/>
  <c r="BS35" i="4" s="1"/>
  <c r="AZ26" i="4"/>
  <c r="AB26" i="4"/>
  <c r="BF26" i="4"/>
  <c r="AH26" i="4"/>
  <c r="W26" i="4"/>
  <c r="V26" i="4"/>
  <c r="BI26" i="4"/>
  <c r="AN26" i="4"/>
  <c r="AT26" i="4"/>
  <c r="Y26" i="4"/>
  <c r="X26" i="4"/>
  <c r="AZ30" i="4"/>
  <c r="AB30" i="4"/>
  <c r="BF30" i="4"/>
  <c r="AH30" i="4"/>
  <c r="W30" i="4"/>
  <c r="BI30" i="4"/>
  <c r="AN30" i="4"/>
  <c r="AT30" i="4"/>
  <c r="Y30" i="4"/>
  <c r="X30" i="4"/>
  <c r="V30" i="4"/>
  <c r="AT25" i="4"/>
  <c r="Y25" i="4"/>
  <c r="AZ25" i="4"/>
  <c r="AB25" i="4"/>
  <c r="BF25" i="4"/>
  <c r="AH25" i="4"/>
  <c r="BI25" i="4"/>
  <c r="AN25" i="4"/>
  <c r="X25" i="4"/>
  <c r="V25" i="4"/>
  <c r="W25" i="4"/>
  <c r="BF31" i="4"/>
  <c r="AH31" i="4"/>
  <c r="W31" i="4"/>
  <c r="BI31" i="4"/>
  <c r="AN31" i="4"/>
  <c r="X31" i="4"/>
  <c r="V31" i="4"/>
  <c r="AT31" i="4"/>
  <c r="AZ31" i="4"/>
  <c r="AB31" i="4"/>
  <c r="Y31" i="4"/>
  <c r="BI32" i="4"/>
  <c r="AN32" i="4"/>
  <c r="X32" i="4"/>
  <c r="V32" i="4"/>
  <c r="AT32" i="4"/>
  <c r="Y32" i="4"/>
  <c r="AZ32" i="4"/>
  <c r="BF32" i="4"/>
  <c r="AH32" i="4"/>
  <c r="W32" i="4"/>
  <c r="AB32" i="4"/>
  <c r="BS99" i="4"/>
  <c r="S67" i="4"/>
  <c r="BQ65" i="4"/>
  <c r="BS65" i="4" s="1"/>
  <c r="M64" i="4"/>
  <c r="BR61" i="4"/>
  <c r="BS61" i="4" s="1"/>
  <c r="K155" i="2"/>
  <c r="M85" i="3"/>
  <c r="L85" i="3"/>
  <c r="K85" i="3"/>
  <c r="I85" i="3"/>
  <c r="H85" i="3"/>
  <c r="N85" i="3"/>
  <c r="J85" i="3"/>
  <c r="F85" i="3"/>
  <c r="G85" i="3"/>
  <c r="O85" i="3"/>
  <c r="C33" i="5"/>
  <c r="C25" i="5"/>
  <c r="C26" i="5" s="1"/>
  <c r="H108" i="3"/>
  <c r="H107" i="3"/>
  <c r="H143" i="2"/>
  <c r="H147" i="2" s="1"/>
  <c r="H148" i="2" s="1"/>
  <c r="R84" i="4"/>
  <c r="Q84" i="4"/>
  <c r="BR84" i="4"/>
  <c r="BR118" i="4"/>
  <c r="AU118" i="4"/>
  <c r="I108" i="3"/>
  <c r="I107" i="3"/>
  <c r="I65" i="2"/>
  <c r="J64" i="2"/>
  <c r="BR85" i="4"/>
  <c r="Q85" i="4"/>
  <c r="T85" i="4"/>
  <c r="D353" i="7"/>
  <c r="C25" i="1"/>
  <c r="E24" i="1"/>
  <c r="C13" i="1" s="1"/>
  <c r="C187" i="7" s="1"/>
  <c r="E182" i="7" s="1"/>
  <c r="O88" i="2"/>
  <c r="K138" i="2"/>
  <c r="K145" i="2" s="1"/>
  <c r="F88" i="2"/>
  <c r="J138" i="2"/>
  <c r="J145" i="2" s="1"/>
  <c r="M138" i="2"/>
  <c r="M145" i="2" s="1"/>
  <c r="M88" i="2"/>
  <c r="L138" i="2"/>
  <c r="L145" i="2" s="1"/>
  <c r="L88" i="2"/>
  <c r="K88" i="2"/>
  <c r="N138" i="2"/>
  <c r="N145" i="2" s="1"/>
  <c r="I138" i="2"/>
  <c r="I145" i="2" s="1"/>
  <c r="H138" i="2"/>
  <c r="H145" i="2" s="1"/>
  <c r="N88" i="2"/>
  <c r="J88" i="2"/>
  <c r="I88" i="2"/>
  <c r="G88" i="2"/>
  <c r="H88" i="2"/>
  <c r="K108" i="3"/>
  <c r="K107" i="3"/>
  <c r="T107" i="4"/>
  <c r="L108" i="3"/>
  <c r="L107" i="3"/>
  <c r="W95" i="4"/>
  <c r="X91" i="4"/>
  <c r="L155" i="2"/>
  <c r="K137" i="2"/>
  <c r="W101" i="4"/>
  <c r="M102" i="4"/>
  <c r="M107" i="3"/>
  <c r="M108" i="3"/>
  <c r="J108" i="3"/>
  <c r="J107" i="3"/>
  <c r="L111" i="2"/>
  <c r="J98" i="2"/>
  <c r="K89" i="2"/>
  <c r="L89" i="2" s="1"/>
  <c r="L137" i="2"/>
  <c r="N100" i="2"/>
  <c r="M106" i="2"/>
  <c r="M139" i="2"/>
  <c r="M146" i="2" s="1"/>
  <c r="M105" i="2"/>
  <c r="M109" i="2"/>
  <c r="M107" i="2"/>
  <c r="M104" i="2"/>
  <c r="M108" i="2"/>
  <c r="M102" i="2"/>
  <c r="M101" i="2"/>
  <c r="M144" i="2"/>
  <c r="N136" i="2"/>
  <c r="N140" i="2" s="1"/>
  <c r="N142" i="2" s="1"/>
  <c r="N152" i="2"/>
  <c r="O135" i="2"/>
  <c r="O136" i="2" s="1"/>
  <c r="O140" i="2" s="1"/>
  <c r="O142" i="2" s="1"/>
  <c r="N108" i="3"/>
  <c r="N107" i="3"/>
  <c r="J118" i="3"/>
  <c r="K117" i="3"/>
  <c r="M136" i="2"/>
  <c r="M140" i="2" s="1"/>
  <c r="M142" i="2" s="1"/>
  <c r="D355" i="7"/>
  <c r="G355" i="7" s="1"/>
  <c r="D25" i="1"/>
  <c r="J121" i="2"/>
  <c r="K120" i="2"/>
  <c r="D74" i="5"/>
  <c r="D70" i="5"/>
  <c r="K9" i="2"/>
  <c r="L8" i="2"/>
  <c r="K111" i="2"/>
  <c r="S19" i="4"/>
  <c r="T20" i="4"/>
  <c r="K6" i="3"/>
  <c r="L5" i="3"/>
  <c r="Z16" i="4"/>
  <c r="O107" i="3"/>
  <c r="O108" i="3"/>
  <c r="BR70" i="4"/>
  <c r="P70" i="4"/>
  <c r="P162" i="4" s="1"/>
  <c r="C12" i="7"/>
  <c r="C13" i="7" s="1"/>
  <c r="G71" i="4"/>
  <c r="M71" i="4" s="1"/>
  <c r="BQ115" i="4" l="1"/>
  <c r="BS115" i="4" s="1"/>
  <c r="BQ117" i="4"/>
  <c r="BS117" i="4" s="1"/>
  <c r="J62" i="3"/>
  <c r="K61" i="3"/>
  <c r="Z102" i="4"/>
  <c r="V102" i="4"/>
  <c r="Y102" i="4"/>
  <c r="X102" i="4"/>
  <c r="W102" i="4"/>
  <c r="BQ30" i="4"/>
  <c r="BS30" i="4" s="1"/>
  <c r="S70" i="4"/>
  <c r="BQ70" i="4" s="1"/>
  <c r="BS70" i="4" s="1"/>
  <c r="S163" i="4"/>
  <c r="BQ32" i="4"/>
  <c r="BS32" i="4" s="1"/>
  <c r="BQ31" i="4"/>
  <c r="BS31" i="4" s="1"/>
  <c r="BQ25" i="4"/>
  <c r="BS25" i="4" s="1"/>
  <c r="BQ26" i="4"/>
  <c r="BS26" i="4" s="1"/>
  <c r="AO131" i="4"/>
  <c r="AK131" i="4"/>
  <c r="AJ131" i="4"/>
  <c r="AP131" i="4"/>
  <c r="AM131" i="4"/>
  <c r="AL131" i="4"/>
  <c r="AR131" i="4"/>
  <c r="AN131" i="4"/>
  <c r="AT131" i="4"/>
  <c r="AS131" i="4"/>
  <c r="AQ131" i="4"/>
  <c r="AI131" i="4"/>
  <c r="AR132" i="4"/>
  <c r="AP132" i="4"/>
  <c r="AQ132" i="4"/>
  <c r="AT132" i="4"/>
  <c r="AS132" i="4"/>
  <c r="AO132" i="4"/>
  <c r="S68" i="4"/>
  <c r="BQ68" i="4" s="1"/>
  <c r="BQ67" i="4"/>
  <c r="BS67" i="4" s="1"/>
  <c r="D28" i="1"/>
  <c r="C294" i="7" s="1"/>
  <c r="G285" i="7" s="1"/>
  <c r="H285" i="7" s="1"/>
  <c r="D177" i="7"/>
  <c r="S84" i="4"/>
  <c r="BQ84" i="4" s="1"/>
  <c r="BS84" i="4" s="1"/>
  <c r="BR64" i="4"/>
  <c r="BS64" i="4" s="1"/>
  <c r="M68" i="4"/>
  <c r="BR68" i="4" s="1"/>
  <c r="BQ85" i="4"/>
  <c r="BS85" i="4" s="1"/>
  <c r="M143" i="2"/>
  <c r="M147" i="2" s="1"/>
  <c r="M148" i="2" s="1"/>
  <c r="AA16" i="4"/>
  <c r="K118" i="3"/>
  <c r="L117" i="3"/>
  <c r="BR71" i="4"/>
  <c r="S71" i="4"/>
  <c r="BQ71" i="4" s="1"/>
  <c r="Y91" i="4"/>
  <c r="X95" i="4"/>
  <c r="L6" i="3"/>
  <c r="M5" i="3"/>
  <c r="E25" i="1"/>
  <c r="D356" i="7"/>
  <c r="G353" i="7"/>
  <c r="G356" i="7" s="1"/>
  <c r="B353" i="7" s="1"/>
  <c r="M89" i="2"/>
  <c r="L98" i="2"/>
  <c r="BQ118" i="4"/>
  <c r="BS118" i="4" s="1"/>
  <c r="X101" i="4"/>
  <c r="O143" i="2"/>
  <c r="O147" i="2" s="1"/>
  <c r="O148" i="2" s="1"/>
  <c r="N154" i="2" s="1"/>
  <c r="M74" i="4"/>
  <c r="U20" i="4"/>
  <c r="T19" i="4"/>
  <c r="O100" i="2"/>
  <c r="N139" i="2"/>
  <c r="N146" i="2" s="1"/>
  <c r="N109" i="2"/>
  <c r="N108" i="2"/>
  <c r="N101" i="2"/>
  <c r="N106" i="2"/>
  <c r="N105" i="2"/>
  <c r="N102" i="2"/>
  <c r="N144" i="2"/>
  <c r="N104" i="2"/>
  <c r="N107" i="2"/>
  <c r="N103" i="2"/>
  <c r="E11" i="4"/>
  <c r="G11" i="4" s="1"/>
  <c r="F24" i="1"/>
  <c r="C14" i="1"/>
  <c r="L4" i="4" s="1"/>
  <c r="BR72" i="4"/>
  <c r="S72" i="4"/>
  <c r="BQ72" i="4" s="1"/>
  <c r="N143" i="2"/>
  <c r="N147" i="2" s="1"/>
  <c r="N148" i="2" s="1"/>
  <c r="K121" i="2"/>
  <c r="L120" i="2"/>
  <c r="BR102" i="4"/>
  <c r="C292" i="7"/>
  <c r="C29" i="1"/>
  <c r="P74" i="4"/>
  <c r="E86" i="1"/>
  <c r="D27" i="1"/>
  <c r="E27" i="1" s="1"/>
  <c r="E26" i="1"/>
  <c r="M8" i="2"/>
  <c r="L9" i="2"/>
  <c r="M111" i="2"/>
  <c r="M110" i="2"/>
  <c r="M137" i="2"/>
  <c r="K64" i="2"/>
  <c r="J65" i="2"/>
  <c r="Q90" i="4"/>
  <c r="L61" i="3" l="1"/>
  <c r="K62" i="3"/>
  <c r="M45" i="4"/>
  <c r="M41" i="4"/>
  <c r="M43" i="4"/>
  <c r="M44" i="4"/>
  <c r="BQ131" i="4"/>
  <c r="BS131" i="4" s="1"/>
  <c r="BQ132" i="4"/>
  <c r="BS132" i="4" s="1"/>
  <c r="BR74" i="4"/>
  <c r="D29" i="1"/>
  <c r="BS68" i="4"/>
  <c r="E28" i="1"/>
  <c r="C30" i="1" s="1"/>
  <c r="E29" i="1"/>
  <c r="G58" i="4" s="1"/>
  <c r="G69" i="4" s="1"/>
  <c r="F177" i="7"/>
  <c r="B187" i="7"/>
  <c r="B182" i="7"/>
  <c r="BS71" i="4"/>
  <c r="BS72" i="4"/>
  <c r="N153" i="2"/>
  <c r="Q154" i="2"/>
  <c r="M117" i="3"/>
  <c r="L118" i="3"/>
  <c r="U19" i="4"/>
  <c r="L11" i="4" s="1"/>
  <c r="V20" i="4"/>
  <c r="N155" i="2"/>
  <c r="N89" i="2"/>
  <c r="M98" i="2"/>
  <c r="H42" i="1"/>
  <c r="G42" i="1"/>
  <c r="M120" i="2"/>
  <c r="L121" i="2"/>
  <c r="N8" i="2"/>
  <c r="M9" i="2"/>
  <c r="M6" i="3"/>
  <c r="N5" i="3"/>
  <c r="AU163" i="4"/>
  <c r="M163" i="4" s="1"/>
  <c r="M165" i="4"/>
  <c r="P164" i="4"/>
  <c r="H43" i="1"/>
  <c r="G43" i="1"/>
  <c r="M155" i="2"/>
  <c r="G35" i="1"/>
  <c r="H35" i="1"/>
  <c r="Z91" i="4"/>
  <c r="Y95" i="4"/>
  <c r="Y101" i="4"/>
  <c r="E89" i="1"/>
  <c r="D36" i="1"/>
  <c r="G283" i="7"/>
  <c r="H283" i="7" s="1"/>
  <c r="B283" i="7" s="1"/>
  <c r="C295" i="7"/>
  <c r="G286" i="7" s="1"/>
  <c r="H286" i="7" s="1"/>
  <c r="L5" i="4"/>
  <c r="D11" i="1"/>
  <c r="N111" i="2"/>
  <c r="N137" i="2"/>
  <c r="N110" i="2"/>
  <c r="D78" i="5"/>
  <c r="G79" i="4"/>
  <c r="M79" i="4" s="1"/>
  <c r="O139" i="2"/>
  <c r="O146" i="2" s="1"/>
  <c r="O144" i="2"/>
  <c r="O106" i="2"/>
  <c r="O109" i="2"/>
  <c r="O108" i="2"/>
  <c r="O107" i="2"/>
  <c r="O101" i="2"/>
  <c r="O105" i="2"/>
  <c r="O104" i="2"/>
  <c r="O102" i="2"/>
  <c r="O103" i="2"/>
  <c r="O138" i="2"/>
  <c r="O145" i="2" s="1"/>
  <c r="AB16" i="4"/>
  <c r="Q153" i="4"/>
  <c r="E12" i="4"/>
  <c r="F26" i="1"/>
  <c r="F27" i="1" s="1"/>
  <c r="L64" i="2"/>
  <c r="K65" i="2"/>
  <c r="D13" i="1"/>
  <c r="S74" i="4"/>
  <c r="BQ74" i="4" s="1"/>
  <c r="M61" i="3" l="1"/>
  <c r="L62" i="3"/>
  <c r="BI44" i="4"/>
  <c r="P44" i="4"/>
  <c r="P43" i="4"/>
  <c r="BI43" i="4"/>
  <c r="P41" i="4"/>
  <c r="BI41" i="4"/>
  <c r="P45" i="4"/>
  <c r="BI45" i="4"/>
  <c r="BF43" i="4"/>
  <c r="AZ43" i="4"/>
  <c r="AT43" i="4"/>
  <c r="AN43" i="4"/>
  <c r="AH43" i="4"/>
  <c r="BR43" i="4"/>
  <c r="AB43" i="4"/>
  <c r="V43" i="4"/>
  <c r="AH41" i="4"/>
  <c r="AB41" i="4"/>
  <c r="V41" i="4"/>
  <c r="BF41" i="4"/>
  <c r="AZ41" i="4"/>
  <c r="BR41" i="4"/>
  <c r="AT41" i="4"/>
  <c r="AN41" i="4"/>
  <c r="V45" i="4"/>
  <c r="AN45" i="4"/>
  <c r="BR45" i="4"/>
  <c r="BF45" i="4"/>
  <c r="AZ45" i="4"/>
  <c r="AH45" i="4"/>
  <c r="AT45" i="4"/>
  <c r="AB45" i="4"/>
  <c r="BR44" i="4"/>
  <c r="BF44" i="4"/>
  <c r="AZ44" i="4"/>
  <c r="AT44" i="4"/>
  <c r="AN44" i="4"/>
  <c r="AH44" i="4"/>
  <c r="AB44" i="4"/>
  <c r="V44" i="4"/>
  <c r="BS74" i="4"/>
  <c r="T79" i="4"/>
  <c r="T81" i="4" s="1"/>
  <c r="BF79" i="4"/>
  <c r="BF81" i="4" s="1"/>
  <c r="AQ79" i="4"/>
  <c r="D30" i="1"/>
  <c r="H57" i="1"/>
  <c r="E30" i="1"/>
  <c r="B192" i="7"/>
  <c r="K37" i="1"/>
  <c r="D81" i="5"/>
  <c r="H87" i="1"/>
  <c r="G87" i="1"/>
  <c r="L65" i="2"/>
  <c r="M64" i="2"/>
  <c r="I42" i="1"/>
  <c r="E23" i="4" s="1"/>
  <c r="M23" i="4" s="1"/>
  <c r="L42" i="1"/>
  <c r="V19" i="4"/>
  <c r="W20" i="4"/>
  <c r="D79" i="5"/>
  <c r="D80" i="5" s="1"/>
  <c r="G12" i="4"/>
  <c r="Z101" i="4"/>
  <c r="O111" i="2"/>
  <c r="O110" i="2"/>
  <c r="O137" i="2"/>
  <c r="O5" i="3"/>
  <c r="O6" i="3" s="1"/>
  <c r="N6" i="3"/>
  <c r="M118" i="3"/>
  <c r="N117" i="3"/>
  <c r="AA91" i="4"/>
  <c r="Z95" i="4"/>
  <c r="L43" i="1"/>
  <c r="M43" i="1" s="1"/>
  <c r="I43" i="1"/>
  <c r="E24" i="4" s="1"/>
  <c r="O8" i="2"/>
  <c r="O9" i="2" s="1"/>
  <c r="N9" i="2"/>
  <c r="N98" i="2"/>
  <c r="O89" i="2"/>
  <c r="I35" i="1"/>
  <c r="E10" i="4"/>
  <c r="G10" i="4" s="1"/>
  <c r="BR79" i="4"/>
  <c r="H88" i="1"/>
  <c r="G88" i="1"/>
  <c r="P165" i="4"/>
  <c r="P137" i="4" s="1"/>
  <c r="M138" i="4" s="1"/>
  <c r="N120" i="2"/>
  <c r="M121" i="2"/>
  <c r="E36" i="1"/>
  <c r="D37" i="1"/>
  <c r="AC16" i="4"/>
  <c r="H172" i="4"/>
  <c r="S172" i="4" s="1"/>
  <c r="S170" i="4"/>
  <c r="G89" i="1"/>
  <c r="F36" i="1"/>
  <c r="H36" i="1" s="1"/>
  <c r="Q164" i="4"/>
  <c r="G86" i="1"/>
  <c r="H86" i="1"/>
  <c r="N61" i="3" l="1"/>
  <c r="M62" i="3"/>
  <c r="BQ44" i="4"/>
  <c r="BS44" i="4" s="1"/>
  <c r="BQ45" i="4"/>
  <c r="BS45" i="4" s="1"/>
  <c r="BQ41" i="4"/>
  <c r="BS41" i="4" s="1"/>
  <c r="BQ43" i="4"/>
  <c r="BS43" i="4" s="1"/>
  <c r="S166" i="4"/>
  <c r="BR138" i="4"/>
  <c r="S138" i="4"/>
  <c r="E22" i="4"/>
  <c r="L57" i="1"/>
  <c r="AG119" i="4"/>
  <c r="BQ119" i="4" s="1"/>
  <c r="D89" i="5"/>
  <c r="BR119" i="4"/>
  <c r="P4" i="4"/>
  <c r="BQ79" i="4"/>
  <c r="BS79" i="4" s="1"/>
  <c r="I36" i="1"/>
  <c r="H37" i="1"/>
  <c r="I37" i="1" s="1"/>
  <c r="S171" i="4"/>
  <c r="AD16" i="4"/>
  <c r="M42" i="1"/>
  <c r="K23" i="4"/>
  <c r="BR23" i="4"/>
  <c r="BQ137" i="4"/>
  <c r="BS137" i="4" s="1"/>
  <c r="S139" i="4"/>
  <c r="BQ139" i="4" s="1"/>
  <c r="M172" i="4"/>
  <c r="G75" i="4"/>
  <c r="G60" i="4"/>
  <c r="AB91" i="4"/>
  <c r="AA95" i="4"/>
  <c r="P138" i="4"/>
  <c r="P142" i="4" s="1"/>
  <c r="N64" i="2"/>
  <c r="M65" i="2"/>
  <c r="X20" i="4"/>
  <c r="W19" i="4"/>
  <c r="I57" i="1"/>
  <c r="L88" i="1"/>
  <c r="M88" i="1" s="1"/>
  <c r="B88" i="1" s="1"/>
  <c r="E57" i="4" s="1"/>
  <c r="M57" i="4" s="1"/>
  <c r="I88" i="1"/>
  <c r="I86" i="1"/>
  <c r="H89" i="1"/>
  <c r="E37" i="1"/>
  <c r="Q138" i="4"/>
  <c r="Q142" i="4" s="1"/>
  <c r="R164" i="4"/>
  <c r="G36" i="1"/>
  <c r="F37" i="1"/>
  <c r="G37" i="1" s="1"/>
  <c r="O117" i="3"/>
  <c r="O118" i="3" s="1"/>
  <c r="N118" i="3"/>
  <c r="O120" i="2"/>
  <c r="O121" i="2" s="1"/>
  <c r="N121" i="2"/>
  <c r="AA101" i="4"/>
  <c r="I8" i="4"/>
  <c r="I10" i="4" s="1"/>
  <c r="S173" i="4"/>
  <c r="G139" i="4"/>
  <c r="G142" i="4" s="1"/>
  <c r="I87" i="1"/>
  <c r="L87" i="1"/>
  <c r="M87" i="1" s="1"/>
  <c r="B87" i="1" s="1"/>
  <c r="E56" i="4" s="1"/>
  <c r="M56" i="4" s="1"/>
  <c r="O61" i="3" l="1"/>
  <c r="O62" i="3" s="1"/>
  <c r="N62" i="3"/>
  <c r="BJ57" i="4"/>
  <c r="AJ57" i="4"/>
  <c r="AU57" i="4"/>
  <c r="BI57" i="4"/>
  <c r="BR57" i="4"/>
  <c r="AV57" i="4"/>
  <c r="AI57" i="4"/>
  <c r="Y57" i="4"/>
  <c r="Z57" i="4"/>
  <c r="BF23" i="4"/>
  <c r="AH23" i="4"/>
  <c r="BI23" i="4"/>
  <c r="AN23" i="4"/>
  <c r="X23" i="4"/>
  <c r="AT23" i="4"/>
  <c r="AZ23" i="4"/>
  <c r="AB23" i="4"/>
  <c r="Y23" i="4"/>
  <c r="BS119" i="4"/>
  <c r="P144" i="4"/>
  <c r="P143" i="4"/>
  <c r="M173" i="4"/>
  <c r="I89" i="1"/>
  <c r="M75" i="4"/>
  <c r="G76" i="4"/>
  <c r="M76" i="4" s="1"/>
  <c r="G78" i="4"/>
  <c r="M78" i="4" s="1"/>
  <c r="G82" i="4"/>
  <c r="M82" i="4" s="1"/>
  <c r="G77" i="4"/>
  <c r="M77" i="4" s="1"/>
  <c r="S164" i="4"/>
  <c r="AE16" i="4"/>
  <c r="S140" i="4"/>
  <c r="AC91" i="4"/>
  <c r="AB95" i="4"/>
  <c r="M57" i="1"/>
  <c r="Q144" i="4"/>
  <c r="Q145" i="4" s="1"/>
  <c r="Q143" i="4"/>
  <c r="M139" i="4"/>
  <c r="K35" i="1"/>
  <c r="L35" i="1"/>
  <c r="X19" i="4"/>
  <c r="Y20" i="4"/>
  <c r="AB101" i="4"/>
  <c r="O64" i="2"/>
  <c r="O65" i="2" s="1"/>
  <c r="N65" i="2"/>
  <c r="BQ23" i="4" l="1"/>
  <c r="BS23" i="4" s="1"/>
  <c r="BQ57" i="4"/>
  <c r="BS57" i="4" s="1"/>
  <c r="AL129" i="4"/>
  <c r="AQ129" i="4"/>
  <c r="AC129" i="4"/>
  <c r="AG129" i="4"/>
  <c r="AN129" i="4"/>
  <c r="AM129" i="4"/>
  <c r="AD129" i="4"/>
  <c r="AH129" i="4"/>
  <c r="AP129" i="4"/>
  <c r="AF129" i="4"/>
  <c r="AT129" i="4"/>
  <c r="AK129" i="4"/>
  <c r="AI129" i="4"/>
  <c r="AJ129" i="4"/>
  <c r="AS129" i="4"/>
  <c r="AE129" i="4"/>
  <c r="AO129" i="4"/>
  <c r="AR129" i="4"/>
  <c r="M81" i="4"/>
  <c r="AT82" i="4"/>
  <c r="BH82" i="4"/>
  <c r="V82" i="4"/>
  <c r="T82" i="4"/>
  <c r="AH82" i="4"/>
  <c r="AI75" i="4"/>
  <c r="AI81" i="4" s="1"/>
  <c r="AE75" i="4"/>
  <c r="AE81" i="4" s="1"/>
  <c r="AY75" i="4"/>
  <c r="AY81" i="4" s="1"/>
  <c r="AS75" i="4"/>
  <c r="BI75" i="4"/>
  <c r="BI81" i="4" s="1"/>
  <c r="AK75" i="4"/>
  <c r="AK81" i="4" s="1"/>
  <c r="AU75" i="4"/>
  <c r="AU81" i="4" s="1"/>
  <c r="W75" i="4"/>
  <c r="BG75" i="4"/>
  <c r="BG81" i="4" s="1"/>
  <c r="AM75" i="4"/>
  <c r="AM81" i="4" s="1"/>
  <c r="AC75" i="4"/>
  <c r="AC81" i="4" s="1"/>
  <c r="AO75" i="4"/>
  <c r="AO81" i="4" s="1"/>
  <c r="BE75" i="4"/>
  <c r="BE81" i="4" s="1"/>
  <c r="BA75" i="4"/>
  <c r="BA81" i="4" s="1"/>
  <c r="AA75" i="4"/>
  <c r="AA81" i="4" s="1"/>
  <c r="BC75" i="4"/>
  <c r="BC81" i="4" s="1"/>
  <c r="AG75" i="4"/>
  <c r="AG81" i="4" s="1"/>
  <c r="AW75" i="4"/>
  <c r="AW81" i="4" s="1"/>
  <c r="Y75" i="4"/>
  <c r="Y81" i="4" s="1"/>
  <c r="AQ75" i="4"/>
  <c r="AQ81" i="4" s="1"/>
  <c r="T164" i="4"/>
  <c r="M35" i="1"/>
  <c r="AC101" i="4"/>
  <c r="Y19" i="4"/>
  <c r="Z20" i="4"/>
  <c r="D86" i="5"/>
  <c r="BR77" i="4"/>
  <c r="AD77" i="4"/>
  <c r="G85" i="4"/>
  <c r="G83" i="4"/>
  <c r="M83" i="4" s="1"/>
  <c r="G84" i="4"/>
  <c r="D88" i="5"/>
  <c r="BR78" i="4"/>
  <c r="V78" i="4"/>
  <c r="V81" i="4" s="1"/>
  <c r="U78" i="4"/>
  <c r="D83" i="5"/>
  <c r="K57" i="1"/>
  <c r="AS76" i="4"/>
  <c r="AP76" i="4"/>
  <c r="BR76" i="4"/>
  <c r="R138" i="4"/>
  <c r="K86" i="1"/>
  <c r="L86" i="1"/>
  <c r="AC95" i="4"/>
  <c r="AD91" i="4"/>
  <c r="BR139" i="4"/>
  <c r="BS139" i="4" s="1"/>
  <c r="M89" i="4"/>
  <c r="M88" i="4"/>
  <c r="M109" i="4"/>
  <c r="BR75" i="4"/>
  <c r="P5" i="4"/>
  <c r="M127" i="4"/>
  <c r="AF16" i="4"/>
  <c r="BQ129" i="4" l="1"/>
  <c r="BS129" i="4" s="1"/>
  <c r="G87" i="4"/>
  <c r="G86" i="4"/>
  <c r="M87" i="4"/>
  <c r="M86" i="4"/>
  <c r="AO86" i="4" s="1"/>
  <c r="AS81" i="4"/>
  <c r="H21" i="2" s="1"/>
  <c r="H123" i="2" s="1"/>
  <c r="AC86" i="4"/>
  <c r="U86" i="4"/>
  <c r="BE86" i="4"/>
  <c r="BA86" i="4"/>
  <c r="R82" i="4"/>
  <c r="BR89" i="4"/>
  <c r="BS89" i="4" s="1"/>
  <c r="AA20" i="4"/>
  <c r="Z19" i="4"/>
  <c r="AG16" i="4"/>
  <c r="BR88" i="4"/>
  <c r="BS88" i="4" s="1"/>
  <c r="AP81" i="4"/>
  <c r="BQ76" i="4"/>
  <c r="BS76" i="4" s="1"/>
  <c r="AD101" i="4"/>
  <c r="BQ75" i="4"/>
  <c r="BS75" i="4" s="1"/>
  <c r="W81" i="4"/>
  <c r="AD95" i="4"/>
  <c r="AE91" i="4"/>
  <c r="BR82" i="4"/>
  <c r="P82" i="4"/>
  <c r="R142" i="4"/>
  <c r="BR81" i="4"/>
  <c r="L89" i="1"/>
  <c r="M86" i="1"/>
  <c r="B86" i="1" s="1"/>
  <c r="E55" i="4" s="1"/>
  <c r="M55" i="4" s="1"/>
  <c r="M54" i="4" s="1"/>
  <c r="BR54" i="4" s="1"/>
  <c r="AD81" i="4"/>
  <c r="BQ77" i="4"/>
  <c r="BS77" i="4" s="1"/>
  <c r="AS109" i="4"/>
  <c r="BQ109" i="4" s="1"/>
  <c r="BR109" i="4"/>
  <c r="BQ78" i="4"/>
  <c r="BS78" i="4" s="1"/>
  <c r="U81" i="4"/>
  <c r="BR83" i="4"/>
  <c r="R83" i="4"/>
  <c r="S83" i="4"/>
  <c r="P83" i="4"/>
  <c r="S127" i="4"/>
  <c r="BR127" i="4"/>
  <c r="D85" i="5"/>
  <c r="U164" i="4"/>
  <c r="T166" i="4"/>
  <c r="I21" i="2"/>
  <c r="I123" i="2" s="1"/>
  <c r="AS86" i="4" l="1"/>
  <c r="BR86" i="4"/>
  <c r="BR87" i="4"/>
  <c r="S87" i="4"/>
  <c r="T87" i="4" s="1"/>
  <c r="BR55" i="4"/>
  <c r="BI55" i="4"/>
  <c r="AI55" i="4"/>
  <c r="BJ55" i="4"/>
  <c r="AU55" i="4"/>
  <c r="AJ55" i="4"/>
  <c r="AV55" i="4"/>
  <c r="Z55" i="4"/>
  <c r="Y55" i="4"/>
  <c r="AW86" i="4"/>
  <c r="Y86" i="4"/>
  <c r="M90" i="4"/>
  <c r="M39" i="4" s="1"/>
  <c r="AK86" i="4"/>
  <c r="AG86" i="4"/>
  <c r="R90" i="4"/>
  <c r="R153" i="4" s="1"/>
  <c r="AB20" i="4"/>
  <c r="AA19" i="4"/>
  <c r="BQ82" i="4"/>
  <c r="BS82" i="4" s="1"/>
  <c r="P90" i="4"/>
  <c r="M89" i="1"/>
  <c r="R144" i="4"/>
  <c r="R143" i="4"/>
  <c r="S143" i="4" s="1"/>
  <c r="BQ83" i="4"/>
  <c r="BS83" i="4" s="1"/>
  <c r="AE101" i="4"/>
  <c r="AH16" i="4"/>
  <c r="BS109" i="4"/>
  <c r="F21" i="2"/>
  <c r="AE95" i="4"/>
  <c r="BQ91" i="4"/>
  <c r="BS91" i="4" s="1"/>
  <c r="E54" i="4"/>
  <c r="E49" i="4" s="1"/>
  <c r="BQ127" i="4"/>
  <c r="BS127" i="4" s="1"/>
  <c r="G21" i="2"/>
  <c r="G123" i="2" s="1"/>
  <c r="T138" i="4"/>
  <c r="U166" i="4"/>
  <c r="U138" i="4" s="1"/>
  <c r="V164" i="4"/>
  <c r="BQ81" i="4"/>
  <c r="BS81" i="4" s="1"/>
  <c r="BI39" i="4" l="1"/>
  <c r="P39" i="4"/>
  <c r="S90" i="4"/>
  <c r="G108" i="4"/>
  <c r="M108" i="4" s="1"/>
  <c r="M40" i="4" s="1"/>
  <c r="BR90" i="4"/>
  <c r="U87" i="4"/>
  <c r="T90" i="4"/>
  <c r="V39" i="4"/>
  <c r="BF39" i="4"/>
  <c r="BR39" i="4"/>
  <c r="AZ39" i="4"/>
  <c r="AT39" i="4"/>
  <c r="AH39" i="4"/>
  <c r="AN39" i="4"/>
  <c r="AB39" i="4"/>
  <c r="BI56" i="4"/>
  <c r="AU56" i="4"/>
  <c r="AU54" i="4" s="1"/>
  <c r="AU58" i="4" s="1"/>
  <c r="AI56" i="4"/>
  <c r="AI54" i="4" s="1"/>
  <c r="BJ56" i="4"/>
  <c r="BJ54" i="4" s="1"/>
  <c r="BJ58" i="4" s="1"/>
  <c r="BR56" i="4"/>
  <c r="AV56" i="4"/>
  <c r="AV54" i="4" s="1"/>
  <c r="AJ56" i="4"/>
  <c r="AJ54" i="4" s="1"/>
  <c r="K59" i="4"/>
  <c r="Y56" i="4"/>
  <c r="Y54" i="4" s="1"/>
  <c r="Z56" i="4"/>
  <c r="R145" i="4"/>
  <c r="BQ95" i="4"/>
  <c r="BS95" i="4" s="1"/>
  <c r="G110" i="4"/>
  <c r="M110" i="4" s="1"/>
  <c r="W164" i="4"/>
  <c r="V166" i="4"/>
  <c r="AI16" i="4"/>
  <c r="P153" i="4"/>
  <c r="P145" i="4"/>
  <c r="F123" i="2"/>
  <c r="E123" i="2" s="1"/>
  <c r="E21" i="2"/>
  <c r="E191" i="2" s="1"/>
  <c r="BQ101" i="4"/>
  <c r="BS101" i="4" s="1"/>
  <c r="G103" i="4"/>
  <c r="F54" i="4"/>
  <c r="AB19" i="4"/>
  <c r="AC20" i="4"/>
  <c r="Z54" i="4" l="1"/>
  <c r="Z58" i="4" s="1"/>
  <c r="BQ54" i="4"/>
  <c r="BS54" i="4" s="1"/>
  <c r="BI40" i="4"/>
  <c r="P40" i="4"/>
  <c r="V87" i="4"/>
  <c r="U90" i="4"/>
  <c r="V40" i="4"/>
  <c r="AT40" i="4"/>
  <c r="BF40" i="4"/>
  <c r="AN40" i="4"/>
  <c r="AH40" i="4"/>
  <c r="AZ40" i="4"/>
  <c r="AB40" i="4"/>
  <c r="BR40" i="4"/>
  <c r="BR110" i="4"/>
  <c r="M42" i="4"/>
  <c r="BQ39" i="4"/>
  <c r="BS39" i="4" s="1"/>
  <c r="AJ58" i="4"/>
  <c r="AJ103" i="4"/>
  <c r="AI58" i="4"/>
  <c r="AI103" i="4"/>
  <c r="AV58" i="4"/>
  <c r="AV103" i="4"/>
  <c r="AH103" i="4"/>
  <c r="Y103" i="4"/>
  <c r="Z103" i="4"/>
  <c r="AJ16" i="4"/>
  <c r="BR108" i="4"/>
  <c r="AS108" i="4"/>
  <c r="V138" i="4"/>
  <c r="AS110" i="4"/>
  <c r="BQ110" i="4" s="1"/>
  <c r="M103" i="4"/>
  <c r="I103" i="4" s="1"/>
  <c r="AD20" i="4"/>
  <c r="AC19" i="4"/>
  <c r="W166" i="4"/>
  <c r="W138" i="4" s="1"/>
  <c r="X164" i="4"/>
  <c r="P42" i="4" l="1"/>
  <c r="P38" i="4" s="1"/>
  <c r="P58" i="4" s="1"/>
  <c r="BI42" i="4"/>
  <c r="BI38" i="4" s="1"/>
  <c r="W87" i="4"/>
  <c r="V90" i="4"/>
  <c r="BQ40" i="4"/>
  <c r="BS40" i="4" s="1"/>
  <c r="AN42" i="4"/>
  <c r="AN38" i="4" s="1"/>
  <c r="AB42" i="4"/>
  <c r="AB38" i="4" s="1"/>
  <c r="AT42" i="4"/>
  <c r="AT38" i="4" s="1"/>
  <c r="BR42" i="4"/>
  <c r="AH42" i="4"/>
  <c r="AH38" i="4" s="1"/>
  <c r="V42" i="4"/>
  <c r="V38" i="4" s="1"/>
  <c r="AZ42" i="4"/>
  <c r="AZ38" i="4" s="1"/>
  <c r="BF42" i="4"/>
  <c r="BF38" i="4" s="1"/>
  <c r="M38" i="4"/>
  <c r="BR38" i="4" s="1"/>
  <c r="AN103" i="4"/>
  <c r="BI103" i="4"/>
  <c r="I13" i="2"/>
  <c r="AT103" i="4"/>
  <c r="H13" i="2"/>
  <c r="BQ55" i="4"/>
  <c r="BS55" i="4" s="1"/>
  <c r="Y164" i="4"/>
  <c r="X166" i="4"/>
  <c r="X138" i="4" s="1"/>
  <c r="BQ56" i="4"/>
  <c r="BS56" i="4" s="1"/>
  <c r="BQ108" i="4"/>
  <c r="BS108" i="4" s="1"/>
  <c r="AE20" i="4"/>
  <c r="AD19" i="4"/>
  <c r="BR103" i="4"/>
  <c r="M104" i="4"/>
  <c r="AM103" i="4"/>
  <c r="AU103" i="4"/>
  <c r="AK16" i="4"/>
  <c r="BJ103" i="4"/>
  <c r="X87" i="4" l="1"/>
  <c r="W90" i="4"/>
  <c r="BQ38" i="4"/>
  <c r="BS38" i="4" s="1"/>
  <c r="BQ42" i="4"/>
  <c r="BS42" i="4" s="1"/>
  <c r="AF20" i="4"/>
  <c r="AE19" i="4"/>
  <c r="AG103" i="4"/>
  <c r="Z164" i="4"/>
  <c r="Y166" i="4"/>
  <c r="Y138" i="4" s="1"/>
  <c r="AL16" i="4"/>
  <c r="G13" i="2"/>
  <c r="E13" i="2" s="1"/>
  <c r="E182" i="2" s="1"/>
  <c r="AF103" i="4"/>
  <c r="BR104" i="4"/>
  <c r="X90" i="4" l="1"/>
  <c r="Y87" i="4"/>
  <c r="AF19" i="4"/>
  <c r="AG20" i="4"/>
  <c r="AA164" i="4"/>
  <c r="Z166" i="4"/>
  <c r="Z138" i="4" s="1"/>
  <c r="AM16" i="4"/>
  <c r="BQ103" i="4"/>
  <c r="BS103" i="4" s="1"/>
  <c r="Z87" i="4" l="1"/>
  <c r="Y90" i="4"/>
  <c r="AN16" i="4"/>
  <c r="AA166" i="4"/>
  <c r="AA138" i="4" s="1"/>
  <c r="AB164" i="4"/>
  <c r="AG19" i="4"/>
  <c r="AH20" i="4"/>
  <c r="Z90" i="4" l="1"/>
  <c r="AA87" i="4"/>
  <c r="AB166" i="4"/>
  <c r="AB138" i="4" s="1"/>
  <c r="AC164" i="4"/>
  <c r="AH19" i="4"/>
  <c r="AI20" i="4"/>
  <c r="AO16" i="4"/>
  <c r="AB87" i="4" l="1"/>
  <c r="AA90" i="4"/>
  <c r="AP16" i="4"/>
  <c r="AJ20" i="4"/>
  <c r="AI19" i="4"/>
  <c r="AC166" i="4"/>
  <c r="AC138" i="4" s="1"/>
  <c r="AD164" i="4"/>
  <c r="AC87" i="4" l="1"/>
  <c r="AB90" i="4"/>
  <c r="AQ16" i="4"/>
  <c r="AK20" i="4"/>
  <c r="AJ19" i="4"/>
  <c r="AD166" i="4"/>
  <c r="AD138" i="4" s="1"/>
  <c r="AE164" i="4"/>
  <c r="AD87" i="4" l="1"/>
  <c r="AC90" i="4"/>
  <c r="AR16" i="4"/>
  <c r="AF164" i="4"/>
  <c r="AE166" i="4"/>
  <c r="AE138" i="4" s="1"/>
  <c r="AL20" i="4"/>
  <c r="AK19" i="4"/>
  <c r="AE87" i="4" l="1"/>
  <c r="AD90" i="4"/>
  <c r="F22" i="2" s="1"/>
  <c r="F124" i="2" s="1"/>
  <c r="BQ86" i="4"/>
  <c r="BS86" i="4" s="1"/>
  <c r="AS16" i="4"/>
  <c r="AL19" i="4"/>
  <c r="AM20" i="4"/>
  <c r="AG164" i="4"/>
  <c r="AF166" i="4"/>
  <c r="AF138" i="4" s="1"/>
  <c r="AF87" i="4" l="1"/>
  <c r="AE90" i="4"/>
  <c r="AM19" i="4"/>
  <c r="AN20" i="4"/>
  <c r="AG166" i="4"/>
  <c r="AG138" i="4" s="1"/>
  <c r="AH164" i="4"/>
  <c r="AT16" i="4"/>
  <c r="AG87" i="4" l="1"/>
  <c r="AF90" i="4"/>
  <c r="AU16" i="4"/>
  <c r="AN19" i="4"/>
  <c r="AO20" i="4"/>
  <c r="AI164" i="4"/>
  <c r="AH166" i="4"/>
  <c r="AH138" i="4" s="1"/>
  <c r="AH87" i="4" l="1"/>
  <c r="AG90" i="4"/>
  <c r="AP20" i="4"/>
  <c r="AO19" i="4"/>
  <c r="AV16" i="4"/>
  <c r="AI166" i="4"/>
  <c r="AI138" i="4" s="1"/>
  <c r="AJ164" i="4"/>
  <c r="AI87" i="4" l="1"/>
  <c r="AH90" i="4"/>
  <c r="AK164" i="4"/>
  <c r="AJ166" i="4"/>
  <c r="AJ138" i="4" s="1"/>
  <c r="AW16" i="4"/>
  <c r="AQ20" i="4"/>
  <c r="AP19" i="4"/>
  <c r="AJ87" i="4" l="1"/>
  <c r="AI90" i="4"/>
  <c r="AR20" i="4"/>
  <c r="AQ19" i="4"/>
  <c r="AX16" i="4"/>
  <c r="AL164" i="4"/>
  <c r="AK166" i="4"/>
  <c r="AK138" i="4" s="1"/>
  <c r="AK87" i="4" l="1"/>
  <c r="AJ90" i="4"/>
  <c r="AY16" i="4"/>
  <c r="AS20" i="4"/>
  <c r="AR19" i="4"/>
  <c r="AL166" i="4"/>
  <c r="AL138" i="4" s="1"/>
  <c r="AM164" i="4"/>
  <c r="AL87" i="4" l="1"/>
  <c r="AK90" i="4"/>
  <c r="AS19" i="4"/>
  <c r="AT20" i="4"/>
  <c r="AZ16" i="4"/>
  <c r="AM166" i="4"/>
  <c r="AM138" i="4" s="1"/>
  <c r="AN164" i="4"/>
  <c r="AL90" i="4" l="1"/>
  <c r="AM87" i="4"/>
  <c r="AN166" i="4"/>
  <c r="AN138" i="4" s="1"/>
  <c r="AO164" i="4"/>
  <c r="AU20" i="4"/>
  <c r="AT19" i="4"/>
  <c r="BA16" i="4"/>
  <c r="AN87" i="4" l="1"/>
  <c r="AM90" i="4"/>
  <c r="AO166" i="4"/>
  <c r="AO138" i="4" s="1"/>
  <c r="AP164" i="4"/>
  <c r="BB16" i="4"/>
  <c r="AV20" i="4"/>
  <c r="AU19" i="4"/>
  <c r="AN90" i="4" l="1"/>
  <c r="AO87" i="4"/>
  <c r="AW20" i="4"/>
  <c r="AV19" i="4"/>
  <c r="BC16" i="4"/>
  <c r="AQ164" i="4"/>
  <c r="AP166" i="4"/>
  <c r="AP138" i="4" s="1"/>
  <c r="AP87" i="4" l="1"/>
  <c r="AO90" i="4"/>
  <c r="AX20" i="4"/>
  <c r="AW19" i="4"/>
  <c r="AR164" i="4"/>
  <c r="AQ166" i="4"/>
  <c r="AQ138" i="4" s="1"/>
  <c r="BD16" i="4"/>
  <c r="AP90" i="4" l="1"/>
  <c r="AQ87" i="4"/>
  <c r="AX19" i="4"/>
  <c r="AY20" i="4"/>
  <c r="AS164" i="4"/>
  <c r="AR166" i="4"/>
  <c r="AR138" i="4" s="1"/>
  <c r="BE16" i="4"/>
  <c r="AR87" i="4" l="1"/>
  <c r="AQ90" i="4"/>
  <c r="AS166" i="4"/>
  <c r="AS138" i="4" s="1"/>
  <c r="AT164" i="4"/>
  <c r="AY19" i="4"/>
  <c r="AZ20" i="4"/>
  <c r="BF16" i="4"/>
  <c r="AR90" i="4" l="1"/>
  <c r="G22" i="2" s="1"/>
  <c r="AS87" i="4"/>
  <c r="AZ19" i="4"/>
  <c r="BA20" i="4"/>
  <c r="AT166" i="4"/>
  <c r="M164" i="4"/>
  <c r="BG16" i="4"/>
  <c r="AT87" i="4" l="1"/>
  <c r="AS90" i="4"/>
  <c r="G124" i="2"/>
  <c r="BH16" i="4"/>
  <c r="BA19" i="4"/>
  <c r="BB20" i="4"/>
  <c r="AT138" i="4"/>
  <c r="AT90" i="4" l="1"/>
  <c r="AU87" i="4"/>
  <c r="BI16" i="4"/>
  <c r="BQ138" i="4"/>
  <c r="BS138" i="4" s="1"/>
  <c r="BB19" i="4"/>
  <c r="BC20" i="4"/>
  <c r="AV87" i="4" l="1"/>
  <c r="AU90" i="4"/>
  <c r="BD20" i="4"/>
  <c r="BC19" i="4"/>
  <c r="BI14" i="4"/>
  <c r="BI15" i="4" s="1"/>
  <c r="BJ16" i="4"/>
  <c r="AW87" i="4" l="1"/>
  <c r="AV90" i="4"/>
  <c r="BJ14" i="4"/>
  <c r="BJ15" i="4" s="1"/>
  <c r="BK16" i="4"/>
  <c r="BE20" i="4"/>
  <c r="BD19" i="4"/>
  <c r="AX87" i="4" l="1"/>
  <c r="AW90" i="4"/>
  <c r="BL16" i="4"/>
  <c r="BK14" i="4"/>
  <c r="BK15" i="4" s="1"/>
  <c r="BF20" i="4"/>
  <c r="BE19" i="4"/>
  <c r="AY87" i="4" l="1"/>
  <c r="AX90" i="4"/>
  <c r="BF19" i="4"/>
  <c r="BG20" i="4"/>
  <c r="BM16" i="4"/>
  <c r="BL14" i="4"/>
  <c r="AZ87" i="4" l="1"/>
  <c r="AY90" i="4"/>
  <c r="BM14" i="4"/>
  <c r="BM15" i="4" s="1"/>
  <c r="BN16" i="4"/>
  <c r="BH20" i="4"/>
  <c r="BG19" i="4"/>
  <c r="BL15" i="4"/>
  <c r="AZ90" i="4" l="1"/>
  <c r="BA87" i="4"/>
  <c r="BO16" i="4"/>
  <c r="BN14" i="4"/>
  <c r="BN15" i="4" s="1"/>
  <c r="BI20" i="4"/>
  <c r="BH19" i="4"/>
  <c r="M11" i="4" s="1"/>
  <c r="BA90" i="4" l="1"/>
  <c r="BB87" i="4"/>
  <c r="BJ20" i="4"/>
  <c r="BI19" i="4"/>
  <c r="BP16" i="4"/>
  <c r="BP14" i="4" s="1"/>
  <c r="BO14" i="4"/>
  <c r="BB90" i="4" l="1"/>
  <c r="BC87" i="4"/>
  <c r="BP15" i="4"/>
  <c r="BO15" i="4"/>
  <c r="BK20" i="4"/>
  <c r="BJ19" i="4"/>
  <c r="BD87" i="4" l="1"/>
  <c r="BC90" i="4"/>
  <c r="BL20" i="4"/>
  <c r="BK19" i="4"/>
  <c r="BD90" i="4" l="1"/>
  <c r="H22" i="2" s="1"/>
  <c r="BE87" i="4"/>
  <c r="BL19" i="4"/>
  <c r="BM20" i="4"/>
  <c r="BF87" i="4" l="1"/>
  <c r="BE90" i="4"/>
  <c r="H124" i="2"/>
  <c r="BM19" i="4"/>
  <c r="BN20" i="4"/>
  <c r="BG87" i="4" l="1"/>
  <c r="BF90" i="4"/>
  <c r="BN19" i="4"/>
  <c r="BO20" i="4"/>
  <c r="BH87" i="4" l="1"/>
  <c r="BG90" i="4"/>
  <c r="BO19" i="4"/>
  <c r="BP20" i="4"/>
  <c r="BI87" i="4" l="1"/>
  <c r="BH90" i="4"/>
  <c r="BP19" i="4"/>
  <c r="BJ87" i="4" l="1"/>
  <c r="BI90" i="4"/>
  <c r="D132" i="7"/>
  <c r="G133" i="7"/>
  <c r="B132" i="7" s="1"/>
  <c r="B134" i="7" s="1"/>
  <c r="D112" i="7"/>
  <c r="H115" i="7" s="1"/>
  <c r="B109" i="7" s="1"/>
  <c r="B111" i="7" s="1"/>
  <c r="K36" i="1"/>
  <c r="J89" i="1"/>
  <c r="K89" i="1" s="1"/>
  <c r="L36" i="1"/>
  <c r="M36" i="1" s="1"/>
  <c r="BJ90" i="4" l="1"/>
  <c r="I22" i="2" s="1"/>
  <c r="BQ87" i="4"/>
  <c r="BS87" i="4" s="1"/>
  <c r="B139" i="7"/>
  <c r="L37" i="1"/>
  <c r="I124" i="2" l="1"/>
  <c r="E124" i="2" s="1"/>
  <c r="E22" i="2"/>
  <c r="E192" i="2" s="1"/>
  <c r="BQ90" i="4"/>
  <c r="BS90" i="4" s="1"/>
  <c r="N35" i="1"/>
  <c r="M37" i="1"/>
  <c r="N37" i="1"/>
  <c r="N36" i="1"/>
  <c r="H30" i="4"/>
  <c r="H32" i="4"/>
  <c r="H31" i="4"/>
  <c r="K24" i="4"/>
  <c r="H24" i="4"/>
  <c r="M24" i="4"/>
  <c r="BR24" i="4" s="1"/>
  <c r="BI24" i="4" l="1"/>
  <c r="BI22" i="4" s="1"/>
  <c r="AN24" i="4"/>
  <c r="AN22" i="4" s="1"/>
  <c r="X24" i="4"/>
  <c r="X22" i="4" s="1"/>
  <c r="V24" i="4"/>
  <c r="AT24" i="4"/>
  <c r="AT22" i="4" s="1"/>
  <c r="Y24" i="4"/>
  <c r="Y22" i="4" s="1"/>
  <c r="AZ24" i="4"/>
  <c r="AZ22" i="4" s="1"/>
  <c r="BF24" i="4"/>
  <c r="BF22" i="4" s="1"/>
  <c r="AH24" i="4"/>
  <c r="AH22" i="4" s="1"/>
  <c r="W24" i="4"/>
  <c r="W22" i="4" s="1"/>
  <c r="AB24" i="4"/>
  <c r="AB22" i="4" s="1"/>
  <c r="M22" i="4"/>
  <c r="M121" i="4" l="1"/>
  <c r="AB121" i="4" s="1"/>
  <c r="BQ121" i="4" s="1"/>
  <c r="H59" i="4"/>
  <c r="AZ59" i="4" s="1"/>
  <c r="M58" i="4"/>
  <c r="AH58" i="4"/>
  <c r="BI58" i="4"/>
  <c r="AB104" i="4"/>
  <c r="AB106" i="4" s="1"/>
  <c r="AB107" i="4" s="1"/>
  <c r="BF58" i="4"/>
  <c r="AB58" i="4"/>
  <c r="AZ58" i="4"/>
  <c r="X58" i="4"/>
  <c r="W58" i="4"/>
  <c r="Y58" i="4"/>
  <c r="AN58" i="4"/>
  <c r="AT58" i="4"/>
  <c r="BQ24" i="4"/>
  <c r="BS24" i="4" s="1"/>
  <c r="V22" i="4"/>
  <c r="G123" i="4"/>
  <c r="M123" i="4" s="1"/>
  <c r="U6" i="4"/>
  <c r="AN130" i="4"/>
  <c r="AL130" i="4"/>
  <c r="AI130" i="4"/>
  <c r="AR130" i="4"/>
  <c r="AS130" i="4"/>
  <c r="AJ130" i="4"/>
  <c r="AP130" i="4"/>
  <c r="AQ130" i="4"/>
  <c r="AT130" i="4"/>
  <c r="AO130" i="4"/>
  <c r="AM130" i="4"/>
  <c r="AK130" i="4"/>
  <c r="U9" i="4"/>
  <c r="U10" i="4"/>
  <c r="BR22" i="4"/>
  <c r="U7" i="4"/>
  <c r="U8" i="4"/>
  <c r="AN59" i="4" l="1"/>
  <c r="AN60" i="4" s="1"/>
  <c r="AN69" i="4" s="1"/>
  <c r="BR121" i="4"/>
  <c r="D91" i="5"/>
  <c r="D92" i="5" s="1"/>
  <c r="D93" i="5" s="1"/>
  <c r="E93" i="5" s="1"/>
  <c r="AT59" i="4"/>
  <c r="AT60" i="4" s="1"/>
  <c r="W59" i="4"/>
  <c r="W60" i="4" s="1"/>
  <c r="W169" i="4" s="1"/>
  <c r="X59" i="4"/>
  <c r="X60" i="4" s="1"/>
  <c r="X169" i="4" s="1"/>
  <c r="AH59" i="4"/>
  <c r="BP59" i="4"/>
  <c r="BP60" i="4" s="1"/>
  <c r="BP69" i="4" s="1"/>
  <c r="BL59" i="4"/>
  <c r="BL60" i="4" s="1"/>
  <c r="BL69" i="4" s="1"/>
  <c r="BH59" i="4"/>
  <c r="BH60" i="4" s="1"/>
  <c r="BD59" i="4"/>
  <c r="BD60" i="4" s="1"/>
  <c r="AV59" i="4"/>
  <c r="AV60" i="4" s="1"/>
  <c r="AR59" i="4"/>
  <c r="AR60" i="4" s="1"/>
  <c r="AJ59" i="4"/>
  <c r="AJ60" i="4" s="1"/>
  <c r="AF59" i="4"/>
  <c r="AF60" i="4" s="1"/>
  <c r="P59" i="4"/>
  <c r="P60" i="4" s="1"/>
  <c r="P69" i="4" s="1"/>
  <c r="U59" i="4"/>
  <c r="U60" i="4" s="1"/>
  <c r="BK59" i="4"/>
  <c r="BK60" i="4" s="1"/>
  <c r="BK69" i="4" s="1"/>
  <c r="BG59" i="4"/>
  <c r="BG60" i="4" s="1"/>
  <c r="BC59" i="4"/>
  <c r="BC60" i="4" s="1"/>
  <c r="AY59" i="4"/>
  <c r="AY60" i="4" s="1"/>
  <c r="AQ59" i="4"/>
  <c r="AQ60" i="4" s="1"/>
  <c r="AM59" i="4"/>
  <c r="AM60" i="4" s="1"/>
  <c r="AI59" i="4"/>
  <c r="AI60" i="4" s="1"/>
  <c r="AE59" i="4"/>
  <c r="R59" i="4"/>
  <c r="R60" i="4" s="1"/>
  <c r="R69" i="4" s="1"/>
  <c r="BN59" i="4"/>
  <c r="BN60" i="4" s="1"/>
  <c r="BN69" i="4" s="1"/>
  <c r="AX59" i="4"/>
  <c r="AX60" i="4" s="1"/>
  <c r="AP59" i="4"/>
  <c r="AP60" i="4" s="1"/>
  <c r="Z59" i="4"/>
  <c r="Z60" i="4" s="1"/>
  <c r="BM59" i="4"/>
  <c r="BM60" i="4" s="1"/>
  <c r="BM69" i="4" s="1"/>
  <c r="BE59" i="4"/>
  <c r="BA59" i="4"/>
  <c r="BA60" i="4" s="1"/>
  <c r="AS59" i="4"/>
  <c r="AK59" i="4"/>
  <c r="AK60" i="4" s="1"/>
  <c r="AC59" i="4"/>
  <c r="AC60" i="4" s="1"/>
  <c r="T59" i="4"/>
  <c r="BO59" i="4"/>
  <c r="AU59" i="4"/>
  <c r="AU60" i="4" s="1"/>
  <c r="AA59" i="4"/>
  <c r="AA60" i="4" s="1"/>
  <c r="BJ59" i="4"/>
  <c r="BJ60" i="4" s="1"/>
  <c r="BB59" i="4"/>
  <c r="BB60" i="4" s="1"/>
  <c r="AL59" i="4"/>
  <c r="AL60" i="4" s="1"/>
  <c r="AD59" i="4"/>
  <c r="S59" i="4"/>
  <c r="S60" i="4" s="1"/>
  <c r="S69" i="4" s="1"/>
  <c r="AW59" i="4"/>
  <c r="AW60" i="4" s="1"/>
  <c r="AO59" i="4"/>
  <c r="AO60" i="4" s="1"/>
  <c r="AG59" i="4"/>
  <c r="AG60" i="4" s="1"/>
  <c r="Q59" i="4"/>
  <c r="AB59" i="4"/>
  <c r="AB60" i="4" s="1"/>
  <c r="AB169" i="4" s="1"/>
  <c r="V58" i="4"/>
  <c r="V59" i="4"/>
  <c r="BI59" i="4"/>
  <c r="BI60" i="4" s="1"/>
  <c r="Y59" i="4"/>
  <c r="Y60" i="4" s="1"/>
  <c r="BF59" i="4"/>
  <c r="BF60" i="4" s="1"/>
  <c r="BS121" i="4"/>
  <c r="BR58" i="4"/>
  <c r="I58" i="4"/>
  <c r="AH104" i="4"/>
  <c r="AH106" i="4" s="1"/>
  <c r="AH107" i="4" s="1"/>
  <c r="AN104" i="4"/>
  <c r="AN106" i="4" s="1"/>
  <c r="AN107" i="4" s="1"/>
  <c r="BF104" i="4"/>
  <c r="BF106" i="4" s="1"/>
  <c r="BF107" i="4" s="1"/>
  <c r="AZ60" i="4"/>
  <c r="AX104" i="4"/>
  <c r="AX106" i="4" s="1"/>
  <c r="AX107" i="4" s="1"/>
  <c r="AP104" i="4"/>
  <c r="AP106" i="4" s="1"/>
  <c r="AP107" i="4" s="1"/>
  <c r="BB104" i="4"/>
  <c r="BB106" i="4" s="1"/>
  <c r="BB107" i="4" s="1"/>
  <c r="BA104" i="4"/>
  <c r="BA106" i="4" s="1"/>
  <c r="BA107" i="4" s="1"/>
  <c r="AK104" i="4"/>
  <c r="AK106" i="4" s="1"/>
  <c r="AK107" i="4" s="1"/>
  <c r="BG104" i="4"/>
  <c r="BG106" i="4" s="1"/>
  <c r="BG107" i="4" s="1"/>
  <c r="BK104" i="4"/>
  <c r="BK106" i="4" s="1"/>
  <c r="BK107" i="4" s="1"/>
  <c r="BH104" i="4"/>
  <c r="BH106" i="4" s="1"/>
  <c r="BH107" i="4" s="1"/>
  <c r="BC104" i="4"/>
  <c r="BC106" i="4" s="1"/>
  <c r="BC107" i="4" s="1"/>
  <c r="AQ104" i="4"/>
  <c r="AQ106" i="4" s="1"/>
  <c r="AQ107" i="4" s="1"/>
  <c r="AO104" i="4"/>
  <c r="AO106" i="4" s="1"/>
  <c r="AO107" i="4" s="1"/>
  <c r="AL104" i="4"/>
  <c r="AL106" i="4" s="1"/>
  <c r="AL107" i="4" s="1"/>
  <c r="AV104" i="4"/>
  <c r="AV106" i="4" s="1"/>
  <c r="AV107" i="4" s="1"/>
  <c r="AS104" i="4"/>
  <c r="AS106" i="4" s="1"/>
  <c r="AS107" i="4" s="1"/>
  <c r="AJ104" i="4"/>
  <c r="AJ106" i="4" s="1"/>
  <c r="AJ107" i="4" s="1"/>
  <c r="BP104" i="4"/>
  <c r="BP106" i="4" s="1"/>
  <c r="BP107" i="4" s="1"/>
  <c r="AY104" i="4"/>
  <c r="AY106" i="4" s="1"/>
  <c r="AY107" i="4" s="1"/>
  <c r="AM104" i="4"/>
  <c r="AM106" i="4" s="1"/>
  <c r="AM107" i="4" s="1"/>
  <c r="AC104" i="4"/>
  <c r="AC106" i="4" s="1"/>
  <c r="AC107" i="4" s="1"/>
  <c r="BJ104" i="4"/>
  <c r="BJ106" i="4" s="1"/>
  <c r="BJ107" i="4" s="1"/>
  <c r="AR104" i="4"/>
  <c r="AI104" i="4"/>
  <c r="BE104" i="4"/>
  <c r="BE106" i="4" s="1"/>
  <c r="BE107" i="4" s="1"/>
  <c r="AW104" i="4"/>
  <c r="AW106" i="4" s="1"/>
  <c r="AW107" i="4" s="1"/>
  <c r="BL104" i="4"/>
  <c r="BL106" i="4" s="1"/>
  <c r="BL107" i="4" s="1"/>
  <c r="BO104" i="4"/>
  <c r="BO106" i="4" s="1"/>
  <c r="BO107" i="4" s="1"/>
  <c r="Z104" i="4"/>
  <c r="Z106" i="4" s="1"/>
  <c r="Z107" i="4" s="1"/>
  <c r="AF104" i="4"/>
  <c r="AF106" i="4" s="1"/>
  <c r="AF107" i="4" s="1"/>
  <c r="AG104" i="4"/>
  <c r="AG106" i="4" s="1"/>
  <c r="AG107" i="4" s="1"/>
  <c r="AU104" i="4"/>
  <c r="AU106" i="4" s="1"/>
  <c r="AU107" i="4" s="1"/>
  <c r="BM104" i="4"/>
  <c r="BM106" i="4" s="1"/>
  <c r="BM107" i="4" s="1"/>
  <c r="U104" i="4"/>
  <c r="U106" i="4" s="1"/>
  <c r="U107" i="4" s="1"/>
  <c r="BD104" i="4"/>
  <c r="BD106" i="4" s="1"/>
  <c r="BD107" i="4" s="1"/>
  <c r="AA104" i="4"/>
  <c r="AA106" i="4" s="1"/>
  <c r="AA107" i="4" s="1"/>
  <c r="BN104" i="4"/>
  <c r="BN106" i="4" s="1"/>
  <c r="BN107" i="4" s="1"/>
  <c r="AE104" i="4"/>
  <c r="AE106" i="4" s="1"/>
  <c r="AE107" i="4" s="1"/>
  <c r="AD104" i="4"/>
  <c r="AD106" i="4" s="1"/>
  <c r="AD107" i="4" s="1"/>
  <c r="F23" i="2" s="1"/>
  <c r="F125" i="2" s="1"/>
  <c r="BR123" i="4"/>
  <c r="U123" i="4"/>
  <c r="BQ123" i="4" s="1"/>
  <c r="M59" i="4"/>
  <c r="BR59" i="4" s="1"/>
  <c r="BO60" i="4"/>
  <c r="BO69" i="4" s="1"/>
  <c r="T60" i="4"/>
  <c r="T170" i="4" s="1"/>
  <c r="BQ130" i="4"/>
  <c r="BS130" i="4" s="1"/>
  <c r="BI104" i="4"/>
  <c r="BI106" i="4" s="1"/>
  <c r="BI107" i="4" s="1"/>
  <c r="AZ104" i="4"/>
  <c r="AZ106" i="4" s="1"/>
  <c r="AZ107" i="4" s="1"/>
  <c r="X104" i="4"/>
  <c r="X106" i="4" s="1"/>
  <c r="X107" i="4" s="1"/>
  <c r="W104" i="4"/>
  <c r="W106" i="4" s="1"/>
  <c r="W107" i="4" s="1"/>
  <c r="I12" i="2"/>
  <c r="Y104" i="4"/>
  <c r="Y106" i="4" s="1"/>
  <c r="Y107" i="4" s="1"/>
  <c r="AT104" i="4"/>
  <c r="AT106" i="4" s="1"/>
  <c r="AT107" i="4" s="1"/>
  <c r="H12" i="2"/>
  <c r="G12" i="2"/>
  <c r="U11" i="4"/>
  <c r="P6" i="4"/>
  <c r="V104" i="4"/>
  <c r="BQ22" i="4"/>
  <c r="BS22" i="4" s="1"/>
  <c r="I16" i="2"/>
  <c r="H16" i="2"/>
  <c r="D66" i="5" l="1"/>
  <c r="F92" i="5"/>
  <c r="F93" i="5" s="1"/>
  <c r="Y69" i="4"/>
  <c r="Y169" i="4"/>
  <c r="M60" i="4"/>
  <c r="BR60" i="4" s="1"/>
  <c r="P146" i="4"/>
  <c r="P156" i="4"/>
  <c r="AW69" i="4"/>
  <c r="AW169" i="4"/>
  <c r="AY69" i="4"/>
  <c r="AY169" i="4"/>
  <c r="BB69" i="4"/>
  <c r="BB169" i="4"/>
  <c r="BA69" i="4"/>
  <c r="BA169" i="4"/>
  <c r="BF69" i="4"/>
  <c r="BF169" i="4"/>
  <c r="BH69" i="4"/>
  <c r="BH169" i="4"/>
  <c r="BI69" i="4"/>
  <c r="BI169" i="4"/>
  <c r="AU69" i="4"/>
  <c r="AU169" i="4"/>
  <c r="AV69" i="4"/>
  <c r="AV169" i="4"/>
  <c r="BD69" i="4"/>
  <c r="BD169" i="4"/>
  <c r="AZ69" i="4"/>
  <c r="AZ169" i="4"/>
  <c r="BG69" i="4"/>
  <c r="BG169" i="4"/>
  <c r="BJ69" i="4"/>
  <c r="BJ169" i="4"/>
  <c r="AX69" i="4"/>
  <c r="AX169" i="4"/>
  <c r="BC69" i="4"/>
  <c r="BC169" i="4"/>
  <c r="I23" i="2"/>
  <c r="I125" i="2" s="1"/>
  <c r="W69" i="4"/>
  <c r="M69" i="4"/>
  <c r="L88" i="4" s="1"/>
  <c r="I60" i="4"/>
  <c r="V60" i="4"/>
  <c r="X69" i="4"/>
  <c r="AF169" i="4"/>
  <c r="AF69" i="4"/>
  <c r="AQ69" i="4"/>
  <c r="AQ169" i="4"/>
  <c r="AS60" i="4"/>
  <c r="H17" i="2"/>
  <c r="H19" i="2" s="1"/>
  <c r="T69" i="4"/>
  <c r="AJ169" i="4"/>
  <c r="AJ69" i="4"/>
  <c r="BL153" i="4"/>
  <c r="BL156" i="4" s="1"/>
  <c r="BL161" i="4" s="1"/>
  <c r="BL167" i="4" s="1"/>
  <c r="BL174" i="4" s="1"/>
  <c r="BL145" i="4"/>
  <c r="BL146" i="4" s="1"/>
  <c r="AG169" i="4"/>
  <c r="AG69" i="4"/>
  <c r="Z169" i="4"/>
  <c r="Z69" i="4"/>
  <c r="Q60" i="4"/>
  <c r="Q69" i="4" s="1"/>
  <c r="BQ59" i="4"/>
  <c r="BS59" i="4" s="1"/>
  <c r="U69" i="4"/>
  <c r="U169" i="4"/>
  <c r="AP169" i="4"/>
  <c r="AP69" i="4"/>
  <c r="AK69" i="4"/>
  <c r="AK169" i="4"/>
  <c r="BP153" i="4"/>
  <c r="BP156" i="4" s="1"/>
  <c r="BP161" i="4" s="1"/>
  <c r="BP167" i="4" s="1"/>
  <c r="BP174" i="4" s="1"/>
  <c r="BP145" i="4"/>
  <c r="BP146" i="4" s="1"/>
  <c r="AM169" i="4"/>
  <c r="AM69" i="4"/>
  <c r="AL69" i="4"/>
  <c r="AL169" i="4"/>
  <c r="BE60" i="4"/>
  <c r="I17" i="2"/>
  <c r="I19" i="2" s="1"/>
  <c r="AC169" i="4"/>
  <c r="AC69" i="4"/>
  <c r="AE60" i="4"/>
  <c r="G17" i="2"/>
  <c r="AA69" i="4"/>
  <c r="AA169" i="4"/>
  <c r="BS123" i="4"/>
  <c r="BN145" i="4"/>
  <c r="BN146" i="4" s="1"/>
  <c r="BN153" i="4"/>
  <c r="BN156" i="4" s="1"/>
  <c r="BN161" i="4" s="1"/>
  <c r="BN167" i="4" s="1"/>
  <c r="BN174" i="4" s="1"/>
  <c r="BM153" i="4"/>
  <c r="BM156" i="4" s="1"/>
  <c r="BM161" i="4" s="1"/>
  <c r="BM167" i="4" s="1"/>
  <c r="BM174" i="4" s="1"/>
  <c r="BM145" i="4"/>
  <c r="BM146" i="4" s="1"/>
  <c r="R156" i="4"/>
  <c r="R161" i="4" s="1"/>
  <c r="R167" i="4" s="1"/>
  <c r="R174" i="4" s="1"/>
  <c r="R146" i="4"/>
  <c r="F17" i="2"/>
  <c r="F19" i="2" s="1"/>
  <c r="AD60" i="4"/>
  <c r="AR69" i="4"/>
  <c r="AR169" i="4"/>
  <c r="AI169" i="4"/>
  <c r="AI69" i="4"/>
  <c r="AO69" i="4"/>
  <c r="AO169" i="4"/>
  <c r="BO153" i="4"/>
  <c r="BO156" i="4" s="1"/>
  <c r="BO161" i="4" s="1"/>
  <c r="BO167" i="4" s="1"/>
  <c r="BO174" i="4" s="1"/>
  <c r="BO145" i="4"/>
  <c r="BO146" i="4" s="1"/>
  <c r="AN169" i="4"/>
  <c r="H23" i="2"/>
  <c r="H125" i="2" s="1"/>
  <c r="G16" i="2"/>
  <c r="BQ58" i="4"/>
  <c r="BS58" i="4" s="1"/>
  <c r="E12" i="2"/>
  <c r="E181" i="2" s="1"/>
  <c r="AB69" i="4"/>
  <c r="AH60" i="4"/>
  <c r="BQ102" i="4"/>
  <c r="BS102" i="4" s="1"/>
  <c r="AT169" i="4"/>
  <c r="AT69" i="4"/>
  <c r="V106" i="4"/>
  <c r="BQ104" i="4"/>
  <c r="BS104" i="4" s="1"/>
  <c r="M124" i="4" l="1"/>
  <c r="L124" i="4" s="1"/>
  <c r="J168" i="4"/>
  <c r="L61" i="4"/>
  <c r="L82" i="4"/>
  <c r="L64" i="4"/>
  <c r="L100" i="4"/>
  <c r="C347" i="7"/>
  <c r="B347" i="7" s="1"/>
  <c r="P161" i="4"/>
  <c r="P167" i="4" s="1"/>
  <c r="P174" i="4" s="1"/>
  <c r="P175" i="4" s="1"/>
  <c r="P157" i="4"/>
  <c r="V69" i="4"/>
  <c r="V169" i="4"/>
  <c r="BE69" i="4"/>
  <c r="BE169" i="4"/>
  <c r="U170" i="4"/>
  <c r="U171" i="4" s="1"/>
  <c r="U140" i="4" s="1"/>
  <c r="U142" i="4" s="1"/>
  <c r="U144" i="4" s="1"/>
  <c r="M179" i="4"/>
  <c r="L71" i="4"/>
  <c r="L113" i="4"/>
  <c r="L23" i="4"/>
  <c r="L68" i="4"/>
  <c r="L58" i="4"/>
  <c r="L59" i="4"/>
  <c r="L133" i="4"/>
  <c r="L110" i="4"/>
  <c r="L30" i="4"/>
  <c r="L114" i="4"/>
  <c r="L78" i="4"/>
  <c r="L99" i="4"/>
  <c r="L22" i="4"/>
  <c r="L74" i="4"/>
  <c r="L60" i="4"/>
  <c r="L128" i="4"/>
  <c r="L69" i="4"/>
  <c r="L79" i="4"/>
  <c r="L94" i="4"/>
  <c r="L96" i="4"/>
  <c r="L116" i="4"/>
  <c r="L111" i="4"/>
  <c r="L138" i="4"/>
  <c r="L70" i="4"/>
  <c r="L121" i="4"/>
  <c r="L97" i="4"/>
  <c r="L83" i="4"/>
  <c r="L129" i="4"/>
  <c r="L65" i="4"/>
  <c r="L34" i="4"/>
  <c r="L38" i="4"/>
  <c r="L117" i="4"/>
  <c r="L26" i="4"/>
  <c r="L75" i="4"/>
  <c r="L123" i="4"/>
  <c r="L130" i="4"/>
  <c r="L98" i="4"/>
  <c r="L73" i="4"/>
  <c r="L102" i="4"/>
  <c r="BR69" i="4"/>
  <c r="L89" i="4"/>
  <c r="L63" i="4"/>
  <c r="L136" i="4"/>
  <c r="L81" i="4"/>
  <c r="L103" i="4"/>
  <c r="L48" i="4"/>
  <c r="L104" i="4"/>
  <c r="L131" i="4"/>
  <c r="L91" i="4"/>
  <c r="L66" i="4"/>
  <c r="L87" i="4"/>
  <c r="L56" i="4"/>
  <c r="L85" i="4"/>
  <c r="L135" i="4"/>
  <c r="L95" i="4"/>
  <c r="L119" i="4"/>
  <c r="L127" i="4"/>
  <c r="L118" i="4"/>
  <c r="L132" i="4"/>
  <c r="L39" i="4"/>
  <c r="L55" i="4"/>
  <c r="L44" i="4"/>
  <c r="L51" i="4"/>
  <c r="L24" i="4"/>
  <c r="L112" i="4"/>
  <c r="L84" i="4"/>
  <c r="L120" i="4"/>
  <c r="L122" i="4"/>
  <c r="L90" i="4"/>
  <c r="L139" i="4"/>
  <c r="L92" i="4"/>
  <c r="L134" i="4"/>
  <c r="L62" i="4"/>
  <c r="L115" i="4"/>
  <c r="L141" i="4"/>
  <c r="L108" i="4"/>
  <c r="L80" i="4"/>
  <c r="L101" i="4"/>
  <c r="L93" i="4"/>
  <c r="L137" i="4"/>
  <c r="L109" i="4"/>
  <c r="L76" i="4"/>
  <c r="L77" i="4"/>
  <c r="L86" i="4"/>
  <c r="L27" i="4"/>
  <c r="L28" i="4"/>
  <c r="L25" i="4"/>
  <c r="L43" i="4"/>
  <c r="L37" i="4"/>
  <c r="L42" i="4"/>
  <c r="L49" i="4"/>
  <c r="L50" i="4"/>
  <c r="L57" i="4"/>
  <c r="L31" i="4"/>
  <c r="L32" i="4"/>
  <c r="L29" i="4"/>
  <c r="L47" i="4"/>
  <c r="L41" i="4"/>
  <c r="L46" i="4"/>
  <c r="L52" i="4"/>
  <c r="L72" i="4"/>
  <c r="L105" i="4"/>
  <c r="L35" i="4"/>
  <c r="L36" i="4"/>
  <c r="L33" i="4"/>
  <c r="L40" i="4"/>
  <c r="L45" i="4"/>
  <c r="L54" i="4"/>
  <c r="L53" i="4"/>
  <c r="G19" i="2"/>
  <c r="E19" i="2" s="1"/>
  <c r="BQ60" i="4"/>
  <c r="BS60" i="4" s="1"/>
  <c r="E17" i="2"/>
  <c r="AD69" i="4"/>
  <c r="AD169" i="4"/>
  <c r="AE69" i="4"/>
  <c r="AE169" i="4"/>
  <c r="Q146" i="4"/>
  <c r="Q156" i="4"/>
  <c r="AS69" i="4"/>
  <c r="AS169" i="4"/>
  <c r="E16" i="2"/>
  <c r="AH169" i="4"/>
  <c r="AH69" i="4"/>
  <c r="M106" i="4"/>
  <c r="AR106" i="4"/>
  <c r="AR107" i="4" s="1"/>
  <c r="V107" i="4"/>
  <c r="BK169" i="4" l="1"/>
  <c r="BR124" i="4"/>
  <c r="S124" i="4"/>
  <c r="S125" i="4" s="1"/>
  <c r="M125" i="4"/>
  <c r="T171" i="4"/>
  <c r="BQ69" i="4"/>
  <c r="BS69" i="4" s="1"/>
  <c r="V170" i="4"/>
  <c r="V171" i="4" s="1"/>
  <c r="Q161" i="4"/>
  <c r="Q167" i="4" s="1"/>
  <c r="Q174" i="4" s="1"/>
  <c r="Q175" i="4" s="1"/>
  <c r="R175" i="4" s="1"/>
  <c r="Q157" i="4"/>
  <c r="R157" i="4" s="1"/>
  <c r="BR106" i="4"/>
  <c r="L106" i="4"/>
  <c r="M107" i="4"/>
  <c r="BK125" i="4"/>
  <c r="AI106" i="4"/>
  <c r="T124" i="4" l="1"/>
  <c r="T140" i="4"/>
  <c r="T142" i="4" s="1"/>
  <c r="M169" i="4"/>
  <c r="BR125" i="4"/>
  <c r="L125" i="4"/>
  <c r="W170" i="4"/>
  <c r="X170" i="4" s="1"/>
  <c r="V140" i="4"/>
  <c r="BR107" i="4"/>
  <c r="L107" i="4"/>
  <c r="S145" i="4"/>
  <c r="S153" i="4"/>
  <c r="AI107" i="4"/>
  <c r="BQ106" i="4"/>
  <c r="BS106" i="4" s="1"/>
  <c r="BK145" i="4"/>
  <c r="BK146" i="4" s="1"/>
  <c r="BK153" i="4"/>
  <c r="BK156" i="4" s="1"/>
  <c r="BK161" i="4" s="1"/>
  <c r="BK167" i="4" s="1"/>
  <c r="BK174" i="4" s="1"/>
  <c r="T125" i="4"/>
  <c r="U124" i="4"/>
  <c r="U125" i="4" s="1"/>
  <c r="T144" i="4" l="1"/>
  <c r="T143" i="4"/>
  <c r="U143" i="4" s="1"/>
  <c r="W171" i="4"/>
  <c r="U145" i="4"/>
  <c r="U146" i="4" s="1"/>
  <c r="U153" i="4"/>
  <c r="U156" i="4" s="1"/>
  <c r="U161" i="4" s="1"/>
  <c r="U167" i="4" s="1"/>
  <c r="U174" i="4" s="1"/>
  <c r="S146" i="4"/>
  <c r="V142" i="4"/>
  <c r="S156" i="4"/>
  <c r="S161" i="4" s="1"/>
  <c r="T145" i="4"/>
  <c r="T146" i="4" s="1"/>
  <c r="T153" i="4"/>
  <c r="T156" i="4" s="1"/>
  <c r="T161" i="4" s="1"/>
  <c r="T167" i="4" s="1"/>
  <c r="T174" i="4" s="1"/>
  <c r="G23" i="2"/>
  <c r="BQ107" i="4"/>
  <c r="BS107" i="4" s="1"/>
  <c r="V124" i="4"/>
  <c r="X171" i="4"/>
  <c r="X140" i="4" s="1"/>
  <c r="X142" i="4" s="1"/>
  <c r="X144" i="4" s="1"/>
  <c r="Y170" i="4"/>
  <c r="W140" i="4" l="1"/>
  <c r="W142" i="4" s="1"/>
  <c r="S157" i="4"/>
  <c r="T157" i="4" s="1"/>
  <c r="U157" i="4" s="1"/>
  <c r="V143" i="4"/>
  <c r="V144" i="4"/>
  <c r="G125" i="2"/>
  <c r="E125" i="2" s="1"/>
  <c r="E23" i="2"/>
  <c r="E193" i="2" s="1"/>
  <c r="V125" i="4"/>
  <c r="W124" i="4"/>
  <c r="Y171" i="4"/>
  <c r="Y140" i="4" s="1"/>
  <c r="Y142" i="4" s="1"/>
  <c r="Y144" i="4" s="1"/>
  <c r="Z170" i="4"/>
  <c r="W144" i="4" l="1"/>
  <c r="W143" i="4"/>
  <c r="X143" i="4" s="1"/>
  <c r="Y143" i="4" s="1"/>
  <c r="Z171" i="4"/>
  <c r="Z140" i="4" s="1"/>
  <c r="Z142" i="4" s="1"/>
  <c r="AA170" i="4"/>
  <c r="W125" i="4"/>
  <c r="X124" i="4"/>
  <c r="V145" i="4"/>
  <c r="V153" i="4"/>
  <c r="V146" i="4" l="1"/>
  <c r="V156" i="4"/>
  <c r="V161" i="4" s="1"/>
  <c r="Z143" i="4"/>
  <c r="Z144" i="4"/>
  <c r="W153" i="4"/>
  <c r="W156" i="4" s="1"/>
  <c r="W161" i="4" s="1"/>
  <c r="W167" i="4" s="1"/>
  <c r="W174" i="4" s="1"/>
  <c r="W145" i="4"/>
  <c r="W146" i="4" s="1"/>
  <c r="X125" i="4"/>
  <c r="Y124" i="4"/>
  <c r="AB170" i="4"/>
  <c r="AA171" i="4"/>
  <c r="V167" i="4" l="1"/>
  <c r="V157" i="4"/>
  <c r="W157" i="4" s="1"/>
  <c r="AA140" i="4"/>
  <c r="AC170" i="4"/>
  <c r="AB171" i="4"/>
  <c r="AB140" i="4" s="1"/>
  <c r="AB142" i="4" s="1"/>
  <c r="AB144" i="4" s="1"/>
  <c r="X153" i="4"/>
  <c r="X156" i="4" s="1"/>
  <c r="X161" i="4" s="1"/>
  <c r="X167" i="4" s="1"/>
  <c r="X174" i="4" s="1"/>
  <c r="X145" i="4"/>
  <c r="X146" i="4" s="1"/>
  <c r="Y125" i="4"/>
  <c r="Z124" i="4"/>
  <c r="V174" i="4" l="1"/>
  <c r="AA142" i="4"/>
  <c r="X157" i="4"/>
  <c r="Y145" i="4"/>
  <c r="Y146" i="4" s="1"/>
  <c r="Y153" i="4"/>
  <c r="Y156" i="4" s="1"/>
  <c r="Y161" i="4" s="1"/>
  <c r="Y167" i="4" s="1"/>
  <c r="Y174" i="4" s="1"/>
  <c r="AD170" i="4"/>
  <c r="AC171" i="4"/>
  <c r="AC140" i="4" s="1"/>
  <c r="AC142" i="4" s="1"/>
  <c r="AC144" i="4" s="1"/>
  <c r="AA124" i="4"/>
  <c r="Z125" i="4"/>
  <c r="AA144" i="4" l="1"/>
  <c r="AA143" i="4"/>
  <c r="AB143" i="4" s="1"/>
  <c r="AC143" i="4" s="1"/>
  <c r="AD171" i="4"/>
  <c r="AD140" i="4" s="1"/>
  <c r="AD142" i="4" s="1"/>
  <c r="AE170" i="4"/>
  <c r="Z153" i="4"/>
  <c r="Z156" i="4" s="1"/>
  <c r="Z161" i="4" s="1"/>
  <c r="Z167" i="4" s="1"/>
  <c r="Z174" i="4" s="1"/>
  <c r="Z145" i="4"/>
  <c r="Z146" i="4" s="1"/>
  <c r="Y157" i="4"/>
  <c r="AA125" i="4"/>
  <c r="AB124" i="4"/>
  <c r="AD143" i="4" l="1"/>
  <c r="F27" i="2"/>
  <c r="AD144" i="4"/>
  <c r="Z157" i="4"/>
  <c r="AA145" i="4"/>
  <c r="AA146" i="4" s="1"/>
  <c r="AA153" i="4"/>
  <c r="AF170" i="4"/>
  <c r="AE171" i="4"/>
  <c r="AE140" i="4" s="1"/>
  <c r="AE142" i="4" s="1"/>
  <c r="AB125" i="4"/>
  <c r="AC124" i="4"/>
  <c r="AA156" i="4" l="1"/>
  <c r="AA161" i="4" s="1"/>
  <c r="F129" i="2"/>
  <c r="AE144" i="4"/>
  <c r="AE143" i="4"/>
  <c r="AC125" i="4"/>
  <c r="AD124" i="4"/>
  <c r="AB153" i="4"/>
  <c r="AB156" i="4" s="1"/>
  <c r="AB161" i="4" s="1"/>
  <c r="AB167" i="4" s="1"/>
  <c r="AB174" i="4" s="1"/>
  <c r="AB145" i="4"/>
  <c r="AB146" i="4" s="1"/>
  <c r="AG170" i="4"/>
  <c r="AF171" i="4"/>
  <c r="AF140" i="4" s="1"/>
  <c r="AF142" i="4" s="1"/>
  <c r="AF144" i="4" l="1"/>
  <c r="AA157" i="4"/>
  <c r="AB157" i="4" s="1"/>
  <c r="AA167" i="4"/>
  <c r="AA174" i="4" s="1"/>
  <c r="AF143" i="4"/>
  <c r="AG171" i="4"/>
  <c r="AH170" i="4"/>
  <c r="AC145" i="4"/>
  <c r="AC146" i="4" s="1"/>
  <c r="AC153" i="4"/>
  <c r="AD125" i="4"/>
  <c r="AE124" i="4"/>
  <c r="AC156" i="4" l="1"/>
  <c r="AC161" i="4" s="1"/>
  <c r="AH171" i="4"/>
  <c r="AH140" i="4" s="1"/>
  <c r="AH142" i="4" s="1"/>
  <c r="AH144" i="4" s="1"/>
  <c r="AI170" i="4"/>
  <c r="AE125" i="4"/>
  <c r="AF124" i="4"/>
  <c r="AD145" i="4"/>
  <c r="AD146" i="4" s="1"/>
  <c r="F38" i="2" s="1"/>
  <c r="F24" i="2"/>
  <c r="AD153" i="4"/>
  <c r="AG140" i="4"/>
  <c r="AG142" i="4" s="1"/>
  <c r="AC157" i="4" l="1"/>
  <c r="AC167" i="4"/>
  <c r="AC174" i="4" s="1"/>
  <c r="AG144" i="4"/>
  <c r="AG143" i="4"/>
  <c r="AH143" i="4" s="1"/>
  <c r="F126" i="2"/>
  <c r="AI171" i="4"/>
  <c r="AI140" i="4" s="1"/>
  <c r="AI142" i="4" s="1"/>
  <c r="AJ170" i="4"/>
  <c r="AF125" i="4"/>
  <c r="AG124" i="4"/>
  <c r="AD156" i="4"/>
  <c r="AD161" i="4" s="1"/>
  <c r="AD167" i="4" s="1"/>
  <c r="AD174" i="4" s="1"/>
  <c r="F26" i="2"/>
  <c r="AE145" i="4"/>
  <c r="AE146" i="4" s="1"/>
  <c r="AE153" i="4"/>
  <c r="AI144" i="4" l="1"/>
  <c r="AH124" i="4"/>
  <c r="AH125" i="4" s="1"/>
  <c r="AG125" i="4"/>
  <c r="AG153" i="4" s="1"/>
  <c r="AG156" i="4" s="1"/>
  <c r="AG161" i="4" s="1"/>
  <c r="AG167" i="4" s="1"/>
  <c r="AG174" i="4" s="1"/>
  <c r="AI143" i="4"/>
  <c r="AF145" i="4"/>
  <c r="AF146" i="4" s="1"/>
  <c r="AF153" i="4"/>
  <c r="AF156" i="4" s="1"/>
  <c r="AF161" i="4" s="1"/>
  <c r="AF167" i="4" s="1"/>
  <c r="AF174" i="4" s="1"/>
  <c r="F128" i="2"/>
  <c r="F29" i="2"/>
  <c r="F131" i="2" s="1"/>
  <c r="F134" i="2" s="1"/>
  <c r="AK170" i="4"/>
  <c r="AJ171" i="4"/>
  <c r="AJ140" i="4" s="1"/>
  <c r="AJ142" i="4" s="1"/>
  <c r="AE156" i="4"/>
  <c r="AE161" i="4" s="1"/>
  <c r="AE167" i="4" s="1"/>
  <c r="AE174" i="4" s="1"/>
  <c r="AD157" i="4"/>
  <c r="AJ144" i="4" l="1"/>
  <c r="AI124" i="4"/>
  <c r="AJ124" i="4" s="1"/>
  <c r="AK124" i="4" s="1"/>
  <c r="AL124" i="4" s="1"/>
  <c r="AM124" i="4" s="1"/>
  <c r="AN124" i="4" s="1"/>
  <c r="AO124" i="4" s="1"/>
  <c r="AP124" i="4" s="1"/>
  <c r="AQ124" i="4" s="1"/>
  <c r="AR124" i="4" s="1"/>
  <c r="AS124" i="4" s="1"/>
  <c r="AT124" i="4" s="1"/>
  <c r="AU124" i="4" s="1"/>
  <c r="AX124" i="4" s="1"/>
  <c r="AG145" i="4"/>
  <c r="AG146" i="4" s="1"/>
  <c r="AJ143" i="4"/>
  <c r="AK171" i="4"/>
  <c r="AK140" i="4" s="1"/>
  <c r="AK142" i="4" s="1"/>
  <c r="AL170" i="4"/>
  <c r="AH145" i="4"/>
  <c r="AH146" i="4" s="1"/>
  <c r="AH153" i="4"/>
  <c r="AH156" i="4" s="1"/>
  <c r="AH161" i="4" s="1"/>
  <c r="AH167" i="4" s="1"/>
  <c r="AH174" i="4" s="1"/>
  <c r="AE157" i="4"/>
  <c r="AF157" i="4" s="1"/>
  <c r="AG157" i="4" s="1"/>
  <c r="E134" i="2"/>
  <c r="F155" i="2"/>
  <c r="AK144" i="4" l="1"/>
  <c r="AX125" i="4"/>
  <c r="AY124" i="4"/>
  <c r="AI125" i="4"/>
  <c r="AI153" i="4" s="1"/>
  <c r="AI156" i="4" s="1"/>
  <c r="AI161" i="4" s="1"/>
  <c r="AI167" i="4" s="1"/>
  <c r="AI174" i="4" s="1"/>
  <c r="AK143" i="4"/>
  <c r="AH157" i="4"/>
  <c r="E155" i="2"/>
  <c r="E157" i="2"/>
  <c r="E116" i="2" s="1"/>
  <c r="AL171" i="4"/>
  <c r="AL140" i="4" s="1"/>
  <c r="AL142" i="4" s="1"/>
  <c r="AM170" i="4"/>
  <c r="AJ125" i="4"/>
  <c r="G161" i="2"/>
  <c r="H161" i="2"/>
  <c r="AL144" i="4" l="1"/>
  <c r="AY125" i="4"/>
  <c r="AZ124" i="4"/>
  <c r="AX153" i="4"/>
  <c r="AX161" i="4" s="1"/>
  <c r="AX167" i="4" s="1"/>
  <c r="AX145" i="4"/>
  <c r="AX146" i="4" s="1"/>
  <c r="AI145" i="4"/>
  <c r="AI146" i="4" s="1"/>
  <c r="AL143" i="4"/>
  <c r="AI157" i="4"/>
  <c r="AM171" i="4"/>
  <c r="AM140" i="4" s="1"/>
  <c r="AM142" i="4" s="1"/>
  <c r="AN170" i="4"/>
  <c r="AK125" i="4"/>
  <c r="AJ153" i="4"/>
  <c r="AJ156" i="4" s="1"/>
  <c r="AJ161" i="4" s="1"/>
  <c r="AJ167" i="4" s="1"/>
  <c r="AJ174" i="4" s="1"/>
  <c r="AJ145" i="4"/>
  <c r="AJ146" i="4" s="1"/>
  <c r="AM144" i="4" l="1"/>
  <c r="BA124" i="4"/>
  <c r="AZ125" i="4"/>
  <c r="AY145" i="4"/>
  <c r="AY146" i="4" s="1"/>
  <c r="AY153" i="4"/>
  <c r="AY156" i="4" s="1"/>
  <c r="AY167" i="4" s="1"/>
  <c r="AM143" i="4"/>
  <c r="AL125" i="4"/>
  <c r="AJ157" i="4"/>
  <c r="AO170" i="4"/>
  <c r="AN171" i="4"/>
  <c r="AN140" i="4" s="1"/>
  <c r="AN142" i="4" s="1"/>
  <c r="AN144" i="4" l="1"/>
  <c r="AZ153" i="4"/>
  <c r="AZ156" i="4" s="1"/>
  <c r="AZ161" i="4" s="1"/>
  <c r="AZ167" i="4" s="1"/>
  <c r="AZ146" i="4"/>
  <c r="BA125" i="4"/>
  <c r="BB124" i="4"/>
  <c r="AN143" i="4"/>
  <c r="AM125" i="4"/>
  <c r="AO171" i="4"/>
  <c r="AO140" i="4" s="1"/>
  <c r="AO142" i="4" s="1"/>
  <c r="AP170" i="4"/>
  <c r="AL153" i="4"/>
  <c r="AL156" i="4" s="1"/>
  <c r="AL161" i="4" s="1"/>
  <c r="AL167" i="4" s="1"/>
  <c r="AL174" i="4" s="1"/>
  <c r="AL145" i="4"/>
  <c r="AL146" i="4" s="1"/>
  <c r="AO144" i="4" l="1"/>
  <c r="BA145" i="4"/>
  <c r="BA146" i="4" s="1"/>
  <c r="BA153" i="4"/>
  <c r="BA156" i="4" s="1"/>
  <c r="BA167" i="4" s="1"/>
  <c r="BB125" i="4"/>
  <c r="BC124" i="4"/>
  <c r="BD124" i="4" s="1"/>
  <c r="AO143" i="4"/>
  <c r="AP171" i="4"/>
  <c r="AP140" i="4" s="1"/>
  <c r="AP142" i="4" s="1"/>
  <c r="AQ170" i="4"/>
  <c r="AN125" i="4"/>
  <c r="AM153" i="4"/>
  <c r="AM156" i="4" s="1"/>
  <c r="AM161" i="4" s="1"/>
  <c r="AM167" i="4" s="1"/>
  <c r="AM174" i="4" s="1"/>
  <c r="AM145" i="4"/>
  <c r="AM146" i="4" s="1"/>
  <c r="AP144" i="4" l="1"/>
  <c r="BC125" i="4"/>
  <c r="BB153" i="4"/>
  <c r="BB156" i="4" s="1"/>
  <c r="BB167" i="4" s="1"/>
  <c r="BB145" i="4"/>
  <c r="BB146" i="4" s="1"/>
  <c r="AP143" i="4"/>
  <c r="AN145" i="4"/>
  <c r="AN146" i="4" s="1"/>
  <c r="AN153" i="4"/>
  <c r="AN156" i="4" s="1"/>
  <c r="AN161" i="4" s="1"/>
  <c r="AN167" i="4" s="1"/>
  <c r="AN174" i="4" s="1"/>
  <c r="AQ171" i="4"/>
  <c r="AQ140" i="4" s="1"/>
  <c r="AQ142" i="4" s="1"/>
  <c r="AR170" i="4"/>
  <c r="AO125" i="4"/>
  <c r="AQ144" i="4" l="1"/>
  <c r="BD125" i="4"/>
  <c r="BE124" i="4"/>
  <c r="BC145" i="4"/>
  <c r="BC146" i="4" s="1"/>
  <c r="BC153" i="4"/>
  <c r="BC156" i="4" s="1"/>
  <c r="BC161" i="4" s="1"/>
  <c r="BC167" i="4" s="1"/>
  <c r="AQ143" i="4"/>
  <c r="AP125" i="4"/>
  <c r="AO145" i="4"/>
  <c r="AO146" i="4" s="1"/>
  <c r="AO153" i="4"/>
  <c r="AO156" i="4" s="1"/>
  <c r="AO161" i="4" s="1"/>
  <c r="AO167" i="4" s="1"/>
  <c r="AO174" i="4" s="1"/>
  <c r="AS170" i="4"/>
  <c r="AR171" i="4"/>
  <c r="AR140" i="4" s="1"/>
  <c r="AR142" i="4" s="1"/>
  <c r="BE125" i="4" l="1"/>
  <c r="BF124" i="4"/>
  <c r="BD153" i="4"/>
  <c r="BD156" i="4" s="1"/>
  <c r="BD161" i="4" s="1"/>
  <c r="BD167" i="4" s="1"/>
  <c r="BD145" i="4"/>
  <c r="BD146" i="4" s="1"/>
  <c r="AR144" i="4"/>
  <c r="G27" i="2"/>
  <c r="AR143" i="4"/>
  <c r="AP153" i="4"/>
  <c r="AP156" i="4" s="1"/>
  <c r="AP161" i="4" s="1"/>
  <c r="AP167" i="4" s="1"/>
  <c r="AP174" i="4" s="1"/>
  <c r="AP145" i="4"/>
  <c r="AP146" i="4" s="1"/>
  <c r="AS171" i="4"/>
  <c r="AS140" i="4" s="1"/>
  <c r="AS142" i="4" s="1"/>
  <c r="AT170" i="4"/>
  <c r="AQ125" i="4"/>
  <c r="BG124" i="4" l="1"/>
  <c r="BF125" i="4"/>
  <c r="BE145" i="4"/>
  <c r="BE146" i="4" s="1"/>
  <c r="BE153" i="4"/>
  <c r="AS143" i="4"/>
  <c r="G129" i="2"/>
  <c r="AS144" i="4"/>
  <c r="AR125" i="4"/>
  <c r="G24" i="2" s="1"/>
  <c r="AT171" i="4"/>
  <c r="AT140" i="4" s="1"/>
  <c r="AU170" i="4"/>
  <c r="AV170" i="4" s="1"/>
  <c r="AQ145" i="4"/>
  <c r="AQ146" i="4" s="1"/>
  <c r="AQ153" i="4"/>
  <c r="AQ156" i="4" s="1"/>
  <c r="AQ161" i="4" s="1"/>
  <c r="AQ167" i="4" s="1"/>
  <c r="AQ174" i="4" s="1"/>
  <c r="AT142" i="4" l="1"/>
  <c r="BE161" i="4"/>
  <c r="BE167" i="4" s="1"/>
  <c r="BF145" i="4"/>
  <c r="BF146" i="4" s="1"/>
  <c r="BF153" i="4"/>
  <c r="BF156" i="4" s="1"/>
  <c r="BF161" i="4" s="1"/>
  <c r="BF167" i="4" s="1"/>
  <c r="BH124" i="4"/>
  <c r="BG125" i="4"/>
  <c r="AW170" i="4"/>
  <c r="AV171" i="4"/>
  <c r="AV140" i="4" s="1"/>
  <c r="AV142" i="4" s="1"/>
  <c r="AV144" i="4" s="1"/>
  <c r="G126" i="2"/>
  <c r="AU171" i="4"/>
  <c r="AT143" i="4"/>
  <c r="AU143" i="4" s="1"/>
  <c r="AV143" i="4" s="1"/>
  <c r="AW143" i="4" s="1"/>
  <c r="AX143" i="4" s="1"/>
  <c r="AY143" i="4" s="1"/>
  <c r="AZ143" i="4" s="1"/>
  <c r="BA143" i="4" s="1"/>
  <c r="BB143" i="4" s="1"/>
  <c r="BC143" i="4" s="1"/>
  <c r="BD143" i="4" s="1"/>
  <c r="BE143" i="4" s="1"/>
  <c r="BF143" i="4" s="1"/>
  <c r="BG143" i="4" s="1"/>
  <c r="BH143" i="4" s="1"/>
  <c r="AS125" i="4"/>
  <c r="AR145" i="4"/>
  <c r="AR146" i="4" s="1"/>
  <c r="AR153" i="4"/>
  <c r="AR156" i="4" s="1"/>
  <c r="AR161" i="4" s="1"/>
  <c r="AR167" i="4" s="1"/>
  <c r="AR174" i="4" s="1"/>
  <c r="AT144" i="4" l="1"/>
  <c r="BI124" i="4"/>
  <c r="BJ124" i="4" s="1"/>
  <c r="BH125" i="4"/>
  <c r="BG145" i="4"/>
  <c r="BG146" i="4" s="1"/>
  <c r="BG153" i="4"/>
  <c r="BG156" i="4" s="1"/>
  <c r="BG161" i="4" s="1"/>
  <c r="BG167" i="4" s="1"/>
  <c r="AX170" i="4"/>
  <c r="AW171" i="4"/>
  <c r="AW140" i="4" s="1"/>
  <c r="AW144" i="4" s="1"/>
  <c r="AW124" i="4"/>
  <c r="AW125" i="4" s="1"/>
  <c r="AV124" i="4"/>
  <c r="AV125" i="4" s="1"/>
  <c r="AU140" i="4"/>
  <c r="AU142" i="4" s="1"/>
  <c r="AS153" i="4"/>
  <c r="AS145" i="4"/>
  <c r="AS146" i="4" s="1"/>
  <c r="AT125" i="4"/>
  <c r="BH145" i="4" l="1"/>
  <c r="BH146" i="4" s="1"/>
  <c r="BH153" i="4"/>
  <c r="BI125" i="4"/>
  <c r="BJ125" i="4"/>
  <c r="AY170" i="4"/>
  <c r="AX171" i="4"/>
  <c r="AV153" i="4"/>
  <c r="AV167" i="4" s="1"/>
  <c r="AV174" i="4" s="1"/>
  <c r="AV145" i="4"/>
  <c r="AV146" i="4" s="1"/>
  <c r="AW145" i="4"/>
  <c r="AW153" i="4"/>
  <c r="AU125" i="4"/>
  <c r="AS156" i="4"/>
  <c r="AS161" i="4" s="1"/>
  <c r="AS167" i="4" s="1"/>
  <c r="AS174" i="4" s="1"/>
  <c r="AT145" i="4"/>
  <c r="AT146" i="4" s="1"/>
  <c r="AT153" i="4"/>
  <c r="AT161" i="4" s="1"/>
  <c r="AT167" i="4" s="1"/>
  <c r="AT174" i="4" s="1"/>
  <c r="BQ125" i="4" l="1"/>
  <c r="BS125" i="4" s="1"/>
  <c r="BQ124" i="4"/>
  <c r="BS124" i="4" s="1"/>
  <c r="BH156" i="4"/>
  <c r="BH161" i="4" s="1"/>
  <c r="BH167" i="4" s="1"/>
  <c r="BI153" i="4"/>
  <c r="BI156" i="4" s="1"/>
  <c r="BI161" i="4" s="1"/>
  <c r="BI167" i="4" s="1"/>
  <c r="I24" i="2"/>
  <c r="I126" i="2" s="1"/>
  <c r="BJ153" i="4"/>
  <c r="BJ156" i="4" s="1"/>
  <c r="BJ161" i="4" s="1"/>
  <c r="BJ167" i="4" s="1"/>
  <c r="AX140" i="4"/>
  <c r="AX174" i="4"/>
  <c r="AZ170" i="4"/>
  <c r="AY171" i="4"/>
  <c r="AW161" i="4"/>
  <c r="AW146" i="4"/>
  <c r="AU144" i="4"/>
  <c r="H27" i="2"/>
  <c r="AU153" i="4"/>
  <c r="H24" i="2"/>
  <c r="I26" i="2" l="1"/>
  <c r="BA170" i="4"/>
  <c r="AZ171" i="4"/>
  <c r="AY140" i="4"/>
  <c r="AY174" i="4"/>
  <c r="H126" i="2"/>
  <c r="E126" i="2" s="1"/>
  <c r="E24" i="2"/>
  <c r="E194" i="2" s="1"/>
  <c r="AW167" i="4"/>
  <c r="AW174" i="4" s="1"/>
  <c r="AU145" i="4"/>
  <c r="AU146" i="4" s="1"/>
  <c r="H38" i="2" s="1"/>
  <c r="H129" i="2"/>
  <c r="AU167" i="4"/>
  <c r="AU174" i="4" s="1"/>
  <c r="H26" i="2"/>
  <c r="I128" i="2" l="1"/>
  <c r="AZ140" i="4"/>
  <c r="AZ174" i="4"/>
  <c r="K179" i="4" s="1"/>
  <c r="BB170" i="4"/>
  <c r="BA171" i="4"/>
  <c r="H128" i="2"/>
  <c r="H29" i="2"/>
  <c r="H131" i="2" s="1"/>
  <c r="H134" i="2" s="1"/>
  <c r="H155" i="2" s="1"/>
  <c r="L126" i="4"/>
  <c r="BR126" i="4"/>
  <c r="M153" i="4"/>
  <c r="M156" i="4" s="1"/>
  <c r="AK126" i="4"/>
  <c r="AK145" i="4" s="1"/>
  <c r="BA140" i="4" l="1"/>
  <c r="BA174" i="4"/>
  <c r="BC170" i="4"/>
  <c r="BB171" i="4"/>
  <c r="AK146" i="4"/>
  <c r="BQ126" i="4"/>
  <c r="BS126" i="4" s="1"/>
  <c r="G25" i="2"/>
  <c r="BR153" i="4"/>
  <c r="AK153" i="4"/>
  <c r="BQ153" i="4" s="1"/>
  <c r="BD170" i="4" l="1"/>
  <c r="BC171" i="4"/>
  <c r="BB140" i="4"/>
  <c r="BB174" i="4"/>
  <c r="BS153" i="4"/>
  <c r="G38" i="2"/>
  <c r="G26" i="2"/>
  <c r="AK156" i="4"/>
  <c r="G127" i="2"/>
  <c r="E127" i="2" s="1"/>
  <c r="E25" i="2"/>
  <c r="E195" i="2" s="1"/>
  <c r="BC140" i="4" l="1"/>
  <c r="BC174" i="4"/>
  <c r="BE170" i="4"/>
  <c r="BD171" i="4"/>
  <c r="G29" i="2"/>
  <c r="G131" i="2" s="1"/>
  <c r="G134" i="2" s="1"/>
  <c r="G155" i="2" s="1"/>
  <c r="G128" i="2"/>
  <c r="E128" i="2" s="1"/>
  <c r="E26" i="2"/>
  <c r="AK157" i="4"/>
  <c r="AL157" i="4" s="1"/>
  <c r="AM157" i="4" s="1"/>
  <c r="AN157" i="4" s="1"/>
  <c r="AO157" i="4" s="1"/>
  <c r="AP157" i="4" s="1"/>
  <c r="AQ157" i="4" s="1"/>
  <c r="AR157" i="4" s="1"/>
  <c r="AS157" i="4" s="1"/>
  <c r="AK161" i="4"/>
  <c r="BF170" i="4" l="1"/>
  <c r="BE171" i="4"/>
  <c r="BD140" i="4"/>
  <c r="BD174" i="4"/>
  <c r="AK167" i="4"/>
  <c r="AK174" i="4" s="1"/>
  <c r="J179" i="4" s="1"/>
  <c r="M161" i="4"/>
  <c r="E196" i="2"/>
  <c r="BE140" i="4" l="1"/>
  <c r="BE174" i="4"/>
  <c r="BG170" i="4"/>
  <c r="BF171" i="4"/>
  <c r="J180" i="4"/>
  <c r="BH170" i="4" l="1"/>
  <c r="BG171" i="4"/>
  <c r="BF140" i="4"/>
  <c r="BF174" i="4"/>
  <c r="BG140" i="4" l="1"/>
  <c r="BG174" i="4"/>
  <c r="BI170" i="4"/>
  <c r="BH171" i="4"/>
  <c r="BH140" i="4" l="1"/>
  <c r="BH174" i="4"/>
  <c r="BJ170" i="4"/>
  <c r="BI171" i="4"/>
  <c r="BJ171" i="4" l="1"/>
  <c r="M171" i="4" s="1"/>
  <c r="M170" i="4"/>
  <c r="BI140" i="4"/>
  <c r="BI142" i="4" s="1"/>
  <c r="BI174" i="4"/>
  <c r="BI143" i="4" l="1"/>
  <c r="BI144" i="4"/>
  <c r="BJ140" i="4"/>
  <c r="BJ174" i="4"/>
  <c r="L179" i="4" s="1"/>
  <c r="M140" i="4"/>
  <c r="BI145" i="4" l="1"/>
  <c r="BQ140" i="4"/>
  <c r="BJ142" i="4"/>
  <c r="BR140" i="4"/>
  <c r="BS140" i="4" s="1"/>
  <c r="L140" i="4"/>
  <c r="M166" i="4"/>
  <c r="S167" i="4"/>
  <c r="S174" i="4" s="1"/>
  <c r="I180" i="4" s="1"/>
  <c r="BJ144" i="4" l="1"/>
  <c r="M142" i="4"/>
  <c r="I27" i="2"/>
  <c r="BJ143" i="4"/>
  <c r="BI146" i="4"/>
  <c r="G185" i="4" a="1"/>
  <c r="M167" i="4"/>
  <c r="K167" i="4" s="1"/>
  <c r="M174" i="4"/>
  <c r="I179" i="4"/>
  <c r="S175" i="4"/>
  <c r="T175" i="4" s="1"/>
  <c r="U175" i="4" s="1"/>
  <c r="V175" i="4" s="1"/>
  <c r="W175" i="4" s="1"/>
  <c r="X175" i="4" s="1"/>
  <c r="Y175" i="4" s="1"/>
  <c r="Z175" i="4" s="1"/>
  <c r="AA175" i="4" s="1"/>
  <c r="AB175" i="4" s="1"/>
  <c r="AC175" i="4" s="1"/>
  <c r="AD175" i="4" s="1"/>
  <c r="AE175" i="4" s="1"/>
  <c r="AF175" i="4" s="1"/>
  <c r="AG175" i="4" s="1"/>
  <c r="AH175" i="4" s="1"/>
  <c r="AI175" i="4" s="1"/>
  <c r="AJ175" i="4" s="1"/>
  <c r="AK175" i="4" s="1"/>
  <c r="AL175" i="4" s="1"/>
  <c r="AM175" i="4" s="1"/>
  <c r="AN175" i="4" s="1"/>
  <c r="AO175" i="4" s="1"/>
  <c r="AP175" i="4" s="1"/>
  <c r="AQ175" i="4" s="1"/>
  <c r="AR175" i="4" s="1"/>
  <c r="AS175" i="4" s="1"/>
  <c r="AT175" i="4" s="1"/>
  <c r="AU175" i="4" s="1"/>
  <c r="AV175" i="4" s="1"/>
  <c r="AW175" i="4" s="1"/>
  <c r="AX175" i="4" s="1"/>
  <c r="AY175" i="4" s="1"/>
  <c r="AZ175" i="4" s="1"/>
  <c r="BA175" i="4" s="1"/>
  <c r="BB175" i="4" s="1"/>
  <c r="BC175" i="4" s="1"/>
  <c r="BD175" i="4" s="1"/>
  <c r="BE175" i="4" s="1"/>
  <c r="BF175" i="4" s="1"/>
  <c r="BG175" i="4" s="1"/>
  <c r="BH175" i="4" s="1"/>
  <c r="BI175" i="4" s="1"/>
  <c r="BJ175" i="4" s="1"/>
  <c r="BK175" i="4" s="1"/>
  <c r="M144" i="4" l="1"/>
  <c r="BR142" i="4"/>
  <c r="BS142" i="4" s="1"/>
  <c r="L142" i="4"/>
  <c r="I129" i="2"/>
  <c r="E129" i="2" s="1"/>
  <c r="E131" i="2" s="1"/>
  <c r="E27" i="2"/>
  <c r="I29" i="2"/>
  <c r="I131" i="2" s="1"/>
  <c r="I134" i="2" s="1"/>
  <c r="I155" i="2" s="1"/>
  <c r="G164" i="2" s="1"/>
  <c r="BJ145" i="4"/>
  <c r="BQ144" i="4"/>
  <c r="L174" i="4"/>
  <c r="L167" i="4"/>
  <c r="K174" i="4"/>
  <c r="I133" i="2" l="1"/>
  <c r="B116" i="2"/>
  <c r="E132" i="2"/>
  <c r="BJ146" i="4"/>
  <c r="BQ145" i="4"/>
  <c r="E197" i="2"/>
  <c r="E29" i="2"/>
  <c r="E199" i="2" s="1"/>
  <c r="E206" i="2" s="1"/>
  <c r="E210" i="2" s="1"/>
  <c r="E212" i="2" s="1"/>
  <c r="M145" i="4"/>
  <c r="BR144" i="4"/>
  <c r="BS144" i="4" s="1"/>
  <c r="L144" i="4"/>
  <c r="I38" i="2" l="1"/>
  <c r="BQ146" i="4"/>
  <c r="M146" i="4"/>
  <c r="BR145" i="4"/>
  <c r="BS145" i="4" s="1"/>
  <c r="L145" i="4"/>
  <c r="G166" i="2"/>
  <c r="I159" i="2"/>
  <c r="K159" i="2"/>
  <c r="G168" i="2"/>
  <c r="H159" i="2"/>
  <c r="G159" i="2"/>
  <c r="M159" i="2"/>
  <c r="N159" i="2"/>
  <c r="C116" i="2"/>
  <c r="L159" i="2"/>
  <c r="J159" i="2"/>
  <c r="N151" i="2"/>
  <c r="I150" i="2"/>
  <c r="K180" i="4" l="1"/>
  <c r="P8" i="4"/>
  <c r="L146" i="4"/>
  <c r="BR146" i="4"/>
  <c r="J150" i="2"/>
  <c r="I161" i="2"/>
  <c r="BS146" i="4"/>
  <c r="E40" i="2"/>
  <c r="E38" i="2"/>
  <c r="B47" i="2" l="1"/>
  <c r="I47" i="2"/>
  <c r="K150" i="2"/>
  <c r="J161" i="2"/>
  <c r="G180" i="4"/>
  <c r="G185" i="4"/>
  <c r="L150" i="2" l="1"/>
  <c r="K161" i="2"/>
  <c r="M150" i="2" l="1"/>
  <c r="L161" i="2"/>
  <c r="M161" i="2" l="1"/>
  <c r="N150" i="2"/>
  <c r="N161" i="2" l="1"/>
  <c r="O1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43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재산세, 종토세</t>
        </r>
      </text>
    </comment>
    <comment ref="C145" authorId="0" shapeId="0" xr:uid="{00000000-0006-0000-0100-000002000000}">
      <text>
        <r>
          <rPr>
            <sz val="11"/>
            <color rgb="FF000000"/>
            <rFont val="Calibri"/>
            <family val="2"/>
            <scheme val="minor"/>
          </rPr>
          <t>관리비 수입의 70~80%</t>
        </r>
      </text>
    </comment>
    <comment ref="C146" authorId="0" shapeId="0" xr:uid="{00000000-0006-0000-0100-000003000000}">
      <text>
        <r>
          <rPr>
            <sz val="11"/>
            <color rgb="FF000000"/>
            <rFont val="Calibri"/>
            <family val="2"/>
            <scheme val="minor"/>
          </rPr>
          <t>임대대행수수료,
Reserve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40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재산세, 종토세</t>
        </r>
      </text>
    </comment>
    <comment ref="C142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관리비 수입의 70~80%</t>
        </r>
      </text>
    </comment>
    <comment ref="C143" authorId="0" shapeId="0" xr:uid="{00000000-0006-0000-0200-000003000000}">
      <text>
        <r>
          <rPr>
            <sz val="11"/>
            <color rgb="FF000000"/>
            <rFont val="Calibri"/>
            <family val="2"/>
            <scheme val="minor"/>
          </rPr>
          <t>임대대행수수료,
Reserve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engineer</author>
  </authors>
  <commentList>
    <comment ref="H668" authorId="0" shapeId="0" xr:uid="{66B3139A-D9A0-4C66-9DB8-E02D6DCCF8C0}">
      <text>
        <r>
          <rPr>
            <b/>
            <sz val="9"/>
            <color indexed="81"/>
            <rFont val="Tahoma"/>
            <family val="2"/>
          </rPr>
          <t>engineer: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건축취득금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세대수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36" authorId="0" shapeId="0" xr:uid="{00000000-0006-0000-0600-000001000000}">
      <text>
        <r>
          <rPr>
            <sz val="11"/>
            <color rgb="FF000000"/>
            <rFont val="Calibri"/>
            <family val="2"/>
            <scheme val="minor"/>
          </rPr>
          <t xml:space="preserve">알 수 없는 사용자:
</t>
        </r>
      </text>
    </comment>
  </commentList>
</comments>
</file>

<file path=xl/sharedStrings.xml><?xml version="1.0" encoding="utf-8"?>
<sst xmlns="http://schemas.openxmlformats.org/spreadsheetml/2006/main" count="2393" uniqueCount="1515">
  <si>
    <t>사 업 명</t>
  </si>
  <si>
    <r>
      <rPr>
        <b/>
        <sz val="14"/>
        <color theme="1"/>
        <rFont val="Malgun Gothic"/>
        <family val="3"/>
        <charset val="129"/>
      </rPr>
      <t xml:space="preserve">■ </t>
    </r>
    <r>
      <rPr>
        <b/>
        <sz val="14"/>
        <color theme="1"/>
        <rFont val="맑은 고딕"/>
        <family val="3"/>
        <charset val="129"/>
      </rPr>
      <t xml:space="preserve"> </t>
    </r>
    <r>
      <rPr>
        <b/>
        <sz val="14"/>
        <color theme="1"/>
        <rFont val="맑은 고딕"/>
        <family val="3"/>
        <charset val="129"/>
      </rPr>
      <t>건축개요</t>
    </r>
  </si>
  <si>
    <t>공  사  명</t>
  </si>
  <si>
    <t>래미안목동아델리체</t>
    <phoneticPr fontId="102" type="noConversion"/>
  </si>
  <si>
    <t>대지위치</t>
  </si>
  <si>
    <r>
      <rPr>
        <sz val="11"/>
        <color rgb="FF000000"/>
        <rFont val="맑은 고딕"/>
        <family val="3"/>
        <charset val="129"/>
      </rPr>
      <t>서울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양천구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신정동</t>
    </r>
    <r>
      <rPr>
        <sz val="11"/>
        <color rgb="FF000000"/>
        <rFont val="Arial"/>
        <family val="2"/>
      </rPr>
      <t xml:space="preserve"> 1326</t>
    </r>
    <phoneticPr fontId="102" type="noConversion"/>
  </si>
  <si>
    <t>지역지구</t>
  </si>
  <si>
    <t>도시지역, 제2종일반주거지역</t>
    <phoneticPr fontId="102" type="noConversion"/>
  </si>
  <si>
    <t>공사종별</t>
  </si>
  <si>
    <t>아파트</t>
    <phoneticPr fontId="102" type="noConversion"/>
  </si>
  <si>
    <t>대지면적</t>
  </si>
  <si>
    <t>매입면적:</t>
  </si>
  <si>
    <t xml:space="preserve">기부채납면적 : </t>
  </si>
  <si>
    <t>용      도</t>
  </si>
  <si>
    <t>공동주택, 근생시설</t>
  </si>
  <si>
    <t>건축면적</t>
  </si>
  <si>
    <t>건  폐  율</t>
  </si>
  <si>
    <t xml:space="preserve">(법정 : </t>
  </si>
  <si>
    <t>%)</t>
  </si>
  <si>
    <t>연  면  적</t>
  </si>
  <si>
    <t>용  적  율</t>
  </si>
  <si>
    <t>규      모</t>
  </si>
  <si>
    <t>지상 : 27층</t>
    <phoneticPr fontId="102" type="noConversion"/>
  </si>
  <si>
    <t>지하 : 3층</t>
    <phoneticPr fontId="102" type="noConversion"/>
  </si>
  <si>
    <t>구      조</t>
  </si>
  <si>
    <t>RC구조</t>
  </si>
  <si>
    <t>주차대수</t>
  </si>
  <si>
    <t xml:space="preserve">지상 : </t>
  </si>
  <si>
    <t>지하 :</t>
  </si>
  <si>
    <r>
      <rPr>
        <b/>
        <sz val="14"/>
        <color theme="1"/>
        <rFont val="Malgun Gothic"/>
        <family val="3"/>
        <charset val="129"/>
      </rPr>
      <t xml:space="preserve">■  층별 </t>
    </r>
    <r>
      <rPr>
        <b/>
        <sz val="14"/>
        <color theme="1"/>
        <rFont val="맑은 고딕"/>
        <family val="3"/>
        <charset val="129"/>
      </rPr>
      <t>면적표</t>
    </r>
  </si>
  <si>
    <t>( 단위 :  ㎡/평 )</t>
  </si>
  <si>
    <t>구분</t>
  </si>
  <si>
    <t>아파트</t>
  </si>
  <si>
    <t>근생시설</t>
  </si>
  <si>
    <t>계</t>
  </si>
  <si>
    <t>비  고</t>
  </si>
  <si>
    <t>지상층</t>
  </si>
  <si>
    <t>지하층</t>
  </si>
  <si>
    <t>소    계</t>
  </si>
  <si>
    <t>비    율</t>
  </si>
  <si>
    <r>
      <rPr>
        <b/>
        <sz val="14"/>
        <color theme="1"/>
        <rFont val="Malgun Gothic"/>
        <family val="3"/>
        <charset val="129"/>
      </rPr>
      <t xml:space="preserve">■  용도별 </t>
    </r>
    <r>
      <rPr>
        <b/>
        <sz val="14"/>
        <color theme="1"/>
        <rFont val="맑은 고딕"/>
        <family val="3"/>
        <charset val="129"/>
      </rPr>
      <t>면적표</t>
    </r>
  </si>
  <si>
    <r>
      <rPr>
        <sz val="11"/>
        <color rgb="FFFFFFFF"/>
        <rFont val="Malgun Gothic"/>
        <family val="3"/>
        <charset val="129"/>
      </rPr>
      <t xml:space="preserve">구 </t>
    </r>
    <r>
      <rPr>
        <sz val="11"/>
        <color rgb="FFFFFFFF"/>
        <rFont val="맑은 고딕"/>
        <family val="3"/>
        <charset val="129"/>
      </rPr>
      <t xml:space="preserve">    </t>
    </r>
    <r>
      <rPr>
        <sz val="11"/>
        <color rgb="FFFFFFFF"/>
        <rFont val="맑은 고딕"/>
        <family val="3"/>
        <charset val="129"/>
      </rPr>
      <t>분</t>
    </r>
  </si>
  <si>
    <t>전용면적(㎡/평)</t>
  </si>
  <si>
    <t>공용면적(㎡/평)</t>
  </si>
  <si>
    <t>공급면적(㎡/평)</t>
  </si>
  <si>
    <t>기타공용면적(㎡/평)</t>
    <phoneticPr fontId="102" type="noConversion"/>
  </si>
  <si>
    <t>계약면적(㎡/평)</t>
  </si>
  <si>
    <t>비율</t>
  </si>
  <si>
    <t>합     계</t>
  </si>
  <si>
    <t xml:space="preserve">■ </t>
  </si>
  <si>
    <t>일반분양</t>
    <phoneticPr fontId="102" type="noConversion"/>
  </si>
  <si>
    <t>면적표</t>
  </si>
  <si>
    <t>평형</t>
  </si>
  <si>
    <t>세대수</t>
  </si>
  <si>
    <t>전용면적(m2/평)</t>
  </si>
  <si>
    <t>공용면적(m2/평)</t>
  </si>
  <si>
    <t>공급면적(m2/평)</t>
  </si>
  <si>
    <t>기타공용면적(m2/평)</t>
    <phoneticPr fontId="102" type="noConversion"/>
  </si>
  <si>
    <t>계약면적(m2/평)</t>
  </si>
  <si>
    <t>비고</t>
  </si>
  <si>
    <t>A</t>
  </si>
  <si>
    <t>B</t>
  </si>
  <si>
    <t>C</t>
  </si>
  <si>
    <t>D</t>
  </si>
  <si>
    <t>E</t>
    <phoneticPr fontId="102" type="noConversion"/>
  </si>
  <si>
    <t>F</t>
    <phoneticPr fontId="102" type="noConversion"/>
  </si>
  <si>
    <t>G</t>
    <phoneticPr fontId="102" type="noConversion"/>
  </si>
  <si>
    <t>H</t>
    <phoneticPr fontId="102" type="noConversion"/>
  </si>
  <si>
    <t>I</t>
    <phoneticPr fontId="102" type="noConversion"/>
  </si>
  <si>
    <t>J</t>
    <phoneticPr fontId="102" type="noConversion"/>
  </si>
  <si>
    <t>K</t>
    <phoneticPr fontId="102" type="noConversion"/>
  </si>
  <si>
    <t>L</t>
    <phoneticPr fontId="102" type="noConversion"/>
  </si>
  <si>
    <t>M</t>
    <phoneticPr fontId="102" type="noConversion"/>
  </si>
  <si>
    <t>N</t>
    <phoneticPr fontId="102" type="noConversion"/>
  </si>
  <si>
    <t>O</t>
    <phoneticPr fontId="102" type="noConversion"/>
  </si>
  <si>
    <t>합계</t>
  </si>
  <si>
    <t>조합분양</t>
    <phoneticPr fontId="102" type="noConversion"/>
  </si>
  <si>
    <t>공공임대</t>
    <phoneticPr fontId="102" type="noConversion"/>
  </si>
  <si>
    <t>A</t>
    <phoneticPr fontId="102" type="noConversion"/>
  </si>
  <si>
    <t>기본형건축비의 80% 가격에 공공기관에 판매 - '기본형건축비' 참고</t>
    <phoneticPr fontId="102" type="noConversion"/>
  </si>
  <si>
    <t>구    분</t>
  </si>
  <si>
    <t>층수</t>
  </si>
  <si>
    <t>1층</t>
  </si>
  <si>
    <t>지하1층</t>
  </si>
  <si>
    <t>지하1층</t>
    <phoneticPr fontId="102" type="noConversion"/>
  </si>
  <si>
    <t>지하2층</t>
  </si>
  <si>
    <t>지하3층</t>
    <phoneticPr fontId="102" type="noConversion"/>
  </si>
  <si>
    <t>※ 인허가 및 설계과정에서 변경될 수 있음</t>
  </si>
  <si>
    <t>사  업  명</t>
  </si>
  <si>
    <t>[ 참 고 용]</t>
  </si>
  <si>
    <t>위        치</t>
  </si>
  <si>
    <t>토지평단가</t>
  </si>
  <si>
    <t>용적률</t>
  </si>
  <si>
    <t>지하면/연면적</t>
  </si>
  <si>
    <t>구  분</t>
  </si>
  <si>
    <t>일반분양 분양률</t>
    <phoneticPr fontId="102" type="noConversion"/>
  </si>
  <si>
    <t>근생시설 분양률</t>
    <phoneticPr fontId="102" type="noConversion"/>
  </si>
  <si>
    <t>전체 금액</t>
  </si>
  <si>
    <t>용 도 지 역</t>
  </si>
  <si>
    <t>평균개별공시지가</t>
  </si>
  <si>
    <t>건폐율</t>
  </si>
  <si>
    <t>건축비/토지비</t>
  </si>
  <si>
    <t>착공</t>
  </si>
  <si>
    <t>아파트 계약금 중도금 잔금 비율: (10:60:30)</t>
    <phoneticPr fontId="102" type="noConversion"/>
  </si>
  <si>
    <t>토지
면적</t>
  </si>
  <si>
    <t>매입면적</t>
  </si>
  <si>
    <t>㎡</t>
  </si>
  <si>
    <t>자기자본</t>
  </si>
  <si>
    <t>건축규모</t>
  </si>
  <si>
    <t>상가비/전체비</t>
  </si>
  <si>
    <t>D+1</t>
  </si>
  <si>
    <t>근생시설 계약금 중도금 잔금 비율: (10:40:50)</t>
    <phoneticPr fontId="102" type="noConversion"/>
  </si>
  <si>
    <t>기부채납면적</t>
  </si>
  <si>
    <t>Bridge Loan</t>
  </si>
  <si>
    <t>세대/실</t>
  </si>
  <si>
    <t>실부지/전체비</t>
  </si>
  <si>
    <t>D+2</t>
  </si>
  <si>
    <t>아파트 중도금 1차~6차, 10%씩 들어옴</t>
    <phoneticPr fontId="102" type="noConversion"/>
  </si>
  <si>
    <r>
      <rPr>
        <b/>
        <sz val="14"/>
        <color theme="1"/>
        <rFont val="Malgun Gothic"/>
        <family val="3"/>
        <charset val="129"/>
      </rPr>
      <t>P</t>
    </r>
    <r>
      <rPr>
        <b/>
        <sz val="14"/>
        <color theme="1"/>
        <rFont val="맑은 고딕"/>
        <family val="3"/>
        <charset val="129"/>
      </rPr>
      <t>F Tr A</t>
    </r>
  </si>
  <si>
    <t>사업기간</t>
  </si>
  <si>
    <t>수익금/투자금</t>
  </si>
  <si>
    <t>D+3</t>
  </si>
  <si>
    <t>사업면적(대지면적)</t>
  </si>
  <si>
    <t>건축비</t>
  </si>
  <si>
    <t>D+4</t>
  </si>
  <si>
    <t>조합분양의 경우 (10:60:20), 10은 초기자본으로 사용</t>
    <phoneticPr fontId="102" type="noConversion"/>
  </si>
  <si>
    <t>연
면
적</t>
  </si>
  <si>
    <r>
      <rPr>
        <b/>
        <sz val="14"/>
        <color theme="1"/>
        <rFont val="Malgun Gothic"/>
        <family val="3"/>
        <charset val="129"/>
      </rPr>
      <t xml:space="preserve">총 </t>
    </r>
    <r>
      <rPr>
        <b/>
        <sz val="14"/>
        <color theme="1"/>
        <rFont val="맑은 고딕"/>
        <family val="3"/>
        <charset val="129"/>
      </rPr>
      <t>PF금액</t>
    </r>
  </si>
  <si>
    <t>공사비 지급율</t>
  </si>
  <si>
    <t>준공</t>
  </si>
  <si>
    <t>지상</t>
  </si>
  <si>
    <t>토지비 확보율</t>
  </si>
  <si>
    <t>공사기간</t>
  </si>
  <si>
    <t>지하</t>
  </si>
  <si>
    <t>PF 수수료</t>
  </si>
  <si>
    <r>
      <rPr>
        <b/>
        <sz val="14"/>
        <color theme="1"/>
        <rFont val="Malgun Gothic"/>
        <family val="3"/>
        <charset val="129"/>
      </rPr>
      <t>T</t>
    </r>
    <r>
      <rPr>
        <b/>
        <sz val="14"/>
        <color theme="1"/>
        <rFont val="맑은 고딕"/>
        <family val="3"/>
        <charset val="129"/>
      </rPr>
      <t>r A</t>
    </r>
    <r>
      <rPr>
        <b/>
        <sz val="14"/>
        <color theme="1"/>
        <rFont val="맑은 고딕"/>
        <family val="3"/>
        <charset val="129"/>
      </rPr>
      <t xml:space="preserve"> 이자율</t>
    </r>
  </si>
  <si>
    <t>중도금무이자율</t>
  </si>
  <si>
    <t xml:space="preserve"> </t>
  </si>
  <si>
    <t>중도금 간격</t>
  </si>
  <si>
    <t>부가세 비율</t>
  </si>
  <si>
    <t>일반분양 평균분양가</t>
    <phoneticPr fontId="102" type="noConversion"/>
  </si>
  <si>
    <t>중도금 입금월</t>
  </si>
  <si>
    <t>공정율</t>
  </si>
  <si>
    <t>누적공정율</t>
  </si>
  <si>
    <t>(단위 : 천원)</t>
  </si>
  <si>
    <t>년   도</t>
  </si>
  <si>
    <t>구             분</t>
  </si>
  <si>
    <t>내          역</t>
  </si>
  <si>
    <t>금     액</t>
  </si>
  <si>
    <t>검   산</t>
  </si>
  <si>
    <t>오차</t>
  </si>
  <si>
    <t>(%)</t>
  </si>
  <si>
    <t>계약</t>
  </si>
  <si>
    <t>PF</t>
  </si>
  <si>
    <t>허가</t>
  </si>
  <si>
    <t>d+1</t>
  </si>
  <si>
    <t>d+2</t>
  </si>
  <si>
    <t>d+3</t>
  </si>
  <si>
    <t>d+4</t>
    <phoneticPr fontId="102" type="noConversion"/>
  </si>
  <si>
    <t>중도금 1차</t>
  </si>
  <si>
    <t>중도금 2차</t>
  </si>
  <si>
    <t>중도금 3차</t>
  </si>
  <si>
    <t>중도금 4차</t>
  </si>
  <si>
    <t>중도금 5차</t>
  </si>
  <si>
    <t>중도금 6차</t>
  </si>
  <si>
    <t>입주</t>
    <phoneticPr fontId="102" type="noConversion"/>
  </si>
  <si>
    <t>정산</t>
    <phoneticPr fontId="102" type="noConversion"/>
  </si>
  <si>
    <t>매     출</t>
  </si>
  <si>
    <t>소      계</t>
  </si>
  <si>
    <t>부가세 별도</t>
  </si>
  <si>
    <t>부가세 포함</t>
  </si>
  <si>
    <t>평형</t>
    <phoneticPr fontId="102" type="noConversion"/>
  </si>
  <si>
    <t>= 세대당 가격</t>
  </si>
  <si>
    <t>시세가의 80% 가정</t>
    <phoneticPr fontId="102" type="noConversion"/>
  </si>
  <si>
    <t>B</t>
    <phoneticPr fontId="102" type="noConversion"/>
  </si>
  <si>
    <t>C</t>
    <phoneticPr fontId="102" type="noConversion"/>
  </si>
  <si>
    <t>D</t>
    <phoneticPr fontId="102" type="noConversion"/>
  </si>
  <si>
    <t>기본형건축비 입력(m2)</t>
    <phoneticPr fontId="102" type="noConversion"/>
  </si>
  <si>
    <t>평당 기본형건축비</t>
    <phoneticPr fontId="102" type="noConversion"/>
  </si>
  <si>
    <t>임대주택매각</t>
    <phoneticPr fontId="102" type="noConversion"/>
  </si>
  <si>
    <t>근생시설</t>
    <phoneticPr fontId="102" type="noConversion"/>
  </si>
  <si>
    <r>
      <rPr>
        <b/>
        <sz val="14"/>
        <color theme="1"/>
        <rFont val="Malgun Gothic"/>
        <family val="3"/>
        <charset val="129"/>
      </rPr>
      <t xml:space="preserve">총          </t>
    </r>
    <r>
      <rPr>
        <b/>
        <sz val="14"/>
        <color theme="1"/>
        <rFont val="맑은 고딕"/>
        <family val="3"/>
        <charset val="129"/>
      </rPr>
      <t xml:space="preserve">  계 (A)</t>
    </r>
  </si>
  <si>
    <t>평   X</t>
  </si>
  <si>
    <t>천원/평</t>
  </si>
  <si>
    <t>부 가 가 치 세 (B)</t>
  </si>
  <si>
    <t>주거</t>
  </si>
  <si>
    <t>＋</t>
  </si>
  <si>
    <t>비주거</t>
  </si>
  <si>
    <t>계 (A - B)</t>
  </si>
  <si>
    <t>기타수입 ( C )</t>
  </si>
  <si>
    <t>발코니확장비</t>
  </si>
  <si>
    <t>발코니확장</t>
  </si>
  <si>
    <t>세대   X</t>
  </si>
  <si>
    <t>천원/세대</t>
  </si>
  <si>
    <t>임대료</t>
  </si>
  <si>
    <t>Lease-back</t>
  </si>
  <si>
    <t>천원   X</t>
  </si>
  <si>
    <t>월</t>
  </si>
  <si>
    <t xml:space="preserve">   총    계 ( A - B + C )</t>
  </si>
  <si>
    <t>평</t>
  </si>
  <si>
    <t>지      출</t>
  </si>
  <si>
    <t>토    지    비</t>
  </si>
  <si>
    <t xml:space="preserve">  부지매입비</t>
  </si>
  <si>
    <t xml:space="preserve">  취득세 / 등록세</t>
    <phoneticPr fontId="102" type="noConversion"/>
  </si>
  <si>
    <t xml:space="preserve">     X</t>
  </si>
  <si>
    <t xml:space="preserve">  채 권 매 각 손</t>
  </si>
  <si>
    <t>X</t>
  </si>
  <si>
    <t xml:space="preserve">  법무사비용, 등기수수료 등</t>
  </si>
  <si>
    <t xml:space="preserve"> 법무사 수수료, 등기신청비용, 인지대 등</t>
  </si>
  <si>
    <t xml:space="preserve">      소       계</t>
  </si>
  <si>
    <t>공    사    비</t>
  </si>
  <si>
    <t xml:space="preserve">  건 축 공 사 비</t>
  </si>
  <si>
    <t xml:space="preserve">  기타공사비</t>
  </si>
  <si>
    <t xml:space="preserve">  인 입 분 담 금</t>
  </si>
  <si>
    <t>``</t>
  </si>
  <si>
    <t xml:space="preserve">  기반시설공사비</t>
  </si>
  <si>
    <t xml:space="preserve">  미술장식품설치비</t>
  </si>
  <si>
    <t>㎡   X</t>
  </si>
  <si>
    <t>천원/㎡</t>
  </si>
  <si>
    <t xml:space="preserve">  철거/부지조성공사비</t>
  </si>
  <si>
    <t>용    역    비</t>
  </si>
  <si>
    <t xml:space="preserve">  건축설계비</t>
    <phoneticPr fontId="102" type="noConversion"/>
  </si>
  <si>
    <t xml:space="preserve">  기타 설계비(현상 설계비 포함)</t>
  </si>
  <si>
    <t xml:space="preserve">  기타 용역비</t>
    <phoneticPr fontId="102" type="noConversion"/>
  </si>
  <si>
    <t xml:space="preserve">  환경영향평가</t>
  </si>
  <si>
    <t xml:space="preserve">  건 축 감 리 비</t>
  </si>
  <si>
    <t>CM</t>
  </si>
  <si>
    <t>건축공사비 X</t>
    <phoneticPr fontId="102" type="noConversion"/>
  </si>
  <si>
    <t>감리비요율 (1%)</t>
    <phoneticPr fontId="102" type="noConversion"/>
  </si>
  <si>
    <r>
      <rPr>
        <b/>
        <sz val="14"/>
        <color theme="1"/>
        <rFont val="Malgun Gothic"/>
        <family val="3"/>
        <charset val="129"/>
      </rPr>
      <t xml:space="preserve"> </t>
    </r>
    <r>
      <rPr>
        <b/>
        <sz val="14"/>
        <color theme="1"/>
        <rFont val="맑은 고딕"/>
        <family val="3"/>
        <charset val="129"/>
      </rPr>
      <t xml:space="preserve"> </t>
    </r>
    <r>
      <rPr>
        <b/>
        <sz val="14"/>
        <color theme="1"/>
        <rFont val="맑은 고딕"/>
        <family val="3"/>
        <charset val="129"/>
      </rPr>
      <t>PM용역비</t>
    </r>
  </si>
  <si>
    <t>Development Fee</t>
  </si>
  <si>
    <t>기타 용역비</t>
  </si>
  <si>
    <t>개월 X</t>
  </si>
  <si>
    <t>별도 용역비</t>
  </si>
  <si>
    <t>판 매 비</t>
  </si>
  <si>
    <t>M  /  H
홍 보 관</t>
  </si>
  <si>
    <t xml:space="preserve">  부 지 임 차 료</t>
  </si>
  <si>
    <t xml:space="preserve">  중개수수료 등 제비용</t>
  </si>
  <si>
    <t xml:space="preserve">  공    사    비</t>
  </si>
  <si>
    <t xml:space="preserve">  기          타</t>
  </si>
  <si>
    <t>광고홍보비</t>
  </si>
  <si>
    <t xml:space="preserve">  광    고    비</t>
  </si>
  <si>
    <t xml:space="preserve"> 신문, 잡지, 전단 등 매체광고</t>
  </si>
  <si>
    <t xml:space="preserve">  제    작    비</t>
  </si>
  <si>
    <t xml:space="preserve"> 광고/인쇄물, 조형물, 판촉물 등</t>
  </si>
  <si>
    <t xml:space="preserve">  기           타</t>
  </si>
  <si>
    <t xml:space="preserve"> 전시 모형 등</t>
  </si>
  <si>
    <t>영업비</t>
  </si>
  <si>
    <t xml:space="preserve">  M/H 오픈비용</t>
  </si>
  <si>
    <t xml:space="preserve">  M/H 운영비용</t>
  </si>
  <si>
    <t>개월   X</t>
  </si>
  <si>
    <t>천원/월</t>
  </si>
  <si>
    <t>분양대행수수료</t>
  </si>
  <si>
    <t>소   계</t>
  </si>
  <si>
    <t>간  접  경  비</t>
  </si>
  <si>
    <t xml:space="preserve">  건물 취득제세(취득세)</t>
  </si>
  <si>
    <t>총 공사비 X</t>
    <phoneticPr fontId="102" type="noConversion"/>
  </si>
  <si>
    <t>50% 감면</t>
    <phoneticPr fontId="102" type="noConversion"/>
  </si>
  <si>
    <t xml:space="preserve">  보존등기 제수수료</t>
  </si>
  <si>
    <t>토지조서 건물수수료</t>
    <phoneticPr fontId="102" type="noConversion"/>
  </si>
  <si>
    <t>X</t>
    <phoneticPr fontId="102" type="noConversion"/>
  </si>
  <si>
    <t>세대</t>
    <phoneticPr fontId="102" type="noConversion"/>
  </si>
  <si>
    <t xml:space="preserve">  입주관리비</t>
  </si>
  <si>
    <t>천원</t>
  </si>
  <si>
    <t xml:space="preserve">  민 원 보 상 비</t>
  </si>
  <si>
    <r>
      <rPr>
        <b/>
        <sz val="14"/>
        <color theme="1"/>
        <rFont val="Malgun Gothic"/>
        <family val="3"/>
        <charset val="129"/>
      </rPr>
      <t xml:space="preserve"> </t>
    </r>
    <r>
      <rPr>
        <b/>
        <sz val="14"/>
        <color theme="1"/>
        <rFont val="맑은 고딕"/>
        <family val="3"/>
        <charset val="129"/>
      </rPr>
      <t xml:space="preserve"> 보유세</t>
    </r>
  </si>
  <si>
    <t>재산세</t>
  </si>
  <si>
    <t>세금 페이지 참고</t>
    <phoneticPr fontId="102" type="noConversion"/>
  </si>
  <si>
    <t>도시계획세</t>
  </si>
  <si>
    <t xml:space="preserve">     X          70%</t>
    <phoneticPr fontId="102" type="noConversion"/>
  </si>
  <si>
    <t>지방교육세</t>
  </si>
  <si>
    <t>재산세의</t>
  </si>
  <si>
    <t>종합부동산세</t>
  </si>
  <si>
    <t>농어촌특별세</t>
  </si>
  <si>
    <t>종부세의</t>
  </si>
  <si>
    <t xml:space="preserve">  개 발 부 담 금</t>
  </si>
  <si>
    <t>재정비촉진지구 선정으로 인한 면제</t>
  </si>
  <si>
    <t xml:space="preserve">  과 밀 부 담 금</t>
  </si>
  <si>
    <t xml:space="preserve">  광역교통시설부담금</t>
  </si>
  <si>
    <t xml:space="preserve">  학교용지부담금</t>
  </si>
  <si>
    <t>세대별 공동주택의 공급금액 * 1,000분의 8</t>
  </si>
  <si>
    <t>*100세대이하 면제</t>
  </si>
  <si>
    <t xml:space="preserve">  신용평가 수수료</t>
  </si>
  <si>
    <t>감정평가비</t>
  </si>
  <si>
    <t>종전자산금액을 기준으로 산정</t>
    <phoneticPr fontId="102" type="noConversion"/>
  </si>
  <si>
    <t xml:space="preserve">  주택분양보증수수료</t>
  </si>
  <si>
    <t xml:space="preserve">    X</t>
  </si>
  <si>
    <t xml:space="preserve">  신탁수수료</t>
  </si>
  <si>
    <t>매출액 대비</t>
  </si>
  <si>
    <t xml:space="preserve">            예    비    비</t>
  </si>
  <si>
    <t>총 지출의 1% 정도로 산정하기</t>
    <phoneticPr fontId="102" type="noConversion"/>
  </si>
  <si>
    <t>금융부대비용</t>
  </si>
  <si>
    <t xml:space="preserve">  미분양담보대출확약 수수료</t>
  </si>
  <si>
    <t xml:space="preserve">  중도금 무이자 / 이자후불제</t>
  </si>
  <si>
    <t>중도금이자후불제</t>
  </si>
  <si>
    <t>금융비용</t>
  </si>
  <si>
    <t>수수료율</t>
  </si>
  <si>
    <t>대출금리</t>
  </si>
  <si>
    <t xml:space="preserve">      </t>
  </si>
  <si>
    <t>Tr.A</t>
  </si>
  <si>
    <t>기타수수료</t>
  </si>
  <si>
    <t>소계</t>
  </si>
  <si>
    <t>당월</t>
  </si>
  <si>
    <t>누적</t>
  </si>
  <si>
    <t>지    출    계</t>
  </si>
  <si>
    <t>경     상     이     익</t>
  </si>
  <si>
    <t>&lt;Cash Flow&gt;</t>
  </si>
  <si>
    <t>금융비용 계산</t>
  </si>
  <si>
    <t xml:space="preserve"> </t>
    <phoneticPr fontId="102" type="noConversion"/>
  </si>
  <si>
    <t>총           계</t>
  </si>
  <si>
    <t>PF 금융비용을 제외한 지출 총액</t>
  </si>
  <si>
    <t>(안전자금 =</t>
  </si>
  <si>
    <t>)</t>
  </si>
  <si>
    <t>순현금흐름</t>
  </si>
  <si>
    <t>월별 순현금흐름</t>
  </si>
  <si>
    <t>PF 금융비용을 제외한 수입-지출</t>
  </si>
  <si>
    <t>순현금흐름 누계</t>
  </si>
  <si>
    <t>자기자본 투자</t>
  </si>
  <si>
    <t>사업초기 진행비용</t>
  </si>
  <si>
    <t>수익배당</t>
  </si>
  <si>
    <t>자기자본 회수</t>
  </si>
  <si>
    <t>사업종료 시 회수</t>
  </si>
  <si>
    <t>순현금 흐름 + 자기자본</t>
  </si>
  <si>
    <t>Bridge</t>
  </si>
  <si>
    <t>계약금 대출</t>
  </si>
  <si>
    <t>부담금리 :</t>
  </si>
  <si>
    <t>계약금 대출 상환</t>
  </si>
  <si>
    <t>대출 잔액</t>
  </si>
  <si>
    <t>대출수수료</t>
  </si>
  <si>
    <t>대출금액의</t>
  </si>
  <si>
    <t>기준</t>
  </si>
  <si>
    <t>대출이자</t>
  </si>
  <si>
    <t>순현금흐름 + 자기자본 + Bridge</t>
  </si>
  <si>
    <t>Check :</t>
  </si>
  <si>
    <t>선순위</t>
  </si>
  <si>
    <t>PF Tr A</t>
  </si>
  <si>
    <t>대출</t>
  </si>
  <si>
    <t>LTV</t>
  </si>
  <si>
    <t>상환</t>
  </si>
  <si>
    <t>준공전)</t>
  </si>
  <si>
    <t>분양수입의</t>
  </si>
  <si>
    <t>잔액</t>
  </si>
  <si>
    <t>이자</t>
  </si>
  <si>
    <t>수수료</t>
  </si>
  <si>
    <t>PF금액 :</t>
    <phoneticPr fontId="102" type="noConversion"/>
  </si>
  <si>
    <t>수수료율 :</t>
  </si>
  <si>
    <t>순현금흐름 누계 + 자기자본 + Bridge + 토지비</t>
  </si>
  <si>
    <t>최종 현금흐름 누계</t>
  </si>
  <si>
    <t>Y+0</t>
  </si>
  <si>
    <t>Y+1</t>
  </si>
  <si>
    <t>Y+2</t>
  </si>
  <si>
    <t>Y+3</t>
  </si>
  <si>
    <t>Y+4</t>
  </si>
  <si>
    <t>Y+5</t>
  </si>
  <si>
    <t>IRR</t>
  </si>
  <si>
    <t xml:space="preserve">Cap rate : </t>
  </si>
  <si>
    <t xml:space="preserve">매각시 NOI : </t>
  </si>
  <si>
    <t xml:space="preserve">NPV : </t>
  </si>
  <si>
    <t>작성일자 :</t>
  </si>
  <si>
    <t>출력일자 :</t>
  </si>
  <si>
    <t>■ CASH-FLOW</t>
  </si>
  <si>
    <t>(단위 : 평, 천원)</t>
  </si>
  <si>
    <t>구   분</t>
  </si>
  <si>
    <t xml:space="preserve"> Y+0</t>
  </si>
  <si>
    <t>개       발</t>
  </si>
  <si>
    <t>매출 (A)</t>
  </si>
  <si>
    <t>소     계</t>
  </si>
  <si>
    <t>부가가치세 (B)</t>
  </si>
  <si>
    <t>기타 수입 (C)</t>
  </si>
  <si>
    <t>총    계 (A-B+C)</t>
  </si>
  <si>
    <t>개발
원가</t>
  </si>
  <si>
    <t>토지비</t>
  </si>
  <si>
    <t>취등록세, 등기수수료 등 포함</t>
  </si>
  <si>
    <t>공사비</t>
  </si>
  <si>
    <t>용역비</t>
  </si>
  <si>
    <t>판매비</t>
  </si>
  <si>
    <t>간접경비 및 이자</t>
  </si>
  <si>
    <t>예비비</t>
  </si>
  <si>
    <t>일반관리비</t>
  </si>
  <si>
    <t>총    계</t>
  </si>
  <si>
    <t>Loan</t>
  </si>
  <si>
    <t>토지비 대출</t>
  </si>
  <si>
    <t>사업비</t>
  </si>
  <si>
    <t>공사비 및 기타 사업비 대출</t>
  </si>
  <si>
    <t>이자 대출</t>
  </si>
  <si>
    <t>토지비 이자</t>
  </si>
  <si>
    <t>사업비 이자</t>
  </si>
  <si>
    <t>자기자본 조달</t>
  </si>
  <si>
    <t>CASH FLOW</t>
  </si>
  <si>
    <t>■ 민감도 분석</t>
  </si>
  <si>
    <t>1) 매각가</t>
  </si>
  <si>
    <t>2) 공사비</t>
  </si>
  <si>
    <t>매입가격(천원)</t>
  </si>
  <si>
    <t>매각가</t>
  </si>
  <si>
    <t>■ 운영 CASH-FLOW</t>
  </si>
  <si>
    <t>1) 분석의 전제</t>
  </si>
  <si>
    <t>총면적</t>
  </si>
  <si>
    <t>임료인상율</t>
  </si>
  <si>
    <t>공실율</t>
  </si>
  <si>
    <t>관리비용</t>
  </si>
  <si>
    <t>기타수입(월)</t>
  </si>
  <si>
    <t>기타비용</t>
  </si>
  <si>
    <t>Cap rate</t>
  </si>
  <si>
    <t>전환율</t>
  </si>
  <si>
    <t>보증금이자</t>
  </si>
  <si>
    <t>(단위 : 부가세별도, 평, 천원)</t>
  </si>
  <si>
    <t>구                분</t>
  </si>
  <si>
    <t>운            영</t>
  </si>
  <si>
    <t>보증금</t>
  </si>
  <si>
    <t>업무시설</t>
  </si>
  <si>
    <t>상    가</t>
  </si>
  <si>
    <t>임대료(월)</t>
  </si>
  <si>
    <t>관리비(월)</t>
  </si>
  <si>
    <t>전세
환산가</t>
  </si>
  <si>
    <t>운용 기간 (월수)</t>
  </si>
  <si>
    <t>임대 수익(년)</t>
  </si>
  <si>
    <t>상가</t>
  </si>
  <si>
    <t>임대료 총액(년)</t>
  </si>
  <si>
    <t>2) CASH FLOW</t>
  </si>
  <si>
    <t>원   가</t>
  </si>
  <si>
    <t>매매 평단가</t>
  </si>
  <si>
    <t>투자
비용</t>
  </si>
  <si>
    <t>금융조달</t>
  </si>
  <si>
    <t>개발금융</t>
  </si>
  <si>
    <t>담보대출</t>
  </si>
  <si>
    <t>자기자본조달</t>
  </si>
  <si>
    <t xml:space="preserve">보증금 </t>
  </si>
  <si>
    <t>운용</t>
  </si>
  <si>
    <t>관리비</t>
  </si>
  <si>
    <t>수입</t>
  </si>
  <si>
    <t>기타수입</t>
  </si>
  <si>
    <t>잠재조소득(PGI)</t>
  </si>
  <si>
    <t>유효조소득(EGI)</t>
  </si>
  <si>
    <t>세  금</t>
  </si>
  <si>
    <t>보험료</t>
  </si>
  <si>
    <t>비용</t>
  </si>
  <si>
    <t>운용비용</t>
  </si>
  <si>
    <t>순영업이익 (NOI)</t>
  </si>
  <si>
    <t>자본적 지출(Cap.Exp.)</t>
  </si>
  <si>
    <t>금융</t>
  </si>
  <si>
    <t>이자비용</t>
  </si>
  <si>
    <t>원금상환</t>
  </si>
  <si>
    <t>처분</t>
  </si>
  <si>
    <t>보증금 상환</t>
  </si>
  <si>
    <t>매각비용</t>
  </si>
  <si>
    <t>매각시 평단가</t>
  </si>
  <si>
    <t>처분가치</t>
  </si>
  <si>
    <t xml:space="preserve">Before Tax Cash Flow </t>
  </si>
  <si>
    <t>NOI yield</t>
  </si>
  <si>
    <t>Cash-on-cash yield</t>
  </si>
  <si>
    <t>Cash Multiplier</t>
  </si>
  <si>
    <t>운영1년차 매입가치 :</t>
  </si>
  <si>
    <t>매매가/전세환산가</t>
  </si>
  <si>
    <t>처분가치/매입가</t>
  </si>
  <si>
    <r>
      <rPr>
        <b/>
        <sz val="11"/>
        <color theme="1"/>
        <rFont val="맑은 고딕"/>
        <family val="3"/>
        <charset val="129"/>
      </rPr>
      <t xml:space="preserve">■ </t>
    </r>
    <r>
      <rPr>
        <b/>
        <sz val="11"/>
        <color theme="1"/>
        <rFont val="맑은 고딕"/>
        <family val="3"/>
        <charset val="129"/>
      </rPr>
      <t>So</t>
    </r>
    <r>
      <rPr>
        <b/>
        <sz val="11"/>
        <color theme="1"/>
        <rFont val="맑은 고딕"/>
        <family val="3"/>
        <charset val="129"/>
      </rPr>
      <t>u</t>
    </r>
    <r>
      <rPr>
        <b/>
        <sz val="11"/>
        <color theme="1"/>
        <rFont val="맑은 고딕"/>
        <family val="3"/>
        <charset val="129"/>
      </rPr>
      <t>rces and Uses</t>
    </r>
  </si>
  <si>
    <t>1) Sources</t>
  </si>
  <si>
    <t>Loan on Land</t>
  </si>
  <si>
    <t>Costruction Loan</t>
  </si>
  <si>
    <t>Sub Total</t>
  </si>
  <si>
    <t>Equity</t>
  </si>
  <si>
    <t>Revenue</t>
  </si>
  <si>
    <t>오피스텔</t>
  </si>
  <si>
    <t>Office</t>
  </si>
  <si>
    <t>Retail</t>
  </si>
  <si>
    <t>문화및집회시설</t>
  </si>
  <si>
    <t>운동시설</t>
  </si>
  <si>
    <t>Total</t>
  </si>
  <si>
    <t>2) Uses</t>
  </si>
  <si>
    <t>Cost</t>
  </si>
  <si>
    <t>Land</t>
  </si>
  <si>
    <t>Construction Hard Cost</t>
  </si>
  <si>
    <t>Construction Soft Cost</t>
  </si>
  <si>
    <t>Selling Expense</t>
  </si>
  <si>
    <t>Others &amp; Interest on Loan</t>
  </si>
  <si>
    <t>Contingency</t>
  </si>
  <si>
    <t>Gap Financing</t>
  </si>
  <si>
    <t>Operating Expense</t>
  </si>
  <si>
    <t>Loan Repayment</t>
  </si>
  <si>
    <t>Construction</t>
  </si>
  <si>
    <t>Expenditure</t>
  </si>
  <si>
    <t>3) Earnings</t>
  </si>
  <si>
    <t>Earnings</t>
  </si>
  <si>
    <t>Cash</t>
  </si>
  <si>
    <t>(㎡, KRW1,000)</t>
  </si>
  <si>
    <t>Remark</t>
  </si>
  <si>
    <t>Development</t>
  </si>
  <si>
    <t>Operation</t>
  </si>
  <si>
    <t>Revenue (A)</t>
  </si>
  <si>
    <t>VAT (B)</t>
  </si>
  <si>
    <t>Other Revenue (C)</t>
  </si>
  <si>
    <t>Total (A-B+C)</t>
  </si>
  <si>
    <t>Acquisition Cost, Appraisal, Broker Fee</t>
  </si>
  <si>
    <t>Demolition</t>
  </si>
  <si>
    <t>A&amp;E</t>
  </si>
  <si>
    <t>Interest, Tax. Others</t>
  </si>
  <si>
    <t>Financing</t>
  </si>
  <si>
    <t>Interest Payment</t>
  </si>
  <si>
    <t>Repayment</t>
  </si>
  <si>
    <t>1) Assumptions</t>
  </si>
  <si>
    <t>GFA</t>
  </si>
  <si>
    <t>Structure</t>
  </si>
  <si>
    <t>Escalation</t>
  </si>
  <si>
    <t>Vacancy</t>
  </si>
  <si>
    <t>B7, 20F</t>
  </si>
  <si>
    <r>
      <rPr>
        <sz val="9"/>
        <color theme="1"/>
        <rFont val="Malgun Gothic"/>
        <family val="3"/>
        <charset val="129"/>
      </rPr>
      <t>Office
Monthly
Rent (</t>
    </r>
    <r>
      <rPr>
        <sz val="9"/>
        <color theme="1"/>
        <rFont val="맑은 고딕"/>
        <family val="3"/>
        <charset val="129"/>
      </rPr>
      <t>㎡</t>
    </r>
    <r>
      <rPr>
        <sz val="7"/>
        <color theme="1"/>
        <rFont val="맑은 고딕"/>
        <family val="3"/>
        <charset val="129"/>
      </rPr>
      <t>)</t>
    </r>
  </si>
  <si>
    <t>NOI 
(Expected)</t>
  </si>
  <si>
    <t>Asset Price
(Expected)</t>
  </si>
  <si>
    <t>Loan (Development)</t>
  </si>
  <si>
    <t>Key Deposit</t>
  </si>
  <si>
    <t>Interest on Deposit</t>
  </si>
  <si>
    <t>Rent</t>
  </si>
  <si>
    <t>Maintenance Fee</t>
  </si>
  <si>
    <t>Other Income</t>
  </si>
  <si>
    <t>PGI</t>
  </si>
  <si>
    <t>EGI</t>
  </si>
  <si>
    <t>Tax</t>
  </si>
  <si>
    <t>Insurance</t>
  </si>
  <si>
    <t>Maintenance Cost</t>
  </si>
  <si>
    <t>Other Cost</t>
  </si>
  <si>
    <t>NOI</t>
  </si>
  <si>
    <t>Cap. Exp.</t>
  </si>
  <si>
    <t>Interest on Loan</t>
  </si>
  <si>
    <t>Disposal</t>
  </si>
  <si>
    <t>Deposit Refund</t>
  </si>
  <si>
    <t>Gross Disposition Proceeds</t>
  </si>
  <si>
    <t>■ 개발부담금</t>
  </si>
  <si>
    <t>- 토지로부터 발생되는 개발이익을 환수하여 이를 적정하게 배분함으로써 토지에 대한 투기 방지</t>
  </si>
  <si>
    <t>- 택지개발사업, 공업단지조성사업, 관광단지조성사업, 유통단지조성사업, 온천개발사업 화룸터미널개발사업 골프장개발사업 등 30개 사업</t>
  </si>
  <si>
    <t>- 주택사업, 도시환경정비사업</t>
  </si>
  <si>
    <t>- 사업승인시부터 부고대상임을 고지, 준공후 3개월내 부과, 부과후 6개월내 납부</t>
  </si>
  <si>
    <t>개발부담금 = 토지개발이익(사업종료시점지가 - 사업개시시점 지가 - 개발비용 - 정상 지가 상승분) × 부과율 25%</t>
  </si>
  <si>
    <t>결정금액</t>
  </si>
  <si>
    <r>
      <rPr>
        <b/>
        <sz val="11"/>
        <color theme="1"/>
        <rFont val="맑은 고딕"/>
        <family val="3"/>
        <charset val="129"/>
      </rPr>
      <t>□</t>
    </r>
    <r>
      <rPr>
        <b/>
        <sz val="11"/>
        <color theme="1"/>
        <rFont val="나눔고딕"/>
        <family val="3"/>
        <charset val="129"/>
      </rPr>
      <t xml:space="preserve"> 면적</t>
    </r>
  </si>
  <si>
    <t>구 분</t>
  </si>
  <si>
    <t>면  적</t>
  </si>
  <si>
    <t>시행면적</t>
  </si>
  <si>
    <t>기부채납
 (기존공공용지 및 공원부지)</t>
  </si>
  <si>
    <t>제척면적(기부채납에 포함)</t>
  </si>
  <si>
    <t>□ 사업종료시점 지가 = 현재지가 + 개발후 지가상승분</t>
  </si>
  <si>
    <t>금  액</t>
  </si>
  <si>
    <t>사업개시시점 지가</t>
  </si>
  <si>
    <t>현재 지가</t>
  </si>
  <si>
    <t>인근지역 공시지가</t>
  </si>
  <si>
    <t>개발후 지가 상승분</t>
  </si>
  <si>
    <t>현재지가  X  지가  평균 상승률 X 기간(년)</t>
  </si>
  <si>
    <t>사업종료시점 지가</t>
  </si>
  <si>
    <t xml:space="preserve"> 개발비용
  (철거비, 토지조성비 등)</t>
  </si>
  <si>
    <t xml:space="preserve"> 기부채납
  (공원 및 공공용지 등)</t>
  </si>
  <si>
    <t>정상 지가 상승분</t>
  </si>
  <si>
    <t>현재지가  X  인근지역 평균 상승률 X 기간(년)</t>
  </si>
  <si>
    <t>대상지 평균 상승률</t>
  </si>
  <si>
    <t>인근지역 공시지가 변동율</t>
  </si>
  <si>
    <t>□ 지구내 공시지가</t>
  </si>
  <si>
    <t>년도</t>
  </si>
  <si>
    <t>공시지가(원/㎡)</t>
  </si>
  <si>
    <t>증감(원)</t>
  </si>
  <si>
    <t>변동율</t>
  </si>
  <si>
    <t>평균변동율</t>
  </si>
  <si>
    <r>
      <rPr>
        <sz val="11"/>
        <color rgb="FF000000"/>
        <rFont val="나눔고딕"/>
        <family val="3"/>
        <charset val="129"/>
      </rPr>
      <t xml:space="preserve">□ </t>
    </r>
    <r>
      <rPr>
        <b/>
        <sz val="11"/>
        <color rgb="FF000000"/>
        <rFont val="나눔고딕"/>
        <family val="3"/>
        <charset val="129"/>
      </rPr>
      <t>인근지역 공시지가</t>
    </r>
  </si>
  <si>
    <t>■ 기반시설부담금</t>
  </si>
  <si>
    <t>기반시설부담금 = [기반시설표준시설비용 + 지역별용지환산계수 X 건축물별 기반시설유발계수 X 개별공시지가 시, 군, 구 평균/㎡]
 X [건축허가면적 - 부속용도면적 - 기초공제면적(200㎡)] X 부담율 - 공제액</t>
  </si>
  <si>
    <t>비      고</t>
  </si>
  <si>
    <r>
      <rPr>
        <b/>
        <sz val="10"/>
        <color rgb="FF666666"/>
        <rFont val="휴먼명조"/>
        <family val="3"/>
        <charset val="129"/>
      </rPr>
      <t>국토교통부 고시 제</t>
    </r>
    <r>
      <rPr>
        <b/>
        <sz val="10"/>
        <color rgb="FF666666"/>
        <rFont val="HCI Poppy"/>
      </rPr>
      <t>2025 - 398</t>
    </r>
    <r>
      <rPr>
        <b/>
        <sz val="10"/>
        <color rgb="FF666666"/>
        <rFont val="휴먼명조"/>
        <family val="3"/>
        <charset val="129"/>
      </rPr>
      <t>호</t>
    </r>
  </si>
  <si>
    <t>1. 기반시설표준시설비용</t>
  </si>
  <si>
    <t>2. 기반시설에 대한 용지비용</t>
  </si>
  <si>
    <t>개별공시지가</t>
  </si>
  <si>
    <t>지역별 용지환산계수</t>
  </si>
  <si>
    <t>주거지역 : 0.3
상업지역 : 0.1
공업지역 : 0.2
녹지 및 비도시지역 : 0.4</t>
  </si>
  <si>
    <t>*국계법 68조, 서울특별시 도시계획 조례</t>
  </si>
  <si>
    <t>건축물별 기반시설유발계수</t>
  </si>
  <si>
    <t>별표 참조</t>
  </si>
  <si>
    <t>3. 산정연면적</t>
  </si>
  <si>
    <t>기존건축물 연면적</t>
  </si>
  <si>
    <t>기존건축물을 철거하고 
동일용도의 건축물을 
신축하는 경우에 증가된 
연면적에 대하여 부과</t>
  </si>
  <si>
    <t>부속용도면적</t>
  </si>
  <si>
    <t>주차장, 기계/전기실 등</t>
  </si>
  <si>
    <t>기초공제면적</t>
  </si>
  <si>
    <t>산정연면적</t>
  </si>
  <si>
    <t>4. 부담율</t>
  </si>
  <si>
    <t>20% ~ 25% 이내 조례에서 결정</t>
  </si>
  <si>
    <t>국계법 제68조</t>
  </si>
  <si>
    <t>공제전 기반시설부담금</t>
  </si>
  <si>
    <t>5. 공제액</t>
  </si>
  <si>
    <t>공공시설 부담금</t>
  </si>
  <si>
    <t>인입분담금 예상금액</t>
  </si>
  <si>
    <t>자체기반시설 토지비
(기부체납용지비용)</t>
  </si>
  <si>
    <t>자체기반시설설치비용
(기부체납용지 조성비)</t>
  </si>
  <si>
    <t>과밀부담금의 10%</t>
  </si>
  <si>
    <t>광역교통시설부담금의 10%</t>
  </si>
  <si>
    <t>학교용지부담금</t>
  </si>
  <si>
    <t>대지면적당</t>
  </si>
  <si>
    <t>기반시설부담금</t>
  </si>
  <si>
    <t>▣ 별표3. 건축물별 기반시설유발계수</t>
  </si>
  <si>
    <t>용도별</t>
  </si>
  <si>
    <t>기반시설유발계수</t>
  </si>
  <si>
    <t>단독주택</t>
  </si>
  <si>
    <t>공동주택</t>
  </si>
  <si>
    <t>상업/업무</t>
  </si>
  <si>
    <t>제1종 근린생활시설</t>
  </si>
  <si>
    <t>제2종 근린생활시설</t>
  </si>
  <si>
    <t>판매시설</t>
  </si>
  <si>
    <t>숙박시설</t>
  </si>
  <si>
    <t>기타</t>
  </si>
  <si>
    <t>문화 및 집회시설</t>
  </si>
  <si>
    <t>종교시설</t>
  </si>
  <si>
    <t>운수시설</t>
  </si>
  <si>
    <t>의료시설</t>
  </si>
  <si>
    <t>교육연구시설</t>
  </si>
  <si>
    <t>노유자시설</t>
  </si>
  <si>
    <t>수련시설</t>
  </si>
  <si>
    <t>위락시설</t>
  </si>
  <si>
    <t>창고시설</t>
  </si>
  <si>
    <t>위험물저장 및 처리시설</t>
  </si>
  <si>
    <t>자동차관련시설</t>
  </si>
  <si>
    <t>동물 및 식물관련시설</t>
  </si>
  <si>
    <t>분뇨 및 쓰레기처리시설</t>
  </si>
  <si>
    <t>교정 및 군사시설</t>
  </si>
  <si>
    <t>방송통신시설</t>
  </si>
  <si>
    <t>발전시설</t>
  </si>
  <si>
    <t>묘지관련시설</t>
  </si>
  <si>
    <t>관광휴게시설</t>
  </si>
  <si>
    <t>공업</t>
  </si>
  <si>
    <t>목재 및 나무제품 제조업(가구제외)</t>
  </si>
  <si>
    <t>펄프, 종이 및 종이제품 제조업</t>
  </si>
  <si>
    <t>비금속 광물제품 제조업</t>
  </si>
  <si>
    <t>코크스, 석유정제품 및 핵연료 제조업</t>
  </si>
  <si>
    <t>가죽, 가방 및 신발제조업</t>
  </si>
  <si>
    <t>전자부품, 영상, 음향 및 통신장비 제조업</t>
  </si>
  <si>
    <t>음․식료품 제조업</t>
  </si>
  <si>
    <t>화합물 및 화학제품 제조업</t>
  </si>
  <si>
    <t>섬유제품 제조업(봉제의복제외)</t>
  </si>
  <si>
    <t>봉제의복 및 모피제품 제조업</t>
  </si>
  <si>
    <t>가구 및 기타제품 제조업</t>
  </si>
  <si>
    <t>기타 전기기계 및 전기 변환장치 제조업</t>
  </si>
  <si>
    <t>조립금속제품 제조업(기계 및 가구제외)</t>
  </si>
  <si>
    <t>출판, 인쇄 및 기록매체 복제업</t>
  </si>
  <si>
    <t>의료, 정밀, 광학기기 및 시계 제조업</t>
  </si>
  <si>
    <t>제1차 금속산업</t>
  </si>
  <si>
    <t>컴퓨터 및 사무용기기 제조업</t>
  </si>
  <si>
    <t>재생용 가공원료 생산업</t>
  </si>
  <si>
    <t>고무 및 플라스틱제품 제조업</t>
  </si>
  <si>
    <t>기타 운송장비 제조업</t>
  </si>
  <si>
    <t>기타기계 및 장비 제조업</t>
  </si>
  <si>
    <t>자동차 및 트레일러 제조업</t>
  </si>
  <si>
    <t>담배제조업</t>
  </si>
  <si>
    <t>토지조서</t>
  </si>
  <si>
    <t>(천원)</t>
  </si>
  <si>
    <t xml:space="preserve">연번 </t>
  </si>
  <si>
    <t>지번</t>
  </si>
  <si>
    <t>면적</t>
  </si>
  <si>
    <t>공시지가</t>
  </si>
  <si>
    <t>시가표준</t>
  </si>
  <si>
    <t>작성 예시</t>
    <phoneticPr fontId="102" type="noConversion"/>
  </si>
  <si>
    <t>㎡당</t>
  </si>
  <si>
    <t>평당가</t>
  </si>
  <si>
    <t xml:space="preserve">연번 </t>
    <phoneticPr fontId="102" type="noConversion"/>
  </si>
  <si>
    <t>1189-1</t>
    <phoneticPr fontId="102" type="noConversion"/>
  </si>
  <si>
    <t>1189-2</t>
    <phoneticPr fontId="102" type="noConversion"/>
  </si>
  <si>
    <t>680-24</t>
  </si>
  <si>
    <t>1489.5㎡</t>
  </si>
  <si>
    <t>1189-3</t>
    <phoneticPr fontId="102" type="noConversion"/>
  </si>
  <si>
    <t>1189-4</t>
  </si>
  <si>
    <t>1189-5</t>
  </si>
  <si>
    <t>1189-6</t>
  </si>
  <si>
    <t>1189-7</t>
  </si>
  <si>
    <t>1189-8</t>
  </si>
  <si>
    <t>1189-9</t>
  </si>
  <si>
    <t>1189-10</t>
  </si>
  <si>
    <t>1189-11</t>
  </si>
  <si>
    <t>1189-12</t>
  </si>
  <si>
    <t>1189-13</t>
  </si>
  <si>
    <t>1189-14</t>
  </si>
  <si>
    <t>1189-15</t>
  </si>
  <si>
    <t>1189-16</t>
  </si>
  <si>
    <t>1189-17</t>
  </si>
  <si>
    <t>1189-18</t>
  </si>
  <si>
    <t>1189-19</t>
  </si>
  <si>
    <t>1189-20</t>
  </si>
  <si>
    <t>1189-21</t>
    <phoneticPr fontId="102" type="noConversion"/>
  </si>
  <si>
    <t>1188-1</t>
    <phoneticPr fontId="102" type="noConversion"/>
  </si>
  <si>
    <t>1188-2</t>
  </si>
  <si>
    <t>1188-3</t>
  </si>
  <si>
    <t>1188-4</t>
  </si>
  <si>
    <t>1188-5</t>
  </si>
  <si>
    <t>1188-6</t>
  </si>
  <si>
    <t>1188-7</t>
  </si>
  <si>
    <t>1188-8</t>
  </si>
  <si>
    <t>1188-9</t>
  </si>
  <si>
    <t>1188-10</t>
  </si>
  <si>
    <t>1188-11</t>
  </si>
  <si>
    <t>1188-12</t>
  </si>
  <si>
    <t>1188-13</t>
  </si>
  <si>
    <t>1188-14</t>
  </si>
  <si>
    <t>1188-15</t>
  </si>
  <si>
    <t>1188-16</t>
  </si>
  <si>
    <t>1188-17</t>
  </si>
  <si>
    <t>1188-18</t>
  </si>
  <si>
    <t>1188-19</t>
  </si>
  <si>
    <t>1188-20</t>
  </si>
  <si>
    <t>1188-21</t>
  </si>
  <si>
    <t>1188-22</t>
  </si>
  <si>
    <t>1188-23</t>
  </si>
  <si>
    <t>1187-1</t>
    <phoneticPr fontId="102" type="noConversion"/>
  </si>
  <si>
    <t>1187-2</t>
  </si>
  <si>
    <t>1187-3</t>
  </si>
  <si>
    <t>1187-4</t>
  </si>
  <si>
    <t>1187-5</t>
  </si>
  <si>
    <t>1187-6</t>
  </si>
  <si>
    <t>1187-7</t>
  </si>
  <si>
    <t>1187-8</t>
  </si>
  <si>
    <t>1187-9</t>
  </si>
  <si>
    <t>1187-10</t>
  </si>
  <si>
    <t>1187-11</t>
  </si>
  <si>
    <t>1187-12</t>
  </si>
  <si>
    <t>1187-13</t>
  </si>
  <si>
    <t>1187-14</t>
  </si>
  <si>
    <t>1187-15</t>
  </si>
  <si>
    <t>1187-16</t>
  </si>
  <si>
    <t>1187-17</t>
  </si>
  <si>
    <t>1187-18</t>
  </si>
  <si>
    <t>1187-19</t>
  </si>
  <si>
    <t>1187-20</t>
  </si>
  <si>
    <t>1187-21</t>
  </si>
  <si>
    <t>1187-22</t>
  </si>
  <si>
    <t>1187-23</t>
  </si>
  <si>
    <t>1187-24</t>
  </si>
  <si>
    <t>1187-25</t>
  </si>
  <si>
    <t>1187-26</t>
  </si>
  <si>
    <t>1187-27</t>
  </si>
  <si>
    <t>1186-1</t>
    <phoneticPr fontId="102" type="noConversion"/>
  </si>
  <si>
    <t>1186-2</t>
  </si>
  <si>
    <t>1186-3</t>
  </si>
  <si>
    <t>1186-4</t>
  </si>
  <si>
    <t>1186-5</t>
  </si>
  <si>
    <t>1186-6</t>
  </si>
  <si>
    <t>1186-7</t>
  </si>
  <si>
    <t>1186-8</t>
  </si>
  <si>
    <t>1186-9</t>
  </si>
  <si>
    <t>1186-10</t>
  </si>
  <si>
    <t>1186-11</t>
  </si>
  <si>
    <t>1186-12</t>
  </si>
  <si>
    <t>1186-13</t>
  </si>
  <si>
    <t>1186-15</t>
    <phoneticPr fontId="102" type="noConversion"/>
  </si>
  <si>
    <t>1186-16</t>
  </si>
  <si>
    <t>1186-17</t>
  </si>
  <si>
    <t>1186-18</t>
  </si>
  <si>
    <t>1186-19</t>
  </si>
  <si>
    <t>1186-20</t>
  </si>
  <si>
    <t>1186-21</t>
  </si>
  <si>
    <t>1186-22</t>
  </si>
  <si>
    <t>1186-23</t>
  </si>
  <si>
    <t>1186-24</t>
  </si>
  <si>
    <t>1186-25</t>
  </si>
  <si>
    <t>1186-26</t>
  </si>
  <si>
    <t>1186-27</t>
  </si>
  <si>
    <t>1186-28</t>
  </si>
  <si>
    <t>1186-29</t>
  </si>
  <si>
    <t>1186-30</t>
  </si>
  <si>
    <t>1185-1</t>
    <phoneticPr fontId="102" type="noConversion"/>
  </si>
  <si>
    <t>1185-2</t>
  </si>
  <si>
    <t>1185-3</t>
  </si>
  <si>
    <t>1185-4</t>
  </si>
  <si>
    <t>1185-5</t>
  </si>
  <si>
    <t>1185-6</t>
  </si>
  <si>
    <t>1185-7</t>
  </si>
  <si>
    <t>1185-8</t>
  </si>
  <si>
    <t>1185-9</t>
  </si>
  <si>
    <t>1185-10</t>
  </si>
  <si>
    <t>1185-11</t>
  </si>
  <si>
    <t>1185-12</t>
  </si>
  <si>
    <t>1185-13</t>
  </si>
  <si>
    <t>1185-14</t>
  </si>
  <si>
    <t>1185-15</t>
  </si>
  <si>
    <t>1185-16</t>
  </si>
  <si>
    <t>1185-17</t>
  </si>
  <si>
    <t>1185-18</t>
  </si>
  <si>
    <t>1185-19</t>
  </si>
  <si>
    <t>1185-20</t>
  </si>
  <si>
    <t>1185-21</t>
  </si>
  <si>
    <t>1185-22</t>
  </si>
  <si>
    <t>1185-23</t>
  </si>
  <si>
    <t>1185-24</t>
  </si>
  <si>
    <t>1185-25</t>
  </si>
  <si>
    <t>1185-26</t>
  </si>
  <si>
    <t>1185-27</t>
  </si>
  <si>
    <t>1185-28</t>
  </si>
  <si>
    <t>1185-29</t>
  </si>
  <si>
    <t>1185-30</t>
  </si>
  <si>
    <t>1185-31</t>
  </si>
  <si>
    <t>1184-1</t>
    <phoneticPr fontId="102" type="noConversion"/>
  </si>
  <si>
    <t>1184-2</t>
  </si>
  <si>
    <t>1184-3</t>
  </si>
  <si>
    <t>1184-4</t>
  </si>
  <si>
    <t>1184-5</t>
  </si>
  <si>
    <t>1184-6</t>
  </si>
  <si>
    <t>1184-7</t>
  </si>
  <si>
    <t>1184-8</t>
  </si>
  <si>
    <t>1184-9</t>
  </si>
  <si>
    <t>1184-10</t>
  </si>
  <si>
    <t>1184-11</t>
  </si>
  <si>
    <t>1184-12</t>
  </si>
  <si>
    <t>1184-13</t>
  </si>
  <si>
    <t>1184-14</t>
  </si>
  <si>
    <t>1184-15</t>
  </si>
  <si>
    <t>1184-16</t>
  </si>
  <si>
    <t>1184-17</t>
  </si>
  <si>
    <t>1184-18</t>
  </si>
  <si>
    <t>1184-19</t>
  </si>
  <si>
    <t>1184-20</t>
  </si>
  <si>
    <t>1184-21</t>
  </si>
  <si>
    <t>1184-22</t>
  </si>
  <si>
    <t>1184-23</t>
  </si>
  <si>
    <t>1184-24</t>
  </si>
  <si>
    <t>1184-25</t>
  </si>
  <si>
    <t>1184-26</t>
  </si>
  <si>
    <t>1184-27</t>
  </si>
  <si>
    <t>1184-28</t>
  </si>
  <si>
    <t>1184-29</t>
  </si>
  <si>
    <t>1184-30</t>
  </si>
  <si>
    <t>1184-31</t>
  </si>
  <si>
    <t>1184-32</t>
  </si>
  <si>
    <t>1184-33</t>
  </si>
  <si>
    <t>1181-1</t>
    <phoneticPr fontId="102" type="noConversion"/>
  </si>
  <si>
    <t>1181-2</t>
  </si>
  <si>
    <t>1181-3</t>
  </si>
  <si>
    <t>1181-4</t>
  </si>
  <si>
    <t>1181-5</t>
  </si>
  <si>
    <t>1181-6</t>
  </si>
  <si>
    <t>1181-7</t>
  </si>
  <si>
    <t>1181-8</t>
  </si>
  <si>
    <t>1181-9</t>
  </si>
  <si>
    <t>1181-10</t>
  </si>
  <si>
    <t>1181-11</t>
  </si>
  <si>
    <t>1181-12</t>
  </si>
  <si>
    <t>1181-13</t>
  </si>
  <si>
    <t>1181-14</t>
  </si>
  <si>
    <t>1181-15</t>
  </si>
  <si>
    <t>1181-16</t>
  </si>
  <si>
    <t>1181-17</t>
  </si>
  <si>
    <t>1181-18</t>
  </si>
  <si>
    <t>1181-19</t>
  </si>
  <si>
    <t>1181-20</t>
  </si>
  <si>
    <t>1181-21</t>
  </si>
  <si>
    <t>1181-22</t>
  </si>
  <si>
    <t>1181-23</t>
  </si>
  <si>
    <t>1181-24</t>
  </si>
  <si>
    <t>1181-25</t>
  </si>
  <si>
    <t>1181-26</t>
  </si>
  <si>
    <t>1181-27</t>
  </si>
  <si>
    <t>1181-28</t>
  </si>
  <si>
    <t>1181-29</t>
  </si>
  <si>
    <t>1181-30</t>
  </si>
  <si>
    <t>1180-1</t>
    <phoneticPr fontId="102" type="noConversion"/>
  </si>
  <si>
    <t>1180-2</t>
  </si>
  <si>
    <t>1180-3</t>
  </si>
  <si>
    <t>1180-4</t>
  </si>
  <si>
    <t>1180-5</t>
  </si>
  <si>
    <t>1180-6</t>
  </si>
  <si>
    <t>1180-7</t>
  </si>
  <si>
    <t>1180-8</t>
  </si>
  <si>
    <t>1180-9</t>
  </si>
  <si>
    <t>1180-11</t>
    <phoneticPr fontId="102" type="noConversion"/>
  </si>
  <si>
    <t>1180-12</t>
  </si>
  <si>
    <t>1180-13</t>
  </si>
  <si>
    <t>1180-14</t>
  </si>
  <si>
    <t>1180-15</t>
  </si>
  <si>
    <t>1180-16</t>
  </si>
  <si>
    <t>1180-17</t>
  </si>
  <si>
    <t>1180-18</t>
  </si>
  <si>
    <t>1180-19</t>
  </si>
  <si>
    <t>1180-21</t>
    <phoneticPr fontId="102" type="noConversion"/>
  </si>
  <si>
    <t>1180-22</t>
  </si>
  <si>
    <t>1180-23</t>
  </si>
  <si>
    <t>1180-24</t>
  </si>
  <si>
    <t>1180-25</t>
  </si>
  <si>
    <t>1180-26</t>
  </si>
  <si>
    <t>1180-27</t>
  </si>
  <si>
    <t>1180-28</t>
  </si>
  <si>
    <t>1180-29</t>
  </si>
  <si>
    <t>1180-30</t>
  </si>
  <si>
    <t>1179-1</t>
    <phoneticPr fontId="102" type="noConversion"/>
  </si>
  <si>
    <t>1179-2</t>
  </si>
  <si>
    <t>1179-3</t>
  </si>
  <si>
    <t>1179-4</t>
  </si>
  <si>
    <t>1179-5</t>
  </si>
  <si>
    <t>1179-6</t>
  </si>
  <si>
    <t>1179-7</t>
  </si>
  <si>
    <t>1179-8</t>
  </si>
  <si>
    <t>1179-9</t>
  </si>
  <si>
    <t>1179-10</t>
  </si>
  <si>
    <t>1179-11</t>
  </si>
  <si>
    <t>1179-12</t>
  </si>
  <si>
    <t>1179-13</t>
  </si>
  <si>
    <t>1179-14</t>
  </si>
  <si>
    <t>1179-15</t>
  </si>
  <si>
    <t>1179-16</t>
  </si>
  <si>
    <t>1179-18</t>
    <phoneticPr fontId="102" type="noConversion"/>
  </si>
  <si>
    <t>1179-19</t>
  </si>
  <si>
    <t>1179-20</t>
    <phoneticPr fontId="102" type="noConversion"/>
  </si>
  <si>
    <t>1179-21</t>
  </si>
  <si>
    <t>1179-22</t>
  </si>
  <si>
    <t>1179-23</t>
  </si>
  <si>
    <t>1179-24</t>
  </si>
  <si>
    <t>1179-25</t>
  </si>
  <si>
    <t>1179-26</t>
  </si>
  <si>
    <t>1179-27</t>
  </si>
  <si>
    <t>1179-28</t>
  </si>
  <si>
    <t>1179-29</t>
  </si>
  <si>
    <t>1179-30</t>
  </si>
  <si>
    <t>1179-31</t>
  </si>
  <si>
    <t>1178-1</t>
    <phoneticPr fontId="102" type="noConversion"/>
  </si>
  <si>
    <t>1178-2</t>
  </si>
  <si>
    <t>1178-3</t>
  </si>
  <si>
    <t>1178-4</t>
  </si>
  <si>
    <t>1178-5</t>
  </si>
  <si>
    <t>1178-6</t>
  </si>
  <si>
    <t>1178-7</t>
  </si>
  <si>
    <t>1178-8</t>
  </si>
  <si>
    <t>1178-9</t>
  </si>
  <si>
    <t>1178-10</t>
  </si>
  <si>
    <t>1178-11</t>
  </si>
  <si>
    <t>1178-12</t>
  </si>
  <si>
    <t>1178-13</t>
  </si>
  <si>
    <t>1178-14</t>
  </si>
  <si>
    <t>1178-15</t>
  </si>
  <si>
    <t>1178-16</t>
  </si>
  <si>
    <t>1178-17</t>
  </si>
  <si>
    <t>1178-18</t>
  </si>
  <si>
    <t>1178-19</t>
  </si>
  <si>
    <t>1178-20</t>
  </si>
  <si>
    <t>1178-21</t>
  </si>
  <si>
    <t>1178-22</t>
  </si>
  <si>
    <t>1178-23</t>
  </si>
  <si>
    <t>1178-24</t>
  </si>
  <si>
    <t>1178-25</t>
  </si>
  <si>
    <t>1178-26</t>
  </si>
  <si>
    <t>1178-27</t>
  </si>
  <si>
    <t>1178-28</t>
  </si>
  <si>
    <t>1178-29</t>
  </si>
  <si>
    <t>1178-30</t>
  </si>
  <si>
    <t>1178-31</t>
  </si>
  <si>
    <t>1177-1</t>
    <phoneticPr fontId="102" type="noConversion"/>
  </si>
  <si>
    <t>1177-2</t>
  </si>
  <si>
    <t>1177-3</t>
  </si>
  <si>
    <t>1177-4</t>
  </si>
  <si>
    <t>1177-5</t>
  </si>
  <si>
    <t>1177-6</t>
  </si>
  <si>
    <t>1177-7</t>
  </si>
  <si>
    <t>1177-8</t>
  </si>
  <si>
    <t>1177-9</t>
  </si>
  <si>
    <t>1177-10</t>
  </si>
  <si>
    <t>1177-11</t>
  </si>
  <si>
    <t>1177-12</t>
  </si>
  <si>
    <t>1177-13</t>
  </si>
  <si>
    <t>1177-14</t>
  </si>
  <si>
    <t>1177-15</t>
  </si>
  <si>
    <t>1177-16</t>
  </si>
  <si>
    <t>1177-17</t>
  </si>
  <si>
    <t>1177-19</t>
    <phoneticPr fontId="102" type="noConversion"/>
  </si>
  <si>
    <t>1177-20</t>
  </si>
  <si>
    <t>1177-21</t>
  </si>
  <si>
    <t>1177-22</t>
  </si>
  <si>
    <t>1177-23</t>
  </si>
  <si>
    <t>1177-24</t>
  </si>
  <si>
    <t>1177-25</t>
  </si>
  <si>
    <t>1177-26</t>
  </si>
  <si>
    <t>1177-27</t>
  </si>
  <si>
    <t>1177-28</t>
  </si>
  <si>
    <t>1177-29</t>
  </si>
  <si>
    <t>1177-30</t>
  </si>
  <si>
    <t>1177-31</t>
  </si>
  <si>
    <t>1176-1</t>
    <phoneticPr fontId="102" type="noConversion"/>
  </si>
  <si>
    <t>1176-2</t>
  </si>
  <si>
    <t>1176-3</t>
  </si>
  <si>
    <t>1176-4</t>
  </si>
  <si>
    <t>1176-5</t>
  </si>
  <si>
    <t>1176-6</t>
  </si>
  <si>
    <t>1176-7</t>
  </si>
  <si>
    <t>1176-8</t>
  </si>
  <si>
    <t>1176-9</t>
  </si>
  <si>
    <t>1176-10</t>
  </si>
  <si>
    <t>1176-11</t>
  </si>
  <si>
    <t>1176-12</t>
  </si>
  <si>
    <t>1176-13</t>
  </si>
  <si>
    <t>1176-14</t>
  </si>
  <si>
    <t>1176-15</t>
  </si>
  <si>
    <t>1176-16</t>
  </si>
  <si>
    <t>1176-17</t>
  </si>
  <si>
    <t>1176-18</t>
  </si>
  <si>
    <t>1176-19</t>
  </si>
  <si>
    <t>1176-20</t>
  </si>
  <si>
    <t>1176-21</t>
  </si>
  <si>
    <t>1176-22</t>
  </si>
  <si>
    <t>1176-23</t>
  </si>
  <si>
    <t>1176-24</t>
  </si>
  <si>
    <t>1176-25</t>
  </si>
  <si>
    <t>1176-26</t>
  </si>
  <si>
    <t>1176-27</t>
  </si>
  <si>
    <t>1176-28</t>
  </si>
  <si>
    <t>1176-29</t>
  </si>
  <si>
    <t>1176-30</t>
  </si>
  <si>
    <t>1176-31</t>
  </si>
  <si>
    <t>1175-1</t>
    <phoneticPr fontId="102" type="noConversion"/>
  </si>
  <si>
    <t>1175-2</t>
  </si>
  <si>
    <t>1175-3</t>
  </si>
  <si>
    <t>1175-4</t>
  </si>
  <si>
    <t>1175-5</t>
  </si>
  <si>
    <t>1175-6</t>
  </si>
  <si>
    <t>1175-7</t>
  </si>
  <si>
    <t>1175-8</t>
  </si>
  <si>
    <t>1175-9</t>
  </si>
  <si>
    <t>1175-10</t>
  </si>
  <si>
    <t>1175-11</t>
  </si>
  <si>
    <t>1175-12</t>
  </si>
  <si>
    <t>1175-13</t>
  </si>
  <si>
    <t>1175-15</t>
    <phoneticPr fontId="102" type="noConversion"/>
  </si>
  <si>
    <t>1175-16</t>
  </si>
  <si>
    <t>1175-17</t>
  </si>
  <si>
    <t>1175-18</t>
  </si>
  <si>
    <t>1175-19</t>
  </si>
  <si>
    <t>1175-20</t>
  </si>
  <si>
    <t>1175-21</t>
  </si>
  <si>
    <t>1175-22</t>
  </si>
  <si>
    <t>1175-23</t>
  </si>
  <si>
    <t>1175-24</t>
  </si>
  <si>
    <t>1175-25</t>
  </si>
  <si>
    <t>1175-26</t>
  </si>
  <si>
    <t>1175-27</t>
  </si>
  <si>
    <t>1175-28</t>
  </si>
  <si>
    <t>1175-30</t>
    <phoneticPr fontId="102" type="noConversion"/>
  </si>
  <si>
    <t>1174-1</t>
    <phoneticPr fontId="102" type="noConversion"/>
  </si>
  <si>
    <t>1174-2</t>
  </si>
  <si>
    <t>1174-3</t>
  </si>
  <si>
    <t>1174-4</t>
  </si>
  <si>
    <t>1174-5</t>
  </si>
  <si>
    <t>1174-6</t>
  </si>
  <si>
    <t>1174-7</t>
  </si>
  <si>
    <t>1174-8</t>
  </si>
  <si>
    <t>1174-9</t>
  </si>
  <si>
    <t>1174-10</t>
  </si>
  <si>
    <t>1174-11</t>
  </si>
  <si>
    <t>1174-12</t>
  </si>
  <si>
    <t>1174-13</t>
  </si>
  <si>
    <t>1174-14</t>
  </si>
  <si>
    <t>1174-15</t>
  </si>
  <si>
    <t>1174-16</t>
  </si>
  <si>
    <t>1174-17</t>
  </si>
  <si>
    <t>1174-18</t>
  </si>
  <si>
    <t>1174-19</t>
  </si>
  <si>
    <t>1174-20</t>
  </si>
  <si>
    <t>1174-21</t>
  </si>
  <si>
    <t>1174-22</t>
  </si>
  <si>
    <t>1174-23</t>
  </si>
  <si>
    <t>1174-24</t>
  </si>
  <si>
    <t>1174-25</t>
  </si>
  <si>
    <t>1174-26</t>
  </si>
  <si>
    <t>1174-27</t>
  </si>
  <si>
    <t>1174-28</t>
  </si>
  <si>
    <t>1174-29</t>
  </si>
  <si>
    <t>1174-30</t>
  </si>
  <si>
    <t>1173-1</t>
    <phoneticPr fontId="102" type="noConversion"/>
  </si>
  <si>
    <t>1173-2</t>
  </si>
  <si>
    <t>1173-3</t>
  </si>
  <si>
    <t>1173-4</t>
  </si>
  <si>
    <t>1173-5</t>
  </si>
  <si>
    <t>1173-6</t>
  </si>
  <si>
    <t>1173-7</t>
  </si>
  <si>
    <t>1173-8</t>
  </si>
  <si>
    <t>1173-9</t>
  </si>
  <si>
    <t>1173-10</t>
  </si>
  <si>
    <t>1173-11</t>
  </si>
  <si>
    <t>1173-12</t>
  </si>
  <si>
    <t>1173-13</t>
  </si>
  <si>
    <t>1173-14</t>
  </si>
  <si>
    <t>1173-15</t>
  </si>
  <si>
    <t>1173-16</t>
  </si>
  <si>
    <t>1173-18</t>
    <phoneticPr fontId="102" type="noConversion"/>
  </si>
  <si>
    <t>1173-19</t>
  </si>
  <si>
    <t>1173-20</t>
  </si>
  <si>
    <t>1173-21</t>
  </si>
  <si>
    <t>1173-22</t>
  </si>
  <si>
    <t>1173-23</t>
  </si>
  <si>
    <t>1173-24</t>
  </si>
  <si>
    <t>1173-25</t>
  </si>
  <si>
    <t>1173-26</t>
  </si>
  <si>
    <t>1173-27</t>
  </si>
  <si>
    <t>1173-28</t>
  </si>
  <si>
    <t>1173-29</t>
  </si>
  <si>
    <t>1173-30</t>
  </si>
  <si>
    <t>1173-31</t>
  </si>
  <si>
    <t>1172-1</t>
    <phoneticPr fontId="102" type="noConversion"/>
  </si>
  <si>
    <t>1172-2</t>
  </si>
  <si>
    <t>1172-3</t>
  </si>
  <si>
    <t>1172-4</t>
  </si>
  <si>
    <t>1172-5</t>
  </si>
  <si>
    <t>1172-6</t>
  </si>
  <si>
    <t>1172-7</t>
  </si>
  <si>
    <t>1172-8</t>
  </si>
  <si>
    <t>1172-9</t>
  </si>
  <si>
    <t>1172-10</t>
  </si>
  <si>
    <t>1172-11</t>
  </si>
  <si>
    <t>1172-12</t>
  </si>
  <si>
    <t>1172-13</t>
  </si>
  <si>
    <t>1172-14</t>
  </si>
  <si>
    <t>1172-15</t>
  </si>
  <si>
    <t>1172-16</t>
  </si>
  <si>
    <t>1172-17</t>
  </si>
  <si>
    <t>1172-18</t>
  </si>
  <si>
    <t>1172-19</t>
  </si>
  <si>
    <t>1172-20</t>
  </si>
  <si>
    <t>1172-21</t>
  </si>
  <si>
    <t>1172-22</t>
  </si>
  <si>
    <t>1172-23</t>
  </si>
  <si>
    <t>1172-24</t>
  </si>
  <si>
    <t>1172-25</t>
  </si>
  <si>
    <t>1172-26</t>
  </si>
  <si>
    <t>1172-27</t>
  </si>
  <si>
    <t>1172-28</t>
  </si>
  <si>
    <t>1172-29</t>
  </si>
  <si>
    <t>1172-30</t>
  </si>
  <si>
    <t>1172-31</t>
  </si>
  <si>
    <t>1171-1</t>
    <phoneticPr fontId="102" type="noConversion"/>
  </si>
  <si>
    <t>1171-2</t>
  </si>
  <si>
    <t>1171-3</t>
  </si>
  <si>
    <t>1171-4</t>
  </si>
  <si>
    <t>1171-5</t>
  </si>
  <si>
    <t>1171-6</t>
  </si>
  <si>
    <t>1171-7</t>
  </si>
  <si>
    <t>1171-8</t>
  </si>
  <si>
    <t>1171-9</t>
  </si>
  <si>
    <t>1171-10</t>
  </si>
  <si>
    <t>1171-11</t>
  </si>
  <si>
    <t>1171-12</t>
  </si>
  <si>
    <t>1171-13</t>
  </si>
  <si>
    <t>1171-14</t>
  </si>
  <si>
    <t>1171-15</t>
  </si>
  <si>
    <t>1171-16</t>
  </si>
  <si>
    <t>1171-17</t>
  </si>
  <si>
    <t>1171-18</t>
  </si>
  <si>
    <t>1171-19</t>
  </si>
  <si>
    <t>1171-20</t>
  </si>
  <si>
    <t>1171-21</t>
  </si>
  <si>
    <t>1171-22</t>
  </si>
  <si>
    <t>1171-23</t>
  </si>
  <si>
    <t>1171-24</t>
  </si>
  <si>
    <t>1171-25</t>
  </si>
  <si>
    <t>1171-26</t>
  </si>
  <si>
    <t>1171-27</t>
  </si>
  <si>
    <t>1171-28</t>
  </si>
  <si>
    <t>1171-29</t>
  </si>
  <si>
    <t>1171-30</t>
  </si>
  <si>
    <t>1171-31</t>
  </si>
  <si>
    <t>1170-1</t>
    <phoneticPr fontId="102" type="noConversion"/>
  </si>
  <si>
    <t>1170-2</t>
  </si>
  <si>
    <t>1170-3</t>
  </si>
  <si>
    <t>1170-4</t>
  </si>
  <si>
    <t>1170-5</t>
  </si>
  <si>
    <t>1170-6</t>
  </si>
  <si>
    <t>1170-7</t>
  </si>
  <si>
    <t>1170-8</t>
  </si>
  <si>
    <t>1170-9</t>
  </si>
  <si>
    <t>1170-10</t>
  </si>
  <si>
    <t>1170-11</t>
  </si>
  <si>
    <t>1170-12</t>
  </si>
  <si>
    <t>1170-13</t>
  </si>
  <si>
    <t>1170-14</t>
  </si>
  <si>
    <t>1170-15</t>
  </si>
  <si>
    <t>1170-17</t>
    <phoneticPr fontId="102" type="noConversion"/>
  </si>
  <si>
    <t>1170-18</t>
  </si>
  <si>
    <t>1170-19</t>
  </si>
  <si>
    <t>1170-20</t>
  </si>
  <si>
    <t>1170-21</t>
  </si>
  <si>
    <t>1170-22</t>
  </si>
  <si>
    <t>1170-23</t>
  </si>
  <si>
    <t>1170-24</t>
  </si>
  <si>
    <t>1170-25</t>
  </si>
  <si>
    <t>1170-26</t>
  </si>
  <si>
    <t>1170-27</t>
  </si>
  <si>
    <t>1170-28</t>
  </si>
  <si>
    <t>1170-29</t>
  </si>
  <si>
    <t>1170-30</t>
  </si>
  <si>
    <t>1169-1</t>
    <phoneticPr fontId="102" type="noConversion"/>
  </si>
  <si>
    <t>1169-2</t>
  </si>
  <si>
    <t>1169-3</t>
  </si>
  <si>
    <t>1169-4</t>
  </si>
  <si>
    <t>1169-5</t>
  </si>
  <si>
    <t>1169-6</t>
  </si>
  <si>
    <t>1169-7</t>
  </si>
  <si>
    <t>1169-8</t>
  </si>
  <si>
    <t>1169-9</t>
  </si>
  <si>
    <t>1169-10</t>
  </si>
  <si>
    <t>1169-11</t>
  </si>
  <si>
    <t>1169-12</t>
  </si>
  <si>
    <t>1169-13</t>
  </si>
  <si>
    <t>1169-14</t>
  </si>
  <si>
    <t>1169-15</t>
  </si>
  <si>
    <t>1169-16</t>
  </si>
  <si>
    <t>1169-17</t>
  </si>
  <si>
    <t>1169-18</t>
  </si>
  <si>
    <t>1169-19</t>
  </si>
  <si>
    <t>1169-20</t>
  </si>
  <si>
    <t>1169-21</t>
  </si>
  <si>
    <t>1169-22</t>
  </si>
  <si>
    <t>1169-23</t>
  </si>
  <si>
    <t>1168-1</t>
    <phoneticPr fontId="102" type="noConversion"/>
  </si>
  <si>
    <t>1168-2</t>
  </si>
  <si>
    <t>1168-3</t>
  </si>
  <si>
    <t>1168-4</t>
  </si>
  <si>
    <t>1168-5</t>
  </si>
  <si>
    <t>1168-6</t>
  </si>
  <si>
    <t>1168-7</t>
  </si>
  <si>
    <t>1168-8</t>
  </si>
  <si>
    <t>1168-9</t>
  </si>
  <si>
    <t>1168-10</t>
  </si>
  <si>
    <t>1168-11</t>
  </si>
  <si>
    <t>1168-12</t>
  </si>
  <si>
    <t>1168-13</t>
  </si>
  <si>
    <t>1168-14</t>
  </si>
  <si>
    <t>1168-15</t>
  </si>
  <si>
    <t>1168-16</t>
  </si>
  <si>
    <t>1168-17</t>
  </si>
  <si>
    <t>1168-18</t>
  </si>
  <si>
    <t>1168-19</t>
  </si>
  <si>
    <t>1168-20</t>
  </si>
  <si>
    <t>1168-21</t>
  </si>
  <si>
    <t>1168-22</t>
  </si>
  <si>
    <t>1168-23</t>
  </si>
  <si>
    <t>1168-24</t>
  </si>
  <si>
    <t>1168-25</t>
  </si>
  <si>
    <t>1168-26</t>
  </si>
  <si>
    <t>1168-27</t>
  </si>
  <si>
    <t>1168-28</t>
  </si>
  <si>
    <t>1168-29</t>
  </si>
  <si>
    <t>1168-30</t>
  </si>
  <si>
    <t>1167-6</t>
  </si>
  <si>
    <t>1167-7</t>
  </si>
  <si>
    <t>1167-8</t>
  </si>
  <si>
    <t>1167-9</t>
  </si>
  <si>
    <t>1167-10</t>
  </si>
  <si>
    <t>1167-11</t>
  </si>
  <si>
    <t>1167-12</t>
  </si>
  <si>
    <t>1167-13</t>
  </si>
  <si>
    <t>1167-14</t>
  </si>
  <si>
    <t>1167-15</t>
  </si>
  <si>
    <t>1167-16</t>
  </si>
  <si>
    <t>1167-17</t>
  </si>
  <si>
    <t>1167-18</t>
  </si>
  <si>
    <t>1167-19</t>
  </si>
  <si>
    <t>1167-20</t>
  </si>
  <si>
    <t>1167-21</t>
  </si>
  <si>
    <t>1167-22</t>
  </si>
  <si>
    <t>1167-23</t>
  </si>
  <si>
    <t>1167-24</t>
  </si>
  <si>
    <t>1167-25</t>
  </si>
  <si>
    <t>1167-31</t>
  </si>
  <si>
    <t>1165-1</t>
    <phoneticPr fontId="102" type="noConversion"/>
  </si>
  <si>
    <t>1165-2</t>
  </si>
  <si>
    <t>1165-3</t>
  </si>
  <si>
    <t>1165-4</t>
  </si>
  <si>
    <t>1165-5</t>
  </si>
  <si>
    <t>1165-6</t>
  </si>
  <si>
    <t>1165-7</t>
  </si>
  <si>
    <t>1165-8</t>
  </si>
  <si>
    <t>1165-9</t>
  </si>
  <si>
    <t>1165-10</t>
  </si>
  <si>
    <t>1165-11</t>
  </si>
  <si>
    <t>1165-12</t>
  </si>
  <si>
    <t>1165-13</t>
  </si>
  <si>
    <t>1165-14</t>
  </si>
  <si>
    <t>1165-15</t>
  </si>
  <si>
    <t>1165-16</t>
  </si>
  <si>
    <t>1165-17</t>
  </si>
  <si>
    <t>1164-6</t>
  </si>
  <si>
    <t>1164-7</t>
  </si>
  <si>
    <t>1164-8</t>
  </si>
  <si>
    <t>1164-9</t>
  </si>
  <si>
    <t>1164-10</t>
  </si>
  <si>
    <t>1164-11</t>
  </si>
  <si>
    <t>1164-12</t>
  </si>
  <si>
    <t>1164-13</t>
  </si>
  <si>
    <t>1164-14</t>
  </si>
  <si>
    <t>1164-15</t>
  </si>
  <si>
    <t>1164-16</t>
  </si>
  <si>
    <t>1164-17</t>
  </si>
  <si>
    <t>1164-18</t>
  </si>
  <si>
    <t>1164-19</t>
  </si>
  <si>
    <t>1164-20</t>
  </si>
  <si>
    <t>1164-21</t>
  </si>
  <si>
    <t>1164-27</t>
  </si>
  <si>
    <t>1163-6</t>
  </si>
  <si>
    <t>1163-7</t>
  </si>
  <si>
    <t>1163-8</t>
  </si>
  <si>
    <t>1163-9</t>
  </si>
  <si>
    <t>1163-10</t>
  </si>
  <si>
    <t>1163-11</t>
  </si>
  <si>
    <t>1163-12</t>
  </si>
  <si>
    <t>1163-13</t>
  </si>
  <si>
    <t>1163-14</t>
  </si>
  <si>
    <t>1163-15</t>
  </si>
  <si>
    <t>1163-16</t>
  </si>
  <si>
    <t>1163-17</t>
  </si>
  <si>
    <t>1163-18</t>
  </si>
  <si>
    <t>1163-19</t>
  </si>
  <si>
    <t>1163-20</t>
  </si>
  <si>
    <t>1163-21</t>
  </si>
  <si>
    <t>1163-27</t>
  </si>
  <si>
    <t>토지</t>
    <phoneticPr fontId="105" type="noConversion"/>
  </si>
  <si>
    <t>건물</t>
    <phoneticPr fontId="105" type="noConversion"/>
  </si>
  <si>
    <t>법무사 보수표</t>
    <phoneticPr fontId="105" type="noConversion"/>
  </si>
  <si>
    <t>과세표준액</t>
    <phoneticPr fontId="105" type="noConversion"/>
  </si>
  <si>
    <t>천원</t>
    <phoneticPr fontId="105" type="noConversion"/>
  </si>
  <si>
    <t>남은돈</t>
    <phoneticPr fontId="105" type="noConversion"/>
  </si>
  <si>
    <t>초과</t>
    <phoneticPr fontId="105" type="noConversion"/>
  </si>
  <si>
    <t>법무사 수수료</t>
    <phoneticPr fontId="105" type="noConversion"/>
  </si>
  <si>
    <t>인지세</t>
    <phoneticPr fontId="105" type="noConversion"/>
  </si>
  <si>
    <t>법무사  수수료</t>
    <phoneticPr fontId="105" type="noConversion"/>
  </si>
  <si>
    <t>등기신청수수료</t>
    <phoneticPr fontId="105" type="noConversion"/>
  </si>
  <si>
    <t>등기수수료 계</t>
    <phoneticPr fontId="105" type="noConversion"/>
  </si>
  <si>
    <t>등시수수료 계</t>
    <phoneticPr fontId="105" type="noConversion"/>
  </si>
  <si>
    <t>■</t>
  </si>
  <si>
    <t>토지취득과세</t>
  </si>
  <si>
    <t>중과세의 경우</t>
  </si>
  <si>
    <t>취득세</t>
  </si>
  <si>
    <t>취득가액의</t>
  </si>
  <si>
    <t>사치성재산*, 과밀억제권역 5년 미만 법인의 토지 취득 : 12% (3배)</t>
  </si>
  <si>
    <t>좌동</t>
  </si>
  <si>
    <t>교육세</t>
  </si>
  <si>
    <t xml:space="preserve">좌동 </t>
  </si>
  <si>
    <t>일반세율</t>
  </si>
  <si>
    <t>* 사치성 재산 : 별장, 골프장, 고급오락장, 고급주택, 고급선박</t>
  </si>
  <si>
    <t>유무유흥주점 : 카바레, 나이트 크럽, 고고크럽, 디스코 클럽, 룸쌀롱 (객실 2이상)</t>
  </si>
  <si>
    <t>요정영업장소 (유흥접객원이 있는 경우)</t>
  </si>
  <si>
    <t>특수목욕장 중 증기탕</t>
  </si>
  <si>
    <t>토지매입비</t>
  </si>
  <si>
    <t>결정세액</t>
  </si>
  <si>
    <t>토지보유과세</t>
  </si>
  <si>
    <t>과세기준일 : 매년 6월1일</t>
  </si>
  <si>
    <t>납부일 : 매년 9월</t>
  </si>
  <si>
    <t>공시지가(천원)</t>
  </si>
  <si>
    <t>- 7월 : 재산세(건축물) + 재산세(주택) 1/2</t>
  </si>
  <si>
    <t>시가표준액</t>
  </si>
  <si>
    <t>- 9월 : 재산세(토지) + 재산세(주택) 1/2</t>
  </si>
  <si>
    <t>1)</t>
  </si>
  <si>
    <t xml:space="preserve">재산세 = 과세표준(시가표준액 X 공정시장가액비율) X  세율 </t>
  </si>
  <si>
    <t>금액(천원)</t>
  </si>
  <si>
    <t>별도합산과세</t>
  </si>
  <si>
    <t>공정시장가액 비율</t>
  </si>
  <si>
    <t>　</t>
  </si>
  <si>
    <t>과세표준</t>
  </si>
  <si>
    <t>세율</t>
  </si>
  <si>
    <t>280만+10억원 초과금액 0.4%</t>
    <phoneticPr fontId="102" type="noConversion"/>
  </si>
  <si>
    <t>재산세액</t>
  </si>
  <si>
    <t>공제 제산세액</t>
  </si>
  <si>
    <t xml:space="preserve">2) </t>
  </si>
  <si>
    <t xml:space="preserve">종합부동산세 = 과세표준(시가표준액 X 공정시장가액비율) X  세율 </t>
  </si>
  <si>
    <t>공제금액</t>
  </si>
  <si>
    <t>별도합산</t>
  </si>
  <si>
    <t xml:space="preserve"> 200억원 이하  0.5% </t>
  </si>
  <si>
    <t xml:space="preserve"> 400억원 이하  0.6% </t>
  </si>
  <si>
    <t>누진공제 2,000만원</t>
  </si>
  <si>
    <t xml:space="preserve"> 600억원 초과  0.7% </t>
    <phoneticPr fontId="102" type="noConversion"/>
  </si>
  <si>
    <t>누진공제 6,000만원</t>
  </si>
  <si>
    <t>종합부동산세액</t>
  </si>
  <si>
    <t>국세청 참고</t>
  </si>
  <si>
    <t>채권매각손</t>
  </si>
  <si>
    <t>구분(주거전용이외:1, 주거전용:0)</t>
  </si>
  <si>
    <t>1. 소유권이전시(둘중하나만)</t>
  </si>
  <si>
    <t>- 주거전용이외 건축물(토지분 매입시 주거전용이외 건축물 매입금액 적용)</t>
  </si>
  <si>
    <t>결정 채권액(천원)</t>
  </si>
  <si>
    <t>개별공시지가(원)</t>
  </si>
  <si>
    <t>매  입  금  액</t>
  </si>
  <si>
    <t>매 입 비</t>
  </si>
  <si>
    <t>할인 매입비(천원)</t>
  </si>
  <si>
    <t>적용비율*</t>
  </si>
  <si>
    <t>상기 초과</t>
  </si>
  <si>
    <t>*매입금액 : 특별시, 광역시 기준</t>
  </si>
  <si>
    <t>* 지방세법 제111조제2항제1호</t>
  </si>
  <si>
    <t>- 주거전용 건축물(토지분 매입시 주거전용이외 건축물 매입금액 적용)</t>
  </si>
  <si>
    <t>2. 건축허가시(셋중하나만)</t>
  </si>
  <si>
    <t>- 주거전용건축물(공동주택, APT)</t>
  </si>
  <si>
    <t>주거전용면적(㎡)</t>
  </si>
  <si>
    <t>세  대  수</t>
  </si>
  <si>
    <t>주거전용면적(평)</t>
  </si>
  <si>
    <t>기  준 (㎡)</t>
  </si>
  <si>
    <t>매입금액(㎡당)</t>
  </si>
  <si>
    <t>매 입 비(원)</t>
  </si>
  <si>
    <t>할 인 율</t>
  </si>
  <si>
    <t>* 가정 : 주택은행 고시</t>
  </si>
  <si>
    <t>구조</t>
  </si>
  <si>
    <t>- 주거전용이외 건축물</t>
  </si>
  <si>
    <t>철근 및 철골조</t>
  </si>
  <si>
    <t>면    적(㎡)</t>
  </si>
  <si>
    <t>면    적(평)</t>
  </si>
  <si>
    <t>구      분</t>
  </si>
  <si>
    <t>매입금액(원/㎡)</t>
  </si>
  <si>
    <t>극장,영화관,주점</t>
  </si>
  <si>
    <t>ex) 본 사업성 검토시 항목에  포함안 됨</t>
  </si>
  <si>
    <t>연와조 및 석조</t>
  </si>
  <si>
    <t>시멘트벽돌및 블록조</t>
  </si>
  <si>
    <t>- 혼합된 건물(주거 + 비주거)</t>
  </si>
  <si>
    <t>등기수수료</t>
  </si>
  <si>
    <t>금액</t>
  </si>
  <si>
    <t>천원/회</t>
  </si>
  <si>
    <t>이전등기시</t>
  </si>
  <si>
    <t>회</t>
  </si>
  <si>
    <t>가정</t>
  </si>
  <si>
    <t>보존등기시</t>
  </si>
  <si>
    <t>총세대수</t>
  </si>
  <si>
    <t>세대</t>
  </si>
  <si>
    <t xml:space="preserve">                                -</t>
  </si>
  <si>
    <t>실</t>
  </si>
  <si>
    <t>오피스</t>
  </si>
  <si>
    <t>이전등기수수료</t>
  </si>
  <si>
    <t>보전등기수수료</t>
  </si>
  <si>
    <t>건축허가수수료</t>
  </si>
  <si>
    <t>결  정 수 수 료 (천원)</t>
  </si>
  <si>
    <t>건축면적(㎡)</t>
  </si>
  <si>
    <t>건 축 면 적(㎡)</t>
  </si>
  <si>
    <t>수    수    료 (원)</t>
  </si>
  <si>
    <t>비   고</t>
  </si>
  <si>
    <t>건축연면적(평)</t>
  </si>
  <si>
    <t xml:space="preserve"> 상 기 초 과 </t>
  </si>
  <si>
    <t>과밀부담금 (수도권정비계획법 : 과밀억제권역, 주거시설 제외)</t>
  </si>
  <si>
    <t>(면제대상)</t>
  </si>
  <si>
    <t>- 부과지역 : 서울시</t>
  </si>
  <si>
    <t>- 부과시기 : 건축물의 사용승인일</t>
  </si>
  <si>
    <t>- 업무용 : 25,000㎡ 이상</t>
  </si>
  <si>
    <t>적용</t>
  </si>
  <si>
    <t>- 판매용 : 15,000㎡ 이상</t>
  </si>
  <si>
    <t>- 복합건축물로서 업무용 또는 판매용이 25,000㎡ 이상</t>
  </si>
  <si>
    <t>기 준 면 적(㎡)</t>
  </si>
  <si>
    <t>주차장면적(㎡)</t>
  </si>
  <si>
    <t>기초공제면적(㎡)</t>
  </si>
  <si>
    <t>주차장+기초공제면적</t>
  </si>
  <si>
    <t>VS</t>
  </si>
  <si>
    <t>* 주차장+기초공제면적&lt;기준면적:</t>
  </si>
  <si>
    <t>(기준면적(25,000㎡)-주차장 면적 - 기초공제 면적 (5,000㎡))* 단위면적당 건축비*0.05+기준면적초과면적*단위면적당 건축비*0.1</t>
  </si>
  <si>
    <t>세   액(원)</t>
  </si>
  <si>
    <t>단위면적당건축비 (원)</t>
  </si>
  <si>
    <t>세  율</t>
  </si>
  <si>
    <t>기준초과면적</t>
  </si>
  <si>
    <t>세 율</t>
  </si>
  <si>
    <t>* 주차장+기초공제면적&gt;기준면적:</t>
  </si>
  <si>
    <t>(신축면적-주차장 면적- 기초공제면적)*단위면적당 건축비*0.1</t>
  </si>
  <si>
    <t>신축면적(㎡)</t>
  </si>
  <si>
    <t>▼</t>
  </si>
  <si>
    <t>결정부담금(천원)</t>
  </si>
  <si>
    <t>*기준면적이하는 0원</t>
  </si>
  <si>
    <t>- 과밀부담금의 감면</t>
  </si>
  <si>
    <t>1. 국가나 지방자치단체가 건축하는 건축물   ▶  100% 감면</t>
  </si>
  <si>
    <t>2. 도시및주거환경정비법에 따른 도시환경정비사업에 관련된 건축물  ▶   100% 감면</t>
  </si>
  <si>
    <t xml:space="preserve">3. 건축물 중 일부에 대한 감면  ▶  국가·지방자치단체에 기부체납되는 시설은 산정대상면적에서 제외
</t>
  </si>
  <si>
    <t>교통유발부담금</t>
  </si>
  <si>
    <t>(준공후 주거시설 이외의 시설 소유자 부담)</t>
  </si>
  <si>
    <t>결정부담금(원)</t>
  </si>
  <si>
    <t>오피스빌딩의 경우 = 시설물 각층의 바닥면적의 합계*700원/㎡* 교통유발계수(1.2)</t>
  </si>
  <si>
    <t>광역교통시설부담금</t>
  </si>
  <si>
    <t>- 부과대상(대도시권) : 주택건설사업(주택재개발사업, 주택건설사업, 주택재건축사업, 주상복합사업), 택지조성사업(택지개발사업, 도시개발사업, 아파트지구개발사업, 대지조성사업)</t>
  </si>
  <si>
    <r>
      <rPr>
        <sz val="9"/>
        <color rgb="FF000000"/>
        <rFont val="Malgun Gothic"/>
        <family val="3"/>
        <charset val="129"/>
      </rPr>
      <t xml:space="preserve">- </t>
    </r>
    <r>
      <rPr>
        <sz val="9"/>
        <color rgb="FF808080"/>
        <rFont val="맑은 고딕"/>
        <family val="3"/>
        <charset val="129"/>
      </rPr>
      <t>사업시행자가 사업의 승인이나 인가 등을 받은 날부터 60일 내에 부담금 부과함</t>
    </r>
  </si>
  <si>
    <t>- 광역교통시설부담금 = 1㎡당 표준건축비×부과율×건축연면적-공제액</t>
  </si>
  <si>
    <t>용도구분</t>
  </si>
  <si>
    <t>표준건축비(원/㎡)</t>
  </si>
  <si>
    <t>건축 연면적(㎡)(주거만)</t>
  </si>
  <si>
    <t>부과율</t>
  </si>
  <si>
    <t>공제액</t>
  </si>
  <si>
    <t>주택건설사업</t>
  </si>
  <si>
    <t>건축규모(층)</t>
  </si>
  <si>
    <t>44층</t>
  </si>
  <si>
    <t xml:space="preserve"> 수도권 </t>
  </si>
  <si>
    <t>* 15층 이하 555,000 원/㎡, 16층 이상 000 원/㎡</t>
  </si>
  <si>
    <t xml:space="preserve"> : 수도권 4%, 기타 대도시권 2%</t>
  </si>
  <si>
    <t>택지조성사업</t>
  </si>
  <si>
    <t xml:space="preserve"> : 수도권 30%, 기타 대도시권 15%</t>
  </si>
  <si>
    <t>교통영향평가</t>
  </si>
  <si>
    <t>* 실제 교통영향평가 결정 수수료는 평가수수료의 85% 수준에서 결정됨</t>
  </si>
  <si>
    <t>** 최소 주거시설 연면적 기준</t>
  </si>
  <si>
    <t>결정평가료(천원)</t>
  </si>
  <si>
    <t>할인율</t>
  </si>
  <si>
    <t>기초 연면적(㎡ 이상)</t>
  </si>
  <si>
    <t>**최소비용(천원)</t>
  </si>
  <si>
    <t>연면적(㎡)</t>
  </si>
  <si>
    <t>평가수수료(천원)</t>
  </si>
  <si>
    <t>주거시설</t>
  </si>
  <si>
    <t>가중치(시설)</t>
  </si>
  <si>
    <t>* 사업 : 1.3, 약식 : 0.7</t>
  </si>
  <si>
    <t>복합시설</t>
  </si>
  <si>
    <t>* 환경, 교통, 재해등에 관한 영향평가법</t>
  </si>
  <si>
    <t>복합시설은 Swa가 10,000㎡이상인 경우</t>
  </si>
  <si>
    <t>Swa=sum(각 시설물의 용도별 건축연면적_i/각 시설물의 최소 교통영향평가대상 규모_i)*10,000</t>
  </si>
  <si>
    <t>용도</t>
  </si>
  <si>
    <t>면적(㎡)</t>
  </si>
  <si>
    <t>대체산림자원조성비</t>
  </si>
  <si>
    <t>단위면적당 금액 (원/㎡)</t>
  </si>
  <si>
    <t>개별공시지가(원/㎡)</t>
  </si>
  <si>
    <t>준보전산지</t>
  </si>
  <si>
    <t>보전산지</t>
  </si>
  <si>
    <t>산지전용제한지역</t>
  </si>
  <si>
    <t>개별공시지가 반영 : 단위면적당 금액 범위내 (최고액은 4,250원/㎡)</t>
  </si>
  <si>
    <t>농지보전부담금</t>
  </si>
  <si>
    <t>개별공시지가(천원/㎡)</t>
  </si>
  <si>
    <t>세   율</t>
  </si>
  <si>
    <t xml:space="preserve"> ㎡당 50,000원이 넘어가면 ㎡당 50,000원을 곱하여 산정함 (한도액)</t>
  </si>
  <si>
    <t>분양보증수수료(아파트인 경우)</t>
  </si>
  <si>
    <t>주상복합의 경우에 전체 용도를 분양보증 받을수 있음</t>
  </si>
  <si>
    <t>결정수수료(천원)</t>
  </si>
  <si>
    <t>일반아파트 분양수입</t>
  </si>
  <si>
    <t>기본요율</t>
  </si>
  <si>
    <t>계약금 및 잔금을 제외한 금액을 분양보증함</t>
  </si>
  <si>
    <t>미술장식품설치비</t>
  </si>
  <si>
    <t>지상층연면적*표준건축비(과밀부담금과 동일)*부과율(1/100)</t>
  </si>
  <si>
    <t>결정금액(천원)</t>
  </si>
  <si>
    <t>지상층연면적(㎡)</t>
  </si>
  <si>
    <t>표준건축비(원)</t>
  </si>
  <si>
    <t>부과요율</t>
  </si>
  <si>
    <t>부과금액(원)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</si>
</sst>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41" formatCode="_-* #,##0_-;\-* #,##0_-;_-* &quot;-&quot;_-;_-@_-"/>
    <numFmt numFmtId="43" formatCode="_-* #,##0.00_-;\-* #,##0.00_-;_-* &quot;-&quot;??_-;_-@_-"/>
    <numFmt numFmtId="176" formatCode="0.000_ "/>
    <numFmt numFmtId="177" formatCode="yyyy\-mm\-dd"/>
    <numFmt numFmtId="178" formatCode="0.00_ &quot;㎡&quot;"/>
    <numFmt numFmtId="179" formatCode="#,###.00_ &quot;㎡&quot;"/>
    <numFmt numFmtId="180" formatCode="&quot;(&quot;#,###.00_ &quot;평)&quot;\ "/>
    <numFmt numFmtId="181" formatCode="&quot;(&quot;0.000_ &quot;평)&quot;"/>
    <numFmt numFmtId="182" formatCode="0_ "/>
    <numFmt numFmtId="183" formatCode="&quot;(&quot;0.00_ &quot;평)&quot;\ "/>
    <numFmt numFmtId="184" formatCode="0,000.00_ &quot;㎡&quot;"/>
    <numFmt numFmtId="185" formatCode="0.00_ "/>
    <numFmt numFmtId="186" formatCode="&quot;지하&quot;0&quot;층&quot;\ "/>
    <numFmt numFmtId="187" formatCode="&quot;지상&quot;0&quot;층&quot;\ "/>
    <numFmt numFmtId="188" formatCode="&quot;법정 : &quot;0&quot;대&quot;_ "/>
    <numFmt numFmtId="189" formatCode="&quot;계획 : &quot;\ 0&quot; 대&quot;\ "/>
    <numFmt numFmtId="190" formatCode="0.00&quot; 대&quot;_ "/>
    <numFmt numFmtId="191" formatCode="&quot;법정=&quot;0.00&quot;대&quot;_ "/>
    <numFmt numFmtId="192" formatCode="0&quot;대&quot;_ "/>
    <numFmt numFmtId="193" formatCode="0&quot; 대&quot;_ "/>
    <numFmt numFmtId="194" formatCode="0&quot;층&quot;"/>
    <numFmt numFmtId="195" formatCode="_-* #,##0.00_-;\-* #,##0.00_-;_-* &quot;-&quot;_-;_-@"/>
    <numFmt numFmtId="196" formatCode="0.00_ &quot;평&quot;&quot;형&quot;"/>
    <numFmt numFmtId="197" formatCode="_-* #,##0_-;\-* #,##0_-;_-* &quot;-&quot;_-;_-@"/>
    <numFmt numFmtId="198" formatCode="0_);[Red]\(0\)"/>
    <numFmt numFmtId="199" formatCode="0.00_);[Red]\(0.00\)"/>
    <numFmt numFmtId="200" formatCode="_-* #,##0.00_-;\-* #,##0.00_-;_-* &quot;-&quot;??_-;_-@"/>
    <numFmt numFmtId="201" formatCode="&quot;Y+&quot;0"/>
    <numFmt numFmtId="202" formatCode="yyyy&quot;.&quot;\ m"/>
    <numFmt numFmtId="203" formatCode="#,##0_ ;[Red]\-#,##0\ "/>
    <numFmt numFmtId="204" formatCode="0.0%"/>
    <numFmt numFmtId="205" formatCode="_-* #,##0.0_-;\-* #,##0.0_-;_-* &quot;-&quot;_-;_-@"/>
    <numFmt numFmtId="206" formatCode="#,##0&quot;천원/평&quot;"/>
    <numFmt numFmtId="207" formatCode="#,##0.00_ ;[Red]\-#,##0.00\ "/>
    <numFmt numFmtId="208" formatCode="&quot;연 &quot;0.0%"/>
    <numFmt numFmtId="209" formatCode="yyyy&quot;년&quot;\ m&quot;월&quot;"/>
    <numFmt numFmtId="210" formatCode="#,###&quot;천원&quot;"/>
    <numFmt numFmtId="211" formatCode="&quot;지하&quot;0&quot;층&quot;"/>
    <numFmt numFmtId="212" formatCode="&quot;지상&quot;0&quot;층&quot;"/>
    <numFmt numFmtId="213" formatCode="#&quot;개월&quot;"/>
    <numFmt numFmtId="214" formatCode="&quot;(&quot;#&quot;개월)&quot;"/>
    <numFmt numFmtId="215" formatCode="_-* #,##0_-;\-* #,##0_-;_-* &quot;-&quot;??_-;_-@"/>
    <numFmt numFmtId="216" formatCode="#&quot;년&quot;"/>
    <numFmt numFmtId="217" formatCode="#,##0&quot;평&quot;"/>
    <numFmt numFmtId="218" formatCode="#,###&quot; 세대&quot;"/>
    <numFmt numFmtId="219" formatCode="#,###&quot; 세대  X&quot;"/>
    <numFmt numFmtId="220" formatCode="&quot;(&quot;#,###&quot;천원/평)&quot;"/>
    <numFmt numFmtId="221" formatCode="#,###&quot;천원/평&quot;"/>
    <numFmt numFmtId="222" formatCode="#,##0&quot; 천원/월&quot;"/>
    <numFmt numFmtId="223" formatCode="&quot;X &quot;0%"/>
    <numFmt numFmtId="224" formatCode="_-* #,##0.000_-;\-* #,##0.000_-;_-* &quot;-&quot;_-;_-@"/>
    <numFmt numFmtId="225" formatCode="_ * #,##0.00_ ;_ * \-#,##0.00_ ;_ * &quot;-&quot;_ ;_ @_ "/>
    <numFmt numFmtId="226" formatCode="_ * #,##0_ ;_ * \-#,##0_ ;_ * &quot;-&quot;_ ;_ @_ "/>
    <numFmt numFmtId="227" formatCode="&quot;토지비 &quot;0.0%"/>
    <numFmt numFmtId="228" formatCode="&quot;토지비 &quot;0%"/>
    <numFmt numFmtId="229" formatCode="###,###&quot;원&quot;"/>
    <numFmt numFmtId="230" formatCode="##,##0.0&quot;㎡&quot;\ "/>
    <numFmt numFmtId="231" formatCode="#,##0.0&quot;평&quot;\ "/>
    <numFmt numFmtId="232" formatCode="0,000.0&quot;㎡&quot;\ "/>
    <numFmt numFmtId="233" formatCode="000.0&quot;평&quot;\ "/>
    <numFmt numFmtId="234" formatCode="###,###&quot;원/㎡&quot;"/>
    <numFmt numFmtId="235" formatCode="###,###&quot;원/평&quot;"/>
    <numFmt numFmtId="236" formatCode="##&quot;개월&quot;"/>
    <numFmt numFmtId="237" formatCode="#.##&quot;%&quot;"/>
    <numFmt numFmtId="238" formatCode="##,##0.00&quot;㎡&quot;\ "/>
    <numFmt numFmtId="239" formatCode="&quot;연면적당 &quot;#,##0&quot; 원/평&quot;"/>
    <numFmt numFmtId="240" formatCode="#,##0&quot;천원까지&quot;"/>
    <numFmt numFmtId="241" formatCode="#,##0_ "/>
    <numFmt numFmtId="242" formatCode="#,##0.000"/>
    <numFmt numFmtId="243" formatCode="_-* #,##0.00000_-;\-* #,##0.00000_-;_-* &quot;-&quot;?????_-;_-@"/>
    <numFmt numFmtId="244" formatCode="&quot;1세대당&quot;#&quot;평가정&quot;"/>
    <numFmt numFmtId="245" formatCode="0.0"/>
    <numFmt numFmtId="246" formatCode="_-* #,##0.0_-;\-* #,##0.0_-;_-* &quot;-&quot;?_-;_-@_-"/>
    <numFmt numFmtId="247" formatCode="_-* #,##0_-;\-* #,##0_-;_-* &quot;-&quot;??_-;_-@_-"/>
  </numFmts>
  <fonts count="128">
    <font>
      <sz val="11"/>
      <color rgb="FF000000"/>
      <name val="Calibri"/>
      <scheme val="minor"/>
    </font>
    <font>
      <b/>
      <sz val="18"/>
      <color rgb="FFFFFFFF"/>
      <name val="Malgun Gothic"/>
      <family val="3"/>
      <charset val="129"/>
    </font>
    <font>
      <sz val="11"/>
      <name val="Calibri"/>
      <family val="2"/>
    </font>
    <font>
      <b/>
      <sz val="14"/>
      <color rgb="FFFFFFFF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1"/>
      <color rgb="FFDC0000"/>
      <name val="Malgun Gothic"/>
      <family val="3"/>
      <charset val="129"/>
    </font>
    <font>
      <sz val="11"/>
      <color rgb="FF0000FF"/>
      <name val="Malgun Gothic"/>
      <family val="3"/>
      <charset val="129"/>
    </font>
    <font>
      <sz val="11"/>
      <color rgb="FF808080"/>
      <name val="Malgun Gothic"/>
      <family val="3"/>
      <charset val="129"/>
    </font>
    <font>
      <sz val="11"/>
      <color rgb="FFD8D8D8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1"/>
      <color rgb="FFDC000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sz val="11"/>
      <color rgb="FFA5A5A5"/>
      <name val="Malgun Gothic"/>
      <family val="3"/>
      <charset val="129"/>
    </font>
    <font>
      <b/>
      <sz val="11"/>
      <color rgb="FF0000FF"/>
      <name val="Malgun Gothic"/>
      <family val="3"/>
      <charset val="129"/>
    </font>
    <font>
      <sz val="14"/>
      <color theme="1"/>
      <name val="Malgun Gothic"/>
      <family val="3"/>
      <charset val="129"/>
    </font>
    <font>
      <b/>
      <sz val="22"/>
      <color theme="1"/>
      <name val="Malgun Gothic"/>
      <family val="3"/>
      <charset val="129"/>
    </font>
    <font>
      <b/>
      <sz val="9"/>
      <color theme="1"/>
      <name val="Dotum"/>
      <family val="3"/>
      <charset val="129"/>
    </font>
    <font>
      <b/>
      <sz val="9"/>
      <color rgb="FF0000FF"/>
      <name val="Dotum"/>
      <family val="3"/>
      <charset val="129"/>
    </font>
    <font>
      <sz val="9"/>
      <color rgb="FFFFFFFF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9"/>
      <color theme="1"/>
      <name val="Gulim"/>
      <family val="3"/>
      <charset val="129"/>
    </font>
    <font>
      <b/>
      <sz val="9"/>
      <color rgb="FFFFFFFF"/>
      <name val="Malgun Gothic"/>
      <family val="3"/>
      <charset val="129"/>
    </font>
    <font>
      <sz val="9"/>
      <color rgb="FF333399"/>
      <name val="Malgun Gothic"/>
      <family val="3"/>
      <charset val="129"/>
    </font>
    <font>
      <sz val="9"/>
      <color rgb="FFDC0000"/>
      <name val="Malgun Gothic"/>
      <family val="3"/>
      <charset val="129"/>
    </font>
    <font>
      <b/>
      <sz val="9"/>
      <color rgb="FFDC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9"/>
      <color rgb="FFE2E2E2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0066CC"/>
      <name val="Malgun Gothic"/>
      <family val="3"/>
      <charset val="129"/>
    </font>
    <font>
      <b/>
      <sz val="10"/>
      <color rgb="FF000080"/>
      <name val="Gulim"/>
      <family val="3"/>
      <charset val="129"/>
    </font>
    <font>
      <sz val="9"/>
      <color rgb="FF000080"/>
      <name val="Gulim"/>
      <family val="3"/>
      <charset val="129"/>
    </font>
    <font>
      <b/>
      <sz val="9"/>
      <color rgb="FF000080"/>
      <name val="Gulim"/>
      <family val="3"/>
      <charset val="129"/>
    </font>
    <font>
      <sz val="9"/>
      <color rgb="FFDC0000"/>
      <name val="Gulim"/>
      <family val="3"/>
      <charset val="129"/>
    </font>
    <font>
      <b/>
      <sz val="9"/>
      <color rgb="FFDC0000"/>
      <name val="Gulim"/>
      <family val="3"/>
      <charset val="129"/>
    </font>
    <font>
      <sz val="9"/>
      <color rgb="FFFFFFFF"/>
      <name val="Arial"/>
      <family val="2"/>
    </font>
    <font>
      <b/>
      <sz val="14"/>
      <color rgb="FF0000FF"/>
      <name val="Malgun Gothic"/>
      <family val="3"/>
      <charset val="129"/>
    </font>
    <font>
      <sz val="14"/>
      <color rgb="FF0000FF"/>
      <name val="Malgun Gothic"/>
      <family val="3"/>
      <charset val="129"/>
    </font>
    <font>
      <sz val="12"/>
      <color rgb="FF0000FF"/>
      <name val="Malgun Gothic"/>
      <family val="3"/>
      <charset val="129"/>
    </font>
    <font>
      <sz val="14"/>
      <color rgb="FFA5A5A5"/>
      <name val="Malgun Gothic"/>
      <family val="3"/>
      <charset val="129"/>
    </font>
    <font>
      <sz val="10"/>
      <color rgb="FFA5A5A5"/>
      <name val="Malgun Gothic"/>
      <family val="3"/>
      <charset val="129"/>
    </font>
    <font>
      <sz val="14"/>
      <color rgb="FFFFFFFF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2"/>
      <color rgb="FFBFBFBF"/>
      <name val="Malgun Gothic"/>
      <family val="3"/>
      <charset val="129"/>
    </font>
    <font>
      <sz val="14"/>
      <color rgb="FFBFBFBF"/>
      <name val="Malgun Gothic"/>
      <family val="3"/>
      <charset val="129"/>
    </font>
    <font>
      <b/>
      <sz val="12"/>
      <color rgb="FFD8D8D8"/>
      <name val="Malgun Gothic"/>
      <family val="3"/>
      <charset val="129"/>
    </font>
    <font>
      <sz val="14"/>
      <color rgb="FF808080"/>
      <name val="Malgun Gothic"/>
      <family val="3"/>
      <charset val="129"/>
    </font>
    <font>
      <b/>
      <sz val="12"/>
      <color rgb="FF0000FF"/>
      <name val="Malgun Gothic"/>
      <family val="3"/>
      <charset val="129"/>
    </font>
    <font>
      <sz val="14"/>
      <color rgb="FF000000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sz val="14"/>
      <color theme="0"/>
      <name val="Malgun Gothic"/>
      <family val="3"/>
      <charset val="129"/>
    </font>
    <font>
      <sz val="14"/>
      <color rgb="FFB8CCE4"/>
      <name val="Malgun Gothic"/>
      <family val="3"/>
      <charset val="129"/>
    </font>
    <font>
      <b/>
      <sz val="14"/>
      <color rgb="FF000000"/>
      <name val="Malgun Gothic"/>
      <family val="3"/>
      <charset val="129"/>
    </font>
    <font>
      <b/>
      <sz val="16"/>
      <color rgb="FFFFFFFF"/>
      <name val="Malgun Gothic"/>
      <family val="3"/>
      <charset val="129"/>
    </font>
    <font>
      <sz val="14"/>
      <color rgb="FFDC0000"/>
      <name val="Malgun Gothic"/>
      <family val="3"/>
      <charset val="129"/>
    </font>
    <font>
      <b/>
      <sz val="16"/>
      <color rgb="FF000000"/>
      <name val="Malgun Gothic"/>
      <family val="3"/>
      <charset val="129"/>
    </font>
    <font>
      <sz val="14"/>
      <color rgb="FFD8D8D8"/>
      <name val="Malgun Gothic"/>
      <family val="3"/>
      <charset val="129"/>
    </font>
    <font>
      <sz val="14"/>
      <color rgb="FF00B050"/>
      <name val="Malgun Gothic"/>
      <family val="3"/>
      <charset val="129"/>
    </font>
    <font>
      <b/>
      <sz val="14"/>
      <color rgb="FFD8D8D8"/>
      <name val="Malgun Gothic"/>
      <family val="3"/>
      <charset val="129"/>
    </font>
    <font>
      <b/>
      <strike/>
      <sz val="14"/>
      <color theme="1"/>
      <name val="Malgun Gothic"/>
      <family val="3"/>
      <charset val="129"/>
    </font>
    <font>
      <strike/>
      <sz val="14"/>
      <color theme="1"/>
      <name val="Malgun Gothic"/>
      <family val="3"/>
      <charset val="129"/>
    </font>
    <font>
      <sz val="14"/>
      <color rgb="FF366092"/>
      <name val="가는각진제목체"/>
      <family val="3"/>
      <charset val="129"/>
    </font>
    <font>
      <b/>
      <sz val="14"/>
      <color rgb="FF7F7F7F"/>
      <name val="Malgun Gothic"/>
      <family val="3"/>
      <charset val="129"/>
    </font>
    <font>
      <b/>
      <sz val="14"/>
      <color theme="0"/>
      <name val="Malgun Gothic"/>
      <family val="3"/>
      <charset val="129"/>
    </font>
    <font>
      <b/>
      <sz val="16"/>
      <color theme="0"/>
      <name val="Malgun Gothic"/>
      <family val="3"/>
      <charset val="129"/>
    </font>
    <font>
      <b/>
      <sz val="18"/>
      <color theme="1"/>
      <name val="Malgun Gothic"/>
      <family val="3"/>
      <charset val="129"/>
    </font>
    <font>
      <b/>
      <sz val="14"/>
      <color rgb="FFDC0000"/>
      <name val="Malgun Gothic"/>
      <family val="3"/>
      <charset val="129"/>
    </font>
    <font>
      <i/>
      <sz val="14"/>
      <color rgb="FF000000"/>
      <name val="Malgun Gothic"/>
      <family val="3"/>
      <charset val="129"/>
    </font>
    <font>
      <b/>
      <i/>
      <sz val="14"/>
      <color theme="1"/>
      <name val="Malgun Gothic"/>
      <family val="3"/>
      <charset val="129"/>
    </font>
    <font>
      <b/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color rgb="FF000000"/>
      <name val="나눔고딕"/>
      <family val="3"/>
      <charset val="129"/>
    </font>
    <font>
      <b/>
      <sz val="11"/>
      <color rgb="FF000000"/>
      <name val="나눔고딕"/>
      <family val="3"/>
      <charset val="129"/>
    </font>
    <font>
      <sz val="11"/>
      <color rgb="FF333399"/>
      <name val="나눔고딕"/>
      <family val="3"/>
      <charset val="129"/>
    </font>
    <font>
      <sz val="11"/>
      <color rgb="FF333333"/>
      <name val="나눔고딕"/>
      <family val="3"/>
      <charset val="129"/>
    </font>
    <font>
      <sz val="11"/>
      <color rgb="FFFF0000"/>
      <name val="나눔고딕"/>
      <family val="3"/>
      <charset val="129"/>
    </font>
    <font>
      <sz val="11"/>
      <color rgb="FF0000FF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10"/>
      <color rgb="FF666666"/>
      <name val="휴먼명조"/>
      <family val="3"/>
      <charset val="129"/>
    </font>
    <font>
      <b/>
      <sz val="11"/>
      <color rgb="FF0000FF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9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6"/>
      <color rgb="FF000000"/>
      <name val="Malgun Gothic"/>
      <family val="3"/>
      <charset val="129"/>
    </font>
    <font>
      <u/>
      <sz val="11"/>
      <color theme="1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9"/>
      <color rgb="FFD9D9D9"/>
      <name val="Malgun Gothic"/>
      <family val="3"/>
      <charset val="129"/>
    </font>
    <font>
      <b/>
      <sz val="14"/>
      <color theme="1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7"/>
      <color theme="1"/>
      <name val="맑은 고딕"/>
      <family val="3"/>
      <charset val="129"/>
    </font>
    <font>
      <b/>
      <sz val="10"/>
      <color rgb="FF666666"/>
      <name val="HCI Poppy"/>
    </font>
    <font>
      <sz val="9"/>
      <color rgb="FF808080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rgb="FF000000"/>
      <name val="Calibri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0070C0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DC0000"/>
      <name val="맑은 고딕"/>
      <family val="3"/>
      <charset val="129"/>
    </font>
    <font>
      <sz val="11"/>
      <name val="Calibri"/>
      <family val="3"/>
      <charset val="129"/>
      <scheme val="minor"/>
    </font>
    <font>
      <sz val="14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name val="Calibri"/>
      <family val="2"/>
    </font>
    <font>
      <sz val="14"/>
      <name val="Malgun Gothic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</font>
    <font>
      <sz val="11"/>
      <color rgb="FF000000"/>
      <name val="Arial"/>
      <family val="3"/>
      <charset val="129"/>
    </font>
    <font>
      <sz val="9"/>
      <name val="돋움"/>
      <family val="3"/>
      <charset val="129"/>
    </font>
  </fonts>
  <fills count="4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C6D9F0"/>
        <bgColor rgb="FFC6D9F0"/>
      </patternFill>
    </fill>
    <fill>
      <patternFill patternType="solid">
        <fgColor rgb="FF95B3D7"/>
        <bgColor rgb="FF95B3D7"/>
      </patternFill>
    </fill>
    <fill>
      <patternFill patternType="solid">
        <fgColor rgb="FF17365D"/>
        <bgColor rgb="FF17365D"/>
      </patternFill>
    </fill>
    <fill>
      <patternFill patternType="solid">
        <fgColor theme="0"/>
        <bgColor theme="0"/>
      </patternFill>
    </fill>
    <fill>
      <patternFill patternType="solid">
        <fgColor rgb="FF95B7DD"/>
        <bgColor rgb="FF95B7DD"/>
      </patternFill>
    </fill>
    <fill>
      <patternFill patternType="solid">
        <fgColor rgb="FFD9F2FB"/>
        <bgColor rgb="FFD9F2FB"/>
      </patternFill>
    </fill>
    <fill>
      <patternFill patternType="solid">
        <fgColor rgb="FFCDE6FF"/>
        <bgColor rgb="FFCDE6FF"/>
      </patternFill>
    </fill>
    <fill>
      <patternFill patternType="solid">
        <fgColor rgb="FFF6DAF5"/>
        <bgColor rgb="FFF6DAF5"/>
      </patternFill>
    </fill>
    <fill>
      <patternFill patternType="solid">
        <fgColor rgb="FF000080"/>
        <bgColor rgb="FF000080"/>
      </patternFill>
    </fill>
    <fill>
      <patternFill patternType="solid">
        <fgColor rgb="FFEDD7E0"/>
        <bgColor rgb="FFEDD7E0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366092"/>
        <bgColor rgb="FF366092"/>
      </patternFill>
    </fill>
    <fill>
      <patternFill patternType="solid">
        <fgColor rgb="FFFEFDE2"/>
        <bgColor rgb="FFFEFDE2"/>
      </patternFill>
    </fill>
    <fill>
      <patternFill patternType="solid">
        <fgColor rgb="FFCCFFFF"/>
        <bgColor rgb="FFCCFFFF"/>
      </patternFill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  <fill>
      <patternFill patternType="solid">
        <fgColor rgb="FFFF8080"/>
        <bgColor rgb="FFFF8080"/>
      </patternFill>
    </fill>
    <fill>
      <patternFill patternType="solid">
        <fgColor rgb="FFE8E1CC"/>
        <bgColor rgb="FFE8E1CC"/>
      </patternFill>
    </fill>
    <fill>
      <patternFill patternType="solid">
        <fgColor rgb="FF16365C"/>
        <bgColor rgb="FF16365C"/>
      </patternFill>
    </fill>
    <fill>
      <patternFill patternType="solid">
        <fgColor rgb="FFDCE6F1"/>
        <bgColor rgb="FFDCE6F1"/>
      </patternFill>
    </fill>
    <fill>
      <patternFill patternType="solid">
        <fgColor rgb="FFD5CCC1"/>
        <bgColor rgb="FFD5CCC1"/>
      </patternFill>
    </fill>
    <fill>
      <patternFill patternType="solid">
        <fgColor rgb="FFDAEEF3"/>
        <bgColor rgb="FFDAEEF3"/>
      </patternFill>
    </fill>
    <fill>
      <patternFill patternType="solid">
        <fgColor theme="4" tint="0.39997558519241921"/>
        <bgColor rgb="FF16365C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CC"/>
        <bgColor rgb="FFF2F2F2"/>
      </patternFill>
    </fill>
    <fill>
      <patternFill patternType="solid">
        <fgColor rgb="FFFFFFCC"/>
        <bgColor theme="0"/>
      </patternFill>
    </fill>
    <fill>
      <patternFill patternType="solid">
        <fgColor rgb="FF95B7DD"/>
        <bgColor rgb="FFFFFFFF"/>
      </patternFill>
    </fill>
    <fill>
      <patternFill patternType="solid">
        <fgColor rgb="FF95B7DD"/>
        <bgColor indexed="64"/>
      </patternFill>
    </fill>
    <fill>
      <patternFill patternType="solid">
        <fgColor rgb="FF95B7DD"/>
        <bgColor rgb="FFF2DBDB"/>
      </patternFill>
    </fill>
    <fill>
      <patternFill patternType="solid">
        <fgColor rgb="FFCCFFCC"/>
        <bgColor rgb="FFFEFDE2"/>
      </patternFill>
    </fill>
    <fill>
      <patternFill patternType="solid">
        <fgColor rgb="FFFFFFCC"/>
        <bgColor rgb="FFF2DBDB"/>
      </patternFill>
    </fill>
    <fill>
      <patternFill patternType="solid">
        <fgColor theme="0"/>
        <bgColor rgb="FFF2DBDB"/>
      </patternFill>
    </fill>
    <fill>
      <patternFill patternType="solid">
        <fgColor rgb="FFCCFFCC"/>
        <bgColor rgb="FFF2DBDB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00"/>
      </patternFill>
    </fill>
    <fill>
      <patternFill patternType="solid">
        <fgColor theme="0"/>
        <bgColor rgb="FFFFFF00"/>
      </patternFill>
    </fill>
  </fills>
  <borders count="27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/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hair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dotted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hair">
        <color rgb="FF000000"/>
      </right>
      <top style="dotted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</borders>
  <cellStyleXfs count="5">
    <xf numFmtId="0" fontId="0" fillId="0" borderId="0"/>
    <xf numFmtId="41" fontId="104" fillId="0" borderId="32" applyFont="0" applyFill="0" applyBorder="0" applyAlignment="0" applyProtection="0"/>
    <xf numFmtId="0" fontId="103" fillId="0" borderId="32"/>
    <xf numFmtId="41" fontId="103" fillId="0" borderId="32" applyFont="0" applyFill="0" applyBorder="0" applyAlignment="0" applyProtection="0">
      <alignment vertical="center"/>
    </xf>
    <xf numFmtId="0" fontId="127" fillId="0" borderId="32"/>
  </cellStyleXfs>
  <cellXfs count="1707">
    <xf numFmtId="0" fontId="0" fillId="0" borderId="0" xfId="0"/>
    <xf numFmtId="0" fontId="4" fillId="0" borderId="0" xfId="0" applyFont="1" applyAlignment="1">
      <alignment vertical="center"/>
    </xf>
    <xf numFmtId="176" fontId="5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left" vertical="center"/>
    </xf>
    <xf numFmtId="176" fontId="10" fillId="0" borderId="0" xfId="0" applyNumberFormat="1" applyFont="1" applyAlignment="1">
      <alignment horizontal="left" vertical="center"/>
    </xf>
    <xf numFmtId="185" fontId="10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0" fontId="14" fillId="0" borderId="0" xfId="0" applyNumberFormat="1" applyFont="1" applyAlignment="1">
      <alignment horizontal="left" vertical="center"/>
    </xf>
    <xf numFmtId="178" fontId="14" fillId="0" borderId="0" xfId="0" applyNumberFormat="1" applyFont="1" applyAlignment="1">
      <alignment horizontal="left" vertical="center"/>
    </xf>
    <xf numFmtId="10" fontId="4" fillId="0" borderId="3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left" vertical="center"/>
    </xf>
    <xf numFmtId="176" fontId="6" fillId="2" borderId="3" xfId="0" applyNumberFormat="1" applyFont="1" applyFill="1" applyBorder="1" applyAlignment="1">
      <alignment horizontal="center" vertical="center"/>
    </xf>
    <xf numFmtId="195" fontId="4" fillId="0" borderId="3" xfId="0" applyNumberFormat="1" applyFont="1" applyBorder="1" applyAlignment="1">
      <alignment vertical="center"/>
    </xf>
    <xf numFmtId="195" fontId="11" fillId="4" borderId="3" xfId="0" applyNumberFormat="1" applyFont="1" applyFill="1" applyBorder="1" applyAlignment="1">
      <alignment vertical="center"/>
    </xf>
    <xf numFmtId="9" fontId="4" fillId="4" borderId="3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vertical="center"/>
    </xf>
    <xf numFmtId="176" fontId="11" fillId="3" borderId="3" xfId="0" applyNumberFormat="1" applyFont="1" applyFill="1" applyBorder="1" applyAlignment="1">
      <alignment horizontal="center" vertical="center"/>
    </xf>
    <xf numFmtId="196" fontId="4" fillId="3" borderId="3" xfId="0" applyNumberFormat="1" applyFont="1" applyFill="1" applyBorder="1" applyAlignment="1">
      <alignment horizontal="center" vertical="center"/>
    </xf>
    <xf numFmtId="176" fontId="11" fillId="4" borderId="3" xfId="0" applyNumberFormat="1" applyFont="1" applyFill="1" applyBorder="1" applyAlignment="1">
      <alignment horizontal="center" vertical="center"/>
    </xf>
    <xf numFmtId="176" fontId="4" fillId="4" borderId="3" xfId="0" applyNumberFormat="1" applyFont="1" applyFill="1" applyBorder="1" applyAlignment="1">
      <alignment horizontal="center" vertical="center"/>
    </xf>
    <xf numFmtId="197" fontId="11" fillId="4" borderId="3" xfId="0" applyNumberFormat="1" applyFont="1" applyFill="1" applyBorder="1" applyAlignment="1">
      <alignment horizontal="right" vertical="center"/>
    </xf>
    <xf numFmtId="10" fontId="4" fillId="4" borderId="4" xfId="0" applyNumberFormat="1" applyFont="1" applyFill="1" applyBorder="1" applyAlignment="1">
      <alignment vertical="center"/>
    </xf>
    <xf numFmtId="198" fontId="4" fillId="0" borderId="0" xfId="0" applyNumberFormat="1" applyFont="1" applyAlignment="1">
      <alignment vertical="center"/>
    </xf>
    <xf numFmtId="199" fontId="4" fillId="0" borderId="0" xfId="0" applyNumberFormat="1" applyFont="1" applyAlignment="1">
      <alignment vertical="center"/>
    </xf>
    <xf numFmtId="199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9" fontId="8" fillId="0" borderId="0" xfId="0" applyNumberFormat="1" applyFont="1" applyAlignment="1">
      <alignment vertical="center"/>
    </xf>
    <xf numFmtId="176" fontId="6" fillId="2" borderId="5" xfId="0" applyNumberFormat="1" applyFont="1" applyFill="1" applyBorder="1" applyAlignment="1">
      <alignment horizontal="center" vertical="center"/>
    </xf>
    <xf numFmtId="196" fontId="8" fillId="3" borderId="3" xfId="0" applyNumberFormat="1" applyFont="1" applyFill="1" applyBorder="1" applyAlignment="1">
      <alignment horizontal="center" vertical="center"/>
    </xf>
    <xf numFmtId="196" fontId="8" fillId="3" borderId="3" xfId="0" applyNumberFormat="1" applyFont="1" applyFill="1" applyBorder="1" applyAlignment="1">
      <alignment horizontal="right" vertical="center"/>
    </xf>
    <xf numFmtId="176" fontId="4" fillId="7" borderId="3" xfId="0" applyNumberFormat="1" applyFont="1" applyFill="1" applyBorder="1" applyAlignment="1">
      <alignment horizontal="center" vertical="center"/>
    </xf>
    <xf numFmtId="197" fontId="17" fillId="7" borderId="3" xfId="0" applyNumberFormat="1" applyFont="1" applyFill="1" applyBorder="1" applyAlignment="1">
      <alignment horizontal="right" vertical="center"/>
    </xf>
    <xf numFmtId="195" fontId="11" fillId="7" borderId="3" xfId="0" applyNumberFormat="1" applyFont="1" applyFill="1" applyBorder="1" applyAlignment="1">
      <alignment vertical="center"/>
    </xf>
    <xf numFmtId="10" fontId="4" fillId="7" borderId="4" xfId="0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200" fontId="4" fillId="0" borderId="0" xfId="0" applyNumberFormat="1" applyFont="1" applyAlignment="1">
      <alignment vertical="center"/>
    </xf>
    <xf numFmtId="195" fontId="4" fillId="0" borderId="0" xfId="0" applyNumberFormat="1" applyFont="1" applyAlignment="1">
      <alignment vertical="center"/>
    </xf>
    <xf numFmtId="9" fontId="19" fillId="0" borderId="0" xfId="0" applyNumberFormat="1" applyFont="1" applyAlignment="1">
      <alignment vertical="center"/>
    </xf>
    <xf numFmtId="177" fontId="20" fillId="0" borderId="0" xfId="0" applyNumberFormat="1" applyFont="1" applyAlignment="1">
      <alignment horizontal="right" vertical="center"/>
    </xf>
    <xf numFmtId="177" fontId="21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77" fontId="20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22" fillId="2" borderId="3" xfId="0" applyFont="1" applyFill="1" applyBorder="1" applyAlignment="1">
      <alignment horizontal="center" vertical="center"/>
    </xf>
    <xf numFmtId="201" fontId="22" fillId="2" borderId="3" xfId="0" applyNumberFormat="1" applyFont="1" applyFill="1" applyBorder="1" applyAlignment="1">
      <alignment horizontal="center" vertical="center"/>
    </xf>
    <xf numFmtId="202" fontId="22" fillId="2" borderId="3" xfId="0" applyNumberFormat="1" applyFont="1" applyFill="1" applyBorder="1" applyAlignment="1">
      <alignment horizontal="center" vertical="center"/>
    </xf>
    <xf numFmtId="197" fontId="22" fillId="2" borderId="6" xfId="0" applyNumberFormat="1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203" fontId="23" fillId="8" borderId="3" xfId="0" applyNumberFormat="1" applyFont="1" applyFill="1" applyBorder="1" applyAlignment="1">
      <alignment vertical="center"/>
    </xf>
    <xf numFmtId="203" fontId="24" fillId="0" borderId="3" xfId="0" applyNumberFormat="1" applyFont="1" applyBorder="1" applyAlignment="1">
      <alignment vertical="center"/>
    </xf>
    <xf numFmtId="203" fontId="24" fillId="0" borderId="3" xfId="0" applyNumberFormat="1" applyFont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176" fontId="22" fillId="2" borderId="6" xfId="0" applyNumberFormat="1" applyFont="1" applyFill="1" applyBorder="1" applyAlignment="1">
      <alignment horizontal="center" vertical="center"/>
    </xf>
    <xf numFmtId="203" fontId="23" fillId="9" borderId="3" xfId="0" applyNumberFormat="1" applyFont="1" applyFill="1" applyBorder="1" applyAlignment="1">
      <alignment vertical="center"/>
    </xf>
    <xf numFmtId="203" fontId="23" fillId="9" borderId="3" xfId="0" applyNumberFormat="1" applyFont="1" applyFill="1" applyBorder="1" applyAlignment="1">
      <alignment horizontal="center" vertical="center"/>
    </xf>
    <xf numFmtId="203" fontId="24" fillId="0" borderId="3" xfId="0" applyNumberFormat="1" applyFont="1" applyBorder="1" applyAlignment="1">
      <alignment horizontal="center" vertical="center" shrinkToFit="1"/>
    </xf>
    <xf numFmtId="203" fontId="24" fillId="8" borderId="3" xfId="0" applyNumberFormat="1" applyFont="1" applyFill="1" applyBorder="1" applyAlignment="1">
      <alignment vertical="center"/>
    </xf>
    <xf numFmtId="203" fontId="24" fillId="8" borderId="3" xfId="0" applyNumberFormat="1" applyFont="1" applyFill="1" applyBorder="1" applyAlignment="1">
      <alignment horizontal="center" vertical="center" shrinkToFit="1"/>
    </xf>
    <xf numFmtId="204" fontId="5" fillId="10" borderId="3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97" fontId="25" fillId="0" borderId="0" xfId="0" applyNumberFormat="1" applyFont="1" applyAlignment="1">
      <alignment horizontal="center" vertical="center"/>
    </xf>
    <xf numFmtId="197" fontId="2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6" fillId="11" borderId="2" xfId="0" applyFont="1" applyFill="1" applyBorder="1" applyAlignment="1">
      <alignment horizontal="center" vertical="center"/>
    </xf>
    <xf numFmtId="204" fontId="22" fillId="11" borderId="7" xfId="0" applyNumberFormat="1" applyFont="1" applyFill="1" applyBorder="1" applyAlignment="1">
      <alignment horizontal="center" vertical="center"/>
    </xf>
    <xf numFmtId="197" fontId="22" fillId="11" borderId="8" xfId="0" applyNumberFormat="1" applyFont="1" applyFill="1" applyBorder="1" applyAlignment="1">
      <alignment horizontal="center" vertical="center"/>
    </xf>
    <xf numFmtId="204" fontId="24" fillId="0" borderId="9" xfId="0" applyNumberFormat="1" applyFont="1" applyBorder="1" applyAlignment="1">
      <alignment horizontal="center" vertical="center"/>
    </xf>
    <xf numFmtId="204" fontId="24" fillId="0" borderId="10" xfId="0" applyNumberFormat="1" applyFont="1" applyBorder="1" applyAlignment="1">
      <alignment horizontal="center" vertical="center"/>
    </xf>
    <xf numFmtId="204" fontId="24" fillId="0" borderId="0" xfId="0" applyNumberFormat="1" applyFont="1" applyAlignment="1">
      <alignment horizontal="center" vertical="center"/>
    </xf>
    <xf numFmtId="204" fontId="24" fillId="0" borderId="8" xfId="0" applyNumberFormat="1" applyFont="1" applyBorder="1" applyAlignment="1">
      <alignment horizontal="center" vertical="center"/>
    </xf>
    <xf numFmtId="204" fontId="24" fillId="0" borderId="1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6" fillId="11" borderId="3" xfId="0" applyFont="1" applyFill="1" applyBorder="1" applyAlignment="1">
      <alignment horizontal="center" vertical="center"/>
    </xf>
    <xf numFmtId="2" fontId="26" fillId="11" borderId="3" xfId="0" applyNumberFormat="1" applyFont="1" applyFill="1" applyBorder="1" applyAlignment="1">
      <alignment horizontal="center" vertical="center"/>
    </xf>
    <xf numFmtId="197" fontId="26" fillId="11" borderId="3" xfId="0" applyNumberFormat="1" applyFont="1" applyFill="1" applyBorder="1" applyAlignment="1">
      <alignment horizontal="center" vertical="center"/>
    </xf>
    <xf numFmtId="197" fontId="2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2" fillId="2" borderId="1" xfId="0" applyFont="1" applyFill="1" applyBorder="1" applyAlignment="1">
      <alignment vertical="center"/>
    </xf>
    <xf numFmtId="197" fontId="24" fillId="8" borderId="14" xfId="0" applyNumberFormat="1" applyFont="1" applyFill="1" applyBorder="1" applyAlignment="1">
      <alignment horizontal="right" vertical="center"/>
    </xf>
    <xf numFmtId="197" fontId="24" fillId="0" borderId="14" xfId="0" applyNumberFormat="1" applyFont="1" applyBorder="1" applyAlignment="1">
      <alignment horizontal="right" vertical="center"/>
    </xf>
    <xf numFmtId="197" fontId="24" fillId="0" borderId="14" xfId="0" applyNumberFormat="1" applyFont="1" applyBorder="1" applyAlignment="1">
      <alignment horizontal="center" vertical="center"/>
    </xf>
    <xf numFmtId="197" fontId="22" fillId="2" borderId="3" xfId="0" applyNumberFormat="1" applyFont="1" applyFill="1" applyBorder="1" applyAlignment="1">
      <alignment horizontal="center" vertical="center"/>
    </xf>
    <xf numFmtId="197" fontId="24" fillId="8" borderId="15" xfId="0" applyNumberFormat="1" applyFont="1" applyFill="1" applyBorder="1" applyAlignment="1">
      <alignment horizontal="right" vertical="center"/>
    </xf>
    <xf numFmtId="197" fontId="24" fillId="0" borderId="15" xfId="0" applyNumberFormat="1" applyFont="1" applyBorder="1" applyAlignment="1">
      <alignment horizontal="right" vertical="center"/>
    </xf>
    <xf numFmtId="197" fontId="24" fillId="0" borderId="15" xfId="0" applyNumberFormat="1" applyFont="1" applyBorder="1" applyAlignment="1">
      <alignment horizontal="center" vertical="center"/>
    </xf>
    <xf numFmtId="197" fontId="24" fillId="8" borderId="16" xfId="0" applyNumberFormat="1" applyFont="1" applyFill="1" applyBorder="1" applyAlignment="1">
      <alignment horizontal="right" vertical="center"/>
    </xf>
    <xf numFmtId="197" fontId="24" fillId="0" borderId="16" xfId="0" applyNumberFormat="1" applyFont="1" applyBorder="1" applyAlignment="1">
      <alignment horizontal="right" vertical="center"/>
    </xf>
    <xf numFmtId="197" fontId="24" fillId="0" borderId="16" xfId="0" applyNumberFormat="1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197" fontId="24" fillId="8" borderId="3" xfId="0" applyNumberFormat="1" applyFont="1" applyFill="1" applyBorder="1" applyAlignment="1">
      <alignment horizontal="right" vertical="center"/>
    </xf>
    <xf numFmtId="197" fontId="24" fillId="8" borderId="3" xfId="0" applyNumberFormat="1" applyFont="1" applyFill="1" applyBorder="1" applyAlignment="1">
      <alignment horizontal="center" vertical="center"/>
    </xf>
    <xf numFmtId="197" fontId="28" fillId="0" borderId="14" xfId="0" applyNumberFormat="1" applyFont="1" applyBorder="1" applyAlignment="1">
      <alignment horizontal="right" vertical="center"/>
    </xf>
    <xf numFmtId="197" fontId="22" fillId="2" borderId="5" xfId="0" applyNumberFormat="1" applyFont="1" applyFill="1" applyBorder="1" applyAlignment="1">
      <alignment horizontal="center" vertical="center"/>
    </xf>
    <xf numFmtId="197" fontId="24" fillId="8" borderId="15" xfId="0" applyNumberFormat="1" applyFont="1" applyFill="1" applyBorder="1" applyAlignment="1">
      <alignment horizontal="center" vertical="center"/>
    </xf>
    <xf numFmtId="197" fontId="29" fillId="0" borderId="15" xfId="0" applyNumberFormat="1" applyFont="1" applyBorder="1" applyAlignment="1">
      <alignment horizontal="right" vertical="center"/>
    </xf>
    <xf numFmtId="197" fontId="28" fillId="0" borderId="15" xfId="0" applyNumberFormat="1" applyFont="1" applyBorder="1" applyAlignment="1">
      <alignment horizontal="right" vertical="center"/>
    </xf>
    <xf numFmtId="197" fontId="24" fillId="8" borderId="16" xfId="0" applyNumberFormat="1" applyFont="1" applyFill="1" applyBorder="1" applyAlignment="1">
      <alignment horizontal="center" vertical="center"/>
    </xf>
    <xf numFmtId="197" fontId="29" fillId="0" borderId="16" xfId="0" applyNumberFormat="1" applyFont="1" applyBorder="1" applyAlignment="1">
      <alignment horizontal="right" vertical="center"/>
    </xf>
    <xf numFmtId="197" fontId="28" fillId="0" borderId="16" xfId="0" applyNumberFormat="1" applyFont="1" applyBorder="1" applyAlignment="1">
      <alignment horizontal="right" vertical="center"/>
    </xf>
    <xf numFmtId="205" fontId="4" fillId="0" borderId="0" xfId="0" applyNumberFormat="1" applyFont="1" applyAlignment="1">
      <alignment vertical="center"/>
    </xf>
    <xf numFmtId="205" fontId="24" fillId="0" borderId="3" xfId="0" applyNumberFormat="1" applyFont="1" applyBorder="1" applyAlignment="1">
      <alignment vertical="center"/>
    </xf>
    <xf numFmtId="197" fontId="24" fillId="0" borderId="3" xfId="0" applyNumberFormat="1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2" fillId="2" borderId="17" xfId="0" applyFont="1" applyFill="1" applyBorder="1" applyAlignment="1">
      <alignment horizontal="center" vertical="center"/>
    </xf>
    <xf numFmtId="197" fontId="24" fillId="8" borderId="14" xfId="0" applyNumberFormat="1" applyFont="1" applyFill="1" applyBorder="1" applyAlignment="1">
      <alignment vertical="center"/>
    </xf>
    <xf numFmtId="205" fontId="24" fillId="0" borderId="14" xfId="0" applyNumberFormat="1" applyFont="1" applyBorder="1" applyAlignment="1">
      <alignment vertical="center"/>
    </xf>
    <xf numFmtId="197" fontId="24" fillId="0" borderId="14" xfId="0" applyNumberFormat="1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205" fontId="24" fillId="0" borderId="15" xfId="0" applyNumberFormat="1" applyFont="1" applyBorder="1" applyAlignment="1">
      <alignment vertical="center"/>
    </xf>
    <xf numFmtId="197" fontId="24" fillId="0" borderId="15" xfId="0" applyNumberFormat="1" applyFont="1" applyBorder="1" applyAlignment="1">
      <alignment vertical="center"/>
    </xf>
    <xf numFmtId="0" fontId="24" fillId="0" borderId="15" xfId="0" applyFont="1" applyBorder="1" applyAlignment="1">
      <alignment vertical="center"/>
    </xf>
    <xf numFmtId="205" fontId="24" fillId="0" borderId="16" xfId="0" applyNumberFormat="1" applyFont="1" applyBorder="1" applyAlignment="1">
      <alignment vertical="center"/>
    </xf>
    <xf numFmtId="197" fontId="24" fillId="0" borderId="16" xfId="0" applyNumberFormat="1" applyFont="1" applyBorder="1" applyAlignment="1">
      <alignment vertical="center"/>
    </xf>
    <xf numFmtId="0" fontId="24" fillId="0" borderId="16" xfId="0" applyFont="1" applyBorder="1" applyAlignment="1">
      <alignment vertical="center"/>
    </xf>
    <xf numFmtId="0" fontId="22" fillId="2" borderId="5" xfId="0" applyFont="1" applyFill="1" applyBorder="1" applyAlignment="1">
      <alignment vertical="center"/>
    </xf>
    <xf numFmtId="197" fontId="24" fillId="8" borderId="3" xfId="0" applyNumberFormat="1" applyFont="1" applyFill="1" applyBorder="1" applyAlignment="1">
      <alignment vertical="center"/>
    </xf>
    <xf numFmtId="205" fontId="24" fillId="8" borderId="3" xfId="0" applyNumberFormat="1" applyFont="1" applyFill="1" applyBorder="1" applyAlignment="1">
      <alignment vertical="center"/>
    </xf>
    <xf numFmtId="0" fontId="24" fillId="8" borderId="3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197" fontId="30" fillId="12" borderId="4" xfId="0" applyNumberFormat="1" applyFont="1" applyFill="1" applyBorder="1" applyAlignment="1">
      <alignment horizontal="center" vertical="center"/>
    </xf>
    <xf numFmtId="204" fontId="31" fillId="0" borderId="0" xfId="0" applyNumberFormat="1" applyFont="1" applyAlignment="1">
      <alignment horizontal="center" vertical="center"/>
    </xf>
    <xf numFmtId="200" fontId="24" fillId="0" borderId="0" xfId="0" applyNumberFormat="1" applyFont="1" applyAlignment="1">
      <alignment vertical="center"/>
    </xf>
    <xf numFmtId="201" fontId="22" fillId="2" borderId="6" xfId="0" applyNumberFormat="1" applyFont="1" applyFill="1" applyBorder="1" applyAlignment="1">
      <alignment horizontal="center" vertical="center"/>
    </xf>
    <xf numFmtId="202" fontId="22" fillId="2" borderId="6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203" fontId="24" fillId="0" borderId="20" xfId="0" applyNumberFormat="1" applyFont="1" applyBorder="1" applyAlignment="1">
      <alignment vertical="center"/>
    </xf>
    <xf numFmtId="203" fontId="24" fillId="0" borderId="21" xfId="0" applyNumberFormat="1" applyFont="1" applyBorder="1" applyAlignment="1">
      <alignment vertical="center"/>
    </xf>
    <xf numFmtId="203" fontId="24" fillId="0" borderId="21" xfId="0" applyNumberFormat="1" applyFont="1" applyBorder="1" applyAlignment="1">
      <alignment horizontal="center" vertical="center" shrinkToFit="1"/>
    </xf>
    <xf numFmtId="0" fontId="22" fillId="2" borderId="22" xfId="0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center" vertical="center"/>
    </xf>
    <xf numFmtId="203" fontId="23" fillId="8" borderId="15" xfId="0" applyNumberFormat="1" applyFont="1" applyFill="1" applyBorder="1" applyAlignment="1">
      <alignment vertical="center"/>
    </xf>
    <xf numFmtId="203" fontId="24" fillId="0" borderId="15" xfId="0" applyNumberFormat="1" applyFont="1" applyBorder="1" applyAlignment="1">
      <alignment vertical="center"/>
    </xf>
    <xf numFmtId="203" fontId="24" fillId="0" borderId="15" xfId="0" applyNumberFormat="1" applyFont="1" applyBorder="1" applyAlignment="1">
      <alignment horizontal="center" vertical="center" shrinkToFit="1"/>
    </xf>
    <xf numFmtId="0" fontId="22" fillId="2" borderId="24" xfId="0" applyFont="1" applyFill="1" applyBorder="1" applyAlignment="1">
      <alignment horizontal="center" vertical="center"/>
    </xf>
    <xf numFmtId="0" fontId="22" fillId="2" borderId="25" xfId="0" applyFont="1" applyFill="1" applyBorder="1" applyAlignment="1">
      <alignment horizontal="center" vertical="center"/>
    </xf>
    <xf numFmtId="203" fontId="23" fillId="8" borderId="16" xfId="0" applyNumberFormat="1" applyFont="1" applyFill="1" applyBorder="1" applyAlignment="1">
      <alignment vertical="center"/>
    </xf>
    <xf numFmtId="203" fontId="24" fillId="0" borderId="16" xfId="0" applyNumberFormat="1" applyFont="1" applyBorder="1" applyAlignment="1">
      <alignment vertical="center"/>
    </xf>
    <xf numFmtId="203" fontId="24" fillId="0" borderId="16" xfId="0" applyNumberFormat="1" applyFont="1" applyBorder="1" applyAlignment="1">
      <alignment horizontal="center" vertical="center" shrinkToFit="1"/>
    </xf>
    <xf numFmtId="203" fontId="23" fillId="8" borderId="5" xfId="0" applyNumberFormat="1" applyFont="1" applyFill="1" applyBorder="1" applyAlignment="1">
      <alignment vertical="center"/>
    </xf>
    <xf numFmtId="203" fontId="24" fillId="8" borderId="6" xfId="0" applyNumberFormat="1" applyFont="1" applyFill="1" applyBorder="1" applyAlignment="1">
      <alignment vertical="center"/>
    </xf>
    <xf numFmtId="0" fontId="22" fillId="2" borderId="5" xfId="0" applyFont="1" applyFill="1" applyBorder="1" applyAlignment="1">
      <alignment vertical="center" wrapText="1"/>
    </xf>
    <xf numFmtId="203" fontId="23" fillId="8" borderId="2" xfId="0" applyNumberFormat="1" applyFont="1" applyFill="1" applyBorder="1" applyAlignment="1">
      <alignment vertical="center"/>
    </xf>
    <xf numFmtId="203" fontId="24" fillId="8" borderId="2" xfId="0" applyNumberFormat="1" applyFont="1" applyFill="1" applyBorder="1" applyAlignment="1">
      <alignment vertical="center"/>
    </xf>
    <xf numFmtId="203" fontId="24" fillId="8" borderId="7" xfId="0" applyNumberFormat="1" applyFont="1" applyFill="1" applyBorder="1" applyAlignment="1">
      <alignment vertical="center"/>
    </xf>
    <xf numFmtId="203" fontId="24" fillId="8" borderId="2" xfId="0" applyNumberFormat="1" applyFont="1" applyFill="1" applyBorder="1" applyAlignment="1">
      <alignment horizontal="center" vertical="center" shrinkToFit="1"/>
    </xf>
    <xf numFmtId="0" fontId="22" fillId="2" borderId="5" xfId="0" applyFont="1" applyFill="1" applyBorder="1" applyAlignment="1">
      <alignment horizontal="center" vertical="center" wrapText="1"/>
    </xf>
    <xf numFmtId="203" fontId="22" fillId="2" borderId="7" xfId="0" applyNumberFormat="1" applyFont="1" applyFill="1" applyBorder="1" applyAlignment="1">
      <alignment horizontal="center" vertical="center"/>
    </xf>
    <xf numFmtId="203" fontId="22" fillId="2" borderId="26" xfId="0" applyNumberFormat="1" applyFont="1" applyFill="1" applyBorder="1" applyAlignment="1">
      <alignment horizontal="center" vertical="center"/>
    </xf>
    <xf numFmtId="203" fontId="22" fillId="2" borderId="27" xfId="0" applyNumberFormat="1" applyFont="1" applyFill="1" applyBorder="1" applyAlignment="1">
      <alignment horizontal="center" vertical="center"/>
    </xf>
    <xf numFmtId="203" fontId="24" fillId="8" borderId="14" xfId="0" applyNumberFormat="1" applyFont="1" applyFill="1" applyBorder="1" applyAlignment="1">
      <alignment horizontal="right" vertical="center"/>
    </xf>
    <xf numFmtId="203" fontId="24" fillId="0" borderId="14" xfId="0" applyNumberFormat="1" applyFont="1" applyBorder="1" applyAlignment="1">
      <alignment horizontal="right" vertical="center"/>
    </xf>
    <xf numFmtId="203" fontId="22" fillId="2" borderId="22" xfId="0" applyNumberFormat="1" applyFont="1" applyFill="1" applyBorder="1" applyAlignment="1">
      <alignment horizontal="center" vertical="center"/>
    </xf>
    <xf numFmtId="203" fontId="22" fillId="2" borderId="23" xfId="0" applyNumberFormat="1" applyFont="1" applyFill="1" applyBorder="1" applyAlignment="1">
      <alignment horizontal="center" vertical="center"/>
    </xf>
    <xf numFmtId="203" fontId="23" fillId="8" borderId="15" xfId="0" applyNumberFormat="1" applyFont="1" applyFill="1" applyBorder="1" applyAlignment="1">
      <alignment horizontal="right" vertical="center"/>
    </xf>
    <xf numFmtId="203" fontId="24" fillId="0" borderId="15" xfId="0" applyNumberFormat="1" applyFont="1" applyBorder="1" applyAlignment="1">
      <alignment horizontal="right" vertical="center"/>
    </xf>
    <xf numFmtId="203" fontId="24" fillId="0" borderId="16" xfId="0" applyNumberFormat="1" applyFont="1" applyBorder="1" applyAlignment="1">
      <alignment horizontal="right" vertical="center"/>
    </xf>
    <xf numFmtId="9" fontId="32" fillId="0" borderId="16" xfId="0" applyNumberFormat="1" applyFont="1" applyBorder="1" applyAlignment="1">
      <alignment horizontal="right" vertical="center"/>
    </xf>
    <xf numFmtId="9" fontId="33" fillId="0" borderId="16" xfId="0" applyNumberFormat="1" applyFont="1" applyBorder="1" applyAlignment="1">
      <alignment horizontal="right" vertical="center"/>
    </xf>
    <xf numFmtId="9" fontId="24" fillId="0" borderId="16" xfId="0" applyNumberFormat="1" applyFont="1" applyBorder="1" applyAlignment="1">
      <alignment horizontal="right" vertical="center"/>
    </xf>
    <xf numFmtId="203" fontId="22" fillId="2" borderId="17" xfId="0" applyNumberFormat="1" applyFont="1" applyFill="1" applyBorder="1" applyAlignment="1">
      <alignment horizontal="center" vertical="center"/>
    </xf>
    <xf numFmtId="203" fontId="22" fillId="2" borderId="1" xfId="0" applyNumberFormat="1" applyFont="1" applyFill="1" applyBorder="1" applyAlignment="1">
      <alignment horizontal="center" vertical="center"/>
    </xf>
    <xf numFmtId="203" fontId="23" fillId="8" borderId="2" xfId="0" applyNumberFormat="1" applyFont="1" applyFill="1" applyBorder="1" applyAlignment="1">
      <alignment horizontal="right" vertical="center"/>
    </xf>
    <xf numFmtId="203" fontId="24" fillId="8" borderId="5" xfId="0" applyNumberFormat="1" applyFont="1" applyFill="1" applyBorder="1" applyAlignment="1">
      <alignment horizontal="right" vertical="center"/>
    </xf>
    <xf numFmtId="203" fontId="24" fillId="8" borderId="3" xfId="0" applyNumberFormat="1" applyFont="1" applyFill="1" applyBorder="1" applyAlignment="1">
      <alignment horizontal="right" vertical="center"/>
    </xf>
    <xf numFmtId="203" fontId="24" fillId="8" borderId="6" xfId="0" applyNumberFormat="1" applyFont="1" applyFill="1" applyBorder="1" applyAlignment="1">
      <alignment horizontal="right" vertical="center"/>
    </xf>
    <xf numFmtId="203" fontId="23" fillId="8" borderId="14" xfId="0" applyNumberFormat="1" applyFont="1" applyFill="1" applyBorder="1" applyAlignment="1">
      <alignment horizontal="right" vertical="center"/>
    </xf>
    <xf numFmtId="203" fontId="22" fillId="2" borderId="24" xfId="0" applyNumberFormat="1" applyFont="1" applyFill="1" applyBorder="1" applyAlignment="1">
      <alignment horizontal="center" vertical="center"/>
    </xf>
    <xf numFmtId="203" fontId="22" fillId="2" borderId="25" xfId="0" applyNumberFormat="1" applyFont="1" applyFill="1" applyBorder="1" applyAlignment="1">
      <alignment horizontal="center" vertical="center"/>
    </xf>
    <xf numFmtId="203" fontId="23" fillId="8" borderId="16" xfId="0" applyNumberFormat="1" applyFont="1" applyFill="1" applyBorder="1" applyAlignment="1">
      <alignment horizontal="right" vertical="center"/>
    </xf>
    <xf numFmtId="203" fontId="24" fillId="0" borderId="3" xfId="0" applyNumberFormat="1" applyFont="1" applyBorder="1" applyAlignment="1">
      <alignment horizontal="right" vertical="center"/>
    </xf>
    <xf numFmtId="203" fontId="23" fillId="8" borderId="3" xfId="0" applyNumberFormat="1" applyFont="1" applyFill="1" applyBorder="1" applyAlignment="1">
      <alignment horizontal="right" vertical="center"/>
    </xf>
    <xf numFmtId="203" fontId="23" fillId="8" borderId="6" xfId="0" applyNumberFormat="1" applyFont="1" applyFill="1" applyBorder="1" applyAlignment="1">
      <alignment horizontal="right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203" fontId="23" fillId="0" borderId="3" xfId="0" applyNumberFormat="1" applyFont="1" applyBorder="1" applyAlignment="1">
      <alignment horizontal="right" vertical="center"/>
    </xf>
    <xf numFmtId="203" fontId="22" fillId="2" borderId="2" xfId="0" applyNumberFormat="1" applyFont="1" applyFill="1" applyBorder="1" applyAlignment="1">
      <alignment horizontal="center" vertical="center"/>
    </xf>
    <xf numFmtId="203" fontId="22" fillId="2" borderId="6" xfId="0" applyNumberFormat="1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203" fontId="22" fillId="2" borderId="5" xfId="0" applyNumberFormat="1" applyFont="1" applyFill="1" applyBorder="1" applyAlignment="1">
      <alignment horizontal="center" vertical="center"/>
    </xf>
    <xf numFmtId="203" fontId="23" fillId="10" borderId="5" xfId="0" applyNumberFormat="1" applyFont="1" applyFill="1" applyBorder="1" applyAlignment="1">
      <alignment vertical="center"/>
    </xf>
    <xf numFmtId="203" fontId="23" fillId="10" borderId="3" xfId="0" applyNumberFormat="1" applyFont="1" applyFill="1" applyBorder="1" applyAlignment="1">
      <alignment vertical="center"/>
    </xf>
    <xf numFmtId="203" fontId="23" fillId="10" borderId="6" xfId="0" applyNumberFormat="1" applyFont="1" applyFill="1" applyBorder="1" applyAlignment="1">
      <alignment vertical="center"/>
    </xf>
    <xf numFmtId="0" fontId="24" fillId="10" borderId="3" xfId="0" applyFont="1" applyFill="1" applyBorder="1" applyAlignment="1">
      <alignment vertical="center"/>
    </xf>
    <xf numFmtId="10" fontId="5" fillId="10" borderId="3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34" fillId="0" borderId="0" xfId="0" applyFont="1" applyAlignment="1">
      <alignment horizontal="left" vertical="center"/>
    </xf>
    <xf numFmtId="203" fontId="25" fillId="0" borderId="0" xfId="0" applyNumberFormat="1" applyFont="1" applyAlignment="1">
      <alignment vertical="center"/>
    </xf>
    <xf numFmtId="204" fontId="35" fillId="0" borderId="0" xfId="0" applyNumberFormat="1" applyFont="1" applyAlignment="1">
      <alignment horizontal="center" vertical="center"/>
    </xf>
    <xf numFmtId="203" fontId="36" fillId="0" borderId="0" xfId="0" applyNumberFormat="1" applyFont="1" applyAlignment="1">
      <alignment horizontal="left" vertical="center"/>
    </xf>
    <xf numFmtId="203" fontId="36" fillId="0" borderId="0" xfId="0" applyNumberFormat="1" applyFont="1" applyAlignment="1">
      <alignment vertical="center"/>
    </xf>
    <xf numFmtId="207" fontId="3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197" fontId="24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/>
    </xf>
    <xf numFmtId="203" fontId="25" fillId="0" borderId="0" xfId="0" applyNumberFormat="1" applyFont="1" applyAlignment="1">
      <alignment horizontal="center" vertical="center"/>
    </xf>
    <xf numFmtId="204" fontId="25" fillId="0" borderId="0" xfId="0" applyNumberFormat="1" applyFont="1" applyAlignment="1">
      <alignment vertical="center"/>
    </xf>
    <xf numFmtId="9" fontId="36" fillId="0" borderId="0" xfId="0" applyNumberFormat="1" applyFont="1" applyAlignment="1">
      <alignment horizontal="center" vertical="center"/>
    </xf>
    <xf numFmtId="203" fontId="37" fillId="0" borderId="0" xfId="0" applyNumberFormat="1" applyFont="1" applyAlignment="1">
      <alignment vertical="center"/>
    </xf>
    <xf numFmtId="203" fontId="38" fillId="0" borderId="0" xfId="0" applyNumberFormat="1" applyFont="1" applyAlignment="1">
      <alignment vertical="center"/>
    </xf>
    <xf numFmtId="203" fontId="38" fillId="0" borderId="0" xfId="0" applyNumberFormat="1" applyFont="1" applyAlignment="1">
      <alignment horizontal="center" vertical="center"/>
    </xf>
    <xf numFmtId="204" fontId="38" fillId="0" borderId="0" xfId="0" applyNumberFormat="1" applyFont="1" applyAlignment="1">
      <alignment vertical="center"/>
    </xf>
    <xf numFmtId="208" fontId="35" fillId="0" borderId="0" xfId="0" applyNumberFormat="1" applyFont="1" applyAlignment="1">
      <alignment vertical="center"/>
    </xf>
    <xf numFmtId="209" fontId="4" fillId="0" borderId="0" xfId="0" applyNumberFormat="1" applyFont="1" applyAlignment="1">
      <alignment vertical="center"/>
    </xf>
    <xf numFmtId="0" fontId="24" fillId="13" borderId="6" xfId="0" applyFont="1" applyFill="1" applyBorder="1" applyAlignment="1">
      <alignment vertical="center"/>
    </xf>
    <xf numFmtId="0" fontId="24" fillId="13" borderId="5" xfId="0" applyFont="1" applyFill="1" applyBorder="1" applyAlignment="1">
      <alignment vertical="center"/>
    </xf>
    <xf numFmtId="0" fontId="24" fillId="13" borderId="1" xfId="0" applyFont="1" applyFill="1" applyBorder="1" applyAlignment="1">
      <alignment horizontal="left" vertical="center"/>
    </xf>
    <xf numFmtId="203" fontId="23" fillId="0" borderId="3" xfId="0" applyNumberFormat="1" applyFont="1" applyBorder="1" applyAlignment="1">
      <alignment vertical="center"/>
    </xf>
    <xf numFmtId="197" fontId="24" fillId="13" borderId="6" xfId="0" applyNumberFormat="1" applyFont="1" applyFill="1" applyBorder="1" applyAlignment="1">
      <alignment horizontal="left" vertical="center"/>
    </xf>
    <xf numFmtId="0" fontId="24" fillId="13" borderId="6" xfId="0" applyFont="1" applyFill="1" applyBorder="1" applyAlignment="1">
      <alignment horizontal="left" vertical="center"/>
    </xf>
    <xf numFmtId="203" fontId="23" fillId="7" borderId="3" xfId="0" applyNumberFormat="1" applyFont="1" applyFill="1" applyBorder="1" applyAlignment="1">
      <alignment vertical="center"/>
    </xf>
    <xf numFmtId="0" fontId="24" fillId="13" borderId="5" xfId="0" applyFont="1" applyFill="1" applyBorder="1" applyAlignment="1">
      <alignment horizontal="left" vertical="center"/>
    </xf>
    <xf numFmtId="0" fontId="24" fillId="13" borderId="2" xfId="0" applyFont="1" applyFill="1" applyBorder="1" applyAlignment="1">
      <alignment vertical="center" wrapText="1"/>
    </xf>
    <xf numFmtId="0" fontId="24" fillId="13" borderId="17" xfId="0" applyFont="1" applyFill="1" applyBorder="1" applyAlignment="1">
      <alignment vertical="center" wrapText="1"/>
    </xf>
    <xf numFmtId="0" fontId="24" fillId="13" borderId="3" xfId="0" applyFont="1" applyFill="1" applyBorder="1" applyAlignment="1">
      <alignment horizontal="center" vertical="center"/>
    </xf>
    <xf numFmtId="201" fontId="24" fillId="13" borderId="3" xfId="0" applyNumberFormat="1" applyFont="1" applyFill="1" applyBorder="1" applyAlignment="1">
      <alignment horizontal="center" vertical="center"/>
    </xf>
    <xf numFmtId="202" fontId="24" fillId="13" borderId="3" xfId="0" applyNumberFormat="1" applyFont="1" applyFill="1" applyBorder="1" applyAlignment="1">
      <alignment horizontal="center" vertical="center"/>
    </xf>
    <xf numFmtId="197" fontId="24" fillId="13" borderId="6" xfId="0" applyNumberFormat="1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13" borderId="6" xfId="0" applyFont="1" applyFill="1" applyBorder="1" applyAlignment="1">
      <alignment horizontal="center" vertical="center"/>
    </xf>
    <xf numFmtId="203" fontId="24" fillId="0" borderId="3" xfId="0" applyNumberFormat="1" applyFont="1" applyBorder="1" applyAlignment="1">
      <alignment horizontal="left" vertical="center"/>
    </xf>
    <xf numFmtId="203" fontId="23" fillId="7" borderId="3" xfId="0" applyNumberFormat="1" applyFont="1" applyFill="1" applyBorder="1" applyAlignment="1">
      <alignment horizontal="left" vertical="center"/>
    </xf>
    <xf numFmtId="203" fontId="24" fillId="0" borderId="3" xfId="0" applyNumberFormat="1" applyFont="1" applyBorder="1" applyAlignment="1">
      <alignment horizontal="left" vertical="center" shrinkToFit="1"/>
    </xf>
    <xf numFmtId="203" fontId="24" fillId="7" borderId="3" xfId="0" applyNumberFormat="1" applyFont="1" applyFill="1" applyBorder="1" applyAlignment="1">
      <alignment vertical="center"/>
    </xf>
    <xf numFmtId="203" fontId="24" fillId="7" borderId="3" xfId="0" applyNumberFormat="1" applyFont="1" applyFill="1" applyBorder="1" applyAlignment="1">
      <alignment horizontal="left" vertical="center" shrinkToFit="1"/>
    </xf>
    <xf numFmtId="0" fontId="24" fillId="13" borderId="3" xfId="0" applyFont="1" applyFill="1" applyBorder="1" applyAlignment="1">
      <alignment horizontal="left" vertical="center"/>
    </xf>
    <xf numFmtId="0" fontId="24" fillId="13" borderId="17" xfId="0" applyFont="1" applyFill="1" applyBorder="1" applyAlignment="1">
      <alignment horizontal="left" vertical="center" wrapText="1"/>
    </xf>
    <xf numFmtId="0" fontId="24" fillId="13" borderId="1" xfId="0" applyFont="1" applyFill="1" applyBorder="1" applyAlignment="1">
      <alignment horizontal="center" vertical="center"/>
    </xf>
    <xf numFmtId="204" fontId="22" fillId="11" borderId="32" xfId="0" applyNumberFormat="1" applyFont="1" applyFill="1" applyBorder="1" applyAlignment="1">
      <alignment horizontal="center" vertical="center"/>
    </xf>
    <xf numFmtId="197" fontId="22" fillId="11" borderId="32" xfId="0" applyNumberFormat="1" applyFont="1" applyFill="1" applyBorder="1" applyAlignment="1">
      <alignment horizontal="center" vertical="center"/>
    </xf>
    <xf numFmtId="0" fontId="23" fillId="13" borderId="3" xfId="0" applyFont="1" applyFill="1" applyBorder="1" applyAlignment="1">
      <alignment horizontal="center" vertical="center"/>
    </xf>
    <xf numFmtId="197" fontId="23" fillId="13" borderId="3" xfId="0" applyNumberFormat="1" applyFont="1" applyFill="1" applyBorder="1" applyAlignment="1">
      <alignment horizontal="center" vertical="center"/>
    </xf>
    <xf numFmtId="201" fontId="24" fillId="13" borderId="3" xfId="0" applyNumberFormat="1" applyFont="1" applyFill="1" applyBorder="1" applyAlignment="1">
      <alignment horizontal="center" vertical="center" wrapText="1"/>
    </xf>
    <xf numFmtId="205" fontId="24" fillId="0" borderId="3" xfId="0" applyNumberFormat="1" applyFont="1" applyBorder="1" applyAlignment="1">
      <alignment horizontal="center" vertical="center"/>
    </xf>
    <xf numFmtId="205" fontId="24" fillId="7" borderId="4" xfId="0" applyNumberFormat="1" applyFont="1" applyFill="1" applyBorder="1" applyAlignment="1">
      <alignment horizontal="center" vertical="center"/>
    </xf>
    <xf numFmtId="0" fontId="39" fillId="2" borderId="22" xfId="0" applyFont="1" applyFill="1" applyBorder="1" applyAlignment="1">
      <alignment horizontal="left" vertical="center"/>
    </xf>
    <xf numFmtId="0" fontId="39" fillId="2" borderId="23" xfId="0" applyFont="1" applyFill="1" applyBorder="1" applyAlignment="1">
      <alignment horizontal="left" vertical="center"/>
    </xf>
    <xf numFmtId="0" fontId="39" fillId="2" borderId="24" xfId="0" applyFont="1" applyFill="1" applyBorder="1" applyAlignment="1">
      <alignment horizontal="left" vertical="center"/>
    </xf>
    <xf numFmtId="0" fontId="39" fillId="2" borderId="25" xfId="0" applyFont="1" applyFill="1" applyBorder="1" applyAlignment="1">
      <alignment horizontal="left" vertical="center"/>
    </xf>
    <xf numFmtId="0" fontId="39" fillId="2" borderId="6" xfId="0" applyFont="1" applyFill="1" applyBorder="1" applyAlignment="1">
      <alignment horizontal="left" vertical="center"/>
    </xf>
    <xf numFmtId="0" fontId="39" fillId="2" borderId="5" xfId="0" applyFont="1" applyFill="1" applyBorder="1" applyAlignment="1">
      <alignment horizontal="left" vertical="center"/>
    </xf>
    <xf numFmtId="0" fontId="39" fillId="2" borderId="5" xfId="0" applyFont="1" applyFill="1" applyBorder="1" applyAlignment="1">
      <alignment horizontal="left" vertical="center" wrapText="1"/>
    </xf>
    <xf numFmtId="203" fontId="39" fillId="2" borderId="7" xfId="0" applyNumberFormat="1" applyFont="1" applyFill="1" applyBorder="1" applyAlignment="1">
      <alignment horizontal="left" vertical="center"/>
    </xf>
    <xf numFmtId="203" fontId="39" fillId="2" borderId="26" xfId="0" applyNumberFormat="1" applyFont="1" applyFill="1" applyBorder="1" applyAlignment="1">
      <alignment horizontal="left" vertical="center"/>
    </xf>
    <xf numFmtId="203" fontId="39" fillId="2" borderId="27" xfId="0" applyNumberFormat="1" applyFont="1" applyFill="1" applyBorder="1" applyAlignment="1">
      <alignment horizontal="left" vertical="center"/>
    </xf>
    <xf numFmtId="203" fontId="39" fillId="2" borderId="22" xfId="0" applyNumberFormat="1" applyFont="1" applyFill="1" applyBorder="1" applyAlignment="1">
      <alignment horizontal="left" vertical="center"/>
    </xf>
    <xf numFmtId="203" fontId="39" fillId="2" borderId="23" xfId="0" applyNumberFormat="1" applyFont="1" applyFill="1" applyBorder="1" applyAlignment="1">
      <alignment horizontal="left" vertical="center"/>
    </xf>
    <xf numFmtId="203" fontId="39" fillId="2" borderId="17" xfId="0" applyNumberFormat="1" applyFont="1" applyFill="1" applyBorder="1" applyAlignment="1">
      <alignment horizontal="left" vertical="center"/>
    </xf>
    <xf numFmtId="203" fontId="39" fillId="2" borderId="1" xfId="0" applyNumberFormat="1" applyFont="1" applyFill="1" applyBorder="1" applyAlignment="1">
      <alignment horizontal="left" vertical="center"/>
    </xf>
    <xf numFmtId="203" fontId="39" fillId="2" borderId="24" xfId="0" applyNumberFormat="1" applyFont="1" applyFill="1" applyBorder="1" applyAlignment="1">
      <alignment horizontal="left" vertical="center"/>
    </xf>
    <xf numFmtId="203" fontId="39" fillId="2" borderId="25" xfId="0" applyNumberFormat="1" applyFont="1" applyFill="1" applyBorder="1" applyAlignment="1">
      <alignment horizontal="left" vertical="center"/>
    </xf>
    <xf numFmtId="0" fontId="39" fillId="2" borderId="2" xfId="0" applyFont="1" applyFill="1" applyBorder="1" applyAlignment="1">
      <alignment horizontal="left" vertical="center"/>
    </xf>
    <xf numFmtId="0" fontId="39" fillId="2" borderId="4" xfId="0" applyFont="1" applyFill="1" applyBorder="1" applyAlignment="1">
      <alignment horizontal="left" vertical="center"/>
    </xf>
    <xf numFmtId="203" fontId="39" fillId="2" borderId="2" xfId="0" applyNumberFormat="1" applyFont="1" applyFill="1" applyBorder="1" applyAlignment="1">
      <alignment horizontal="left" vertical="center"/>
    </xf>
    <xf numFmtId="203" fontId="39" fillId="2" borderId="6" xfId="0" applyNumberFormat="1" applyFont="1" applyFill="1" applyBorder="1" applyAlignment="1">
      <alignment horizontal="left" vertical="center"/>
    </xf>
    <xf numFmtId="203" fontId="39" fillId="2" borderId="5" xfId="0" applyNumberFormat="1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3" fontId="18" fillId="0" borderId="34" xfId="0" applyNumberFormat="1" applyFont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204" fontId="18" fillId="0" borderId="36" xfId="0" applyNumberFormat="1" applyFont="1" applyBorder="1" applyAlignment="1">
      <alignment vertical="center"/>
    </xf>
    <xf numFmtId="3" fontId="15" fillId="7" borderId="37" xfId="0" applyNumberFormat="1" applyFont="1" applyFill="1" applyBorder="1" applyAlignment="1">
      <alignment horizontal="center" vertical="center"/>
    </xf>
    <xf numFmtId="176" fontId="15" fillId="7" borderId="38" xfId="0" applyNumberFormat="1" applyFont="1" applyFill="1" applyBorder="1" applyAlignment="1">
      <alignment horizontal="center" vertical="center" shrinkToFit="1"/>
    </xf>
    <xf numFmtId="197" fontId="15" fillId="7" borderId="38" xfId="0" applyNumberFormat="1" applyFont="1" applyFill="1" applyBorder="1" applyAlignment="1">
      <alignment horizontal="center" vertical="center" shrinkToFit="1"/>
    </xf>
    <xf numFmtId="3" fontId="15" fillId="7" borderId="39" xfId="0" applyNumberFormat="1" applyFont="1" applyFill="1" applyBorder="1" applyAlignment="1">
      <alignment horizontal="center" vertical="center"/>
    </xf>
    <xf numFmtId="0" fontId="5" fillId="7" borderId="15" xfId="0" quotePrefix="1" applyFont="1" applyFill="1" applyBorder="1" applyAlignment="1">
      <alignment horizontal="center" vertical="center" shrinkToFit="1"/>
    </xf>
    <xf numFmtId="0" fontId="5" fillId="7" borderId="15" xfId="0" applyFont="1" applyFill="1" applyBorder="1" applyAlignment="1">
      <alignment horizontal="center" vertical="center"/>
    </xf>
    <xf numFmtId="3" fontId="18" fillId="0" borderId="40" xfId="0" applyNumberFormat="1" applyFont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204" fontId="18" fillId="0" borderId="42" xfId="0" applyNumberFormat="1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97" fontId="15" fillId="15" borderId="44" xfId="0" applyNumberFormat="1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 shrinkToFit="1"/>
    </xf>
    <xf numFmtId="212" fontId="18" fillId="0" borderId="40" xfId="0" applyNumberFormat="1" applyFont="1" applyBorder="1" applyAlignment="1">
      <alignment horizontal="left" vertical="center"/>
    </xf>
    <xf numFmtId="0" fontId="15" fillId="0" borderId="41" xfId="0" applyFont="1" applyBorder="1" applyAlignment="1">
      <alignment horizontal="center" vertical="center"/>
    </xf>
    <xf numFmtId="3" fontId="18" fillId="0" borderId="40" xfId="0" applyNumberFormat="1" applyFont="1" applyBorder="1" applyAlignment="1">
      <alignment horizontal="left" vertical="center"/>
    </xf>
    <xf numFmtId="0" fontId="5" fillId="7" borderId="49" xfId="0" applyFont="1" applyFill="1" applyBorder="1" applyAlignment="1">
      <alignment horizontal="center" vertical="center"/>
    </xf>
    <xf numFmtId="204" fontId="18" fillId="0" borderId="50" xfId="0" applyNumberFormat="1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177" fontId="5" fillId="0" borderId="0" xfId="0" applyNumberFormat="1" applyFont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15" fillId="15" borderId="56" xfId="0" applyFont="1" applyFill="1" applyBorder="1" applyAlignment="1">
      <alignment horizontal="center" vertical="center"/>
    </xf>
    <xf numFmtId="9" fontId="15" fillId="15" borderId="18" xfId="0" applyNumberFormat="1" applyFont="1" applyFill="1" applyBorder="1" applyAlignment="1">
      <alignment horizontal="center" vertical="center"/>
    </xf>
    <xf numFmtId="197" fontId="15" fillId="15" borderId="57" xfId="0" applyNumberFormat="1" applyFont="1" applyFill="1" applyBorder="1" applyAlignment="1">
      <alignment horizontal="center" vertical="center"/>
    </xf>
    <xf numFmtId="9" fontId="18" fillId="0" borderId="0" xfId="0" applyNumberFormat="1" applyFont="1" applyAlignment="1">
      <alignment vertical="center"/>
    </xf>
    <xf numFmtId="215" fontId="45" fillId="0" borderId="0" xfId="0" applyNumberFormat="1" applyFont="1" applyAlignment="1">
      <alignment vertical="center"/>
    </xf>
    <xf numFmtId="9" fontId="18" fillId="0" borderId="0" xfId="0" applyNumberFormat="1" applyFont="1" applyAlignment="1">
      <alignment horizontal="left" vertical="center"/>
    </xf>
    <xf numFmtId="197" fontId="18" fillId="0" borderId="0" xfId="0" applyNumberFormat="1" applyFont="1" applyAlignment="1">
      <alignment horizontal="center" vertical="center"/>
    </xf>
    <xf numFmtId="197" fontId="18" fillId="0" borderId="0" xfId="0" applyNumberFormat="1" applyFont="1" applyAlignment="1">
      <alignment vertical="center"/>
    </xf>
    <xf numFmtId="0" fontId="4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9" fontId="15" fillId="0" borderId="0" xfId="0" applyNumberFormat="1" applyFont="1" applyAlignment="1">
      <alignment horizontal="right" vertical="center"/>
    </xf>
    <xf numFmtId="197" fontId="15" fillId="0" borderId="0" xfId="0" applyNumberFormat="1" applyFont="1" applyAlignment="1">
      <alignment horizontal="center" vertical="center"/>
    </xf>
    <xf numFmtId="215" fontId="47" fillId="0" borderId="0" xfId="0" applyNumberFormat="1" applyFont="1" applyAlignment="1">
      <alignment horizontal="center" vertical="center"/>
    </xf>
    <xf numFmtId="0" fontId="18" fillId="0" borderId="60" xfId="0" applyFont="1" applyBorder="1" applyAlignment="1">
      <alignment vertical="center"/>
    </xf>
    <xf numFmtId="0" fontId="5" fillId="7" borderId="63" xfId="0" applyFont="1" applyFill="1" applyBorder="1" applyAlignment="1">
      <alignment horizontal="center" vertical="center"/>
    </xf>
    <xf numFmtId="10" fontId="41" fillId="0" borderId="60" xfId="0" applyNumberFormat="1" applyFont="1" applyBorder="1" applyAlignment="1">
      <alignment horizontal="center" vertical="center"/>
    </xf>
    <xf numFmtId="0" fontId="5" fillId="7" borderId="63" xfId="0" quotePrefix="1" applyFont="1" applyFill="1" applyBorder="1" applyAlignment="1">
      <alignment horizontal="center" vertical="center" shrinkToFit="1"/>
    </xf>
    <xf numFmtId="177" fontId="15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204" fontId="48" fillId="0" borderId="0" xfId="0" applyNumberFormat="1" applyFont="1" applyAlignment="1">
      <alignment vertical="center"/>
    </xf>
    <xf numFmtId="197" fontId="48" fillId="0" borderId="0" xfId="0" applyNumberFormat="1" applyFont="1" applyAlignment="1">
      <alignment vertical="center"/>
    </xf>
    <xf numFmtId="197" fontId="46" fillId="0" borderId="0" xfId="0" applyNumberFormat="1" applyFont="1" applyAlignment="1">
      <alignment vertical="center"/>
    </xf>
    <xf numFmtId="197" fontId="46" fillId="16" borderId="32" xfId="0" applyNumberFormat="1" applyFont="1" applyFill="1" applyBorder="1" applyAlignment="1">
      <alignment horizontal="center" vertical="center"/>
    </xf>
    <xf numFmtId="197" fontId="49" fillId="16" borderId="32" xfId="0" applyNumberFormat="1" applyFont="1" applyFill="1" applyBorder="1" applyAlignment="1">
      <alignment horizontal="center" vertical="center"/>
    </xf>
    <xf numFmtId="197" fontId="49" fillId="0" borderId="0" xfId="0" applyNumberFormat="1" applyFont="1" applyAlignment="1">
      <alignment horizontal="center" vertical="center"/>
    </xf>
    <xf numFmtId="10" fontId="50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216" fontId="46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3" fillId="17" borderId="65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3" fillId="2" borderId="71" xfId="0" applyFont="1" applyFill="1" applyBorder="1" applyAlignment="1">
      <alignment horizontal="center" vertical="center"/>
    </xf>
    <xf numFmtId="0" fontId="3" fillId="2" borderId="72" xfId="0" applyFont="1" applyFill="1" applyBorder="1" applyAlignment="1">
      <alignment horizontal="center" vertical="center"/>
    </xf>
    <xf numFmtId="0" fontId="3" fillId="17" borderId="76" xfId="0" applyFont="1" applyFill="1" applyBorder="1" applyAlignment="1">
      <alignment horizontal="center" vertical="center"/>
    </xf>
    <xf numFmtId="0" fontId="3" fillId="2" borderId="78" xfId="0" applyFont="1" applyFill="1" applyBorder="1" applyAlignment="1">
      <alignment horizontal="center" vertical="center"/>
    </xf>
    <xf numFmtId="0" fontId="45" fillId="17" borderId="79" xfId="0" applyFont="1" applyFill="1" applyBorder="1" applyAlignment="1">
      <alignment horizontal="center" vertical="center"/>
    </xf>
    <xf numFmtId="0" fontId="45" fillId="2" borderId="79" xfId="0" applyFont="1" applyFill="1" applyBorder="1" applyAlignment="1">
      <alignment horizontal="center" vertical="center" shrinkToFit="1"/>
    </xf>
    <xf numFmtId="0" fontId="45" fillId="2" borderId="80" xfId="0" applyFont="1" applyFill="1" applyBorder="1" applyAlignment="1">
      <alignment horizontal="center" vertical="center" shrinkToFit="1"/>
    </xf>
    <xf numFmtId="0" fontId="45" fillId="2" borderId="81" xfId="0" applyFont="1" applyFill="1" applyBorder="1" applyAlignment="1">
      <alignment horizontal="center" vertical="center" shrinkToFit="1"/>
    </xf>
    <xf numFmtId="0" fontId="45" fillId="2" borderId="79" xfId="0" applyFont="1" applyFill="1" applyBorder="1" applyAlignment="1">
      <alignment horizontal="center" vertical="center"/>
    </xf>
    <xf numFmtId="0" fontId="45" fillId="4" borderId="79" xfId="0" applyFont="1" applyFill="1" applyBorder="1" applyAlignment="1">
      <alignment horizontal="center" vertical="center"/>
    </xf>
    <xf numFmtId="0" fontId="45" fillId="2" borderId="82" xfId="0" applyFont="1" applyFill="1" applyBorder="1" applyAlignment="1">
      <alignment horizontal="center" vertical="center"/>
    </xf>
    <xf numFmtId="0" fontId="45" fillId="2" borderId="83" xfId="0" applyFont="1" applyFill="1" applyBorder="1" applyAlignment="1">
      <alignment horizontal="center" vertical="center"/>
    </xf>
    <xf numFmtId="197" fontId="45" fillId="2" borderId="84" xfId="0" applyNumberFormat="1" applyFont="1" applyFill="1" applyBorder="1" applyAlignment="1">
      <alignment horizontal="center" vertical="center"/>
    </xf>
    <xf numFmtId="0" fontId="18" fillId="18" borderId="32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217" fontId="5" fillId="7" borderId="1" xfId="0" applyNumberFormat="1" applyFont="1" applyFill="1" applyBorder="1" applyAlignment="1">
      <alignment horizontal="center" vertical="center"/>
    </xf>
    <xf numFmtId="0" fontId="5" fillId="7" borderId="85" xfId="0" applyFont="1" applyFill="1" applyBorder="1" applyAlignment="1">
      <alignment vertical="center"/>
    </xf>
    <xf numFmtId="218" fontId="5" fillId="7" borderId="1" xfId="0" applyNumberFormat="1" applyFont="1" applyFill="1" applyBorder="1" applyAlignment="1">
      <alignment horizontal="center" vertical="center"/>
    </xf>
    <xf numFmtId="197" fontId="18" fillId="7" borderId="1" xfId="0" applyNumberFormat="1" applyFont="1" applyFill="1" applyBorder="1" applyAlignment="1">
      <alignment horizontal="center" vertical="center"/>
    </xf>
    <xf numFmtId="197" fontId="18" fillId="7" borderId="1" xfId="0" applyNumberFormat="1" applyFont="1" applyFill="1" applyBorder="1" applyAlignment="1">
      <alignment horizontal="left" vertical="center"/>
    </xf>
    <xf numFmtId="197" fontId="52" fillId="7" borderId="1" xfId="0" applyNumberFormat="1" applyFont="1" applyFill="1" applyBorder="1" applyAlignment="1">
      <alignment horizontal="right" vertical="center"/>
    </xf>
    <xf numFmtId="197" fontId="18" fillId="7" borderId="85" xfId="0" applyNumberFormat="1" applyFont="1" applyFill="1" applyBorder="1" applyAlignment="1">
      <alignment horizontal="left" vertical="center"/>
    </xf>
    <xf numFmtId="204" fontId="5" fillId="7" borderId="86" xfId="0" applyNumberFormat="1" applyFont="1" applyFill="1" applyBorder="1" applyAlignment="1">
      <alignment horizontal="center" vertical="center"/>
    </xf>
    <xf numFmtId="197" fontId="53" fillId="7" borderId="87" xfId="0" applyNumberFormat="1" applyFont="1" applyFill="1" applyBorder="1" applyAlignment="1">
      <alignment horizontal="right" vertical="center"/>
    </xf>
    <xf numFmtId="38" fontId="18" fillId="7" borderId="88" xfId="0" applyNumberFormat="1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204" fontId="18" fillId="0" borderId="21" xfId="0" applyNumberFormat="1" applyFont="1" applyBorder="1" applyAlignment="1">
      <alignment horizontal="center" vertical="center"/>
    </xf>
    <xf numFmtId="197" fontId="18" fillId="8" borderId="94" xfId="0" applyNumberFormat="1" applyFont="1" applyFill="1" applyBorder="1" applyAlignment="1">
      <alignment vertical="center"/>
    </xf>
    <xf numFmtId="0" fontId="5" fillId="16" borderId="15" xfId="0" applyFont="1" applyFill="1" applyBorder="1" applyAlignment="1">
      <alignment horizontal="center" vertical="center"/>
    </xf>
    <xf numFmtId="195" fontId="18" fillId="15" borderId="22" xfId="0" applyNumberFormat="1" applyFont="1" applyFill="1" applyBorder="1" applyAlignment="1">
      <alignment horizontal="center" vertical="center"/>
    </xf>
    <xf numFmtId="0" fontId="18" fillId="15" borderId="23" xfId="0" applyFont="1" applyFill="1" applyBorder="1" applyAlignment="1">
      <alignment vertical="center"/>
    </xf>
    <xf numFmtId="204" fontId="18" fillId="0" borderId="15" xfId="0" applyNumberFormat="1" applyFont="1" applyBorder="1" applyAlignment="1">
      <alignment horizontal="center" vertical="center"/>
    </xf>
    <xf numFmtId="197" fontId="18" fillId="8" borderId="95" xfId="0" applyNumberFormat="1" applyFont="1" applyFill="1" applyBorder="1" applyAlignment="1">
      <alignment vertical="center"/>
    </xf>
    <xf numFmtId="197" fontId="55" fillId="7" borderId="1" xfId="0" applyNumberFormat="1" applyFont="1" applyFill="1" applyBorder="1" applyAlignment="1">
      <alignment horizontal="left" vertical="center"/>
    </xf>
    <xf numFmtId="197" fontId="56" fillId="7" borderId="1" xfId="0" applyNumberFormat="1" applyFont="1" applyFill="1" applyBorder="1" applyAlignment="1">
      <alignment vertical="center"/>
    </xf>
    <xf numFmtId="197" fontId="18" fillId="7" borderId="1" xfId="0" applyNumberFormat="1" applyFont="1" applyFill="1" applyBorder="1" applyAlignment="1">
      <alignment horizontal="right" vertical="center"/>
    </xf>
    <xf numFmtId="197" fontId="18" fillId="7" borderId="5" xfId="0" applyNumberFormat="1" applyFont="1" applyFill="1" applyBorder="1" applyAlignment="1">
      <alignment horizontal="left" vertical="center"/>
    </xf>
    <xf numFmtId="204" fontId="5" fillId="7" borderId="3" xfId="0" applyNumberFormat="1" applyFont="1" applyFill="1" applyBorder="1" applyAlignment="1">
      <alignment horizontal="center" vertical="center"/>
    </xf>
    <xf numFmtId="197" fontId="53" fillId="7" borderId="98" xfId="0" applyNumberFormat="1" applyFont="1" applyFill="1" applyBorder="1" applyAlignment="1">
      <alignment horizontal="right" vertical="center"/>
    </xf>
    <xf numFmtId="197" fontId="18" fillId="6" borderId="101" xfId="0" applyNumberFormat="1" applyFont="1" applyFill="1" applyBorder="1" applyAlignment="1">
      <alignment horizontal="right" vertical="center"/>
    </xf>
    <xf numFmtId="196" fontId="5" fillId="16" borderId="15" xfId="0" applyNumberFormat="1" applyFont="1" applyFill="1" applyBorder="1" applyAlignment="1">
      <alignment horizontal="center" vertical="center"/>
    </xf>
    <xf numFmtId="197" fontId="5" fillId="0" borderId="42" xfId="0" applyNumberFormat="1" applyFont="1" applyBorder="1" applyAlignment="1">
      <alignment horizontal="center" vertical="center"/>
    </xf>
    <xf numFmtId="38" fontId="41" fillId="7" borderId="102" xfId="0" applyNumberFormat="1" applyFont="1" applyFill="1" applyBorder="1" applyAlignment="1">
      <alignment horizontal="center" vertical="center"/>
    </xf>
    <xf numFmtId="205" fontId="18" fillId="7" borderId="26" xfId="0" applyNumberFormat="1" applyFont="1" applyFill="1" applyBorder="1" applyAlignment="1">
      <alignment vertical="center"/>
    </xf>
    <xf numFmtId="197" fontId="18" fillId="7" borderId="92" xfId="0" quotePrefix="1" applyNumberFormat="1" applyFont="1" applyFill="1" applyBorder="1" applyAlignment="1">
      <alignment horizontal="left" vertical="center"/>
    </xf>
    <xf numFmtId="197" fontId="5" fillId="7" borderId="92" xfId="0" applyNumberFormat="1" applyFont="1" applyFill="1" applyBorder="1" applyAlignment="1">
      <alignment vertical="center"/>
    </xf>
    <xf numFmtId="197" fontId="18" fillId="7" borderId="92" xfId="0" applyNumberFormat="1" applyFont="1" applyFill="1" applyBorder="1" applyAlignment="1">
      <alignment horizontal="left" vertical="center"/>
    </xf>
    <xf numFmtId="204" fontId="5" fillId="0" borderId="3" xfId="0" applyNumberFormat="1" applyFont="1" applyBorder="1" applyAlignment="1">
      <alignment horizontal="center" vertical="center"/>
    </xf>
    <xf numFmtId="197" fontId="18" fillId="0" borderId="98" xfId="0" applyNumberFormat="1" applyFont="1" applyBorder="1" applyAlignment="1">
      <alignment horizontal="right" vertical="center"/>
    </xf>
    <xf numFmtId="38" fontId="18" fillId="7" borderId="103" xfId="0" applyNumberFormat="1" applyFont="1" applyFill="1" applyBorder="1" applyAlignment="1">
      <alignment horizontal="center" vertical="center"/>
    </xf>
    <xf numFmtId="197" fontId="18" fillId="0" borderId="8" xfId="0" applyNumberFormat="1" applyFont="1" applyBorder="1" applyAlignment="1">
      <alignment horizontal="right" vertical="center"/>
    </xf>
    <xf numFmtId="197" fontId="18" fillId="8" borderId="90" xfId="0" applyNumberFormat="1" applyFont="1" applyFill="1" applyBorder="1" applyAlignment="1">
      <alignment vertical="center"/>
    </xf>
    <xf numFmtId="197" fontId="18" fillId="8" borderId="91" xfId="0" applyNumberFormat="1" applyFont="1" applyFill="1" applyBorder="1" applyAlignment="1">
      <alignment vertical="center"/>
    </xf>
    <xf numFmtId="197" fontId="3" fillId="17" borderId="6" xfId="0" applyNumberFormat="1" applyFont="1" applyFill="1" applyBorder="1" applyAlignment="1">
      <alignment horizontal="center" vertical="center"/>
    </xf>
    <xf numFmtId="10" fontId="3" fillId="17" borderId="1" xfId="0" applyNumberFormat="1" applyFont="1" applyFill="1" applyBorder="1" applyAlignment="1">
      <alignment horizontal="center" vertical="center"/>
    </xf>
    <xf numFmtId="197" fontId="3" fillId="17" borderId="1" xfId="0" applyNumberFormat="1" applyFont="1" applyFill="1" applyBorder="1" applyAlignment="1">
      <alignment horizontal="center" vertical="center"/>
    </xf>
    <xf numFmtId="222" fontId="45" fillId="17" borderId="5" xfId="0" applyNumberFormat="1" applyFont="1" applyFill="1" applyBorder="1" applyAlignment="1">
      <alignment horizontal="center" vertical="center" shrinkToFit="1"/>
    </xf>
    <xf numFmtId="9" fontId="3" fillId="17" borderId="3" xfId="0" applyNumberFormat="1" applyFont="1" applyFill="1" applyBorder="1" applyAlignment="1">
      <alignment horizontal="center" vertical="center"/>
    </xf>
    <xf numFmtId="38" fontId="54" fillId="5" borderId="104" xfId="0" applyNumberFormat="1" applyFont="1" applyFill="1" applyBorder="1" applyAlignment="1">
      <alignment horizontal="center" vertical="center"/>
    </xf>
    <xf numFmtId="197" fontId="54" fillId="5" borderId="105" xfId="0" applyNumberFormat="1" applyFont="1" applyFill="1" applyBorder="1" applyAlignment="1">
      <alignment vertical="center"/>
    </xf>
    <xf numFmtId="197" fontId="54" fillId="5" borderId="91" xfId="0" applyNumberFormat="1" applyFont="1" applyFill="1" applyBorder="1" applyAlignment="1">
      <alignment vertical="center"/>
    </xf>
    <xf numFmtId="197" fontId="54" fillId="5" borderId="106" xfId="0" applyNumberFormat="1" applyFont="1" applyFill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204" fontId="18" fillId="0" borderId="14" xfId="0" applyNumberFormat="1" applyFont="1" applyBorder="1" applyAlignment="1">
      <alignment horizontal="center" vertical="center"/>
    </xf>
    <xf numFmtId="197" fontId="5" fillId="0" borderId="4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97" fontId="18" fillId="0" borderId="11" xfId="0" applyNumberFormat="1" applyFont="1" applyBorder="1" applyAlignment="1">
      <alignment horizontal="left" vertical="center"/>
    </xf>
    <xf numFmtId="197" fontId="18" fillId="0" borderId="11" xfId="0" applyNumberFormat="1" applyFont="1" applyBorder="1" applyAlignment="1">
      <alignment vertical="center"/>
    </xf>
    <xf numFmtId="222" fontId="18" fillId="0" borderId="11" xfId="0" applyNumberFormat="1" applyFont="1" applyBorder="1" applyAlignment="1">
      <alignment horizontal="center" vertical="center" shrinkToFit="1"/>
    </xf>
    <xf numFmtId="204" fontId="18" fillId="0" borderId="16" xfId="0" applyNumberFormat="1" applyFont="1" applyBorder="1" applyAlignment="1">
      <alignment horizontal="center" vertical="center"/>
    </xf>
    <xf numFmtId="197" fontId="5" fillId="0" borderId="107" xfId="0" applyNumberFormat="1" applyFont="1" applyBorder="1" applyAlignment="1">
      <alignment horizontal="center" vertical="center"/>
    </xf>
    <xf numFmtId="204" fontId="18" fillId="0" borderId="3" xfId="0" applyNumberFormat="1" applyFont="1" applyBorder="1" applyAlignment="1">
      <alignment horizontal="center" vertical="center"/>
    </xf>
    <xf numFmtId="197" fontId="5" fillId="0" borderId="98" xfId="0" applyNumberFormat="1" applyFont="1" applyBorder="1" applyAlignment="1">
      <alignment horizontal="center" vertical="center"/>
    </xf>
    <xf numFmtId="197" fontId="18" fillId="0" borderId="11" xfId="0" quotePrefix="1" applyNumberFormat="1" applyFont="1" applyBorder="1" applyAlignment="1">
      <alignment horizontal="left" vertical="center"/>
    </xf>
    <xf numFmtId="197" fontId="41" fillId="0" borderId="11" xfId="0" applyNumberFormat="1" applyFont="1" applyBorder="1" applyAlignment="1">
      <alignment vertical="center"/>
    </xf>
    <xf numFmtId="0" fontId="5" fillId="7" borderId="5" xfId="0" applyFont="1" applyFill="1" applyBorder="1" applyAlignment="1">
      <alignment horizontal="center" vertical="center"/>
    </xf>
    <xf numFmtId="205" fontId="18" fillId="7" borderId="6" xfId="0" applyNumberFormat="1" applyFont="1" applyFill="1" applyBorder="1" applyAlignment="1">
      <alignment vertical="center"/>
    </xf>
    <xf numFmtId="197" fontId="18" fillId="7" borderId="1" xfId="0" applyNumberFormat="1" applyFont="1" applyFill="1" applyBorder="1" applyAlignment="1">
      <alignment vertical="center"/>
    </xf>
    <xf numFmtId="222" fontId="18" fillId="7" borderId="1" xfId="0" applyNumberFormat="1" applyFont="1" applyFill="1" applyBorder="1" applyAlignment="1">
      <alignment horizontal="center" vertical="center" shrinkToFit="1"/>
    </xf>
    <xf numFmtId="204" fontId="18" fillId="7" borderId="3" xfId="0" applyNumberFormat="1" applyFont="1" applyFill="1" applyBorder="1" applyAlignment="1">
      <alignment horizontal="center" vertical="center"/>
    </xf>
    <xf numFmtId="197" fontId="5" fillId="7" borderId="98" xfId="0" applyNumberFormat="1" applyFont="1" applyFill="1" applyBorder="1" applyAlignment="1">
      <alignment horizontal="center" vertical="center"/>
    </xf>
    <xf numFmtId="197" fontId="18" fillId="8" borderId="105" xfId="0" applyNumberFormat="1" applyFont="1" applyFill="1" applyBorder="1" applyAlignment="1">
      <alignment vertical="center"/>
    </xf>
    <xf numFmtId="197" fontId="18" fillId="8" borderId="108" xfId="0" applyNumberFormat="1" applyFont="1" applyFill="1" applyBorder="1" applyAlignment="1">
      <alignment vertical="center"/>
    </xf>
    <xf numFmtId="205" fontId="3" fillId="2" borderId="6" xfId="0" applyNumberFormat="1" applyFont="1" applyFill="1" applyBorder="1" applyAlignment="1">
      <alignment vertical="center"/>
    </xf>
    <xf numFmtId="197" fontId="45" fillId="2" borderId="1" xfId="0" applyNumberFormat="1" applyFont="1" applyFill="1" applyBorder="1" applyAlignment="1">
      <alignment horizontal="left" vertical="center"/>
    </xf>
    <xf numFmtId="197" fontId="3" fillId="2" borderId="1" xfId="0" applyNumberFormat="1" applyFont="1" applyFill="1" applyBorder="1" applyAlignment="1">
      <alignment vertical="center"/>
    </xf>
    <xf numFmtId="197" fontId="45" fillId="2" borderId="1" xfId="0" applyNumberFormat="1" applyFont="1" applyFill="1" applyBorder="1" applyAlignment="1">
      <alignment vertical="center"/>
    </xf>
    <xf numFmtId="204" fontId="45" fillId="2" borderId="3" xfId="0" applyNumberFormat="1" applyFont="1" applyFill="1" applyBorder="1" applyAlignment="1">
      <alignment horizontal="center" vertical="center"/>
    </xf>
    <xf numFmtId="197" fontId="3" fillId="2" borderId="98" xfId="0" applyNumberFormat="1" applyFont="1" applyFill="1" applyBorder="1" applyAlignment="1">
      <alignment horizontal="right" vertical="center"/>
    </xf>
    <xf numFmtId="38" fontId="18" fillId="7" borderId="109" xfId="0" applyNumberFormat="1" applyFont="1" applyFill="1" applyBorder="1" applyAlignment="1">
      <alignment horizontal="right" vertical="center"/>
    </xf>
    <xf numFmtId="197" fontId="18" fillId="7" borderId="110" xfId="0" applyNumberFormat="1" applyFont="1" applyFill="1" applyBorder="1" applyAlignment="1">
      <alignment horizontal="right" vertical="center"/>
    </xf>
    <xf numFmtId="197" fontId="18" fillId="19" borderId="111" xfId="0" applyNumberFormat="1" applyFont="1" applyFill="1" applyBorder="1" applyAlignment="1">
      <alignment vertical="center"/>
    </xf>
    <xf numFmtId="197" fontId="18" fillId="19" borderId="112" xfId="0" applyNumberFormat="1" applyFont="1" applyFill="1" applyBorder="1" applyAlignment="1">
      <alignment vertical="center"/>
    </xf>
    <xf numFmtId="0" fontId="3" fillId="17" borderId="113" xfId="0" applyFont="1" applyFill="1" applyBorder="1" applyAlignment="1">
      <alignment horizontal="center" vertical="center" textRotation="255"/>
    </xf>
    <xf numFmtId="0" fontId="5" fillId="15" borderId="26" xfId="0" quotePrefix="1" applyFont="1" applyFill="1" applyBorder="1" applyAlignment="1">
      <alignment horizontal="left" vertical="center"/>
    </xf>
    <xf numFmtId="0" fontId="5" fillId="15" borderId="27" xfId="0" applyFont="1" applyFill="1" applyBorder="1" applyAlignment="1">
      <alignment horizontal="center" vertical="center"/>
    </xf>
    <xf numFmtId="38" fontId="18" fillId="7" borderId="114" xfId="0" applyNumberFormat="1" applyFont="1" applyFill="1" applyBorder="1" applyAlignment="1">
      <alignment vertical="center"/>
    </xf>
    <xf numFmtId="197" fontId="18" fillId="0" borderId="97" xfId="0" applyNumberFormat="1" applyFont="1" applyBorder="1" applyAlignment="1">
      <alignment vertical="center"/>
    </xf>
    <xf numFmtId="197" fontId="18" fillId="19" borderId="93" xfId="0" applyNumberFormat="1" applyFont="1" applyFill="1" applyBorder="1" applyAlignment="1">
      <alignment vertical="center"/>
    </xf>
    <xf numFmtId="197" fontId="18" fillId="19" borderId="115" xfId="0" applyNumberFormat="1" applyFont="1" applyFill="1" applyBorder="1" applyAlignment="1">
      <alignment vertical="center"/>
    </xf>
    <xf numFmtId="0" fontId="5" fillId="15" borderId="17" xfId="0" quotePrefix="1" applyFont="1" applyFill="1" applyBorder="1" applyAlignment="1">
      <alignment horizontal="left" vertical="center"/>
    </xf>
    <xf numFmtId="197" fontId="18" fillId="19" borderId="95" xfId="0" applyNumberFormat="1" applyFont="1" applyFill="1" applyBorder="1" applyAlignment="1">
      <alignment vertical="center"/>
    </xf>
    <xf numFmtId="197" fontId="18" fillId="19" borderId="94" xfId="0" applyNumberFormat="1" applyFont="1" applyFill="1" applyBorder="1" applyAlignment="1">
      <alignment vertical="center"/>
    </xf>
    <xf numFmtId="197" fontId="56" fillId="0" borderId="42" xfId="0" applyNumberFormat="1" applyFont="1" applyBorder="1" applyAlignment="1">
      <alignment horizontal="right" vertical="center"/>
    </xf>
    <xf numFmtId="197" fontId="18" fillId="0" borderId="0" xfId="0" applyNumberFormat="1" applyFont="1" applyAlignment="1">
      <alignment horizontal="left" vertical="center"/>
    </xf>
    <xf numFmtId="204" fontId="18" fillId="0" borderId="54" xfId="0" applyNumberFormat="1" applyFont="1" applyBorder="1" applyAlignment="1">
      <alignment horizontal="center" vertical="center"/>
    </xf>
    <xf numFmtId="197" fontId="56" fillId="7" borderId="98" xfId="0" applyNumberFormat="1" applyFont="1" applyFill="1" applyBorder="1" applyAlignment="1">
      <alignment horizontal="right" vertical="center"/>
    </xf>
    <xf numFmtId="38" fontId="18" fillId="7" borderId="117" xfId="0" applyNumberFormat="1" applyFont="1" applyFill="1" applyBorder="1" applyAlignment="1">
      <alignment vertical="center"/>
    </xf>
    <xf numFmtId="197" fontId="18" fillId="7" borderId="118" xfId="0" applyNumberFormat="1" applyFont="1" applyFill="1" applyBorder="1" applyAlignment="1">
      <alignment vertical="center"/>
    </xf>
    <xf numFmtId="197" fontId="18" fillId="19" borderId="119" xfId="0" applyNumberFormat="1" applyFont="1" applyFill="1" applyBorder="1" applyAlignment="1">
      <alignment vertical="center"/>
    </xf>
    <xf numFmtId="197" fontId="18" fillId="19" borderId="120" xfId="0" applyNumberFormat="1" applyFont="1" applyFill="1" applyBorder="1" applyAlignment="1">
      <alignment vertical="center"/>
    </xf>
    <xf numFmtId="0" fontId="5" fillId="15" borderId="26" xfId="0" applyFont="1" applyFill="1" applyBorder="1" applyAlignment="1">
      <alignment horizontal="left" vertical="center"/>
    </xf>
    <xf numFmtId="0" fontId="5" fillId="15" borderId="27" xfId="0" applyFont="1" applyFill="1" applyBorder="1" applyAlignment="1">
      <alignment horizontal="left" vertical="center"/>
    </xf>
    <xf numFmtId="38" fontId="18" fillId="7" borderId="121" xfId="0" applyNumberFormat="1" applyFont="1" applyFill="1" applyBorder="1" applyAlignment="1">
      <alignment vertical="center"/>
    </xf>
    <xf numFmtId="197" fontId="18" fillId="0" borderId="122" xfId="0" applyNumberFormat="1" applyFont="1" applyBorder="1" applyAlignment="1">
      <alignment vertical="center"/>
    </xf>
    <xf numFmtId="0" fontId="62" fillId="0" borderId="47" xfId="0" applyFont="1" applyBorder="1" applyAlignment="1">
      <alignment horizontal="left" vertical="center"/>
    </xf>
    <xf numFmtId="197" fontId="18" fillId="0" borderId="47" xfId="0" applyNumberFormat="1" applyFont="1" applyBorder="1" applyAlignment="1">
      <alignment vertical="center"/>
    </xf>
    <xf numFmtId="0" fontId="5" fillId="15" borderId="22" xfId="0" quotePrefix="1" applyFont="1" applyFill="1" applyBorder="1" applyAlignment="1">
      <alignment horizontal="left" vertical="center"/>
    </xf>
    <xf numFmtId="0" fontId="5" fillId="15" borderId="23" xfId="0" applyFont="1" applyFill="1" applyBorder="1" applyAlignment="1">
      <alignment horizontal="left" vertical="center"/>
    </xf>
    <xf numFmtId="0" fontId="5" fillId="15" borderId="22" xfId="0" applyFont="1" applyFill="1" applyBorder="1" applyAlignment="1">
      <alignment horizontal="left" vertical="center"/>
    </xf>
    <xf numFmtId="0" fontId="5" fillId="15" borderId="23" xfId="0" applyFont="1" applyFill="1" applyBorder="1" applyAlignment="1">
      <alignment horizontal="center" vertical="center"/>
    </xf>
    <xf numFmtId="0" fontId="5" fillId="15" borderId="24" xfId="0" applyFont="1" applyFill="1" applyBorder="1" applyAlignment="1">
      <alignment horizontal="left" vertical="center"/>
    </xf>
    <xf numFmtId="197" fontId="41" fillId="0" borderId="0" xfId="0" applyNumberFormat="1" applyFont="1" applyAlignment="1">
      <alignment vertical="center"/>
    </xf>
    <xf numFmtId="197" fontId="18" fillId="0" borderId="11" xfId="0" applyNumberFormat="1" applyFont="1" applyBorder="1" applyAlignment="1">
      <alignment horizontal="center" vertical="center"/>
    </xf>
    <xf numFmtId="197" fontId="5" fillId="0" borderId="107" xfId="0" applyNumberFormat="1" applyFont="1" applyBorder="1" applyAlignment="1">
      <alignment horizontal="right" vertical="center"/>
    </xf>
    <xf numFmtId="0" fontId="5" fillId="4" borderId="5" xfId="0" applyFont="1" applyFill="1" applyBorder="1" applyAlignment="1">
      <alignment horizontal="center" vertical="center"/>
    </xf>
    <xf numFmtId="204" fontId="18" fillId="7" borderId="2" xfId="0" applyNumberFormat="1" applyFont="1" applyFill="1" applyBorder="1" applyAlignment="1">
      <alignment horizontal="center" vertical="center"/>
    </xf>
    <xf numFmtId="197" fontId="18" fillId="19" borderId="90" xfId="0" applyNumberFormat="1" applyFont="1" applyFill="1" applyBorder="1" applyAlignment="1">
      <alignment vertical="center"/>
    </xf>
    <xf numFmtId="197" fontId="18" fillId="19" borderId="91" xfId="0" applyNumberFormat="1" applyFont="1" applyFill="1" applyBorder="1" applyAlignment="1">
      <alignment vertical="center"/>
    </xf>
    <xf numFmtId="197" fontId="56" fillId="0" borderId="44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97" fontId="40" fillId="0" borderId="42" xfId="0" applyNumberFormat="1" applyFont="1" applyBorder="1" applyAlignment="1">
      <alignment horizontal="right" vertical="center"/>
    </xf>
    <xf numFmtId="0" fontId="5" fillId="0" borderId="47" xfId="0" applyFont="1" applyBorder="1" applyAlignment="1">
      <alignment horizontal="center" vertical="center"/>
    </xf>
    <xf numFmtId="0" fontId="5" fillId="15" borderId="23" xfId="0" applyFont="1" applyFill="1" applyBorder="1" applyAlignment="1">
      <alignment horizontal="left" vertical="center" shrinkToFit="1"/>
    </xf>
    <xf numFmtId="0" fontId="5" fillId="15" borderId="116" xfId="0" applyFont="1" applyFill="1" applyBorder="1" applyAlignment="1">
      <alignment horizontal="left" vertical="center" shrinkToFit="1"/>
    </xf>
    <xf numFmtId="0" fontId="5" fillId="7" borderId="1" xfId="0" quotePrefix="1" applyFont="1" applyFill="1" applyBorder="1" applyAlignment="1">
      <alignment vertical="center"/>
    </xf>
    <xf numFmtId="0" fontId="5" fillId="7" borderId="5" xfId="0" applyFont="1" applyFill="1" applyBorder="1" applyAlignment="1">
      <alignment vertical="center"/>
    </xf>
    <xf numFmtId="197" fontId="18" fillId="7" borderId="5" xfId="0" applyNumberFormat="1" applyFont="1" applyFill="1" applyBorder="1" applyAlignment="1">
      <alignment vertical="center"/>
    </xf>
    <xf numFmtId="0" fontId="5" fillId="15" borderId="23" xfId="0" applyFont="1" applyFill="1" applyBorder="1" applyAlignment="1">
      <alignment vertical="center"/>
    </xf>
    <xf numFmtId="0" fontId="5" fillId="15" borderId="126" xfId="0" applyFont="1" applyFill="1" applyBorder="1" applyAlignment="1">
      <alignment horizontal="left" vertical="center"/>
    </xf>
    <xf numFmtId="197" fontId="58" fillId="0" borderId="0" xfId="0" applyNumberFormat="1" applyFont="1" applyAlignment="1">
      <alignment vertical="center"/>
    </xf>
    <xf numFmtId="197" fontId="58" fillId="0" borderId="0" xfId="0" applyNumberFormat="1" applyFont="1" applyAlignment="1">
      <alignment horizontal="left" vertical="center"/>
    </xf>
    <xf numFmtId="10" fontId="41" fillId="0" borderId="0" xfId="0" applyNumberFormat="1" applyFont="1" applyAlignment="1">
      <alignment vertical="center"/>
    </xf>
    <xf numFmtId="197" fontId="58" fillId="0" borderId="11" xfId="0" applyNumberFormat="1" applyFont="1" applyBorder="1" applyAlignment="1">
      <alignment vertical="center"/>
    </xf>
    <xf numFmtId="197" fontId="40" fillId="0" borderId="107" xfId="0" applyNumberFormat="1" applyFont="1" applyBorder="1" applyAlignment="1">
      <alignment horizontal="right" vertical="center"/>
    </xf>
    <xf numFmtId="0" fontId="5" fillId="15" borderId="1" xfId="0" quotePrefix="1" applyFont="1" applyFill="1" applyBorder="1" applyAlignment="1">
      <alignment vertical="center"/>
    </xf>
    <xf numFmtId="0" fontId="5" fillId="15" borderId="5" xfId="0" applyFont="1" applyFill="1" applyBorder="1" applyAlignment="1">
      <alignment vertical="center"/>
    </xf>
    <xf numFmtId="197" fontId="56" fillId="0" borderId="98" xfId="0" applyNumberFormat="1" applyFont="1" applyBorder="1" applyAlignment="1">
      <alignment horizontal="right" vertical="center"/>
    </xf>
    <xf numFmtId="197" fontId="18" fillId="0" borderId="118" xfId="0" applyNumberFormat="1" applyFont="1" applyBorder="1" applyAlignment="1">
      <alignment vertical="center"/>
    </xf>
    <xf numFmtId="197" fontId="18" fillId="0" borderId="14" xfId="0" applyNumberFormat="1" applyFont="1" applyBorder="1" applyAlignment="1">
      <alignment vertical="center"/>
    </xf>
    <xf numFmtId="0" fontId="5" fillId="15" borderId="126" xfId="0" quotePrefix="1" applyFont="1" applyFill="1" applyBorder="1" applyAlignment="1">
      <alignment horizontal="left" vertical="center"/>
    </xf>
    <xf numFmtId="0" fontId="5" fillId="15" borderId="25" xfId="0" applyFont="1" applyFill="1" applyBorder="1" applyAlignment="1">
      <alignment vertical="center"/>
    </xf>
    <xf numFmtId="197" fontId="18" fillId="0" borderId="3" xfId="0" applyNumberFormat="1" applyFont="1" applyBorder="1" applyAlignment="1">
      <alignment vertical="center"/>
    </xf>
    <xf numFmtId="0" fontId="5" fillId="15" borderId="127" xfId="0" applyFont="1" applyFill="1" applyBorder="1" applyAlignment="1">
      <alignment vertical="center"/>
    </xf>
    <xf numFmtId="176" fontId="5" fillId="15" borderId="128" xfId="0" applyNumberFormat="1" applyFont="1" applyFill="1" applyBorder="1" applyAlignment="1">
      <alignment horizontal="left" vertical="center"/>
    </xf>
    <xf numFmtId="197" fontId="5" fillId="15" borderId="128" xfId="0" applyNumberFormat="1" applyFont="1" applyFill="1" applyBorder="1" applyAlignment="1">
      <alignment horizontal="left" vertical="center"/>
    </xf>
    <xf numFmtId="197" fontId="56" fillId="15" borderId="42" xfId="0" applyNumberFormat="1" applyFont="1" applyFill="1" applyBorder="1" applyAlignment="1">
      <alignment horizontal="right" vertical="center"/>
    </xf>
    <xf numFmtId="38" fontId="18" fillId="7" borderId="130" xfId="0" applyNumberFormat="1" applyFont="1" applyFill="1" applyBorder="1" applyAlignment="1">
      <alignment vertical="center"/>
    </xf>
    <xf numFmtId="197" fontId="18" fillId="0" borderId="131" xfId="0" applyNumberFormat="1" applyFont="1" applyBorder="1" applyAlignment="1">
      <alignment vertical="center"/>
    </xf>
    <xf numFmtId="197" fontId="18" fillId="7" borderId="126" xfId="0" applyNumberFormat="1" applyFont="1" applyFill="1" applyBorder="1" applyAlignment="1">
      <alignment vertical="center"/>
    </xf>
    <xf numFmtId="197" fontId="18" fillId="7" borderId="126" xfId="0" applyNumberFormat="1" applyFont="1" applyFill="1" applyBorder="1" applyAlignment="1">
      <alignment horizontal="left" vertical="center"/>
    </xf>
    <xf numFmtId="0" fontId="5" fillId="15" borderId="27" xfId="0" applyFont="1" applyFill="1" applyBorder="1" applyAlignment="1">
      <alignment vertical="center"/>
    </xf>
    <xf numFmtId="197" fontId="5" fillId="0" borderId="42" xfId="0" applyNumberFormat="1" applyFont="1" applyBorder="1" applyAlignment="1">
      <alignment horizontal="right" vertical="center"/>
    </xf>
    <xf numFmtId="0" fontId="48" fillId="0" borderId="0" xfId="0" applyFont="1" applyAlignment="1">
      <alignment vertical="center"/>
    </xf>
    <xf numFmtId="197" fontId="40" fillId="15" borderId="42" xfId="0" applyNumberFormat="1" applyFont="1" applyFill="1" applyBorder="1" applyAlignment="1">
      <alignment horizontal="right" vertical="center"/>
    </xf>
    <xf numFmtId="10" fontId="40" fillId="7" borderId="5" xfId="0" applyNumberFormat="1" applyFont="1" applyFill="1" applyBorder="1" applyAlignment="1">
      <alignment horizontal="center" vertical="center"/>
    </xf>
    <xf numFmtId="38" fontId="18" fillId="7" borderId="132" xfId="0" applyNumberFormat="1" applyFont="1" applyFill="1" applyBorder="1" applyAlignment="1">
      <alignment vertical="center"/>
    </xf>
    <xf numFmtId="197" fontId="18" fillId="0" borderId="133" xfId="0" applyNumberFormat="1" applyFont="1" applyBorder="1" applyAlignment="1">
      <alignment vertical="center"/>
    </xf>
    <xf numFmtId="38" fontId="18" fillId="0" borderId="133" xfId="0" applyNumberFormat="1" applyFont="1" applyBorder="1" applyAlignment="1">
      <alignment vertical="center"/>
    </xf>
    <xf numFmtId="38" fontId="5" fillId="0" borderId="133" xfId="0" applyNumberFormat="1" applyFont="1" applyBorder="1" applyAlignment="1">
      <alignment vertical="center"/>
    </xf>
    <xf numFmtId="197" fontId="18" fillId="19" borderId="105" xfId="0" applyNumberFormat="1" applyFont="1" applyFill="1" applyBorder="1" applyAlignment="1">
      <alignment vertical="center"/>
    </xf>
    <xf numFmtId="197" fontId="18" fillId="19" borderId="134" xfId="0" applyNumberFormat="1" applyFont="1" applyFill="1" applyBorder="1" applyAlignment="1">
      <alignment vertical="center"/>
    </xf>
    <xf numFmtId="197" fontId="52" fillId="0" borderId="135" xfId="0" applyNumberFormat="1" applyFont="1" applyBorder="1" applyAlignment="1">
      <alignment horizontal="left" vertical="center"/>
    </xf>
    <xf numFmtId="38" fontId="18" fillId="7" borderId="138" xfId="0" applyNumberFormat="1" applyFont="1" applyFill="1" applyBorder="1" applyAlignment="1">
      <alignment horizontal="center" vertical="center"/>
    </xf>
    <xf numFmtId="197" fontId="18" fillId="0" borderId="139" xfId="0" applyNumberFormat="1" applyFont="1" applyBorder="1" applyAlignment="1">
      <alignment vertical="center"/>
    </xf>
    <xf numFmtId="197" fontId="18" fillId="19" borderId="140" xfId="0" applyNumberFormat="1" applyFont="1" applyFill="1" applyBorder="1" applyAlignment="1">
      <alignment vertical="center"/>
    </xf>
    <xf numFmtId="197" fontId="18" fillId="19" borderId="141" xfId="0" applyNumberFormat="1" applyFont="1" applyFill="1" applyBorder="1" applyAlignment="1">
      <alignment vertical="center"/>
    </xf>
    <xf numFmtId="197" fontId="56" fillId="0" borderId="42" xfId="0" applyNumberFormat="1" applyFont="1" applyBorder="1" applyAlignment="1">
      <alignment horizontal="center" vertical="center"/>
    </xf>
    <xf numFmtId="0" fontId="5" fillId="0" borderId="124" xfId="0" applyFont="1" applyBorder="1" applyAlignment="1">
      <alignment vertical="center"/>
    </xf>
    <xf numFmtId="176" fontId="5" fillId="0" borderId="144" xfId="0" applyNumberFormat="1" applyFont="1" applyBorder="1" applyAlignment="1">
      <alignment horizontal="center" vertical="center"/>
    </xf>
    <xf numFmtId="0" fontId="5" fillId="0" borderId="145" xfId="0" applyFont="1" applyBorder="1" applyAlignment="1">
      <alignment horizontal="center" vertical="center"/>
    </xf>
    <xf numFmtId="0" fontId="5" fillId="0" borderId="146" xfId="0" applyFont="1" applyBorder="1" applyAlignment="1">
      <alignment horizontal="center" vertical="center"/>
    </xf>
    <xf numFmtId="197" fontId="5" fillId="0" borderId="144" xfId="0" applyNumberFormat="1" applyFont="1" applyBorder="1" applyAlignment="1">
      <alignment horizontal="center" vertical="center"/>
    </xf>
    <xf numFmtId="204" fontId="18" fillId="15" borderId="15" xfId="0" applyNumberFormat="1" applyFont="1" applyFill="1" applyBorder="1" applyAlignment="1">
      <alignment horizontal="center" vertical="center"/>
    </xf>
    <xf numFmtId="197" fontId="18" fillId="15" borderId="147" xfId="0" applyNumberFormat="1" applyFont="1" applyFill="1" applyBorder="1" applyAlignment="1">
      <alignment vertical="center"/>
    </xf>
    <xf numFmtId="0" fontId="5" fillId="0" borderId="148" xfId="0" applyFont="1" applyBorder="1" applyAlignment="1">
      <alignment vertical="center"/>
    </xf>
    <xf numFmtId="0" fontId="5" fillId="0" borderId="144" xfId="0" applyFont="1" applyBorder="1" applyAlignment="1">
      <alignment horizontal="center" vertical="center" shrinkToFit="1"/>
    </xf>
    <xf numFmtId="3" fontId="18" fillId="0" borderId="0" xfId="0" applyNumberFormat="1" applyFont="1" applyAlignment="1">
      <alignment vertical="center"/>
    </xf>
    <xf numFmtId="197" fontId="18" fillId="0" borderId="40" xfId="0" applyNumberFormat="1" applyFont="1" applyBorder="1" applyAlignment="1">
      <alignment vertical="center"/>
    </xf>
    <xf numFmtId="0" fontId="66" fillId="0" borderId="145" xfId="0" applyFont="1" applyBorder="1" applyAlignment="1">
      <alignment horizontal="center" vertical="center" shrinkToFit="1"/>
    </xf>
    <xf numFmtId="197" fontId="5" fillId="15" borderId="42" xfId="0" applyNumberFormat="1" applyFont="1" applyFill="1" applyBorder="1" applyAlignment="1">
      <alignment horizontal="right" vertical="center"/>
    </xf>
    <xf numFmtId="0" fontId="5" fillId="0" borderId="146" xfId="0" applyFont="1" applyBorder="1" applyAlignment="1">
      <alignment horizontal="center" vertical="center" shrinkToFit="1"/>
    </xf>
    <xf numFmtId="0" fontId="18" fillId="0" borderId="47" xfId="0" applyFont="1" applyBorder="1" applyAlignment="1">
      <alignment vertical="center"/>
    </xf>
    <xf numFmtId="197" fontId="5" fillId="20" borderId="149" xfId="0" applyNumberFormat="1" applyFont="1" applyFill="1" applyBorder="1" applyAlignment="1">
      <alignment horizontal="right" vertical="center"/>
    </xf>
    <xf numFmtId="38" fontId="18" fillId="4" borderId="67" xfId="0" applyNumberFormat="1" applyFont="1" applyFill="1" applyBorder="1" applyAlignment="1">
      <alignment horizontal="center" vertical="center"/>
    </xf>
    <xf numFmtId="38" fontId="18" fillId="0" borderId="150" xfId="0" applyNumberFormat="1" applyFont="1" applyBorder="1" applyAlignment="1">
      <alignment vertical="center"/>
    </xf>
    <xf numFmtId="197" fontId="18" fillId="19" borderId="71" xfId="0" applyNumberFormat="1" applyFont="1" applyFill="1" applyBorder="1" applyAlignment="1">
      <alignment vertical="center"/>
    </xf>
    <xf numFmtId="197" fontId="18" fillId="0" borderId="151" xfId="0" applyNumberFormat="1" applyFont="1" applyBorder="1" applyAlignment="1">
      <alignment vertical="center"/>
    </xf>
    <xf numFmtId="197" fontId="18" fillId="0" borderId="20" xfId="0" applyNumberFormat="1" applyFont="1" applyBorder="1" applyAlignment="1">
      <alignment horizontal="left" vertical="center" shrinkToFit="1"/>
    </xf>
    <xf numFmtId="197" fontId="5" fillId="20" borderId="152" xfId="0" applyNumberFormat="1" applyFont="1" applyFill="1" applyBorder="1" applyAlignment="1">
      <alignment horizontal="right" vertical="center"/>
    </xf>
    <xf numFmtId="38" fontId="18" fillId="4" borderId="104" xfId="0" applyNumberFormat="1" applyFont="1" applyFill="1" applyBorder="1" applyAlignment="1">
      <alignment horizontal="center" vertical="center"/>
    </xf>
    <xf numFmtId="197" fontId="18" fillId="19" borderId="153" xfId="0" applyNumberFormat="1" applyFont="1" applyFill="1" applyBorder="1" applyAlignment="1">
      <alignment vertical="center"/>
    </xf>
    <xf numFmtId="197" fontId="18" fillId="19" borderId="154" xfId="0" applyNumberFormat="1" applyFont="1" applyFill="1" applyBorder="1" applyAlignment="1">
      <alignment vertical="center"/>
    </xf>
    <xf numFmtId="197" fontId="18" fillId="0" borderId="155" xfId="0" applyNumberFormat="1" applyFont="1" applyBorder="1" applyAlignment="1">
      <alignment vertical="center"/>
    </xf>
    <xf numFmtId="0" fontId="5" fillId="4" borderId="32" xfId="0" applyFont="1" applyFill="1" applyBorder="1" applyAlignment="1">
      <alignment vertical="center"/>
    </xf>
    <xf numFmtId="38" fontId="18" fillId="4" borderId="109" xfId="0" applyNumberFormat="1" applyFont="1" applyFill="1" applyBorder="1" applyAlignment="1">
      <alignment horizontal="center" vertical="center"/>
    </xf>
    <xf numFmtId="38" fontId="18" fillId="0" borderId="110" xfId="0" applyNumberFormat="1" applyFont="1" applyBorder="1" applyAlignment="1">
      <alignment vertical="center"/>
    </xf>
    <xf numFmtId="197" fontId="18" fillId="0" borderId="156" xfId="0" applyNumberFormat="1" applyFont="1" applyBorder="1" applyAlignment="1">
      <alignment vertical="center"/>
    </xf>
    <xf numFmtId="197" fontId="67" fillId="17" borderId="157" xfId="0" applyNumberFormat="1" applyFont="1" applyFill="1" applyBorder="1" applyAlignment="1">
      <alignment vertical="center"/>
    </xf>
    <xf numFmtId="197" fontId="67" fillId="17" borderId="157" xfId="0" applyNumberFormat="1" applyFont="1" applyFill="1" applyBorder="1" applyAlignment="1">
      <alignment horizontal="left" vertical="center"/>
    </xf>
    <xf numFmtId="204" fontId="68" fillId="17" borderId="18" xfId="0" applyNumberFormat="1" applyFont="1" applyFill="1" applyBorder="1" applyAlignment="1">
      <alignment horizontal="center" vertical="center"/>
    </xf>
    <xf numFmtId="197" fontId="68" fillId="17" borderId="57" xfId="0" applyNumberFormat="1" applyFont="1" applyFill="1" applyBorder="1" applyAlignment="1">
      <alignment horizontal="right" vertical="center"/>
    </xf>
    <xf numFmtId="197" fontId="54" fillId="5" borderId="158" xfId="0" applyNumberFormat="1" applyFont="1" applyFill="1" applyBorder="1" applyAlignment="1">
      <alignment horizontal="left" vertical="center"/>
    </xf>
    <xf numFmtId="197" fontId="54" fillId="5" borderId="157" xfId="0" applyNumberFormat="1" applyFont="1" applyFill="1" applyBorder="1" applyAlignment="1">
      <alignment vertical="center"/>
    </xf>
    <xf numFmtId="204" fontId="54" fillId="5" borderId="157" xfId="0" applyNumberFormat="1" applyFont="1" applyFill="1" applyBorder="1" applyAlignment="1">
      <alignment horizontal="left" vertical="center"/>
    </xf>
    <xf numFmtId="204" fontId="68" fillId="5" borderId="18" xfId="0" applyNumberFormat="1" applyFont="1" applyFill="1" applyBorder="1" applyAlignment="1">
      <alignment horizontal="center" vertical="center"/>
    </xf>
    <xf numFmtId="203" fontId="68" fillId="5" borderId="57" xfId="0" applyNumberFormat="1" applyFont="1" applyFill="1" applyBorder="1" applyAlignment="1">
      <alignment horizontal="right" vertical="center"/>
    </xf>
    <xf numFmtId="38" fontId="18" fillId="7" borderId="159" xfId="0" applyNumberFormat="1" applyFont="1" applyFill="1" applyBorder="1" applyAlignment="1">
      <alignment vertical="center"/>
    </xf>
    <xf numFmtId="38" fontId="18" fillId="7" borderId="160" xfId="0" applyNumberFormat="1" applyFont="1" applyFill="1" applyBorder="1" applyAlignment="1">
      <alignment vertical="center"/>
    </xf>
    <xf numFmtId="197" fontId="54" fillId="5" borderId="82" xfId="0" applyNumberFormat="1" applyFont="1" applyFill="1" applyBorder="1" applyAlignment="1">
      <alignment vertical="center"/>
    </xf>
    <xf numFmtId="197" fontId="54" fillId="5" borderId="83" xfId="0" applyNumberFormat="1" applyFont="1" applyFill="1" applyBorder="1" applyAlignment="1">
      <alignment vertical="center"/>
    </xf>
    <xf numFmtId="197" fontId="54" fillId="5" borderId="84" xfId="0" applyNumberFormat="1" applyFont="1" applyFill="1" applyBorder="1" applyAlignment="1">
      <alignment vertical="center"/>
    </xf>
    <xf numFmtId="226" fontId="18" fillId="0" borderId="0" xfId="0" applyNumberFormat="1" applyFont="1" applyAlignment="1">
      <alignment vertical="center"/>
    </xf>
    <xf numFmtId="197" fontId="52" fillId="0" borderId="0" xfId="0" applyNumberFormat="1" applyFont="1" applyAlignment="1">
      <alignment horizontal="right" vertical="center"/>
    </xf>
    <xf numFmtId="0" fontId="69" fillId="0" borderId="0" xfId="0" applyFont="1" applyAlignment="1">
      <alignment vertical="center"/>
    </xf>
    <xf numFmtId="197" fontId="18" fillId="19" borderId="3" xfId="0" applyNumberFormat="1" applyFont="1" applyFill="1" applyBorder="1" applyAlignment="1">
      <alignment vertical="center"/>
    </xf>
    <xf numFmtId="38" fontId="18" fillId="0" borderId="0" xfId="0" applyNumberFormat="1" applyFont="1" applyAlignment="1">
      <alignment vertical="center"/>
    </xf>
    <xf numFmtId="0" fontId="18" fillId="0" borderId="11" xfId="0" applyFont="1" applyBorder="1" applyAlignment="1">
      <alignment vertical="center"/>
    </xf>
    <xf numFmtId="226" fontId="18" fillId="0" borderId="11" xfId="0" applyNumberFormat="1" applyFont="1" applyBorder="1" applyAlignment="1">
      <alignment vertical="center"/>
    </xf>
    <xf numFmtId="38" fontId="18" fillId="0" borderId="161" xfId="0" applyNumberFormat="1" applyFont="1" applyBorder="1" applyAlignment="1">
      <alignment vertical="center"/>
    </xf>
    <xf numFmtId="197" fontId="52" fillId="8" borderId="6" xfId="0" applyNumberFormat="1" applyFont="1" applyFill="1" applyBorder="1" applyAlignment="1">
      <alignment horizontal="center" vertical="center"/>
    </xf>
    <xf numFmtId="197" fontId="18" fillId="8" borderId="24" xfId="0" applyNumberFormat="1" applyFont="1" applyFill="1" applyBorder="1" applyAlignment="1">
      <alignment vertical="center"/>
    </xf>
    <xf numFmtId="227" fontId="41" fillId="0" borderId="11" xfId="0" applyNumberFormat="1" applyFont="1" applyBorder="1" applyAlignment="1">
      <alignment horizontal="left" vertical="center"/>
    </xf>
    <xf numFmtId="224" fontId="18" fillId="0" borderId="11" xfId="0" applyNumberFormat="1" applyFont="1" applyBorder="1" applyAlignment="1">
      <alignment vertical="center"/>
    </xf>
    <xf numFmtId="204" fontId="70" fillId="0" borderId="11" xfId="0" applyNumberFormat="1" applyFont="1" applyBorder="1" applyAlignment="1">
      <alignment horizontal="center" vertical="center"/>
    </xf>
    <xf numFmtId="0" fontId="18" fillId="21" borderId="32" xfId="0" applyFont="1" applyFill="1" applyBorder="1" applyAlignment="1">
      <alignment vertical="center"/>
    </xf>
    <xf numFmtId="227" fontId="41" fillId="21" borderId="32" xfId="0" applyNumberFormat="1" applyFont="1" applyFill="1" applyBorder="1" applyAlignment="1">
      <alignment horizontal="left" vertical="center"/>
    </xf>
    <xf numFmtId="197" fontId="18" fillId="21" borderId="32" xfId="0" applyNumberFormat="1" applyFont="1" applyFill="1" applyBorder="1" applyAlignment="1">
      <alignment vertical="center"/>
    </xf>
    <xf numFmtId="224" fontId="18" fillId="21" borderId="32" xfId="0" applyNumberFormat="1" applyFont="1" applyFill="1" applyBorder="1" applyAlignment="1">
      <alignment vertical="center"/>
    </xf>
    <xf numFmtId="204" fontId="71" fillId="21" borderId="1" xfId="0" applyNumberFormat="1" applyFont="1" applyFill="1" applyBorder="1" applyAlignment="1">
      <alignment horizontal="center" vertical="center"/>
    </xf>
    <xf numFmtId="197" fontId="72" fillId="21" borderId="1" xfId="0" applyNumberFormat="1" applyFont="1" applyFill="1" applyBorder="1" applyAlignment="1">
      <alignment vertical="center"/>
    </xf>
    <xf numFmtId="197" fontId="52" fillId="21" borderId="6" xfId="0" applyNumberFormat="1" applyFont="1" applyFill="1" applyBorder="1" applyAlignment="1">
      <alignment horizontal="center" vertical="center"/>
    </xf>
    <xf numFmtId="38" fontId="18" fillId="21" borderId="32" xfId="0" applyNumberFormat="1" applyFont="1" applyFill="1" applyBorder="1" applyAlignment="1">
      <alignment vertical="center"/>
    </xf>
    <xf numFmtId="197" fontId="40" fillId="14" borderId="101" xfId="0" applyNumberFormat="1" applyFont="1" applyFill="1" applyBorder="1" applyAlignment="1">
      <alignment vertical="center"/>
    </xf>
    <xf numFmtId="228" fontId="18" fillId="0" borderId="11" xfId="0" applyNumberFormat="1" applyFont="1" applyBorder="1" applyAlignment="1">
      <alignment horizontal="center" vertical="center"/>
    </xf>
    <xf numFmtId="204" fontId="18" fillId="0" borderId="11" xfId="0" applyNumberFormat="1" applyFont="1" applyBorder="1" applyAlignment="1">
      <alignment vertical="center"/>
    </xf>
    <xf numFmtId="0" fontId="18" fillId="21" borderId="126" xfId="0" applyFont="1" applyFill="1" applyBorder="1" applyAlignment="1">
      <alignment vertical="center"/>
    </xf>
    <xf numFmtId="0" fontId="18" fillId="21" borderId="1" xfId="0" applyFont="1" applyFill="1" applyBorder="1" applyAlignment="1">
      <alignment vertical="center"/>
    </xf>
    <xf numFmtId="228" fontId="18" fillId="21" borderId="1" xfId="0" applyNumberFormat="1" applyFont="1" applyFill="1" applyBorder="1" applyAlignment="1">
      <alignment horizontal="center" vertical="center"/>
    </xf>
    <xf numFmtId="226" fontId="18" fillId="21" borderId="1" xfId="0" applyNumberFormat="1" applyFont="1" applyFill="1" applyBorder="1" applyAlignment="1">
      <alignment vertical="center"/>
    </xf>
    <xf numFmtId="197" fontId="18" fillId="21" borderId="1" xfId="0" applyNumberFormat="1" applyFont="1" applyFill="1" applyBorder="1" applyAlignment="1">
      <alignment vertical="center"/>
    </xf>
    <xf numFmtId="38" fontId="18" fillId="21" borderId="1" xfId="0" applyNumberFormat="1" applyFont="1" applyFill="1" applyBorder="1" applyAlignment="1">
      <alignment vertical="center"/>
    </xf>
    <xf numFmtId="197" fontId="18" fillId="21" borderId="6" xfId="0" applyNumberFormat="1" applyFont="1" applyFill="1" applyBorder="1" applyAlignment="1">
      <alignment vertical="center"/>
    </xf>
    <xf numFmtId="0" fontId="18" fillId="22" borderId="162" xfId="0" applyFont="1" applyFill="1" applyBorder="1" applyAlignment="1">
      <alignment vertical="center"/>
    </xf>
    <xf numFmtId="226" fontId="18" fillId="22" borderId="162" xfId="0" applyNumberFormat="1" applyFont="1" applyFill="1" applyBorder="1" applyAlignment="1">
      <alignment vertical="center"/>
    </xf>
    <xf numFmtId="197" fontId="18" fillId="22" borderId="162" xfId="0" applyNumberFormat="1" applyFont="1" applyFill="1" applyBorder="1" applyAlignment="1">
      <alignment vertical="center"/>
    </xf>
    <xf numFmtId="197" fontId="52" fillId="22" borderId="158" xfId="0" applyNumberFormat="1" applyFont="1" applyFill="1" applyBorder="1" applyAlignment="1">
      <alignment horizontal="center" vertical="center"/>
    </xf>
    <xf numFmtId="38" fontId="18" fillId="22" borderId="162" xfId="0" applyNumberFormat="1" applyFont="1" applyFill="1" applyBorder="1" applyAlignment="1">
      <alignment vertical="center"/>
    </xf>
    <xf numFmtId="197" fontId="18" fillId="22" borderId="163" xfId="0" applyNumberFormat="1" applyFont="1" applyFill="1" applyBorder="1" applyAlignment="1">
      <alignment vertical="center"/>
    </xf>
    <xf numFmtId="197" fontId="54" fillId="5" borderId="7" xfId="0" applyNumberFormat="1" applyFont="1" applyFill="1" applyBorder="1" applyAlignment="1">
      <alignment horizontal="right" vertical="center"/>
    </xf>
    <xf numFmtId="197" fontId="54" fillId="5" borderId="3" xfId="0" applyNumberFormat="1" applyFont="1" applyFill="1" applyBorder="1" applyAlignment="1">
      <alignment horizontal="center" vertical="center"/>
    </xf>
    <xf numFmtId="0" fontId="54" fillId="5" borderId="32" xfId="0" applyFont="1" applyFill="1" applyBorder="1" applyAlignment="1">
      <alignment vertical="center"/>
    </xf>
    <xf numFmtId="177" fontId="54" fillId="5" borderId="3" xfId="0" applyNumberFormat="1" applyFont="1" applyFill="1" applyBorder="1" applyAlignment="1">
      <alignment horizontal="center" vertical="center"/>
    </xf>
    <xf numFmtId="10" fontId="5" fillId="18" borderId="3" xfId="0" applyNumberFormat="1" applyFont="1" applyFill="1" applyBorder="1" applyAlignment="1">
      <alignment horizontal="center" vertical="center"/>
    </xf>
    <xf numFmtId="38" fontId="18" fillId="0" borderId="3" xfId="0" applyNumberFormat="1" applyFont="1" applyBorder="1" applyAlignment="1">
      <alignment vertical="center"/>
    </xf>
    <xf numFmtId="10" fontId="5" fillId="18" borderId="6" xfId="0" applyNumberFormat="1" applyFont="1" applyFill="1" applyBorder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97" fontId="60" fillId="0" borderId="3" xfId="0" applyNumberFormat="1" applyFont="1" applyBorder="1" applyAlignment="1">
      <alignment horizontal="center" vertical="center"/>
    </xf>
    <xf numFmtId="197" fontId="18" fillId="0" borderId="3" xfId="0" applyNumberFormat="1" applyFont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97" fontId="74" fillId="0" borderId="0" xfId="0" applyNumberFormat="1" applyFont="1" applyAlignment="1">
      <alignment vertical="center"/>
    </xf>
    <xf numFmtId="0" fontId="74" fillId="0" borderId="0" xfId="0" quotePrefix="1" applyFont="1" applyAlignment="1">
      <alignment vertical="center"/>
    </xf>
    <xf numFmtId="197" fontId="74" fillId="0" borderId="0" xfId="0" quotePrefix="1" applyNumberFormat="1" applyFont="1" applyAlignment="1">
      <alignment vertical="center"/>
    </xf>
    <xf numFmtId="0" fontId="74" fillId="15" borderId="32" xfId="0" applyFont="1" applyFill="1" applyBorder="1" applyAlignment="1">
      <alignment vertical="center"/>
    </xf>
    <xf numFmtId="0" fontId="73" fillId="15" borderId="32" xfId="0" applyFont="1" applyFill="1" applyBorder="1" applyAlignment="1">
      <alignment horizontal="center" vertical="center"/>
    </xf>
    <xf numFmtId="0" fontId="73" fillId="18" borderId="167" xfId="0" applyFont="1" applyFill="1" applyBorder="1" applyAlignment="1">
      <alignment horizontal="center" vertical="center"/>
    </xf>
    <xf numFmtId="229" fontId="73" fillId="0" borderId="168" xfId="0" applyNumberFormat="1" applyFont="1" applyBorder="1" applyAlignment="1">
      <alignment horizontal="center" vertical="center"/>
    </xf>
    <xf numFmtId="197" fontId="73" fillId="0" borderId="0" xfId="0" applyNumberFormat="1" applyFont="1" applyAlignment="1">
      <alignment vertical="center"/>
    </xf>
    <xf numFmtId="0" fontId="73" fillId="9" borderId="169" xfId="0" applyFont="1" applyFill="1" applyBorder="1" applyAlignment="1">
      <alignment horizontal="center" vertical="center"/>
    </xf>
    <xf numFmtId="0" fontId="74" fillId="0" borderId="148" xfId="0" applyFont="1" applyBorder="1" applyAlignment="1">
      <alignment horizontal="center" vertical="center"/>
    </xf>
    <xf numFmtId="230" fontId="74" fillId="0" borderId="89" xfId="0" applyNumberFormat="1" applyFont="1" applyBorder="1" applyAlignment="1">
      <alignment horizontal="center" vertical="center"/>
    </xf>
    <xf numFmtId="231" fontId="74" fillId="0" borderId="146" xfId="0" applyNumberFormat="1" applyFont="1" applyBorder="1" applyAlignment="1">
      <alignment horizontal="center" vertical="center"/>
    </xf>
    <xf numFmtId="0" fontId="74" fillId="0" borderId="171" xfId="0" applyFont="1" applyBorder="1" applyAlignment="1">
      <alignment horizontal="center" vertical="center" wrapText="1"/>
    </xf>
    <xf numFmtId="0" fontId="74" fillId="0" borderId="123" xfId="0" applyFont="1" applyBorder="1" applyAlignment="1">
      <alignment horizontal="center" vertical="center" wrapText="1"/>
    </xf>
    <xf numFmtId="231" fontId="74" fillId="0" borderId="145" xfId="0" applyNumberFormat="1" applyFont="1" applyBorder="1" applyAlignment="1">
      <alignment horizontal="center" vertical="center"/>
    </xf>
    <xf numFmtId="0" fontId="74" fillId="0" borderId="172" xfId="0" applyFont="1" applyBorder="1" applyAlignment="1">
      <alignment horizontal="center" vertical="center" wrapText="1"/>
    </xf>
    <xf numFmtId="230" fontId="74" fillId="0" borderId="8" xfId="0" applyNumberFormat="1" applyFont="1" applyBorder="1" applyAlignment="1">
      <alignment horizontal="center" vertical="center"/>
    </xf>
    <xf numFmtId="231" fontId="74" fillId="0" borderId="173" xfId="0" applyNumberFormat="1" applyFont="1" applyBorder="1" applyAlignment="1">
      <alignment horizontal="center" vertical="center"/>
    </xf>
    <xf numFmtId="0" fontId="74" fillId="0" borderId="0" xfId="0" applyFont="1" applyAlignment="1">
      <alignment vertical="center" wrapText="1"/>
    </xf>
    <xf numFmtId="232" fontId="74" fillId="0" borderId="0" xfId="0" applyNumberFormat="1" applyFont="1" applyAlignment="1">
      <alignment vertical="center"/>
    </xf>
    <xf numFmtId="233" fontId="74" fillId="0" borderId="0" xfId="0" applyNumberFormat="1" applyFont="1" applyAlignment="1">
      <alignment vertical="center"/>
    </xf>
    <xf numFmtId="229" fontId="73" fillId="9" borderId="3" xfId="0" applyNumberFormat="1" applyFont="1" applyFill="1" applyBorder="1" applyAlignment="1">
      <alignment horizontal="center" vertical="center"/>
    </xf>
    <xf numFmtId="197" fontId="73" fillId="9" borderId="3" xfId="0" applyNumberFormat="1" applyFont="1" applyFill="1" applyBorder="1" applyAlignment="1">
      <alignment horizontal="center" vertical="center"/>
    </xf>
    <xf numFmtId="0" fontId="73" fillId="0" borderId="3" xfId="0" applyFont="1" applyBorder="1" applyAlignment="1">
      <alignment horizontal="center" vertical="center"/>
    </xf>
    <xf numFmtId="229" fontId="73" fillId="0" borderId="3" xfId="0" applyNumberFormat="1" applyFont="1" applyBorder="1" applyAlignment="1">
      <alignment horizontal="center" vertical="center"/>
    </xf>
    <xf numFmtId="234" fontId="75" fillId="0" borderId="14" xfId="0" applyNumberFormat="1" applyFont="1" applyBorder="1" applyAlignment="1">
      <alignment horizontal="center" vertical="center"/>
    </xf>
    <xf numFmtId="235" fontId="74" fillId="0" borderId="16" xfId="0" applyNumberFormat="1" applyFont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229" fontId="73" fillId="0" borderId="0" xfId="0" applyNumberFormat="1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3" fillId="0" borderId="3" xfId="0" applyFont="1" applyBorder="1" applyAlignment="1">
      <alignment horizontal="center" vertical="center" wrapText="1"/>
    </xf>
    <xf numFmtId="0" fontId="76" fillId="0" borderId="3" xfId="0" applyFont="1" applyBorder="1" applyAlignment="1">
      <alignment horizontal="center" vertical="center" wrapText="1"/>
    </xf>
    <xf numFmtId="236" fontId="77" fillId="0" borderId="3" xfId="0" applyNumberFormat="1" applyFont="1" applyBorder="1" applyAlignment="1">
      <alignment horizontal="center" vertical="center"/>
    </xf>
    <xf numFmtId="10" fontId="77" fillId="0" borderId="3" xfId="0" applyNumberFormat="1" applyFont="1" applyBorder="1" applyAlignment="1">
      <alignment horizontal="center" vertical="center"/>
    </xf>
    <xf numFmtId="10" fontId="77" fillId="0" borderId="0" xfId="0" applyNumberFormat="1" applyFont="1" applyAlignment="1">
      <alignment vertical="center"/>
    </xf>
    <xf numFmtId="0" fontId="76" fillId="9" borderId="3" xfId="0" applyFont="1" applyFill="1" applyBorder="1" applyAlignment="1">
      <alignment horizontal="center" vertical="center"/>
    </xf>
    <xf numFmtId="0" fontId="73" fillId="9" borderId="3" xfId="0" applyFont="1" applyFill="1" applyBorder="1" applyAlignment="1">
      <alignment horizontal="center" vertical="center"/>
    </xf>
    <xf numFmtId="177" fontId="78" fillId="15" borderId="22" xfId="0" applyNumberFormat="1" applyFont="1" applyFill="1" applyBorder="1" applyAlignment="1">
      <alignment horizontal="center" vertical="center" wrapText="1"/>
    </xf>
    <xf numFmtId="197" fontId="79" fillId="15" borderId="15" xfId="0" applyNumberFormat="1" applyFont="1" applyFill="1" applyBorder="1" applyAlignment="1">
      <alignment horizontal="center" vertical="center" wrapText="1"/>
    </xf>
    <xf numFmtId="197" fontId="74" fillId="0" borderId="15" xfId="0" applyNumberFormat="1" applyFont="1" applyBorder="1" applyAlignment="1">
      <alignment horizontal="center" vertical="center"/>
    </xf>
    <xf numFmtId="10" fontId="80" fillId="0" borderId="15" xfId="0" applyNumberFormat="1" applyFont="1" applyBorder="1" applyAlignment="1">
      <alignment horizontal="center" vertical="center"/>
    </xf>
    <xf numFmtId="0" fontId="75" fillId="0" borderId="15" xfId="0" applyFont="1" applyBorder="1" applyAlignment="1">
      <alignment horizontal="center" vertical="center"/>
    </xf>
    <xf numFmtId="197" fontId="79" fillId="0" borderId="15" xfId="0" applyNumberFormat="1" applyFont="1" applyBorder="1" applyAlignment="1">
      <alignment horizontal="center" vertical="center"/>
    </xf>
    <xf numFmtId="197" fontId="74" fillId="0" borderId="21" xfId="0" applyNumberFormat="1" applyFont="1" applyBorder="1" applyAlignment="1">
      <alignment horizontal="center" vertical="center"/>
    </xf>
    <xf numFmtId="0" fontId="80" fillId="0" borderId="21" xfId="0" applyFont="1" applyBorder="1" applyAlignment="1">
      <alignment horizontal="center" vertical="center"/>
    </xf>
    <xf numFmtId="197" fontId="80" fillId="0" borderId="15" xfId="0" applyNumberFormat="1" applyFont="1" applyBorder="1" applyAlignment="1">
      <alignment horizontal="center" vertical="center"/>
    </xf>
    <xf numFmtId="10" fontId="74" fillId="0" borderId="15" xfId="0" applyNumberFormat="1" applyFont="1" applyBorder="1" applyAlignment="1">
      <alignment horizontal="center" vertical="center"/>
    </xf>
    <xf numFmtId="0" fontId="74" fillId="0" borderId="15" xfId="0" applyFont="1" applyBorder="1" applyAlignment="1">
      <alignment horizontal="center" vertical="center"/>
    </xf>
    <xf numFmtId="177" fontId="78" fillId="15" borderId="24" xfId="0" applyNumberFormat="1" applyFont="1" applyFill="1" applyBorder="1" applyAlignment="1">
      <alignment horizontal="center" vertical="center" wrapText="1"/>
    </xf>
    <xf numFmtId="197" fontId="80" fillId="0" borderId="16" xfId="0" applyNumberFormat="1" applyFont="1" applyBorder="1" applyAlignment="1">
      <alignment horizontal="center" vertical="center"/>
    </xf>
    <xf numFmtId="197" fontId="74" fillId="0" borderId="16" xfId="0" applyNumberFormat="1" applyFont="1" applyBorder="1" applyAlignment="1">
      <alignment horizontal="center" vertical="center"/>
    </xf>
    <xf numFmtId="10" fontId="74" fillId="0" borderId="16" xfId="0" applyNumberFormat="1" applyFont="1" applyBorder="1" applyAlignment="1">
      <alignment horizontal="center" vertical="center"/>
    </xf>
    <xf numFmtId="0" fontId="74" fillId="0" borderId="16" xfId="0" applyFont="1" applyBorder="1" applyAlignment="1">
      <alignment horizontal="center" vertical="center"/>
    </xf>
    <xf numFmtId="0" fontId="73" fillId="20" borderId="24" xfId="0" applyFont="1" applyFill="1" applyBorder="1" applyAlignment="1">
      <alignment horizontal="center" vertical="center"/>
    </xf>
    <xf numFmtId="197" fontId="73" fillId="20" borderId="4" xfId="0" applyNumberFormat="1" applyFont="1" applyFill="1" applyBorder="1" applyAlignment="1">
      <alignment horizontal="center" vertical="center"/>
    </xf>
    <xf numFmtId="10" fontId="73" fillId="20" borderId="4" xfId="0" applyNumberFormat="1" applyFont="1" applyFill="1" applyBorder="1" applyAlignment="1">
      <alignment horizontal="center" vertical="center"/>
    </xf>
    <xf numFmtId="0" fontId="73" fillId="20" borderId="4" xfId="0" applyFont="1" applyFill="1" applyBorder="1" applyAlignment="1">
      <alignment horizontal="center" vertical="center"/>
    </xf>
    <xf numFmtId="237" fontId="73" fillId="0" borderId="0" xfId="0" applyNumberFormat="1" applyFont="1" applyAlignment="1">
      <alignment horizontal="center" vertical="center"/>
    </xf>
    <xf numFmtId="0" fontId="75" fillId="0" borderId="0" xfId="0" applyFont="1" applyAlignment="1">
      <alignment vertical="center"/>
    </xf>
    <xf numFmtId="0" fontId="73" fillId="9" borderId="2" xfId="0" applyFont="1" applyFill="1" applyBorder="1" applyAlignment="1">
      <alignment horizontal="center" vertical="center"/>
    </xf>
    <xf numFmtId="197" fontId="73" fillId="9" borderId="2" xfId="0" applyNumberFormat="1" applyFont="1" applyFill="1" applyBorder="1" applyAlignment="1">
      <alignment horizontal="center" vertical="center"/>
    </xf>
    <xf numFmtId="0" fontId="73" fillId="20" borderId="16" xfId="0" applyFont="1" applyFill="1" applyBorder="1" applyAlignment="1">
      <alignment horizontal="center" vertical="center"/>
    </xf>
    <xf numFmtId="0" fontId="73" fillId="0" borderId="0" xfId="0" applyFont="1" applyAlignment="1">
      <alignment horizontal="center" vertical="center" wrapText="1"/>
    </xf>
    <xf numFmtId="229" fontId="73" fillId="0" borderId="168" xfId="0" applyNumberFormat="1" applyFont="1" applyBorder="1" applyAlignment="1">
      <alignment horizontal="right" vertical="center"/>
    </xf>
    <xf numFmtId="0" fontId="73" fillId="8" borderId="3" xfId="0" applyFont="1" applyFill="1" applyBorder="1" applyAlignment="1">
      <alignment horizontal="center" vertical="center"/>
    </xf>
    <xf numFmtId="230" fontId="74" fillId="0" borderId="3" xfId="0" applyNumberFormat="1" applyFont="1" applyBorder="1" applyAlignment="1">
      <alignment horizontal="right" vertical="center"/>
    </xf>
    <xf numFmtId="231" fontId="74" fillId="0" borderId="3" xfId="0" applyNumberFormat="1" applyFont="1" applyBorder="1" applyAlignment="1">
      <alignment horizontal="right" vertical="center"/>
    </xf>
    <xf numFmtId="234" fontId="76" fillId="0" borderId="3" xfId="0" applyNumberFormat="1" applyFont="1" applyBorder="1" applyAlignment="1">
      <alignment horizontal="right" vertical="center"/>
    </xf>
    <xf numFmtId="0" fontId="74" fillId="0" borderId="3" xfId="0" applyFont="1" applyBorder="1" applyAlignment="1">
      <alignment horizontal="center" vertical="center"/>
    </xf>
    <xf numFmtId="234" fontId="83" fillId="0" borderId="3" xfId="0" applyNumberFormat="1" applyFont="1" applyBorder="1" applyAlignment="1">
      <alignment horizontal="right" vertical="center"/>
    </xf>
    <xf numFmtId="235" fontId="74" fillId="0" borderId="3" xfId="0" applyNumberFormat="1" applyFont="1" applyBorder="1" applyAlignment="1">
      <alignment horizontal="right" vertical="center"/>
    </xf>
    <xf numFmtId="197" fontId="74" fillId="0" borderId="3" xfId="0" applyNumberFormat="1" applyFont="1" applyBorder="1" applyAlignment="1">
      <alignment horizontal="right" vertical="center"/>
    </xf>
    <xf numFmtId="205" fontId="83" fillId="0" borderId="3" xfId="0" applyNumberFormat="1" applyFont="1" applyBorder="1" applyAlignment="1">
      <alignment horizontal="right" vertical="center"/>
    </xf>
    <xf numFmtId="0" fontId="74" fillId="0" borderId="3" xfId="0" applyFont="1" applyBorder="1" applyAlignment="1">
      <alignment horizontal="center" vertical="center" wrapText="1"/>
    </xf>
    <xf numFmtId="238" fontId="80" fillId="0" borderId="3" xfId="0" applyNumberFormat="1" applyFont="1" applyBorder="1" applyAlignment="1">
      <alignment horizontal="right" vertical="center"/>
    </xf>
    <xf numFmtId="9" fontId="74" fillId="0" borderId="3" xfId="0" applyNumberFormat="1" applyFont="1" applyBorder="1" applyAlignment="1">
      <alignment horizontal="center" vertical="center"/>
    </xf>
    <xf numFmtId="230" fontId="73" fillId="0" borderId="3" xfId="0" applyNumberFormat="1" applyFont="1" applyBorder="1" applyAlignment="1">
      <alignment horizontal="right" vertical="center"/>
    </xf>
    <xf numFmtId="9" fontId="83" fillId="0" borderId="3" xfId="0" applyNumberFormat="1" applyFont="1" applyBorder="1" applyAlignment="1">
      <alignment horizontal="right" vertical="center"/>
    </xf>
    <xf numFmtId="0" fontId="74" fillId="9" borderId="7" xfId="0" applyFont="1" applyFill="1" applyBorder="1" applyAlignment="1">
      <alignment horizontal="left" vertical="center"/>
    </xf>
    <xf numFmtId="0" fontId="74" fillId="9" borderId="5" xfId="0" applyFont="1" applyFill="1" applyBorder="1" applyAlignment="1">
      <alignment horizontal="left" vertical="center"/>
    </xf>
    <xf numFmtId="197" fontId="73" fillId="9" borderId="5" xfId="0" applyNumberFormat="1" applyFont="1" applyFill="1" applyBorder="1" applyAlignment="1">
      <alignment horizontal="right" vertical="center"/>
    </xf>
    <xf numFmtId="0" fontId="74" fillId="9" borderId="3" xfId="0" applyFont="1" applyFill="1" applyBorder="1" applyAlignment="1">
      <alignment horizontal="center" vertical="center"/>
    </xf>
    <xf numFmtId="197" fontId="74" fillId="0" borderId="3" xfId="0" applyNumberFormat="1" applyFont="1" applyBorder="1" applyAlignment="1">
      <alignment vertical="center"/>
    </xf>
    <xf numFmtId="10" fontId="74" fillId="0" borderId="0" xfId="0" applyNumberFormat="1" applyFont="1" applyAlignment="1">
      <alignment vertical="center"/>
    </xf>
    <xf numFmtId="0" fontId="74" fillId="0" borderId="0" xfId="0" applyFont="1" applyAlignment="1">
      <alignment horizontal="right" vertical="center"/>
    </xf>
    <xf numFmtId="197" fontId="73" fillId="0" borderId="3" xfId="0" applyNumberFormat="1" applyFont="1" applyBorder="1" applyAlignment="1">
      <alignment vertical="center"/>
    </xf>
    <xf numFmtId="234" fontId="75" fillId="0" borderId="0" xfId="0" applyNumberFormat="1" applyFont="1" applyAlignment="1">
      <alignment horizontal="right" vertical="center"/>
    </xf>
    <xf numFmtId="197" fontId="73" fillId="23" borderId="3" xfId="0" applyNumberFormat="1" applyFont="1" applyFill="1" applyBorder="1" applyAlignment="1">
      <alignment horizontal="right" vertical="center"/>
    </xf>
    <xf numFmtId="239" fontId="73" fillId="23" borderId="3" xfId="0" applyNumberFormat="1" applyFont="1" applyFill="1" applyBorder="1" applyAlignment="1">
      <alignment horizontal="center" vertical="center"/>
    </xf>
    <xf numFmtId="0" fontId="84" fillId="23" borderId="3" xfId="0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center" wrapText="1"/>
    </xf>
    <xf numFmtId="0" fontId="86" fillId="0" borderId="0" xfId="0" applyFont="1" applyAlignment="1">
      <alignment vertical="center"/>
    </xf>
    <xf numFmtId="0" fontId="87" fillId="0" borderId="0" xfId="0" quotePrefix="1" applyFont="1" applyAlignment="1">
      <alignment vertical="center"/>
    </xf>
    <xf numFmtId="0" fontId="88" fillId="0" borderId="0" xfId="0" applyFont="1" applyAlignment="1">
      <alignment vertical="center"/>
    </xf>
    <xf numFmtId="0" fontId="89" fillId="8" borderId="37" xfId="0" applyFont="1" applyFill="1" applyBorder="1" applyAlignment="1">
      <alignment horizontal="center" vertical="center"/>
    </xf>
    <xf numFmtId="0" fontId="86" fillId="8" borderId="38" xfId="0" applyFont="1" applyFill="1" applyBorder="1" applyAlignment="1">
      <alignment horizontal="right" vertical="center"/>
    </xf>
    <xf numFmtId="10" fontId="89" fillId="8" borderId="39" xfId="0" applyNumberFormat="1" applyFont="1" applyFill="1" applyBorder="1" applyAlignment="1">
      <alignment vertical="center"/>
    </xf>
    <xf numFmtId="0" fontId="86" fillId="0" borderId="0" xfId="0" applyFont="1" applyAlignment="1">
      <alignment horizontal="left" vertical="center"/>
    </xf>
    <xf numFmtId="0" fontId="86" fillId="0" borderId="0" xfId="0" applyFont="1" applyAlignment="1">
      <alignment horizontal="right" vertical="center"/>
    </xf>
    <xf numFmtId="0" fontId="89" fillId="8" borderId="182" xfId="0" applyFont="1" applyFill="1" applyBorder="1" applyAlignment="1">
      <alignment horizontal="center" vertical="center"/>
    </xf>
    <xf numFmtId="0" fontId="86" fillId="8" borderId="3" xfId="0" applyFont="1" applyFill="1" applyBorder="1" applyAlignment="1">
      <alignment horizontal="right" vertical="center"/>
    </xf>
    <xf numFmtId="10" fontId="89" fillId="8" borderId="98" xfId="0" applyNumberFormat="1" applyFont="1" applyFill="1" applyBorder="1" applyAlignment="1">
      <alignment vertical="center"/>
    </xf>
    <xf numFmtId="0" fontId="89" fillId="9" borderId="56" xfId="0" applyFont="1" applyFill="1" applyBorder="1" applyAlignment="1">
      <alignment horizontal="center" vertical="center"/>
    </xf>
    <xf numFmtId="0" fontId="86" fillId="9" borderId="18" xfId="0" applyFont="1" applyFill="1" applyBorder="1" applyAlignment="1">
      <alignment horizontal="right" vertical="center"/>
    </xf>
    <xf numFmtId="10" fontId="89" fillId="9" borderId="57" xfId="0" applyNumberFormat="1" applyFont="1" applyFill="1" applyBorder="1" applyAlignment="1">
      <alignment vertical="center"/>
    </xf>
    <xf numFmtId="0" fontId="89" fillId="9" borderId="37" xfId="0" applyFont="1" applyFill="1" applyBorder="1" applyAlignment="1">
      <alignment horizontal="center" vertical="center"/>
    </xf>
    <xf numFmtId="197" fontId="86" fillId="9" borderId="183" xfId="0" applyNumberFormat="1" applyFont="1" applyFill="1" applyBorder="1" applyAlignment="1">
      <alignment vertical="center"/>
    </xf>
    <xf numFmtId="197" fontId="86" fillId="9" borderId="184" xfId="0" applyNumberFormat="1" applyFont="1" applyFill="1" applyBorder="1" applyAlignment="1">
      <alignment vertical="center"/>
    </xf>
    <xf numFmtId="0" fontId="89" fillId="26" borderId="56" xfId="0" applyFont="1" applyFill="1" applyBorder="1" applyAlignment="1">
      <alignment horizontal="center" vertical="center"/>
    </xf>
    <xf numFmtId="197" fontId="86" fillId="26" borderId="158" xfId="0" applyNumberFormat="1" applyFont="1" applyFill="1" applyBorder="1" applyAlignment="1">
      <alignment vertical="center"/>
    </xf>
    <xf numFmtId="197" fontId="86" fillId="26" borderId="185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90" fillId="9" borderId="38" xfId="0" applyFont="1" applyFill="1" applyBorder="1" applyAlignment="1">
      <alignment horizontal="center" vertical="center"/>
    </xf>
    <xf numFmtId="0" fontId="90" fillId="9" borderId="39" xfId="0" applyFont="1" applyFill="1" applyBorder="1" applyAlignment="1">
      <alignment horizontal="center" vertical="center"/>
    </xf>
    <xf numFmtId="3" fontId="90" fillId="8" borderId="3" xfId="0" applyNumberFormat="1" applyFont="1" applyFill="1" applyBorder="1"/>
    <xf numFmtId="3" fontId="90" fillId="8" borderId="186" xfId="0" applyNumberFormat="1" applyFont="1" applyFill="1" applyBorder="1"/>
    <xf numFmtId="3" fontId="89" fillId="18" borderId="187" xfId="0" applyNumberFormat="1" applyFont="1" applyFill="1" applyBorder="1"/>
    <xf numFmtId="0" fontId="86" fillId="0" borderId="0" xfId="0" quotePrefix="1" applyFont="1" applyAlignment="1">
      <alignment vertical="center"/>
    </xf>
    <xf numFmtId="0" fontId="89" fillId="26" borderId="188" xfId="0" applyFont="1" applyFill="1" applyBorder="1" applyAlignment="1">
      <alignment horizontal="center" vertical="center"/>
    </xf>
    <xf numFmtId="3" fontId="89" fillId="26" borderId="189" xfId="0" applyNumberFormat="1" applyFont="1" applyFill="1" applyBorder="1"/>
    <xf numFmtId="3" fontId="89" fillId="26" borderId="185" xfId="0" applyNumberFormat="1" applyFont="1" applyFill="1" applyBorder="1"/>
    <xf numFmtId="0" fontId="89" fillId="9" borderId="190" xfId="0" applyFont="1" applyFill="1" applyBorder="1" applyAlignment="1">
      <alignment horizontal="center" vertical="center"/>
    </xf>
    <xf numFmtId="0" fontId="89" fillId="9" borderId="191" xfId="0" applyFont="1" applyFill="1" applyBorder="1" applyAlignment="1">
      <alignment horizontal="center" vertical="center"/>
    </xf>
    <xf numFmtId="0" fontId="89" fillId="9" borderId="184" xfId="0" applyFont="1" applyFill="1" applyBorder="1" applyAlignment="1">
      <alignment horizontal="center" vertical="center"/>
    </xf>
    <xf numFmtId="0" fontId="86" fillId="8" borderId="192" xfId="0" applyFont="1" applyFill="1" applyBorder="1" applyAlignment="1">
      <alignment horizontal="center" vertical="center"/>
    </xf>
    <xf numFmtId="3" fontId="86" fillId="8" borderId="193" xfId="0" applyNumberFormat="1" applyFont="1" applyFill="1" applyBorder="1"/>
    <xf numFmtId="0" fontId="86" fillId="8" borderId="186" xfId="0" applyFont="1" applyFill="1" applyBorder="1"/>
    <xf numFmtId="9" fontId="86" fillId="8" borderId="194" xfId="0" applyNumberFormat="1" applyFont="1" applyFill="1" applyBorder="1"/>
    <xf numFmtId="4" fontId="86" fillId="8" borderId="194" xfId="0" applyNumberFormat="1" applyFont="1" applyFill="1" applyBorder="1"/>
    <xf numFmtId="0" fontId="86" fillId="8" borderId="195" xfId="0" applyFont="1" applyFill="1" applyBorder="1" applyAlignment="1">
      <alignment horizontal="center" vertical="center"/>
    </xf>
    <xf numFmtId="10" fontId="86" fillId="8" borderId="194" xfId="0" applyNumberFormat="1" applyFont="1" applyFill="1" applyBorder="1"/>
    <xf numFmtId="3" fontId="86" fillId="8" borderId="194" xfId="0" applyNumberFormat="1" applyFont="1" applyFill="1" applyBorder="1"/>
    <xf numFmtId="0" fontId="86" fillId="8" borderId="194" xfId="0" applyFont="1" applyFill="1" applyBorder="1"/>
    <xf numFmtId="3" fontId="89" fillId="26" borderId="196" xfId="0" applyNumberFormat="1" applyFont="1" applyFill="1" applyBorder="1"/>
    <xf numFmtId="0" fontId="92" fillId="0" borderId="0" xfId="0" applyFont="1" applyAlignment="1">
      <alignment vertical="center"/>
    </xf>
    <xf numFmtId="0" fontId="90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86" fillId="9" borderId="199" xfId="0" applyFont="1" applyFill="1" applyBorder="1" applyAlignment="1">
      <alignment vertical="center"/>
    </xf>
    <xf numFmtId="0" fontId="90" fillId="18" borderId="200" xfId="0" applyFont="1" applyFill="1" applyBorder="1" applyAlignment="1">
      <alignment vertical="center"/>
    </xf>
    <xf numFmtId="0" fontId="90" fillId="0" borderId="0" xfId="0" quotePrefix="1" applyFont="1" applyAlignment="1">
      <alignment vertical="center"/>
    </xf>
    <xf numFmtId="0" fontId="90" fillId="9" borderId="191" xfId="0" applyFont="1" applyFill="1" applyBorder="1" applyAlignment="1">
      <alignment horizontal="center" vertical="center"/>
    </xf>
    <xf numFmtId="0" fontId="90" fillId="9" borderId="201" xfId="0" applyFont="1" applyFill="1" applyBorder="1" applyAlignment="1">
      <alignment horizontal="center" vertical="center"/>
    </xf>
    <xf numFmtId="241" fontId="90" fillId="8" borderId="189" xfId="0" applyNumberFormat="1" applyFont="1" applyFill="1" applyBorder="1" applyAlignment="1">
      <alignment vertical="center"/>
    </xf>
    <xf numFmtId="241" fontId="90" fillId="8" borderId="189" xfId="0" applyNumberFormat="1" applyFont="1" applyFill="1" applyBorder="1" applyAlignment="1">
      <alignment horizontal="center" vertical="center"/>
    </xf>
    <xf numFmtId="3" fontId="90" fillId="8" borderId="5" xfId="0" applyNumberFormat="1" applyFont="1" applyFill="1" applyBorder="1" applyAlignment="1">
      <alignment horizontal="center" vertical="center"/>
    </xf>
    <xf numFmtId="242" fontId="90" fillId="8" borderId="3" xfId="0" applyNumberFormat="1" applyFont="1" applyFill="1" applyBorder="1" applyAlignment="1">
      <alignment horizontal="center" vertical="center"/>
    </xf>
    <xf numFmtId="38" fontId="90" fillId="8" borderId="98" xfId="0" applyNumberFormat="1" applyFont="1" applyFill="1" applyBorder="1" applyAlignment="1">
      <alignment vertical="center"/>
    </xf>
    <xf numFmtId="4" fontId="90" fillId="8" borderId="3" xfId="0" applyNumberFormat="1" applyFont="1" applyFill="1" applyBorder="1" applyAlignment="1">
      <alignment horizontal="center" vertical="center"/>
    </xf>
    <xf numFmtId="241" fontId="93" fillId="8" borderId="196" xfId="0" applyNumberFormat="1" applyFont="1" applyFill="1" applyBorder="1" applyAlignment="1">
      <alignment vertical="center"/>
    </xf>
    <xf numFmtId="9" fontId="90" fillId="8" borderId="189" xfId="0" applyNumberFormat="1" applyFont="1" applyFill="1" applyBorder="1" applyAlignment="1">
      <alignment horizontal="center" vertical="center"/>
    </xf>
    <xf numFmtId="3" fontId="90" fillId="8" borderId="202" xfId="0" applyNumberFormat="1" applyFont="1" applyFill="1" applyBorder="1" applyAlignment="1">
      <alignment horizontal="center" vertical="center"/>
    </xf>
    <xf numFmtId="4" fontId="90" fillId="8" borderId="18" xfId="0" applyNumberFormat="1" applyFont="1" applyFill="1" applyBorder="1" applyAlignment="1">
      <alignment horizontal="center" vertical="center"/>
    </xf>
    <xf numFmtId="38" fontId="90" fillId="8" borderId="57" xfId="0" applyNumberFormat="1" applyFont="1" applyFill="1" applyBorder="1" applyAlignment="1">
      <alignment vertical="center"/>
    </xf>
    <xf numFmtId="3" fontId="90" fillId="0" borderId="0" xfId="0" applyNumberFormat="1" applyFont="1" applyAlignment="1">
      <alignment horizontal="center" vertical="center"/>
    </xf>
    <xf numFmtId="38" fontId="90" fillId="0" borderId="0" xfId="0" applyNumberFormat="1" applyFont="1" applyAlignment="1">
      <alignment vertical="center"/>
    </xf>
    <xf numFmtId="197" fontId="90" fillId="8" borderId="189" xfId="0" applyNumberFormat="1" applyFont="1" applyFill="1" applyBorder="1" applyAlignment="1">
      <alignment vertical="center"/>
    </xf>
    <xf numFmtId="0" fontId="90" fillId="9" borderId="190" xfId="0" applyFont="1" applyFill="1" applyBorder="1" applyAlignment="1">
      <alignment horizontal="center" vertical="center"/>
    </xf>
    <xf numFmtId="0" fontId="90" fillId="9" borderId="37" xfId="0" applyFont="1" applyFill="1" applyBorder="1" applyAlignment="1">
      <alignment horizontal="center" vertical="center"/>
    </xf>
    <xf numFmtId="241" fontId="90" fillId="8" borderId="188" xfId="0" applyNumberFormat="1" applyFont="1" applyFill="1" applyBorder="1" applyAlignment="1">
      <alignment horizontal="center" vertical="center"/>
    </xf>
    <xf numFmtId="3" fontId="90" fillId="8" borderId="182" xfId="0" applyNumberFormat="1" applyFont="1" applyFill="1" applyBorder="1" applyAlignment="1">
      <alignment horizontal="center" vertical="center"/>
    </xf>
    <xf numFmtId="9" fontId="90" fillId="8" borderId="188" xfId="0" applyNumberFormat="1" applyFont="1" applyFill="1" applyBorder="1" applyAlignment="1">
      <alignment horizontal="center" vertical="center"/>
    </xf>
    <xf numFmtId="0" fontId="90" fillId="9" borderId="59" xfId="0" applyFont="1" applyFill="1" applyBorder="1" applyAlignment="1">
      <alignment vertical="center"/>
    </xf>
    <xf numFmtId="241" fontId="90" fillId="26" borderId="59" xfId="0" applyNumberFormat="1" applyFont="1" applyFill="1" applyBorder="1" applyAlignment="1">
      <alignment vertical="center"/>
    </xf>
    <xf numFmtId="197" fontId="90" fillId="8" borderId="188" xfId="0" applyNumberFormat="1" applyFont="1" applyFill="1" applyBorder="1" applyAlignment="1">
      <alignment vertical="center"/>
    </xf>
    <xf numFmtId="0" fontId="90" fillId="0" borderId="0" xfId="0" applyFont="1" applyAlignment="1">
      <alignment horizontal="right" vertical="center"/>
    </xf>
    <xf numFmtId="3" fontId="90" fillId="8" borderId="56" xfId="0" applyNumberFormat="1" applyFont="1" applyFill="1" applyBorder="1" applyAlignment="1">
      <alignment horizontal="center" vertical="center"/>
    </xf>
    <xf numFmtId="242" fontId="90" fillId="8" borderId="18" xfId="0" applyNumberFormat="1" applyFont="1" applyFill="1" applyBorder="1" applyAlignment="1">
      <alignment horizontal="center" vertical="center"/>
    </xf>
    <xf numFmtId="0" fontId="90" fillId="9" borderId="203" xfId="0" applyFont="1" applyFill="1" applyBorder="1" applyAlignment="1">
      <alignment horizontal="center" vertical="center"/>
    </xf>
    <xf numFmtId="241" fontId="90" fillId="8" borderId="204" xfId="0" applyNumberFormat="1" applyFont="1" applyFill="1" applyBorder="1" applyAlignment="1">
      <alignment vertical="center"/>
    </xf>
    <xf numFmtId="2" fontId="90" fillId="8" borderId="195" xfId="0" applyNumberFormat="1" applyFont="1" applyFill="1" applyBorder="1" applyAlignment="1">
      <alignment horizontal="center" vertical="center"/>
    </xf>
    <xf numFmtId="3" fontId="90" fillId="8" borderId="113" xfId="0" applyNumberFormat="1" applyFont="1" applyFill="1" applyBorder="1" applyAlignment="1">
      <alignment horizontal="center" vertical="center"/>
    </xf>
    <xf numFmtId="38" fontId="90" fillId="8" borderId="205" xfId="0" applyNumberFormat="1" applyFont="1" applyFill="1" applyBorder="1" applyAlignment="1">
      <alignment vertical="center"/>
    </xf>
    <xf numFmtId="2" fontId="90" fillId="0" borderId="0" xfId="0" applyNumberFormat="1" applyFont="1" applyAlignment="1">
      <alignment vertical="center"/>
    </xf>
    <xf numFmtId="3" fontId="90" fillId="8" borderId="206" xfId="0" applyNumberFormat="1" applyFont="1" applyFill="1" applyBorder="1" applyAlignment="1">
      <alignment horizontal="center" vertical="center"/>
    </xf>
    <xf numFmtId="3" fontId="90" fillId="8" borderId="187" xfId="0" applyNumberFormat="1" applyFont="1" applyFill="1" applyBorder="1" applyAlignment="1">
      <alignment horizontal="center" vertical="center"/>
    </xf>
    <xf numFmtId="38" fontId="90" fillId="8" borderId="207" xfId="0" applyNumberFormat="1" applyFont="1" applyFill="1" applyBorder="1" applyAlignment="1">
      <alignment vertical="center"/>
    </xf>
    <xf numFmtId="2" fontId="90" fillId="8" borderId="189" xfId="0" applyNumberFormat="1" applyFont="1" applyFill="1" applyBorder="1" applyAlignment="1">
      <alignment horizontal="center" vertical="center"/>
    </xf>
    <xf numFmtId="241" fontId="90" fillId="0" borderId="0" xfId="0" applyNumberFormat="1" applyFont="1" applyAlignment="1">
      <alignment vertical="center"/>
    </xf>
    <xf numFmtId="197" fontId="90" fillId="0" borderId="0" xfId="0" applyNumberFormat="1" applyFont="1" applyAlignment="1">
      <alignment vertical="center"/>
    </xf>
    <xf numFmtId="0" fontId="90" fillId="9" borderId="208" xfId="0" applyFont="1" applyFill="1" applyBorder="1" applyAlignment="1">
      <alignment horizontal="center" vertical="center"/>
    </xf>
    <xf numFmtId="3" fontId="90" fillId="0" borderId="0" xfId="0" applyNumberFormat="1" applyFont="1" applyAlignment="1">
      <alignment horizontal="left" vertical="center"/>
    </xf>
    <xf numFmtId="197" fontId="90" fillId="0" borderId="0" xfId="0" applyNumberFormat="1" applyFont="1" applyAlignment="1">
      <alignment horizontal="center" vertical="center"/>
    </xf>
    <xf numFmtId="38" fontId="90" fillId="8" borderId="195" xfId="0" applyNumberFormat="1" applyFont="1" applyFill="1" applyBorder="1" applyAlignment="1">
      <alignment horizontal="center" vertical="center"/>
    </xf>
    <xf numFmtId="197" fontId="90" fillId="0" borderId="0" xfId="0" applyNumberFormat="1" applyFont="1" applyAlignment="1">
      <alignment horizontal="left" vertical="center"/>
    </xf>
    <xf numFmtId="0" fontId="90" fillId="0" borderId="0" xfId="0" quotePrefix="1" applyFont="1" applyAlignment="1">
      <alignment horizontal="left" vertical="center"/>
    </xf>
    <xf numFmtId="0" fontId="90" fillId="18" borderId="196" xfId="0" applyFont="1" applyFill="1" applyBorder="1" applyAlignment="1">
      <alignment horizontal="center" vertical="center"/>
    </xf>
    <xf numFmtId="0" fontId="90" fillId="9" borderId="199" xfId="0" applyFont="1" applyFill="1" applyBorder="1" applyAlignment="1">
      <alignment horizontal="center" vertical="center"/>
    </xf>
    <xf numFmtId="197" fontId="90" fillId="8" borderId="188" xfId="0" applyNumberFormat="1" applyFont="1" applyFill="1" applyBorder="1" applyAlignment="1">
      <alignment horizontal="center" vertical="center"/>
    </xf>
    <xf numFmtId="197" fontId="90" fillId="8" borderId="205" xfId="0" applyNumberFormat="1" applyFont="1" applyFill="1" applyBorder="1" applyAlignment="1">
      <alignment vertical="center"/>
    </xf>
    <xf numFmtId="197" fontId="93" fillId="8" borderId="196" xfId="0" applyNumberFormat="1" applyFont="1" applyFill="1" applyBorder="1" applyAlignment="1">
      <alignment vertical="center"/>
    </xf>
    <xf numFmtId="243" fontId="90" fillId="0" borderId="0" xfId="0" applyNumberFormat="1" applyFont="1" applyAlignment="1">
      <alignment vertical="center"/>
    </xf>
    <xf numFmtId="197" fontId="90" fillId="8" borderId="207" xfId="0" applyNumberFormat="1" applyFont="1" applyFill="1" applyBorder="1" applyAlignment="1">
      <alignment vertical="center"/>
    </xf>
    <xf numFmtId="241" fontId="86" fillId="0" borderId="0" xfId="0" applyNumberFormat="1" applyFont="1" applyAlignment="1">
      <alignment vertical="center"/>
    </xf>
    <xf numFmtId="197" fontId="93" fillId="26" borderId="196" xfId="0" applyNumberFormat="1" applyFont="1" applyFill="1" applyBorder="1" applyAlignment="1">
      <alignment vertical="center"/>
    </xf>
    <xf numFmtId="200" fontId="90" fillId="0" borderId="0" xfId="0" applyNumberFormat="1" applyFont="1" applyAlignment="1">
      <alignment vertical="center"/>
    </xf>
    <xf numFmtId="0" fontId="86" fillId="9" borderId="37" xfId="0" applyFont="1" applyFill="1" applyBorder="1" applyAlignment="1">
      <alignment horizontal="center" vertical="center"/>
    </xf>
    <xf numFmtId="0" fontId="86" fillId="9" borderId="183" xfId="0" applyFont="1" applyFill="1" applyBorder="1" applyAlignment="1">
      <alignment horizontal="right" vertical="center"/>
    </xf>
    <xf numFmtId="0" fontId="86" fillId="9" borderId="201" xfId="0" applyFont="1" applyFill="1" applyBorder="1" applyAlignment="1">
      <alignment vertical="center"/>
    </xf>
    <xf numFmtId="0" fontId="86" fillId="9" borderId="39" xfId="0" applyFont="1" applyFill="1" applyBorder="1" applyAlignment="1">
      <alignment horizontal="center" vertical="center"/>
    </xf>
    <xf numFmtId="0" fontId="86" fillId="8" borderId="182" xfId="0" applyFont="1" applyFill="1" applyBorder="1" applyAlignment="1">
      <alignment horizontal="center" vertical="center"/>
    </xf>
    <xf numFmtId="0" fontId="86" fillId="18" borderId="6" xfId="0" applyFont="1" applyFill="1" applyBorder="1"/>
    <xf numFmtId="0" fontId="86" fillId="8" borderId="5" xfId="0" applyFont="1" applyFill="1" applyBorder="1"/>
    <xf numFmtId="0" fontId="86" fillId="8" borderId="98" xfId="0" applyFont="1" applyFill="1" applyBorder="1" applyAlignment="1">
      <alignment horizontal="center" vertical="center"/>
    </xf>
    <xf numFmtId="0" fontId="86" fillId="18" borderId="17" xfId="0" applyFont="1" applyFill="1" applyBorder="1"/>
    <xf numFmtId="0" fontId="86" fillId="8" borderId="116" xfId="0" applyFont="1" applyFill="1" applyBorder="1"/>
    <xf numFmtId="0" fontId="86" fillId="8" borderId="98" xfId="0" applyFont="1" applyFill="1" applyBorder="1" applyAlignment="1">
      <alignment horizontal="left" vertical="center"/>
    </xf>
    <xf numFmtId="0" fontId="86" fillId="8" borderId="209" xfId="0" applyFont="1" applyFill="1" applyBorder="1" applyAlignment="1">
      <alignment horizontal="center" vertical="center"/>
    </xf>
    <xf numFmtId="0" fontId="86" fillId="8" borderId="210" xfId="0" applyFont="1" applyFill="1" applyBorder="1" applyAlignment="1">
      <alignment horizontal="left" vertical="center"/>
    </xf>
    <xf numFmtId="0" fontId="86" fillId="8" borderId="211" xfId="0" applyFont="1" applyFill="1" applyBorder="1" applyAlignment="1">
      <alignment horizontal="center" vertical="center"/>
    </xf>
    <xf numFmtId="3" fontId="89" fillId="8" borderId="212" xfId="0" applyNumberFormat="1" applyFont="1" applyFill="1" applyBorder="1"/>
    <xf numFmtId="0" fontId="89" fillId="8" borderId="85" xfId="0" applyFont="1" applyFill="1" applyBorder="1"/>
    <xf numFmtId="0" fontId="86" fillId="8" borderId="87" xfId="0" applyFont="1" applyFill="1" applyBorder="1" applyAlignment="1">
      <alignment horizontal="center" vertical="center"/>
    </xf>
    <xf numFmtId="0" fontId="86" fillId="8" borderId="43" xfId="0" applyFont="1" applyFill="1" applyBorder="1" applyAlignment="1">
      <alignment horizontal="center" vertical="center"/>
    </xf>
    <xf numFmtId="0" fontId="86" fillId="8" borderId="44" xfId="0" applyFont="1" applyFill="1" applyBorder="1" applyAlignment="1">
      <alignment horizontal="center" vertical="center"/>
    </xf>
    <xf numFmtId="0" fontId="86" fillId="8" borderId="41" xfId="0" applyFont="1" applyFill="1" applyBorder="1" applyAlignment="1">
      <alignment horizontal="center" vertical="center"/>
    </xf>
    <xf numFmtId="0" fontId="86" fillId="8" borderId="42" xfId="0" applyFont="1" applyFill="1" applyBorder="1" applyAlignment="1">
      <alignment horizontal="center" vertical="center"/>
    </xf>
    <xf numFmtId="0" fontId="86" fillId="0" borderId="41" xfId="0" applyFont="1" applyBorder="1" applyAlignment="1">
      <alignment horizontal="center" vertical="center"/>
    </xf>
    <xf numFmtId="0" fontId="86" fillId="0" borderId="20" xfId="0" applyFont="1" applyBorder="1"/>
    <xf numFmtId="244" fontId="32" fillId="0" borderId="42" xfId="0" applyNumberFormat="1" applyFont="1" applyBorder="1" applyAlignment="1">
      <alignment horizontal="center" vertical="center"/>
    </xf>
    <xf numFmtId="0" fontId="86" fillId="8" borderId="53" xfId="0" applyFont="1" applyFill="1" applyBorder="1" applyAlignment="1">
      <alignment horizontal="center" vertical="center"/>
    </xf>
    <xf numFmtId="0" fontId="86" fillId="8" borderId="17" xfId="0" applyFont="1" applyFill="1" applyBorder="1"/>
    <xf numFmtId="244" fontId="32" fillId="8" borderId="107" xfId="0" applyNumberFormat="1" applyFont="1" applyFill="1" applyBorder="1" applyAlignment="1">
      <alignment horizontal="center" vertical="center"/>
    </xf>
    <xf numFmtId="0" fontId="86" fillId="26" borderId="182" xfId="0" applyFont="1" applyFill="1" applyBorder="1" applyAlignment="1">
      <alignment horizontal="center" vertical="center"/>
    </xf>
    <xf numFmtId="0" fontId="89" fillId="26" borderId="17" xfId="0" applyFont="1" applyFill="1" applyBorder="1"/>
    <xf numFmtId="0" fontId="86" fillId="26" borderId="5" xfId="0" applyFont="1" applyFill="1" applyBorder="1"/>
    <xf numFmtId="0" fontId="86" fillId="26" borderId="98" xfId="0" applyFont="1" applyFill="1" applyBorder="1" applyAlignment="1">
      <alignment horizontal="center" vertical="center"/>
    </xf>
    <xf numFmtId="0" fontId="86" fillId="26" borderId="56" xfId="0" applyFont="1" applyFill="1" applyBorder="1" applyAlignment="1">
      <alignment horizontal="center" vertical="center"/>
    </xf>
    <xf numFmtId="3" fontId="89" fillId="26" borderId="163" xfId="0" applyNumberFormat="1" applyFont="1" applyFill="1" applyBorder="1"/>
    <xf numFmtId="0" fontId="86" fillId="26" borderId="179" xfId="0" applyFont="1" applyFill="1" applyBorder="1"/>
    <xf numFmtId="0" fontId="86" fillId="26" borderId="57" xfId="0" applyFont="1" applyFill="1" applyBorder="1" applyAlignment="1">
      <alignment horizontal="center" vertical="center"/>
    </xf>
    <xf numFmtId="241" fontId="90" fillId="9" borderId="184" xfId="0" applyNumberFormat="1" applyFont="1" applyFill="1" applyBorder="1" applyAlignment="1">
      <alignment horizontal="center" vertical="center"/>
    </xf>
    <xf numFmtId="0" fontId="93" fillId="26" borderId="196" xfId="0" applyFont="1" applyFill="1" applyBorder="1"/>
    <xf numFmtId="3" fontId="90" fillId="8" borderId="162" xfId="0" applyNumberFormat="1" applyFont="1" applyFill="1" applyBorder="1"/>
    <xf numFmtId="0" fontId="90" fillId="8" borderId="213" xfId="0" applyFont="1" applyFill="1" applyBorder="1"/>
    <xf numFmtId="0" fontId="90" fillId="8" borderId="214" xfId="0" applyFont="1" applyFill="1" applyBorder="1"/>
    <xf numFmtId="0" fontId="90" fillId="0" borderId="0" xfId="0" applyFont="1"/>
    <xf numFmtId="3" fontId="90" fillId="8" borderId="213" xfId="0" applyNumberFormat="1" applyFont="1" applyFill="1" applyBorder="1"/>
    <xf numFmtId="0" fontId="90" fillId="9" borderId="203" xfId="0" applyFont="1" applyFill="1" applyBorder="1"/>
    <xf numFmtId="3" fontId="90" fillId="8" borderId="32" xfId="0" applyNumberFormat="1" applyFont="1" applyFill="1" applyBorder="1"/>
    <xf numFmtId="3" fontId="90" fillId="18" borderId="196" xfId="0" applyNumberFormat="1" applyFont="1" applyFill="1" applyBorder="1"/>
    <xf numFmtId="3" fontId="90" fillId="8" borderId="214" xfId="0" applyNumberFormat="1" applyFont="1" applyFill="1" applyBorder="1"/>
    <xf numFmtId="0" fontId="90" fillId="8" borderId="200" xfId="0" applyFont="1" applyFill="1" applyBorder="1"/>
    <xf numFmtId="0" fontId="90" fillId="8" borderId="187" xfId="0" applyFont="1" applyFill="1" applyBorder="1"/>
    <xf numFmtId="197" fontId="86" fillId="0" borderId="0" xfId="0" applyNumberFormat="1" applyFont="1" applyAlignment="1">
      <alignment vertical="center"/>
    </xf>
    <xf numFmtId="0" fontId="89" fillId="0" borderId="0" xfId="0" applyFont="1" applyAlignment="1">
      <alignment horizontal="center" vertical="center"/>
    </xf>
    <xf numFmtId="0" fontId="86" fillId="9" borderId="215" xfId="0" applyFont="1" applyFill="1" applyBorder="1" applyAlignment="1">
      <alignment horizontal="center"/>
    </xf>
    <xf numFmtId="0" fontId="86" fillId="0" borderId="0" xfId="0" applyFont="1" applyAlignment="1">
      <alignment horizontal="center"/>
    </xf>
    <xf numFmtId="0" fontId="86" fillId="9" borderId="35" xfId="0" applyFont="1" applyFill="1" applyBorder="1" applyAlignment="1">
      <alignment horizontal="center"/>
    </xf>
    <xf numFmtId="0" fontId="86" fillId="9" borderId="216" xfId="0" applyFont="1" applyFill="1" applyBorder="1" applyAlignment="1">
      <alignment horizontal="center"/>
    </xf>
    <xf numFmtId="0" fontId="86" fillId="9" borderId="217" xfId="0" applyFont="1" applyFill="1" applyBorder="1" applyAlignment="1">
      <alignment horizontal="center"/>
    </xf>
    <xf numFmtId="3" fontId="32" fillId="18" borderId="196" xfId="0" applyNumberFormat="1" applyFont="1" applyFill="1" applyBorder="1" applyAlignment="1">
      <alignment horizontal="center"/>
    </xf>
    <xf numFmtId="3" fontId="86" fillId="8" borderId="206" xfId="0" applyNumberFormat="1" applyFont="1" applyFill="1" applyBorder="1" applyAlignment="1">
      <alignment horizontal="center"/>
    </xf>
    <xf numFmtId="3" fontId="86" fillId="8" borderId="179" xfId="0" applyNumberFormat="1" applyFont="1" applyFill="1" applyBorder="1" applyAlignment="1">
      <alignment horizontal="center"/>
    </xf>
    <xf numFmtId="0" fontId="86" fillId="9" borderId="218" xfId="0" applyFont="1" applyFill="1" applyBorder="1" applyAlignment="1">
      <alignment horizontal="center"/>
    </xf>
    <xf numFmtId="0" fontId="86" fillId="9" borderId="219" xfId="0" applyFont="1" applyFill="1" applyBorder="1" applyAlignment="1">
      <alignment horizontal="center"/>
    </xf>
    <xf numFmtId="3" fontId="86" fillId="8" borderId="196" xfId="0" applyNumberFormat="1" applyFont="1" applyFill="1" applyBorder="1" applyAlignment="1">
      <alignment horizontal="center"/>
    </xf>
    <xf numFmtId="3" fontId="86" fillId="8" borderId="163" xfId="0" applyNumberFormat="1" applyFont="1" applyFill="1" applyBorder="1" applyAlignment="1">
      <alignment horizontal="center"/>
    </xf>
    <xf numFmtId="9" fontId="86" fillId="8" borderId="187" xfId="0" applyNumberFormat="1" applyFont="1" applyFill="1" applyBorder="1" applyAlignment="1">
      <alignment horizontal="center"/>
    </xf>
    <xf numFmtId="3" fontId="94" fillId="0" borderId="0" xfId="0" applyNumberFormat="1" applyFont="1" applyAlignment="1">
      <alignment horizontal="center"/>
    </xf>
    <xf numFmtId="3" fontId="86" fillId="26" borderId="196" xfId="0" applyNumberFormat="1" applyFont="1" applyFill="1" applyBorder="1"/>
    <xf numFmtId="0" fontId="86" fillId="0" borderId="0" xfId="0" applyFont="1"/>
    <xf numFmtId="0" fontId="86" fillId="9" borderId="215" xfId="0" applyFont="1" applyFill="1" applyBorder="1" applyAlignment="1">
      <alignment horizontal="center" vertical="center"/>
    </xf>
    <xf numFmtId="0" fontId="11" fillId="0" borderId="0" xfId="0" quotePrefix="1" applyFont="1" applyAlignment="1">
      <alignment vertical="center"/>
    </xf>
    <xf numFmtId="0" fontId="89" fillId="9" borderId="220" xfId="0" applyFont="1" applyFill="1" applyBorder="1" applyAlignment="1">
      <alignment horizontal="center" vertical="center"/>
    </xf>
    <xf numFmtId="0" fontId="86" fillId="9" borderId="191" xfId="0" applyFont="1" applyFill="1" applyBorder="1" applyAlignment="1">
      <alignment horizontal="center" vertical="center"/>
    </xf>
    <xf numFmtId="3" fontId="89" fillId="26" borderId="200" xfId="0" applyNumberFormat="1" applyFont="1" applyFill="1" applyBorder="1"/>
    <xf numFmtId="0" fontId="86" fillId="23" borderId="209" xfId="0" applyFont="1" applyFill="1" applyBorder="1"/>
    <xf numFmtId="3" fontId="32" fillId="8" borderId="221" xfId="0" applyNumberFormat="1" applyFont="1" applyFill="1" applyBorder="1"/>
    <xf numFmtId="3" fontId="86" fillId="8" borderId="221" xfId="0" applyNumberFormat="1" applyFont="1" applyFill="1" applyBorder="1"/>
    <xf numFmtId="9" fontId="32" fillId="8" borderId="185" xfId="0" applyNumberFormat="1" applyFont="1" applyFill="1" applyBorder="1"/>
    <xf numFmtId="0" fontId="89" fillId="0" borderId="0" xfId="0" applyFont="1"/>
    <xf numFmtId="0" fontId="86" fillId="9" borderId="222" xfId="0" applyFont="1" applyFill="1" applyBorder="1"/>
    <xf numFmtId="0" fontId="86" fillId="18" borderId="223" xfId="0" applyFont="1" applyFill="1" applyBorder="1"/>
    <xf numFmtId="0" fontId="32" fillId="18" borderId="223" xfId="0" applyFont="1" applyFill="1" applyBorder="1"/>
    <xf numFmtId="0" fontId="86" fillId="0" borderId="0" xfId="0" applyFont="1" applyAlignment="1">
      <alignment horizontal="center" vertical="center"/>
    </xf>
    <xf numFmtId="9" fontId="86" fillId="0" borderId="0" xfId="0" applyNumberFormat="1" applyFont="1" applyAlignment="1">
      <alignment vertical="center"/>
    </xf>
    <xf numFmtId="197" fontId="89" fillId="0" borderId="0" xfId="0" applyNumberFormat="1" applyFont="1" applyAlignment="1">
      <alignment horizontal="center" vertical="center"/>
    </xf>
    <xf numFmtId="0" fontId="89" fillId="9" borderId="215" xfId="0" applyFont="1" applyFill="1" applyBorder="1" applyAlignment="1">
      <alignment horizontal="center" vertical="center"/>
    </xf>
    <xf numFmtId="0" fontId="86" fillId="9" borderId="220" xfId="0" applyFont="1" applyFill="1" applyBorder="1" applyAlignment="1">
      <alignment horizontal="center" vertical="center"/>
    </xf>
    <xf numFmtId="0" fontId="86" fillId="9" borderId="217" xfId="0" applyFont="1" applyFill="1" applyBorder="1" applyAlignment="1">
      <alignment horizontal="center" vertical="center"/>
    </xf>
    <xf numFmtId="0" fontId="86" fillId="9" borderId="224" xfId="0" applyFont="1" applyFill="1" applyBorder="1" applyAlignment="1">
      <alignment horizontal="center" vertical="center"/>
    </xf>
    <xf numFmtId="3" fontId="89" fillId="26" borderId="196" xfId="0" applyNumberFormat="1" applyFont="1" applyFill="1" applyBorder="1" applyAlignment="1">
      <alignment horizontal="center" vertical="center"/>
    </xf>
    <xf numFmtId="9" fontId="86" fillId="8" borderId="196" xfId="0" applyNumberFormat="1" applyFont="1" applyFill="1" applyBorder="1" applyAlignment="1">
      <alignment horizontal="center" vertical="center"/>
    </xf>
    <xf numFmtId="197" fontId="86" fillId="8" borderId="213" xfId="0" applyNumberFormat="1" applyFont="1" applyFill="1" applyBorder="1" applyAlignment="1">
      <alignment horizontal="center" vertical="center"/>
    </xf>
    <xf numFmtId="197" fontId="86" fillId="8" borderId="214" xfId="0" applyNumberFormat="1" applyFont="1" applyFill="1" applyBorder="1" applyAlignment="1">
      <alignment horizontal="center" vertical="center"/>
    </xf>
    <xf numFmtId="197" fontId="32" fillId="8" borderId="162" xfId="0" applyNumberFormat="1" applyFont="1" applyFill="1" applyBorder="1" applyAlignment="1">
      <alignment vertical="center"/>
    </xf>
    <xf numFmtId="195" fontId="86" fillId="8" borderId="204" xfId="0" applyNumberFormat="1" applyFont="1" applyFill="1" applyBorder="1" applyAlignment="1">
      <alignment vertical="center"/>
    </xf>
    <xf numFmtId="197" fontId="86" fillId="8" borderId="204" xfId="0" applyNumberFormat="1" applyFont="1" applyFill="1" applyBorder="1" applyAlignment="1">
      <alignment vertical="center"/>
    </xf>
    <xf numFmtId="0" fontId="86" fillId="9" borderId="32" xfId="0" applyFont="1" applyFill="1" applyBorder="1" applyAlignment="1">
      <alignment horizontal="center" vertical="center"/>
    </xf>
    <xf numFmtId="0" fontId="86" fillId="8" borderId="203" xfId="0" applyFont="1" applyFill="1" applyBorder="1" applyAlignment="1">
      <alignment horizontal="center" vertical="center"/>
    </xf>
    <xf numFmtId="197" fontId="86" fillId="8" borderId="32" xfId="0" applyNumberFormat="1" applyFont="1" applyFill="1" applyBorder="1" applyAlignment="1">
      <alignment vertical="center"/>
    </xf>
    <xf numFmtId="245" fontId="86" fillId="8" borderId="196" xfId="0" applyNumberFormat="1" applyFont="1" applyFill="1" applyBorder="1" applyAlignment="1">
      <alignment horizontal="center" vertical="center"/>
    </xf>
    <xf numFmtId="0" fontId="86" fillId="8" borderId="213" xfId="0" applyFont="1" applyFill="1" applyBorder="1" applyAlignment="1">
      <alignment horizontal="center" vertical="center"/>
    </xf>
    <xf numFmtId="197" fontId="86" fillId="8" borderId="214" xfId="0" applyNumberFormat="1" applyFont="1" applyFill="1" applyBorder="1" applyAlignment="1">
      <alignment vertical="center"/>
    </xf>
    <xf numFmtId="195" fontId="86" fillId="8" borderId="194" xfId="0" applyNumberFormat="1" applyFont="1" applyFill="1" applyBorder="1" applyAlignment="1">
      <alignment vertical="center"/>
    </xf>
    <xf numFmtId="197" fontId="86" fillId="8" borderId="194" xfId="0" applyNumberFormat="1" applyFont="1" applyFill="1" applyBorder="1" applyAlignment="1">
      <alignment vertical="center"/>
    </xf>
    <xf numFmtId="0" fontId="86" fillId="8" borderId="200" xfId="0" applyFont="1" applyFill="1" applyBorder="1" applyAlignment="1">
      <alignment horizontal="center" vertical="center"/>
    </xf>
    <xf numFmtId="195" fontId="86" fillId="20" borderId="225" xfId="0" applyNumberFormat="1" applyFont="1" applyFill="1" applyBorder="1" applyAlignment="1">
      <alignment vertical="center"/>
    </xf>
    <xf numFmtId="197" fontId="86" fillId="20" borderId="225" xfId="0" applyNumberFormat="1" applyFont="1" applyFill="1" applyBorder="1" applyAlignment="1">
      <alignment vertical="center"/>
    </xf>
    <xf numFmtId="197" fontId="86" fillId="20" borderId="32" xfId="0" applyNumberFormat="1" applyFont="1" applyFill="1" applyBorder="1" applyAlignment="1">
      <alignment vertical="center"/>
    </xf>
    <xf numFmtId="197" fontId="86" fillId="0" borderId="0" xfId="0" applyNumberFormat="1" applyFont="1" applyAlignment="1">
      <alignment horizontal="left" vertical="center"/>
    </xf>
    <xf numFmtId="205" fontId="86" fillId="0" borderId="0" xfId="0" applyNumberFormat="1" applyFont="1" applyAlignment="1">
      <alignment vertical="center"/>
    </xf>
    <xf numFmtId="197" fontId="86" fillId="8" borderId="226" xfId="0" applyNumberFormat="1" applyFont="1" applyFill="1" applyBorder="1" applyAlignment="1">
      <alignment horizontal="center" vertical="center"/>
    </xf>
    <xf numFmtId="195" fontId="86" fillId="0" borderId="227" xfId="0" applyNumberFormat="1" applyFont="1" applyBorder="1" applyAlignment="1">
      <alignment vertical="center"/>
    </xf>
    <xf numFmtId="0" fontId="86" fillId="8" borderId="228" xfId="0" applyFont="1" applyFill="1" applyBorder="1" applyAlignment="1">
      <alignment horizontal="center" vertical="center"/>
    </xf>
    <xf numFmtId="0" fontId="88" fillId="0" borderId="0" xfId="0" quotePrefix="1" applyFont="1" applyAlignment="1">
      <alignment vertical="center"/>
    </xf>
    <xf numFmtId="197" fontId="89" fillId="26" borderId="196" xfId="0" applyNumberFormat="1" applyFont="1" applyFill="1" applyBorder="1" applyAlignment="1">
      <alignment horizontal="center" vertical="center"/>
    </xf>
    <xf numFmtId="197" fontId="86" fillId="0" borderId="227" xfId="0" applyNumberFormat="1" applyFont="1" applyBorder="1" applyAlignment="1">
      <alignment vertical="center"/>
    </xf>
    <xf numFmtId="197" fontId="86" fillId="0" borderId="225" xfId="0" applyNumberFormat="1" applyFont="1" applyBorder="1" applyAlignment="1">
      <alignment vertical="center"/>
    </xf>
    <xf numFmtId="197" fontId="86" fillId="18" borderId="196" xfId="0" applyNumberFormat="1" applyFont="1" applyFill="1" applyBorder="1" applyAlignment="1">
      <alignment vertical="center"/>
    </xf>
    <xf numFmtId="9" fontId="32" fillId="8" borderId="196" xfId="0" applyNumberFormat="1" applyFont="1" applyFill="1" applyBorder="1" applyAlignment="1">
      <alignment vertical="center"/>
    </xf>
    <xf numFmtId="197" fontId="86" fillId="8" borderId="196" xfId="0" applyNumberFormat="1" applyFont="1" applyFill="1" applyBorder="1" applyAlignment="1">
      <alignment vertical="center"/>
    </xf>
    <xf numFmtId="10" fontId="32" fillId="8" borderId="196" xfId="0" applyNumberFormat="1" applyFont="1" applyFill="1" applyBorder="1" applyAlignment="1">
      <alignment vertical="center"/>
    </xf>
    <xf numFmtId="0" fontId="86" fillId="9" borderId="35" xfId="0" applyFont="1" applyFill="1" applyBorder="1" applyAlignment="1">
      <alignment horizontal="center" vertical="center"/>
    </xf>
    <xf numFmtId="0" fontId="86" fillId="9" borderId="219" xfId="0" applyFont="1" applyFill="1" applyBorder="1" applyAlignment="1">
      <alignment horizontal="center" vertical="center"/>
    </xf>
    <xf numFmtId="0" fontId="86" fillId="9" borderId="36" xfId="0" applyFont="1" applyFill="1" applyBorder="1" applyAlignment="1">
      <alignment horizontal="center" vertical="center"/>
    </xf>
    <xf numFmtId="200" fontId="89" fillId="26" borderId="196" xfId="0" applyNumberFormat="1" applyFont="1" applyFill="1" applyBorder="1" applyAlignment="1">
      <alignment horizontal="center" vertical="center"/>
    </xf>
    <xf numFmtId="197" fontId="86" fillId="27" borderId="41" xfId="0" applyNumberFormat="1" applyFont="1" applyFill="1" applyBorder="1" applyAlignment="1">
      <alignment horizontal="center" vertical="center"/>
    </xf>
    <xf numFmtId="195" fontId="86" fillId="0" borderId="15" xfId="0" applyNumberFormat="1" applyFont="1" applyBorder="1" applyAlignment="1">
      <alignment horizontal="center" vertical="center"/>
    </xf>
    <xf numFmtId="197" fontId="32" fillId="0" borderId="15" xfId="0" applyNumberFormat="1" applyFont="1" applyBorder="1" applyAlignment="1">
      <alignment vertical="center"/>
    </xf>
    <xf numFmtId="204" fontId="86" fillId="0" borderId="15" xfId="0" applyNumberFormat="1" applyFont="1" applyBorder="1" applyAlignment="1">
      <alignment vertical="center"/>
    </xf>
    <xf numFmtId="197" fontId="86" fillId="0" borderId="42" xfId="0" applyNumberFormat="1" applyFont="1" applyBorder="1" applyAlignment="1">
      <alignment vertical="center"/>
    </xf>
    <xf numFmtId="0" fontId="86" fillId="27" borderId="41" xfId="0" applyFont="1" applyFill="1" applyBorder="1" applyAlignment="1">
      <alignment horizontal="center" vertical="center"/>
    </xf>
    <xf numFmtId="197" fontId="86" fillId="0" borderId="15" xfId="0" applyNumberFormat="1" applyFont="1" applyBorder="1" applyAlignment="1">
      <alignment vertical="center"/>
    </xf>
    <xf numFmtId="176" fontId="86" fillId="27" borderId="41" xfId="0" applyNumberFormat="1" applyFont="1" applyFill="1" applyBorder="1" applyAlignment="1">
      <alignment horizontal="center" vertical="center"/>
    </xf>
    <xf numFmtId="0" fontId="86" fillId="20" borderId="49" xfId="0" applyFont="1" applyFill="1" applyBorder="1" applyAlignment="1">
      <alignment horizontal="center" vertical="center"/>
    </xf>
    <xf numFmtId="195" fontId="86" fillId="20" borderId="63" xfId="0" applyNumberFormat="1" applyFont="1" applyFill="1" applyBorder="1" applyAlignment="1">
      <alignment vertical="center"/>
    </xf>
    <xf numFmtId="0" fontId="86" fillId="20" borderId="63" xfId="0" applyFont="1" applyFill="1" applyBorder="1" applyAlignment="1">
      <alignment vertical="center"/>
    </xf>
    <xf numFmtId="197" fontId="86" fillId="20" borderId="50" xfId="0" applyNumberFormat="1" applyFont="1" applyFill="1" applyBorder="1" applyAlignment="1">
      <alignment vertical="center"/>
    </xf>
    <xf numFmtId="10" fontId="18" fillId="0" borderId="0" xfId="0" applyNumberFormat="1" applyFont="1" applyAlignment="1">
      <alignment vertical="center"/>
    </xf>
    <xf numFmtId="10" fontId="46" fillId="0" borderId="0" xfId="0" applyNumberFormat="1" applyFont="1" applyAlignment="1">
      <alignment horizontal="left" vertical="center"/>
    </xf>
    <xf numFmtId="10" fontId="15" fillId="0" borderId="0" xfId="0" applyNumberFormat="1" applyFont="1" applyAlignment="1">
      <alignment vertical="center"/>
    </xf>
    <xf numFmtId="10" fontId="1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vertical="center"/>
    </xf>
    <xf numFmtId="10" fontId="0" fillId="0" borderId="0" xfId="0" applyNumberFormat="1"/>
    <xf numFmtId="0" fontId="3" fillId="17" borderId="213" xfId="0" applyFont="1" applyFill="1" applyBorder="1" applyAlignment="1">
      <alignment horizontal="center" vertical="center" textRotation="255"/>
    </xf>
    <xf numFmtId="0" fontId="5" fillId="4" borderId="229" xfId="0" applyFont="1" applyFill="1" applyBorder="1" applyAlignment="1">
      <alignment vertical="center"/>
    </xf>
    <xf numFmtId="9" fontId="4" fillId="0" borderId="0" xfId="0" applyNumberFormat="1" applyFont="1" applyAlignment="1">
      <alignment vertical="center"/>
    </xf>
    <xf numFmtId="0" fontId="110" fillId="0" borderId="0" xfId="0" applyFont="1" applyAlignment="1">
      <alignment horizontal="right" vertical="center"/>
    </xf>
    <xf numFmtId="0" fontId="111" fillId="0" borderId="0" xfId="0" applyFont="1"/>
    <xf numFmtId="41" fontId="113" fillId="0" borderId="32" xfId="1" applyFont="1" applyBorder="1" applyAlignment="1">
      <alignment horizontal="right" vertical="center"/>
    </xf>
    <xf numFmtId="0" fontId="86" fillId="9" borderId="253" xfId="0" applyFont="1" applyFill="1" applyBorder="1" applyAlignment="1">
      <alignment horizontal="center" vertical="center"/>
    </xf>
    <xf numFmtId="3" fontId="86" fillId="26" borderId="254" xfId="0" applyNumberFormat="1" applyFont="1" applyFill="1" applyBorder="1"/>
    <xf numFmtId="179" fontId="8" fillId="30" borderId="2" xfId="0" applyNumberFormat="1" applyFont="1" applyFill="1" applyBorder="1" applyAlignment="1">
      <alignment horizontal="right" vertical="center"/>
    </xf>
    <xf numFmtId="179" fontId="8" fillId="30" borderId="1" xfId="0" applyNumberFormat="1" applyFont="1" applyFill="1" applyBorder="1" applyAlignment="1">
      <alignment horizontal="right" vertical="center"/>
    </xf>
    <xf numFmtId="182" fontId="8" fillId="30" borderId="1" xfId="0" applyNumberFormat="1" applyFont="1" applyFill="1" applyBorder="1" applyAlignment="1">
      <alignment vertical="center"/>
    </xf>
    <xf numFmtId="185" fontId="8" fillId="30" borderId="1" xfId="0" applyNumberFormat="1" applyFont="1" applyFill="1" applyBorder="1" applyAlignment="1">
      <alignment vertical="center"/>
    </xf>
    <xf numFmtId="186" fontId="8" fillId="30" borderId="1" xfId="0" applyNumberFormat="1" applyFont="1" applyFill="1" applyBorder="1" applyAlignment="1">
      <alignment horizontal="left" vertical="center"/>
    </xf>
    <xf numFmtId="187" fontId="8" fillId="30" borderId="1" xfId="0" applyNumberFormat="1" applyFont="1" applyFill="1" applyBorder="1" applyAlignment="1">
      <alignment horizontal="left" vertical="center"/>
    </xf>
    <xf numFmtId="192" fontId="8" fillId="30" borderId="1" xfId="0" applyNumberFormat="1" applyFont="1" applyFill="1" applyBorder="1" applyAlignment="1">
      <alignment horizontal="left" vertical="center"/>
    </xf>
    <xf numFmtId="10" fontId="4" fillId="0" borderId="19" xfId="0" applyNumberFormat="1" applyFont="1" applyBorder="1" applyAlignment="1">
      <alignment vertical="center"/>
    </xf>
    <xf numFmtId="197" fontId="16" fillId="0" borderId="32" xfId="0" applyNumberFormat="1" applyFont="1" applyBorder="1" applyAlignment="1">
      <alignment vertical="center"/>
    </xf>
    <xf numFmtId="197" fontId="8" fillId="31" borderId="3" xfId="0" applyNumberFormat="1" applyFont="1" applyFill="1" applyBorder="1" applyAlignment="1">
      <alignment horizontal="right" vertical="center"/>
    </xf>
    <xf numFmtId="195" fontId="8" fillId="31" borderId="3" xfId="0" applyNumberFormat="1" applyFont="1" applyFill="1" applyBorder="1" applyAlignment="1">
      <alignment vertical="center"/>
    </xf>
    <xf numFmtId="197" fontId="8" fillId="32" borderId="3" xfId="0" applyNumberFormat="1" applyFont="1" applyFill="1" applyBorder="1" applyAlignment="1">
      <alignment horizontal="right" vertical="center"/>
    </xf>
    <xf numFmtId="195" fontId="8" fillId="33" borderId="3" xfId="0" applyNumberFormat="1" applyFont="1" applyFill="1" applyBorder="1" applyAlignment="1">
      <alignment vertical="center"/>
    </xf>
    <xf numFmtId="197" fontId="8" fillId="31" borderId="3" xfId="0" applyNumberFormat="1" applyFont="1" applyFill="1" applyBorder="1" applyAlignment="1">
      <alignment vertical="center"/>
    </xf>
    <xf numFmtId="204" fontId="18" fillId="0" borderId="19" xfId="0" applyNumberFormat="1" applyFont="1" applyBorder="1" applyAlignment="1">
      <alignment horizontal="center" vertical="center"/>
    </xf>
    <xf numFmtId="197" fontId="41" fillId="0" borderId="147" xfId="0" applyNumberFormat="1" applyFont="1" applyBorder="1" applyAlignment="1">
      <alignment vertical="center"/>
    </xf>
    <xf numFmtId="197" fontId="41" fillId="0" borderId="147" xfId="0" applyNumberFormat="1" applyFont="1" applyBorder="1" applyAlignment="1">
      <alignment horizontal="right" vertical="center"/>
    </xf>
    <xf numFmtId="197" fontId="5" fillId="0" borderId="152" xfId="0" applyNumberFormat="1" applyFont="1" applyBorder="1" applyAlignment="1">
      <alignment horizontal="center" vertical="center"/>
    </xf>
    <xf numFmtId="197" fontId="41" fillId="0" borderId="255" xfId="0" applyNumberFormat="1" applyFont="1" applyBorder="1" applyAlignment="1">
      <alignment vertical="center"/>
    </xf>
    <xf numFmtId="0" fontId="5" fillId="16" borderId="20" xfId="0" applyFont="1" applyFill="1" applyBorder="1" applyAlignment="1">
      <alignment horizontal="center" vertical="center" wrapText="1"/>
    </xf>
    <xf numFmtId="195" fontId="18" fillId="15" borderId="129" xfId="0" applyNumberFormat="1" applyFont="1" applyFill="1" applyBorder="1" applyAlignment="1">
      <alignment horizontal="center" vertical="center"/>
    </xf>
    <xf numFmtId="220" fontId="18" fillId="0" borderId="101" xfId="0" applyNumberFormat="1" applyFont="1" applyBorder="1" applyAlignment="1">
      <alignment horizontal="right" vertical="center"/>
    </xf>
    <xf numFmtId="0" fontId="5" fillId="16" borderId="257" xfId="0" applyFont="1" applyFill="1" applyBorder="1" applyAlignment="1">
      <alignment horizontal="center" vertical="center" wrapText="1"/>
    </xf>
    <xf numFmtId="195" fontId="18" fillId="15" borderId="258" xfId="0" applyNumberFormat="1" applyFont="1" applyFill="1" applyBorder="1" applyAlignment="1">
      <alignment horizontal="center" vertical="center"/>
    </xf>
    <xf numFmtId="220" fontId="18" fillId="0" borderId="260" xfId="0" applyNumberFormat="1" applyFont="1" applyBorder="1" applyAlignment="1">
      <alignment horizontal="right" vertical="center"/>
    </xf>
    <xf numFmtId="0" fontId="18" fillId="0" borderId="260" xfId="0" quotePrefix="1" applyFont="1" applyBorder="1" applyAlignment="1">
      <alignment horizontal="right" vertical="center"/>
    </xf>
    <xf numFmtId="204" fontId="18" fillId="0" borderId="257" xfId="0" applyNumberFormat="1" applyFont="1" applyBorder="1" applyAlignment="1">
      <alignment horizontal="center" vertical="center"/>
    </xf>
    <xf numFmtId="197" fontId="5" fillId="0" borderId="256" xfId="0" applyNumberFormat="1" applyFont="1" applyBorder="1" applyAlignment="1">
      <alignment horizontal="center" vertical="center"/>
    </xf>
    <xf numFmtId="0" fontId="18" fillId="15" borderId="143" xfId="0" applyFont="1" applyFill="1" applyBorder="1" applyAlignment="1">
      <alignment vertical="center"/>
    </xf>
    <xf numFmtId="197" fontId="5" fillId="7" borderId="266" xfId="0" applyNumberFormat="1" applyFont="1" applyFill="1" applyBorder="1" applyAlignment="1">
      <alignment horizontal="center" vertical="center"/>
    </xf>
    <xf numFmtId="0" fontId="18" fillId="35" borderId="267" xfId="0" quotePrefix="1" applyFont="1" applyFill="1" applyBorder="1" applyAlignment="1">
      <alignment horizontal="right" vertical="center"/>
    </xf>
    <xf numFmtId="210" fontId="18" fillId="36" borderId="268" xfId="0" applyNumberFormat="1" applyFont="1" applyFill="1" applyBorder="1" applyAlignment="1">
      <alignment horizontal="right" vertical="center"/>
    </xf>
    <xf numFmtId="204" fontId="18" fillId="35" borderId="269" xfId="0" applyNumberFormat="1" applyFont="1" applyFill="1" applyBorder="1" applyAlignment="1">
      <alignment horizontal="center" vertical="center"/>
    </xf>
    <xf numFmtId="197" fontId="5" fillId="35" borderId="270" xfId="0" applyNumberFormat="1" applyFont="1" applyFill="1" applyBorder="1" applyAlignment="1">
      <alignment horizontal="center" vertical="center"/>
    </xf>
    <xf numFmtId="210" fontId="40" fillId="30" borderId="22" xfId="0" applyNumberFormat="1" applyFont="1" applyFill="1" applyBorder="1" applyAlignment="1">
      <alignment horizontal="right" vertical="center"/>
    </xf>
    <xf numFmtId="0" fontId="5" fillId="30" borderId="23" xfId="0" applyFont="1" applyFill="1" applyBorder="1" applyAlignment="1">
      <alignment vertical="center"/>
    </xf>
    <xf numFmtId="206" fontId="40" fillId="30" borderId="22" xfId="0" applyNumberFormat="1" applyFont="1" applyFill="1" applyBorder="1" applyAlignment="1">
      <alignment horizontal="center" vertical="center"/>
    </xf>
    <xf numFmtId="216" fontId="51" fillId="30" borderId="0" xfId="0" applyNumberFormat="1" applyFont="1" applyFill="1" applyAlignment="1">
      <alignment horizontal="center" vertical="center"/>
    </xf>
    <xf numFmtId="10" fontId="15" fillId="30" borderId="0" xfId="0" applyNumberFormat="1" applyFont="1" applyFill="1" applyAlignment="1">
      <alignment horizontal="center" vertical="center"/>
    </xf>
    <xf numFmtId="197" fontId="41" fillId="37" borderId="10" xfId="0" applyNumberFormat="1" applyFont="1" applyFill="1" applyBorder="1" applyAlignment="1">
      <alignment horizontal="right" vertical="center"/>
    </xf>
    <xf numFmtId="197" fontId="18" fillId="37" borderId="90" xfId="0" applyNumberFormat="1" applyFont="1" applyFill="1" applyBorder="1" applyAlignment="1">
      <alignment vertical="center"/>
    </xf>
    <xf numFmtId="197" fontId="18" fillId="37" borderId="91" xfId="0" applyNumberFormat="1" applyFont="1" applyFill="1" applyBorder="1" applyAlignment="1">
      <alignment vertical="center"/>
    </xf>
    <xf numFmtId="197" fontId="41" fillId="37" borderId="100" xfId="0" applyNumberFormat="1" applyFont="1" applyFill="1" applyBorder="1" applyAlignment="1">
      <alignment horizontal="right" vertical="center"/>
    </xf>
    <xf numFmtId="197" fontId="18" fillId="37" borderId="10" xfId="0" applyNumberFormat="1" applyFont="1" applyFill="1" applyBorder="1" applyAlignment="1">
      <alignment horizontal="right" vertical="center"/>
    </xf>
    <xf numFmtId="221" fontId="18" fillId="38" borderId="101" xfId="0" applyNumberFormat="1" applyFont="1" applyFill="1" applyBorder="1" applyAlignment="1">
      <alignment horizontal="right" vertical="center"/>
    </xf>
    <xf numFmtId="38" fontId="18" fillId="7" borderId="213" xfId="0" applyNumberFormat="1" applyFont="1" applyFill="1" applyBorder="1" applyAlignment="1">
      <alignment horizontal="center" vertical="center"/>
    </xf>
    <xf numFmtId="0" fontId="5" fillId="16" borderId="272" xfId="0" applyFont="1" applyFill="1" applyBorder="1" applyAlignment="1">
      <alignment horizontal="center" vertical="center" wrapText="1"/>
    </xf>
    <xf numFmtId="0" fontId="5" fillId="16" borderId="273" xfId="0" applyFont="1" applyFill="1" applyBorder="1" applyAlignment="1">
      <alignment horizontal="center" vertical="center" wrapText="1"/>
    </xf>
    <xf numFmtId="0" fontId="5" fillId="16" borderId="274" xfId="0" applyFont="1" applyFill="1" applyBorder="1" applyAlignment="1">
      <alignment horizontal="center" vertical="center" wrapText="1"/>
    </xf>
    <xf numFmtId="0" fontId="5" fillId="16" borderId="232" xfId="0" applyFont="1" applyFill="1" applyBorder="1" applyAlignment="1">
      <alignment horizontal="center" vertical="center" wrapText="1"/>
    </xf>
    <xf numFmtId="219" fontId="18" fillId="0" borderId="96" xfId="0" applyNumberFormat="1" applyFont="1" applyBorder="1" applyAlignment="1">
      <alignment horizontal="right" vertical="center"/>
    </xf>
    <xf numFmtId="0" fontId="18" fillId="34" borderId="267" xfId="0" applyFont="1" applyFill="1" applyBorder="1" applyAlignment="1">
      <alignment vertical="center"/>
    </xf>
    <xf numFmtId="221" fontId="18" fillId="39" borderId="92" xfId="0" applyNumberFormat="1" applyFont="1" applyFill="1" applyBorder="1" applyAlignment="1">
      <alignment horizontal="right" vertical="center"/>
    </xf>
    <xf numFmtId="221" fontId="18" fillId="39" borderId="260" xfId="0" applyNumberFormat="1" applyFont="1" applyFill="1" applyBorder="1" applyAlignment="1">
      <alignment horizontal="right" vertical="center"/>
    </xf>
    <xf numFmtId="210" fontId="18" fillId="40" borderId="27" xfId="0" applyNumberFormat="1" applyFont="1" applyFill="1" applyBorder="1" applyAlignment="1">
      <alignment horizontal="right" vertical="center"/>
    </xf>
    <xf numFmtId="210" fontId="18" fillId="40" borderId="23" xfId="0" applyNumberFormat="1" applyFont="1" applyFill="1" applyBorder="1" applyAlignment="1">
      <alignment horizontal="right" vertical="center"/>
    </xf>
    <xf numFmtId="210" fontId="18" fillId="40" borderId="259" xfId="0" applyNumberFormat="1" applyFont="1" applyFill="1" applyBorder="1" applyAlignment="1">
      <alignment horizontal="right" vertical="center"/>
    </xf>
    <xf numFmtId="221" fontId="18" fillId="39" borderId="101" xfId="0" applyNumberFormat="1" applyFont="1" applyFill="1" applyBorder="1" applyAlignment="1">
      <alignment horizontal="right" vertical="center"/>
    </xf>
    <xf numFmtId="221" fontId="18" fillId="39" borderId="32" xfId="0" applyNumberFormat="1" applyFont="1" applyFill="1" applyBorder="1" applyAlignment="1">
      <alignment horizontal="right" vertical="center"/>
    </xf>
    <xf numFmtId="220" fontId="18" fillId="30" borderId="101" xfId="0" applyNumberFormat="1" applyFont="1" applyFill="1" applyBorder="1" applyAlignment="1">
      <alignment horizontal="right" vertical="center"/>
    </xf>
    <xf numFmtId="221" fontId="18" fillId="36" borderId="267" xfId="0" applyNumberFormat="1" applyFont="1" applyFill="1" applyBorder="1" applyAlignment="1">
      <alignment horizontal="center" vertical="center"/>
    </xf>
    <xf numFmtId="9" fontId="15" fillId="0" borderId="32" xfId="0" applyNumberFormat="1" applyFont="1" applyBorder="1" applyAlignment="1">
      <alignment horizontal="right" vertical="center"/>
    </xf>
    <xf numFmtId="0" fontId="5" fillId="7" borderId="99" xfId="0" applyFont="1" applyFill="1" applyBorder="1" applyAlignment="1">
      <alignment horizontal="center" vertical="center"/>
    </xf>
    <xf numFmtId="0" fontId="5" fillId="7" borderId="213" xfId="0" applyFont="1" applyFill="1" applyBorder="1" applyAlignment="1">
      <alignment horizontal="center" vertical="center"/>
    </xf>
    <xf numFmtId="0" fontId="5" fillId="7" borderId="200" xfId="0" applyFont="1" applyFill="1" applyBorder="1" applyAlignment="1">
      <alignment horizontal="center" vertical="center"/>
    </xf>
    <xf numFmtId="0" fontId="18" fillId="0" borderId="129" xfId="0" applyFont="1" applyBorder="1" applyAlignment="1">
      <alignment horizontal="right" vertical="center"/>
    </xf>
    <xf numFmtId="197" fontId="5" fillId="0" borderId="101" xfId="0" applyNumberFormat="1" applyFont="1" applyBorder="1" applyAlignment="1">
      <alignment horizontal="right" vertical="center"/>
    </xf>
    <xf numFmtId="0" fontId="18" fillId="41" borderId="62" xfId="0" applyFont="1" applyFill="1" applyBorder="1" applyAlignment="1">
      <alignment vertical="center"/>
    </xf>
    <xf numFmtId="0" fontId="18" fillId="41" borderId="60" xfId="0" applyFont="1" applyFill="1" applyBorder="1" applyAlignment="1">
      <alignment vertical="center"/>
    </xf>
    <xf numFmtId="0" fontId="18" fillId="41" borderId="61" xfId="0" applyFont="1" applyFill="1" applyBorder="1" applyAlignment="1">
      <alignment vertical="center"/>
    </xf>
    <xf numFmtId="204" fontId="18" fillId="40" borderId="14" xfId="0" applyNumberFormat="1" applyFont="1" applyFill="1" applyBorder="1" applyAlignment="1">
      <alignment horizontal="center" vertical="center"/>
    </xf>
    <xf numFmtId="197" fontId="59" fillId="40" borderId="44" xfId="0" applyNumberFormat="1" applyFont="1" applyFill="1" applyBorder="1" applyAlignment="1">
      <alignment horizontal="right" vertical="center"/>
    </xf>
    <xf numFmtId="9" fontId="42" fillId="42" borderId="14" xfId="0" applyNumberFormat="1" applyFont="1" applyFill="1" applyBorder="1" applyAlignment="1">
      <alignment horizontal="center" vertical="center"/>
    </xf>
    <xf numFmtId="9" fontId="42" fillId="42" borderId="15" xfId="0" applyNumberFormat="1" applyFont="1" applyFill="1" applyBorder="1" applyAlignment="1">
      <alignment horizontal="center" vertical="center"/>
    </xf>
    <xf numFmtId="221" fontId="18" fillId="40" borderId="101" xfId="0" applyNumberFormat="1" applyFont="1" applyFill="1" applyBorder="1" applyAlignment="1">
      <alignment horizontal="right" vertical="center"/>
    </xf>
    <xf numFmtId="197" fontId="18" fillId="0" borderId="101" xfId="0" applyNumberFormat="1" applyFont="1" applyBorder="1" applyAlignment="1">
      <alignment horizontal="right" vertical="center"/>
    </xf>
    <xf numFmtId="246" fontId="18" fillId="0" borderId="40" xfId="0" applyNumberFormat="1" applyFont="1" applyBorder="1" applyAlignment="1">
      <alignment vertical="center"/>
    </xf>
    <xf numFmtId="179" fontId="8" fillId="30" borderId="1" xfId="0" applyNumberFormat="1" applyFont="1" applyFill="1" applyBorder="1" applyAlignment="1">
      <alignment horizontal="left" vertical="center"/>
    </xf>
    <xf numFmtId="197" fontId="40" fillId="43" borderId="92" xfId="0" applyNumberFormat="1" applyFont="1" applyFill="1" applyBorder="1" applyAlignment="1">
      <alignment vertical="center"/>
    </xf>
    <xf numFmtId="197" fontId="18" fillId="0" borderId="147" xfId="0" applyNumberFormat="1" applyFont="1" applyBorder="1" applyAlignment="1">
      <alignment vertical="center"/>
    </xf>
    <xf numFmtId="247" fontId="18" fillId="0" borderId="147" xfId="0" applyNumberFormat="1" applyFont="1" applyBorder="1" applyAlignment="1">
      <alignment vertical="center"/>
    </xf>
    <xf numFmtId="0" fontId="18" fillId="35" borderId="267" xfId="0" quotePrefix="1" applyFont="1" applyFill="1" applyBorder="1" applyAlignment="1">
      <alignment horizontal="left" vertical="center"/>
    </xf>
    <xf numFmtId="0" fontId="126" fillId="0" borderId="0" xfId="0" applyFont="1"/>
    <xf numFmtId="0" fontId="111" fillId="0" borderId="32" xfId="2" applyFont="1"/>
    <xf numFmtId="0" fontId="110" fillId="0" borderId="32" xfId="2" applyFont="1" applyAlignment="1">
      <alignment horizontal="right" vertical="center"/>
    </xf>
    <xf numFmtId="0" fontId="110" fillId="0" borderId="181" xfId="2" applyFont="1" applyBorder="1" applyAlignment="1">
      <alignment horizontal="right" vertical="center"/>
    </xf>
    <xf numFmtId="0" fontId="110" fillId="0" borderId="162" xfId="2" applyFont="1" applyBorder="1" applyAlignment="1">
      <alignment horizontal="right" vertical="center"/>
    </xf>
    <xf numFmtId="197" fontId="109" fillId="0" borderId="162" xfId="2" applyNumberFormat="1" applyFont="1" applyBorder="1" applyAlignment="1">
      <alignment horizontal="right" vertical="center"/>
    </xf>
    <xf numFmtId="240" fontId="109" fillId="0" borderId="200" xfId="2" applyNumberFormat="1" applyFont="1" applyBorder="1" applyAlignment="1">
      <alignment horizontal="right" vertical="center"/>
    </xf>
    <xf numFmtId="0" fontId="110" fillId="0" borderId="214" xfId="2" applyFont="1" applyBorder="1" applyAlignment="1">
      <alignment horizontal="right" vertical="center"/>
    </xf>
    <xf numFmtId="197" fontId="110" fillId="0" borderId="32" xfId="2" applyNumberFormat="1" applyFont="1" applyAlignment="1">
      <alignment horizontal="right" vertical="center"/>
    </xf>
    <xf numFmtId="0" fontId="110" fillId="0" borderId="213" xfId="2" applyFont="1" applyBorder="1" applyAlignment="1">
      <alignment horizontal="right" vertical="center"/>
    </xf>
    <xf numFmtId="240" fontId="110" fillId="0" borderId="213" xfId="2" applyNumberFormat="1" applyFont="1" applyBorder="1" applyAlignment="1">
      <alignment horizontal="right" vertical="center"/>
    </xf>
    <xf numFmtId="197" fontId="110" fillId="0" borderId="214" xfId="2" applyNumberFormat="1" applyFont="1" applyBorder="1" applyAlignment="1">
      <alignment horizontal="right" vertical="center"/>
    </xf>
    <xf numFmtId="0" fontId="109" fillId="0" borderId="32" xfId="2" applyFont="1" applyAlignment="1">
      <alignment horizontal="right" vertical="center"/>
    </xf>
    <xf numFmtId="197" fontId="109" fillId="0" borderId="32" xfId="2" applyNumberFormat="1" applyFont="1" applyAlignment="1">
      <alignment horizontal="right" vertical="center"/>
    </xf>
    <xf numFmtId="0" fontId="109" fillId="0" borderId="213" xfId="2" applyFont="1" applyBorder="1" applyAlignment="1">
      <alignment horizontal="right" vertical="center"/>
    </xf>
    <xf numFmtId="0" fontId="110" fillId="0" borderId="180" xfId="2" applyFont="1" applyBorder="1" applyAlignment="1">
      <alignment horizontal="right" vertical="center"/>
    </xf>
    <xf numFmtId="0" fontId="110" fillId="0" borderId="224" xfId="2" applyFont="1" applyBorder="1" applyAlignment="1">
      <alignment horizontal="right" vertical="center"/>
    </xf>
    <xf numFmtId="197" fontId="110" fillId="0" borderId="224" xfId="2" applyNumberFormat="1" applyFont="1" applyBorder="1" applyAlignment="1">
      <alignment horizontal="right" vertical="center"/>
    </xf>
    <xf numFmtId="0" fontId="118" fillId="0" borderId="199" xfId="2" applyFont="1" applyBorder="1" applyAlignment="1">
      <alignment horizontal="right" vertical="center"/>
    </xf>
    <xf numFmtId="0" fontId="113" fillId="0" borderId="32" xfId="2" applyFont="1" applyAlignment="1">
      <alignment horizontal="right" vertical="center"/>
    </xf>
    <xf numFmtId="0" fontId="113" fillId="0" borderId="243" xfId="2" applyFont="1" applyBorder="1" applyAlignment="1">
      <alignment horizontal="right" vertical="center"/>
    </xf>
    <xf numFmtId="0" fontId="113" fillId="0" borderId="242" xfId="2" applyFont="1" applyBorder="1" applyAlignment="1">
      <alignment horizontal="right" vertical="center"/>
    </xf>
    <xf numFmtId="41" fontId="113" fillId="0" borderId="242" xfId="3" applyFont="1" applyBorder="1" applyAlignment="1">
      <alignment horizontal="right" vertical="center"/>
    </xf>
    <xf numFmtId="0" fontId="113" fillId="0" borderId="241" xfId="2" applyFont="1" applyBorder="1" applyAlignment="1">
      <alignment horizontal="right" vertical="center"/>
    </xf>
    <xf numFmtId="0" fontId="113" fillId="0" borderId="240" xfId="2" applyFont="1" applyBorder="1" applyAlignment="1">
      <alignment horizontal="right" vertical="center"/>
    </xf>
    <xf numFmtId="41" fontId="113" fillId="0" borderId="32" xfId="3" applyFont="1" applyBorder="1" applyAlignment="1">
      <alignment horizontal="right" vertical="center"/>
    </xf>
    <xf numFmtId="240" fontId="113" fillId="0" borderId="239" xfId="2" applyNumberFormat="1" applyFont="1" applyBorder="1" applyAlignment="1">
      <alignment horizontal="right" vertical="center"/>
    </xf>
    <xf numFmtId="41" fontId="113" fillId="0" borderId="240" xfId="2" applyNumberFormat="1" applyFont="1" applyBorder="1" applyAlignment="1">
      <alignment horizontal="right" vertical="center"/>
    </xf>
    <xf numFmtId="41" fontId="113" fillId="0" borderId="32" xfId="2" applyNumberFormat="1" applyFont="1" applyAlignment="1">
      <alignment horizontal="right" vertical="center"/>
    </xf>
    <xf numFmtId="0" fontId="117" fillId="0" borderId="32" xfId="2" applyFont="1" applyAlignment="1">
      <alignment horizontal="right" vertical="center"/>
    </xf>
    <xf numFmtId="41" fontId="117" fillId="0" borderId="32" xfId="3" applyFont="1" applyBorder="1" applyAlignment="1">
      <alignment horizontal="right" vertical="center"/>
    </xf>
    <xf numFmtId="0" fontId="117" fillId="0" borderId="239" xfId="2" applyFont="1" applyBorder="1" applyAlignment="1">
      <alignment horizontal="right" vertical="center"/>
    </xf>
    <xf numFmtId="0" fontId="113" fillId="0" borderId="239" xfId="2" applyFont="1" applyBorder="1" applyAlignment="1">
      <alignment horizontal="right" vertical="center"/>
    </xf>
    <xf numFmtId="0" fontId="113" fillId="0" borderId="238" xfId="2" applyFont="1" applyBorder="1" applyAlignment="1">
      <alignment horizontal="right" vertical="center"/>
    </xf>
    <xf numFmtId="0" fontId="113" fillId="0" borderId="237" xfId="2" applyFont="1" applyBorder="1" applyAlignment="1">
      <alignment horizontal="right" vertical="center"/>
    </xf>
    <xf numFmtId="41" fontId="113" fillId="0" borderId="237" xfId="3" applyFont="1" applyBorder="1" applyAlignment="1">
      <alignment horizontal="right" vertical="center"/>
    </xf>
    <xf numFmtId="0" fontId="116" fillId="0" borderId="236" xfId="2" applyFont="1" applyBorder="1" applyAlignment="1">
      <alignment horizontal="right" vertical="center"/>
    </xf>
    <xf numFmtId="43" fontId="117" fillId="0" borderId="32" xfId="3" applyNumberFormat="1" applyFont="1" applyBorder="1" applyAlignment="1">
      <alignment horizontal="right" vertical="center"/>
    </xf>
    <xf numFmtId="41" fontId="117" fillId="0" borderId="242" xfId="3" applyFont="1" applyBorder="1" applyAlignment="1">
      <alignment horizontal="right" vertical="center"/>
    </xf>
    <xf numFmtId="240" fontId="117" fillId="0" borderId="241" xfId="2" applyNumberFormat="1" applyFont="1" applyBorder="1" applyAlignment="1">
      <alignment horizontal="right" vertical="center"/>
    </xf>
    <xf numFmtId="0" fontId="113" fillId="0" borderId="236" xfId="2" applyFont="1" applyBorder="1" applyAlignment="1">
      <alignment horizontal="right" vertical="center"/>
    </xf>
    <xf numFmtId="0" fontId="113" fillId="0" borderId="32" xfId="2" applyFont="1" applyAlignment="1">
      <alignment horizontal="left" vertical="center"/>
    </xf>
    <xf numFmtId="3" fontId="110" fillId="25" borderId="243" xfId="2" applyNumberFormat="1" applyFont="1" applyFill="1" applyBorder="1"/>
    <xf numFmtId="3" fontId="110" fillId="25" borderId="251" xfId="2" applyNumberFormat="1" applyFont="1" applyFill="1" applyBorder="1"/>
    <xf numFmtId="4" fontId="110" fillId="25" borderId="251" xfId="2" applyNumberFormat="1" applyFont="1" applyFill="1" applyBorder="1"/>
    <xf numFmtId="0" fontId="109" fillId="25" borderId="251" xfId="2" applyFont="1" applyFill="1" applyBorder="1"/>
    <xf numFmtId="0" fontId="109" fillId="25" borderId="241" xfId="2" applyFont="1" applyFill="1" applyBorder="1"/>
    <xf numFmtId="41" fontId="119" fillId="0" borderId="250" xfId="2" applyNumberFormat="1" applyFont="1" applyBorder="1" applyAlignment="1">
      <alignment horizontal="right" vertical="center"/>
    </xf>
    <xf numFmtId="3" fontId="110" fillId="0" borderId="116" xfId="2" applyNumberFormat="1" applyFont="1" applyBorder="1"/>
    <xf numFmtId="41" fontId="110" fillId="0" borderId="252" xfId="1" applyFont="1" applyBorder="1" applyAlignment="1">
      <alignment horizontal="right" vertical="center"/>
    </xf>
    <xf numFmtId="231" fontId="110" fillId="0" borderId="252" xfId="2" applyNumberFormat="1" applyFont="1" applyBorder="1"/>
    <xf numFmtId="230" fontId="114" fillId="0" borderId="252" xfId="2" applyNumberFormat="1" applyFont="1" applyBorder="1"/>
    <xf numFmtId="0" fontId="110" fillId="0" borderId="252" xfId="2" applyFont="1" applyBorder="1"/>
    <xf numFmtId="0" fontId="127" fillId="0" borderId="32" xfId="4"/>
    <xf numFmtId="0" fontId="110" fillId="0" borderId="32" xfId="2" applyFont="1" applyAlignment="1">
      <alignment horizontal="center"/>
    </xf>
    <xf numFmtId="41" fontId="119" fillId="0" borderId="250" xfId="2" applyNumberFormat="1" applyFont="1" applyBorder="1" applyAlignment="1">
      <alignment horizontal="center" vertical="center"/>
    </xf>
    <xf numFmtId="198" fontId="110" fillId="0" borderId="32" xfId="2" applyNumberFormat="1" applyFont="1" applyAlignment="1">
      <alignment horizontal="right" vertical="center"/>
    </xf>
    <xf numFmtId="3" fontId="110" fillId="0" borderId="178" xfId="2" applyNumberFormat="1" applyFont="1" applyBorder="1"/>
    <xf numFmtId="3" fontId="115" fillId="0" borderId="116" xfId="2" applyNumberFormat="1" applyFont="1" applyBorder="1"/>
    <xf numFmtId="0" fontId="110" fillId="0" borderId="116" xfId="2" applyFont="1" applyBorder="1"/>
    <xf numFmtId="0" fontId="114" fillId="0" borderId="5" xfId="2" applyFont="1" applyBorder="1"/>
    <xf numFmtId="0" fontId="110" fillId="0" borderId="4" xfId="2" applyFont="1" applyBorder="1"/>
    <xf numFmtId="0" fontId="110" fillId="0" borderId="198" xfId="2" applyFont="1" applyBorder="1"/>
    <xf numFmtId="0" fontId="112" fillId="28" borderId="116" xfId="2" applyFont="1" applyFill="1" applyBorder="1"/>
    <xf numFmtId="0" fontId="112" fillId="28" borderId="143" xfId="2" applyFont="1" applyFill="1" applyBorder="1"/>
    <xf numFmtId="41" fontId="0" fillId="0" borderId="252" xfId="1" applyFont="1" applyBorder="1"/>
    <xf numFmtId="0" fontId="112" fillId="24" borderId="116" xfId="2" applyFont="1" applyFill="1" applyBorder="1"/>
    <xf numFmtId="0" fontId="112" fillId="24" borderId="143" xfId="2" applyFont="1" applyFill="1" applyBorder="1"/>
    <xf numFmtId="0" fontId="109" fillId="0" borderId="32" xfId="2" applyFont="1" applyAlignment="1">
      <alignment horizontal="left" vertical="center"/>
    </xf>
    <xf numFmtId="38" fontId="18" fillId="7" borderId="102" xfId="0" applyNumberFormat="1" applyFont="1" applyFill="1" applyBorder="1" applyAlignment="1">
      <alignment horizontal="center" vertical="center"/>
    </xf>
    <xf numFmtId="0" fontId="5" fillId="4" borderId="142" xfId="0" applyFont="1" applyFill="1" applyBorder="1" applyAlignment="1">
      <alignment horizontal="center" vertical="center"/>
    </xf>
    <xf numFmtId="0" fontId="5" fillId="4" borderId="14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176" fontId="4" fillId="30" borderId="1" xfId="0" applyNumberFormat="1" applyFont="1" applyFill="1" applyBorder="1" applyAlignment="1">
      <alignment vertical="center"/>
    </xf>
    <xf numFmtId="176" fontId="7" fillId="30" borderId="1" xfId="0" applyNumberFormat="1" applyFont="1" applyFill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176" fontId="7" fillId="0" borderId="5" xfId="0" applyNumberFormat="1" applyFont="1" applyBorder="1" applyAlignment="1">
      <alignment vertical="center"/>
    </xf>
    <xf numFmtId="176" fontId="8" fillId="30" borderId="1" xfId="0" applyNumberFormat="1" applyFont="1" applyFill="1" applyBorder="1" applyAlignment="1">
      <alignment vertical="center"/>
    </xf>
    <xf numFmtId="178" fontId="4" fillId="0" borderId="1" xfId="0" applyNumberFormat="1" applyFont="1" applyBorder="1" applyAlignment="1">
      <alignment horizontal="right" vertical="center"/>
    </xf>
    <xf numFmtId="179" fontId="8" fillId="0" borderId="1" xfId="0" applyNumberFormat="1" applyFont="1" applyBorder="1" applyAlignment="1">
      <alignment horizontal="right" vertical="center"/>
    </xf>
    <xf numFmtId="180" fontId="4" fillId="0" borderId="1" xfId="0" applyNumberFormat="1" applyFont="1" applyBorder="1" applyAlignment="1">
      <alignment horizontal="left" vertical="center"/>
    </xf>
    <xf numFmtId="10" fontId="9" fillId="0" borderId="1" xfId="0" applyNumberFormat="1" applyFont="1" applyBorder="1" applyAlignment="1">
      <alignment vertical="center"/>
    </xf>
    <xf numFmtId="176" fontId="9" fillId="0" borderId="1" xfId="0" applyNumberFormat="1" applyFont="1" applyBorder="1" applyAlignment="1">
      <alignment vertical="center"/>
    </xf>
    <xf numFmtId="176" fontId="9" fillId="0" borderId="5" xfId="0" applyNumberFormat="1" applyFont="1" applyBorder="1" applyAlignment="1">
      <alignment vertical="center"/>
    </xf>
    <xf numFmtId="179" fontId="4" fillId="0" borderId="1" xfId="0" applyNumberFormat="1" applyFont="1" applyBorder="1" applyAlignment="1">
      <alignment horizontal="left" vertical="center"/>
    </xf>
    <xf numFmtId="180" fontId="4" fillId="0" borderId="5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78" fontId="4" fillId="0" borderId="1" xfId="0" applyNumberFormat="1" applyFont="1" applyBorder="1" applyAlignment="1">
      <alignment vertical="center"/>
    </xf>
    <xf numFmtId="178" fontId="4" fillId="0" borderId="5" xfId="0" applyNumberFormat="1" applyFont="1" applyBorder="1" applyAlignment="1">
      <alignment vertical="center"/>
    </xf>
    <xf numFmtId="181" fontId="4" fillId="0" borderId="1" xfId="0" applyNumberFormat="1" applyFont="1" applyBorder="1" applyAlignment="1">
      <alignment vertical="center"/>
    </xf>
    <xf numFmtId="179" fontId="4" fillId="0" borderId="1" xfId="0" applyNumberFormat="1" applyFont="1" applyBorder="1" applyAlignment="1">
      <alignment horizontal="right" vertical="center"/>
    </xf>
    <xf numFmtId="181" fontId="4" fillId="0" borderId="5" xfId="0" applyNumberFormat="1" applyFont="1" applyBorder="1" applyAlignment="1">
      <alignment vertical="center"/>
    </xf>
    <xf numFmtId="10" fontId="11" fillId="0" borderId="1" xfId="0" applyNumberFormat="1" applyFont="1" applyBorder="1" applyAlignment="1">
      <alignment horizontal="left" vertical="center"/>
    </xf>
    <xf numFmtId="10" fontId="4" fillId="0" borderId="1" xfId="0" applyNumberFormat="1" applyFont="1" applyBorder="1" applyAlignment="1">
      <alignment horizontal="right" vertical="center"/>
    </xf>
    <xf numFmtId="10" fontId="4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0" fontId="10" fillId="0" borderId="1" xfId="0" applyNumberFormat="1" applyFont="1" applyBorder="1" applyAlignment="1">
      <alignment vertical="center"/>
    </xf>
    <xf numFmtId="179" fontId="10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179" fontId="4" fillId="41" borderId="1" xfId="0" applyNumberFormat="1" applyFont="1" applyFill="1" applyBorder="1" applyAlignment="1">
      <alignment horizontal="left" vertical="center"/>
    </xf>
    <xf numFmtId="183" fontId="4" fillId="0" borderId="1" xfId="0" applyNumberFormat="1" applyFont="1" applyBorder="1" applyAlignment="1">
      <alignment vertical="center"/>
    </xf>
    <xf numFmtId="183" fontId="10" fillId="0" borderId="1" xfId="0" applyNumberFormat="1" applyFont="1" applyBorder="1" applyAlignment="1">
      <alignment vertical="center"/>
    </xf>
    <xf numFmtId="184" fontId="10" fillId="0" borderId="1" xfId="0" applyNumberFormat="1" applyFont="1" applyBorder="1" applyAlignment="1">
      <alignment horizontal="left" vertical="center"/>
    </xf>
    <xf numFmtId="183" fontId="11" fillId="0" borderId="5" xfId="0" applyNumberFormat="1" applyFont="1" applyBorder="1" applyAlignment="1">
      <alignment vertical="center"/>
    </xf>
    <xf numFmtId="10" fontId="4" fillId="0" borderId="1" xfId="0" applyNumberFormat="1" applyFont="1" applyBorder="1" applyAlignment="1">
      <alignment horizontal="left" vertical="center"/>
    </xf>
    <xf numFmtId="9" fontId="8" fillId="0" borderId="5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188" fontId="4" fillId="0" borderId="1" xfId="0" applyNumberFormat="1" applyFont="1" applyBorder="1" applyAlignment="1">
      <alignment horizontal="left" vertical="center"/>
    </xf>
    <xf numFmtId="189" fontId="4" fillId="0" borderId="1" xfId="0" applyNumberFormat="1" applyFont="1" applyBorder="1" applyAlignment="1">
      <alignment vertical="center"/>
    </xf>
    <xf numFmtId="190" fontId="8" fillId="0" borderId="1" xfId="0" applyNumberFormat="1" applyFont="1" applyBorder="1" applyAlignment="1">
      <alignment vertical="center"/>
    </xf>
    <xf numFmtId="176" fontId="8" fillId="0" borderId="1" xfId="0" applyNumberFormat="1" applyFont="1" applyBorder="1" applyAlignment="1">
      <alignment vertical="center"/>
    </xf>
    <xf numFmtId="190" fontId="8" fillId="0" borderId="5" xfId="0" applyNumberFormat="1" applyFont="1" applyBorder="1" applyAlignment="1">
      <alignment vertical="center"/>
    </xf>
    <xf numFmtId="191" fontId="4" fillId="0" borderId="1" xfId="0" applyNumberFormat="1" applyFont="1" applyBorder="1" applyAlignment="1">
      <alignment vertical="center"/>
    </xf>
    <xf numFmtId="192" fontId="4" fillId="30" borderId="1" xfId="0" applyNumberFormat="1" applyFont="1" applyFill="1" applyBorder="1" applyAlignment="1">
      <alignment horizontal="left" vertical="center"/>
    </xf>
    <xf numFmtId="193" fontId="8" fillId="0" borderId="1" xfId="0" applyNumberFormat="1" applyFont="1" applyBorder="1" applyAlignment="1">
      <alignment vertical="center"/>
    </xf>
    <xf numFmtId="10" fontId="8" fillId="0" borderId="1" xfId="0" applyNumberFormat="1" applyFont="1" applyBorder="1" applyAlignment="1">
      <alignment vertical="center"/>
    </xf>
    <xf numFmtId="179" fontId="4" fillId="0" borderId="2" xfId="0" applyNumberFormat="1" applyFont="1" applyBorder="1" applyAlignment="1">
      <alignment horizontal="right" vertical="center"/>
    </xf>
    <xf numFmtId="10" fontId="4" fillId="0" borderId="2" xfId="0" applyNumberFormat="1" applyFont="1" applyBorder="1" applyAlignment="1">
      <alignment horizontal="center" vertical="center" shrinkToFit="1"/>
    </xf>
    <xf numFmtId="180" fontId="4" fillId="0" borderId="17" xfId="0" applyNumberFormat="1" applyFont="1" applyBorder="1" applyAlignment="1">
      <alignment horizontal="right" vertical="center"/>
    </xf>
    <xf numFmtId="180" fontId="4" fillId="0" borderId="4" xfId="0" applyNumberFormat="1" applyFont="1" applyBorder="1" applyAlignment="1">
      <alignment horizontal="right" vertical="center"/>
    </xf>
    <xf numFmtId="40" fontId="4" fillId="0" borderId="4" xfId="0" applyNumberFormat="1" applyFont="1" applyBorder="1" applyAlignment="1">
      <alignment vertical="center" shrinkToFit="1"/>
    </xf>
    <xf numFmtId="194" fontId="4" fillId="0" borderId="4" xfId="0" applyNumberFormat="1" applyFont="1" applyBorder="1" applyAlignment="1">
      <alignment horizontal="center" vertical="center" shrinkToFit="1"/>
    </xf>
    <xf numFmtId="40" fontId="4" fillId="0" borderId="2" xfId="0" applyNumberFormat="1" applyFont="1" applyBorder="1" applyAlignment="1">
      <alignment vertical="center" shrinkToFit="1"/>
    </xf>
    <xf numFmtId="10" fontId="4" fillId="0" borderId="2" xfId="0" applyNumberFormat="1" applyFont="1" applyBorder="1" applyAlignment="1">
      <alignment vertical="center"/>
    </xf>
    <xf numFmtId="197" fontId="16" fillId="0" borderId="12" xfId="0" applyNumberFormat="1" applyFont="1" applyBorder="1" applyAlignment="1">
      <alignment vertical="center"/>
    </xf>
    <xf numFmtId="10" fontId="4" fillId="0" borderId="4" xfId="0" applyNumberFormat="1" applyFont="1" applyBorder="1" applyAlignment="1">
      <alignment vertical="center"/>
    </xf>
    <xf numFmtId="177" fontId="3" fillId="2" borderId="180" xfId="0" applyNumberFormat="1" applyFont="1" applyFill="1" applyBorder="1" applyAlignment="1">
      <alignment horizontal="center" vertical="center" shrinkToFit="1"/>
    </xf>
    <xf numFmtId="0" fontId="3" fillId="2" borderId="178" xfId="0" quotePrefix="1" applyFont="1" applyFill="1" applyBorder="1" applyAlignment="1">
      <alignment horizontal="center" vertical="center" shrinkToFit="1"/>
    </xf>
    <xf numFmtId="176" fontId="18" fillId="0" borderId="26" xfId="0" applyNumberFormat="1" applyFont="1" applyBorder="1" applyAlignment="1">
      <alignment vertical="center"/>
    </xf>
    <xf numFmtId="0" fontId="18" fillId="0" borderId="92" xfId="0" applyFont="1" applyBorder="1" applyAlignment="1">
      <alignment vertical="center"/>
    </xf>
    <xf numFmtId="0" fontId="18" fillId="0" borderId="27" xfId="0" applyFont="1" applyBorder="1" applyAlignment="1">
      <alignment vertical="center"/>
    </xf>
    <xf numFmtId="0" fontId="5" fillId="7" borderId="21" xfId="0" quotePrefix="1" applyFont="1" applyFill="1" applyBorder="1" applyAlignment="1">
      <alignment horizontal="center" vertical="center" shrinkToFit="1"/>
    </xf>
    <xf numFmtId="206" fontId="40" fillId="30" borderId="129" xfId="0" applyNumberFormat="1" applyFont="1" applyFill="1" applyBorder="1" applyAlignment="1">
      <alignment horizontal="right" vertical="center"/>
    </xf>
    <xf numFmtId="0" fontId="40" fillId="30" borderId="20" xfId="0" applyFont="1" applyFill="1" applyBorder="1" applyAlignment="1">
      <alignment vertical="center"/>
    </xf>
    <xf numFmtId="0" fontId="5" fillId="7" borderId="21" xfId="0" applyFont="1" applyFill="1" applyBorder="1" applyAlignment="1">
      <alignment horizontal="center" vertical="center"/>
    </xf>
    <xf numFmtId="10" fontId="18" fillId="0" borderId="129" xfId="0" applyNumberFormat="1" applyFont="1" applyBorder="1" applyAlignment="1">
      <alignment horizontal="center" vertical="center"/>
    </xf>
    <xf numFmtId="206" fontId="41" fillId="0" borderId="22" xfId="0" applyNumberFormat="1" applyFont="1" applyBorder="1" applyAlignment="1">
      <alignment horizontal="right" vertical="center"/>
    </xf>
    <xf numFmtId="0" fontId="18" fillId="0" borderId="23" xfId="0" applyFont="1" applyBorder="1" applyAlignment="1">
      <alignment vertical="center"/>
    </xf>
    <xf numFmtId="10" fontId="18" fillId="0" borderId="22" xfId="0" applyNumberFormat="1" applyFont="1" applyBorder="1" applyAlignment="1">
      <alignment horizontal="center" vertical="center"/>
    </xf>
    <xf numFmtId="195" fontId="18" fillId="0" borderId="22" xfId="0" applyNumberFormat="1" applyFont="1" applyBorder="1" applyAlignment="1">
      <alignment vertical="center"/>
    </xf>
    <xf numFmtId="40" fontId="14" fillId="0" borderId="52" xfId="0" applyNumberFormat="1" applyFont="1" applyBorder="1" applyAlignment="1">
      <alignment vertical="center"/>
    </xf>
    <xf numFmtId="180" fontId="18" fillId="0" borderId="23" xfId="0" applyNumberFormat="1" applyFont="1" applyBorder="1" applyAlignment="1">
      <alignment horizontal="right" vertical="center"/>
    </xf>
    <xf numFmtId="211" fontId="18" fillId="0" borderId="22" xfId="0" applyNumberFormat="1" applyFont="1" applyBorder="1" applyAlignment="1">
      <alignment horizontal="center" vertical="center"/>
    </xf>
    <xf numFmtId="210" fontId="18" fillId="30" borderId="22" xfId="0" applyNumberFormat="1" applyFont="1" applyFill="1" applyBorder="1" applyAlignment="1">
      <alignment horizontal="right" vertical="center"/>
    </xf>
    <xf numFmtId="0" fontId="18" fillId="30" borderId="52" xfId="0" applyFont="1" applyFill="1" applyBorder="1" applyAlignment="1">
      <alignment vertical="center"/>
    </xf>
    <xf numFmtId="198" fontId="41" fillId="30" borderId="52" xfId="0" applyNumberFormat="1" applyFont="1" applyFill="1" applyBorder="1" applyAlignment="1">
      <alignment horizontal="center" vertical="center"/>
    </xf>
    <xf numFmtId="210" fontId="18" fillId="0" borderId="22" xfId="0" applyNumberFormat="1" applyFont="1" applyBorder="1" applyAlignment="1">
      <alignment horizontal="right" vertical="center"/>
    </xf>
    <xf numFmtId="0" fontId="18" fillId="0" borderId="52" xfId="0" applyFont="1" applyBorder="1" applyAlignment="1">
      <alignment vertical="center"/>
    </xf>
    <xf numFmtId="213" fontId="41" fillId="0" borderId="52" xfId="0" applyNumberFormat="1" applyFont="1" applyBorder="1" applyAlignment="1">
      <alignment horizontal="center" vertical="center"/>
    </xf>
    <xf numFmtId="210" fontId="5" fillId="0" borderId="22" xfId="0" applyNumberFormat="1" applyFont="1" applyBorder="1" applyAlignment="1">
      <alignment horizontal="right" vertical="center"/>
    </xf>
    <xf numFmtId="9" fontId="41" fillId="30" borderId="52" xfId="0" applyNumberFormat="1" applyFont="1" applyFill="1" applyBorder="1" applyAlignment="1">
      <alignment horizontal="center" vertical="center"/>
    </xf>
    <xf numFmtId="9" fontId="41" fillId="30" borderId="22" xfId="0" applyNumberFormat="1" applyFont="1" applyFill="1" applyBorder="1" applyAlignment="1">
      <alignment horizontal="center" vertical="center"/>
    </xf>
    <xf numFmtId="0" fontId="18" fillId="30" borderId="23" xfId="0" applyFont="1" applyFill="1" applyBorder="1" applyAlignment="1">
      <alignment vertical="center"/>
    </xf>
    <xf numFmtId="0" fontId="18" fillId="0" borderId="96" xfId="0" applyFont="1" applyBorder="1" applyAlignment="1">
      <alignment horizontal="right" vertical="center"/>
    </xf>
    <xf numFmtId="10" fontId="41" fillId="0" borderId="22" xfId="0" applyNumberFormat="1" applyFont="1" applyBorder="1" applyAlignment="1">
      <alignment horizontal="center" vertical="center"/>
    </xf>
    <xf numFmtId="214" fontId="41" fillId="30" borderId="129" xfId="0" applyNumberFormat="1" applyFont="1" applyFill="1" applyBorder="1" applyAlignment="1">
      <alignment horizontal="center" vertical="center"/>
    </xf>
    <xf numFmtId="0" fontId="2" fillId="35" borderId="52" xfId="0" applyFont="1" applyFill="1" applyBorder="1"/>
    <xf numFmtId="0" fontId="2" fillId="35" borderId="23" xfId="0" applyFont="1" applyFill="1" applyBorder="1"/>
    <xf numFmtId="0" fontId="18" fillId="0" borderId="22" xfId="0" applyFont="1" applyBorder="1" applyAlignment="1">
      <alignment vertical="center"/>
    </xf>
    <xf numFmtId="204" fontId="41" fillId="30" borderId="22" xfId="0" applyNumberFormat="1" applyFont="1" applyFill="1" applyBorder="1" applyAlignment="1">
      <alignment horizontal="center" vertical="center"/>
    </xf>
    <xf numFmtId="204" fontId="41" fillId="0" borderId="52" xfId="0" applyNumberFormat="1" applyFont="1" applyBorder="1" applyAlignment="1">
      <alignment horizontal="center" vertical="center"/>
    </xf>
    <xf numFmtId="0" fontId="3" fillId="17" borderId="150" xfId="0" applyFont="1" applyFill="1" applyBorder="1" applyAlignment="1">
      <alignment horizontal="center" vertical="center"/>
    </xf>
    <xf numFmtId="0" fontId="3" fillId="2" borderId="150" xfId="0" applyFont="1" applyFill="1" applyBorder="1" applyAlignment="1">
      <alignment horizontal="center" vertical="center"/>
    </xf>
    <xf numFmtId="0" fontId="3" fillId="4" borderId="150" xfId="0" applyFont="1" applyFill="1" applyBorder="1" applyAlignment="1">
      <alignment horizontal="center" vertical="center"/>
    </xf>
    <xf numFmtId="197" fontId="3" fillId="2" borderId="151" xfId="0" applyNumberFormat="1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/>
    </xf>
    <xf numFmtId="197" fontId="18" fillId="0" borderId="106" xfId="0" applyNumberFormat="1" applyFont="1" applyBorder="1" applyAlignment="1">
      <alignment vertical="center"/>
    </xf>
    <xf numFmtId="0" fontId="18" fillId="15" borderId="20" xfId="0" applyFont="1" applyFill="1" applyBorder="1" applyAlignment="1">
      <alignment vertical="center"/>
    </xf>
    <xf numFmtId="219" fontId="18" fillId="0" borderId="22" xfId="0" applyNumberFormat="1" applyFont="1" applyBorder="1" applyAlignment="1">
      <alignment horizontal="right" vertical="center"/>
    </xf>
    <xf numFmtId="220" fontId="18" fillId="0" borderId="92" xfId="0" applyNumberFormat="1" applyFont="1" applyBorder="1" applyAlignment="1">
      <alignment horizontal="right" vertical="center"/>
    </xf>
    <xf numFmtId="0" fontId="18" fillId="0" borderId="92" xfId="0" quotePrefix="1" applyFont="1" applyBorder="1" applyAlignment="1">
      <alignment horizontal="right" vertical="center"/>
    </xf>
    <xf numFmtId="197" fontId="41" fillId="0" borderId="147" xfId="0" applyNumberFormat="1" applyFont="1" applyBorder="1" applyAlignment="1">
      <alignment horizontal="center" vertical="center"/>
    </xf>
    <xf numFmtId="220" fontId="18" fillId="0" borderId="52" xfId="0" applyNumberFormat="1" applyFont="1" applyBorder="1" applyAlignment="1">
      <alignment horizontal="right" vertical="center"/>
    </xf>
    <xf numFmtId="221" fontId="18" fillId="39" borderId="52" xfId="0" applyNumberFormat="1" applyFont="1" applyFill="1" applyBorder="1" applyAlignment="1">
      <alignment horizontal="right" vertical="center"/>
    </xf>
    <xf numFmtId="0" fontId="18" fillId="0" borderId="52" xfId="0" quotePrefix="1" applyFont="1" applyBorder="1" applyAlignment="1">
      <alignment horizontal="right" vertical="center"/>
    </xf>
    <xf numFmtId="247" fontId="41" fillId="0" borderId="147" xfId="0" applyNumberFormat="1" applyFont="1" applyBorder="1" applyAlignment="1">
      <alignment horizontal="right" vertical="center"/>
    </xf>
    <xf numFmtId="0" fontId="18" fillId="0" borderId="129" xfId="0" applyFont="1" applyBorder="1" applyAlignment="1">
      <alignment vertical="center"/>
    </xf>
    <xf numFmtId="204" fontId="18" fillId="0" borderId="23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right" vertical="center"/>
    </xf>
    <xf numFmtId="197" fontId="18" fillId="0" borderId="52" xfId="0" applyNumberFormat="1" applyFont="1" applyBorder="1" applyAlignment="1">
      <alignment horizontal="right" vertical="center"/>
    </xf>
    <xf numFmtId="197" fontId="5" fillId="0" borderId="52" xfId="0" applyNumberFormat="1" applyFont="1" applyBorder="1" applyAlignment="1">
      <alignment horizontal="right" vertical="center"/>
    </xf>
    <xf numFmtId="197" fontId="18" fillId="0" borderId="6" xfId="0" applyNumberFormat="1" applyFont="1" applyBorder="1" applyAlignment="1">
      <alignment horizontal="center" vertical="center"/>
    </xf>
    <xf numFmtId="197" fontId="18" fillId="0" borderId="1" xfId="0" applyNumberFormat="1" applyFont="1" applyBorder="1" applyAlignment="1">
      <alignment horizontal="left" vertical="center"/>
    </xf>
    <xf numFmtId="197" fontId="18" fillId="0" borderId="1" xfId="0" applyNumberFormat="1" applyFont="1" applyBorder="1" applyAlignment="1">
      <alignment horizontal="center" vertical="center"/>
    </xf>
    <xf numFmtId="197" fontId="18" fillId="0" borderId="1" xfId="0" applyNumberFormat="1" applyFont="1" applyBorder="1" applyAlignment="1">
      <alignment vertical="center"/>
    </xf>
    <xf numFmtId="3" fontId="18" fillId="0" borderId="1" xfId="0" applyNumberFormat="1" applyFont="1" applyBorder="1" applyAlignment="1">
      <alignment horizontal="left" vertical="center"/>
    </xf>
    <xf numFmtId="197" fontId="54" fillId="5" borderId="133" xfId="0" applyNumberFormat="1" applyFont="1" applyFill="1" applyBorder="1" applyAlignment="1">
      <alignment horizontal="right" vertical="center"/>
    </xf>
    <xf numFmtId="197" fontId="18" fillId="0" borderId="22" xfId="0" applyNumberFormat="1" applyFont="1" applyBorder="1" applyAlignment="1">
      <alignment vertical="center"/>
    </xf>
    <xf numFmtId="197" fontId="18" fillId="0" borderId="52" xfId="0" quotePrefix="1" applyNumberFormat="1" applyFont="1" applyBorder="1" applyAlignment="1">
      <alignment horizontal="left" vertical="center"/>
    </xf>
    <xf numFmtId="197" fontId="40" fillId="0" borderId="52" xfId="0" applyNumberFormat="1" applyFont="1" applyBorder="1" applyAlignment="1">
      <alignment vertical="center"/>
    </xf>
    <xf numFmtId="197" fontId="18" fillId="0" borderId="52" xfId="0" applyNumberFormat="1" applyFont="1" applyBorder="1" applyAlignment="1">
      <alignment vertical="center"/>
    </xf>
    <xf numFmtId="204" fontId="41" fillId="0" borderId="23" xfId="0" applyNumberFormat="1" applyFont="1" applyBorder="1" applyAlignment="1">
      <alignment horizontal="center" vertical="center"/>
    </xf>
    <xf numFmtId="197" fontId="18" fillId="0" borderId="147" xfId="0" applyNumberFormat="1" applyFont="1" applyBorder="1" applyAlignment="1">
      <alignment horizontal="right" vertical="center"/>
    </xf>
    <xf numFmtId="205" fontId="18" fillId="0" borderId="22" xfId="0" applyNumberFormat="1" applyFont="1" applyBorder="1" applyAlignment="1">
      <alignment vertical="center"/>
    </xf>
    <xf numFmtId="197" fontId="18" fillId="0" borderId="52" xfId="0" applyNumberFormat="1" applyFont="1" applyBorder="1" applyAlignment="1">
      <alignment horizontal="left" vertical="center"/>
    </xf>
    <xf numFmtId="222" fontId="18" fillId="0" borderId="52" xfId="0" applyNumberFormat="1" applyFont="1" applyBorder="1" applyAlignment="1">
      <alignment horizontal="center" vertical="center" shrinkToFit="1"/>
    </xf>
    <xf numFmtId="205" fontId="18" fillId="0" borderId="24" xfId="0" applyNumberFormat="1" applyFont="1" applyBorder="1" applyAlignment="1">
      <alignment vertical="center"/>
    </xf>
    <xf numFmtId="205" fontId="18" fillId="0" borderId="6" xfId="0" applyNumberFormat="1" applyFont="1" applyBorder="1" applyAlignment="1">
      <alignment vertical="center"/>
    </xf>
    <xf numFmtId="222" fontId="18" fillId="0" borderId="1" xfId="0" applyNumberFormat="1" applyFont="1" applyBorder="1" applyAlignment="1">
      <alignment horizontal="center" vertical="center" shrinkToFit="1"/>
    </xf>
    <xf numFmtId="197" fontId="58" fillId="0" borderId="22" xfId="0" applyNumberFormat="1" applyFont="1" applyBorder="1" applyAlignment="1">
      <alignment vertical="center"/>
    </xf>
    <xf numFmtId="197" fontId="58" fillId="0" borderId="52" xfId="0" applyNumberFormat="1" applyFont="1" applyBorder="1" applyAlignment="1">
      <alignment vertical="center"/>
    </xf>
    <xf numFmtId="197" fontId="18" fillId="0" borderId="92" xfId="0" quotePrefix="1" applyNumberFormat="1" applyFont="1" applyBorder="1" applyAlignment="1">
      <alignment vertical="center"/>
    </xf>
    <xf numFmtId="222" fontId="18" fillId="0" borderId="27" xfId="0" applyNumberFormat="1" applyFont="1" applyBorder="1" applyAlignment="1">
      <alignment horizontal="center" vertical="center" shrinkToFit="1"/>
    </xf>
    <xf numFmtId="197" fontId="18" fillId="0" borderId="24" xfId="0" applyNumberFormat="1" applyFont="1" applyBorder="1" applyAlignment="1">
      <alignment vertical="center"/>
    </xf>
    <xf numFmtId="222" fontId="18" fillId="0" borderId="25" xfId="0" applyNumberFormat="1" applyFont="1" applyBorder="1" applyAlignment="1">
      <alignment horizontal="center" vertical="center" shrinkToFit="1"/>
    </xf>
    <xf numFmtId="197" fontId="18" fillId="0" borderId="17" xfId="0" applyNumberFormat="1" applyFont="1" applyBorder="1" applyAlignment="1">
      <alignment vertical="center"/>
    </xf>
    <xf numFmtId="197" fontId="18" fillId="0" borderId="126" xfId="0" applyNumberFormat="1" applyFont="1" applyBorder="1" applyAlignment="1">
      <alignment horizontal="left" vertical="center"/>
    </xf>
    <xf numFmtId="197" fontId="41" fillId="0" borderId="126" xfId="0" applyNumberFormat="1" applyFont="1" applyBorder="1" applyAlignment="1">
      <alignment vertical="center"/>
    </xf>
    <xf numFmtId="197" fontId="18" fillId="0" borderId="126" xfId="0" applyNumberFormat="1" applyFont="1" applyBorder="1" applyAlignment="1">
      <alignment vertical="center"/>
    </xf>
    <xf numFmtId="222" fontId="18" fillId="0" borderId="126" xfId="0" applyNumberFormat="1" applyFont="1" applyBorder="1" applyAlignment="1">
      <alignment horizontal="center" vertical="center" shrinkToFit="1"/>
    </xf>
    <xf numFmtId="204" fontId="18" fillId="0" borderId="4" xfId="0" applyNumberFormat="1" applyFont="1" applyBorder="1" applyAlignment="1">
      <alignment horizontal="center" vertical="center"/>
    </xf>
    <xf numFmtId="195" fontId="18" fillId="0" borderId="26" xfId="0" applyNumberFormat="1" applyFont="1" applyBorder="1" applyAlignment="1">
      <alignment vertical="center"/>
    </xf>
    <xf numFmtId="197" fontId="18" fillId="0" borderId="92" xfId="0" quotePrefix="1" applyNumberFormat="1" applyFont="1" applyBorder="1" applyAlignment="1">
      <alignment horizontal="left" vertical="center"/>
    </xf>
    <xf numFmtId="197" fontId="5" fillId="0" borderId="12" xfId="0" applyNumberFormat="1" applyFont="1" applyBorder="1" applyAlignment="1">
      <alignment vertical="center"/>
    </xf>
    <xf numFmtId="197" fontId="18" fillId="0" borderId="92" xfId="0" applyNumberFormat="1" applyFont="1" applyBorder="1" applyAlignment="1">
      <alignment horizontal="left" vertical="center"/>
    </xf>
    <xf numFmtId="197" fontId="18" fillId="0" borderId="92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0" fontId="18" fillId="0" borderId="52" xfId="0" applyNumberFormat="1" applyFont="1" applyBorder="1" applyAlignment="1">
      <alignment horizontal="center" vertical="center"/>
    </xf>
    <xf numFmtId="223" fontId="18" fillId="0" borderId="52" xfId="0" applyNumberFormat="1" applyFont="1" applyBorder="1" applyAlignment="1">
      <alignment horizontal="left" vertical="center"/>
    </xf>
    <xf numFmtId="197" fontId="60" fillId="0" borderId="52" xfId="0" applyNumberFormat="1" applyFont="1" applyBorder="1" applyAlignment="1">
      <alignment horizontal="center" vertical="center"/>
    </xf>
    <xf numFmtId="197" fontId="56" fillId="0" borderId="152" xfId="0" applyNumberFormat="1" applyFont="1" applyBorder="1" applyAlignment="1">
      <alignment horizontal="right" vertical="center"/>
    </xf>
    <xf numFmtId="38" fontId="18" fillId="7" borderId="102" xfId="0" applyNumberFormat="1" applyFont="1" applyFill="1" applyBorder="1" applyAlignment="1">
      <alignment vertical="center"/>
    </xf>
    <xf numFmtId="0" fontId="5" fillId="0" borderId="22" xfId="0" quotePrefix="1" applyFont="1" applyBorder="1" applyAlignment="1">
      <alignment horizontal="left" vertical="center"/>
    </xf>
    <xf numFmtId="3" fontId="18" fillId="0" borderId="52" xfId="0" applyNumberFormat="1" applyFont="1" applyBorder="1" applyAlignment="1">
      <alignment vertical="center"/>
    </xf>
    <xf numFmtId="197" fontId="60" fillId="0" borderId="52" xfId="0" quotePrefix="1" applyNumberFormat="1" applyFont="1" applyBorder="1" applyAlignment="1">
      <alignment horizontal="left" vertical="center"/>
    </xf>
    <xf numFmtId="9" fontId="60" fillId="0" borderId="52" xfId="0" applyNumberFormat="1" applyFont="1" applyBorder="1" applyAlignment="1">
      <alignment horizontal="center" vertical="center"/>
    </xf>
    <xf numFmtId="224" fontId="60" fillId="0" borderId="52" xfId="0" applyNumberFormat="1" applyFont="1" applyBorder="1" applyAlignment="1">
      <alignment horizontal="center" vertical="center"/>
    </xf>
    <xf numFmtId="0" fontId="5" fillId="15" borderId="142" xfId="0" quotePrefix="1" applyFont="1" applyFill="1" applyBorder="1" applyAlignment="1">
      <alignment horizontal="left" vertical="center"/>
    </xf>
    <xf numFmtId="0" fontId="5" fillId="15" borderId="143" xfId="0" applyFont="1" applyFill="1" applyBorder="1" applyAlignment="1">
      <alignment horizontal="center" vertical="center"/>
    </xf>
    <xf numFmtId="197" fontId="56" fillId="0" borderId="149" xfId="0" applyNumberFormat="1" applyFont="1" applyBorder="1" applyAlignment="1">
      <alignment horizontal="right" vertical="center"/>
    </xf>
    <xf numFmtId="0" fontId="5" fillId="7" borderId="12" xfId="0" quotePrefix="1" applyFont="1" applyFill="1" applyBorder="1" applyAlignment="1">
      <alignment vertical="center"/>
    </xf>
    <xf numFmtId="0" fontId="5" fillId="7" borderId="13" xfId="0" applyFont="1" applyFill="1" applyBorder="1" applyAlignment="1">
      <alignment vertical="center"/>
    </xf>
    <xf numFmtId="197" fontId="18" fillId="7" borderId="12" xfId="0" applyNumberFormat="1" applyFont="1" applyFill="1" applyBorder="1" applyAlignment="1">
      <alignment vertical="center"/>
    </xf>
    <xf numFmtId="197" fontId="61" fillId="0" borderId="26" xfId="0" applyNumberFormat="1" applyFont="1" applyBorder="1" applyAlignment="1">
      <alignment vertical="center"/>
    </xf>
    <xf numFmtId="197" fontId="18" fillId="0" borderId="12" xfId="0" quotePrefix="1" applyNumberFormat="1" applyFont="1" applyBorder="1" applyAlignment="1">
      <alignment horizontal="left" vertical="center"/>
    </xf>
    <xf numFmtId="197" fontId="18" fillId="0" borderId="12" xfId="0" applyNumberFormat="1" applyFont="1" applyBorder="1" applyAlignment="1">
      <alignment vertical="center"/>
    </xf>
    <xf numFmtId="197" fontId="50" fillId="0" borderId="92" xfId="0" applyNumberFormat="1" applyFont="1" applyBorder="1" applyAlignment="1">
      <alignment vertical="center"/>
    </xf>
    <xf numFmtId="0" fontId="5" fillId="0" borderId="96" xfId="0" applyFont="1" applyBorder="1" applyAlignment="1">
      <alignment horizontal="left" vertical="center"/>
    </xf>
    <xf numFmtId="197" fontId="18" fillId="0" borderId="96" xfId="0" applyNumberFormat="1" applyFont="1" applyBorder="1" applyAlignment="1">
      <alignment vertical="center"/>
    </xf>
    <xf numFmtId="197" fontId="18" fillId="0" borderId="127" xfId="0" quotePrefix="1" applyNumberFormat="1" applyFont="1" applyBorder="1" applyAlignment="1">
      <alignment horizontal="left" vertical="center"/>
    </xf>
    <xf numFmtId="197" fontId="41" fillId="0" borderId="127" xfId="0" applyNumberFormat="1" applyFont="1" applyBorder="1" applyAlignment="1">
      <alignment vertical="center"/>
    </xf>
    <xf numFmtId="197" fontId="18" fillId="0" borderId="127" xfId="0" applyNumberFormat="1" applyFont="1" applyBorder="1" applyAlignment="1">
      <alignment vertical="center"/>
    </xf>
    <xf numFmtId="197" fontId="41" fillId="0" borderId="52" xfId="0" applyNumberFormat="1" applyFont="1" applyBorder="1" applyAlignment="1">
      <alignment vertical="center"/>
    </xf>
    <xf numFmtId="197" fontId="18" fillId="0" borderId="23" xfId="0" applyNumberFormat="1" applyFont="1" applyBorder="1" applyAlignment="1">
      <alignment vertical="center"/>
    </xf>
    <xf numFmtId="10" fontId="41" fillId="0" borderId="23" xfId="0" applyNumberFormat="1" applyFont="1" applyBorder="1" applyAlignment="1">
      <alignment horizontal="center" vertical="center"/>
    </xf>
    <xf numFmtId="197" fontId="41" fillId="0" borderId="24" xfId="0" applyNumberFormat="1" applyFont="1" applyBorder="1" applyAlignment="1">
      <alignment vertical="center"/>
    </xf>
    <xf numFmtId="197" fontId="18" fillId="0" borderId="126" xfId="0" quotePrefix="1" applyNumberFormat="1" applyFont="1" applyBorder="1" applyAlignment="1">
      <alignment horizontal="left" vertical="center"/>
    </xf>
    <xf numFmtId="197" fontId="18" fillId="7" borderId="12" xfId="0" applyNumberFormat="1" applyFont="1" applyFill="1" applyBorder="1" applyAlignment="1">
      <alignment horizontal="left" vertical="center"/>
    </xf>
    <xf numFmtId="0" fontId="5" fillId="0" borderId="26" xfId="0" quotePrefix="1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197" fontId="18" fillId="0" borderId="92" xfId="0" applyNumberFormat="1" applyFont="1" applyBorder="1" applyAlignment="1">
      <alignment vertical="center"/>
    </xf>
    <xf numFmtId="0" fontId="41" fillId="0" borderId="92" xfId="0" applyFont="1" applyBorder="1" applyAlignment="1">
      <alignment vertical="center"/>
    </xf>
    <xf numFmtId="0" fontId="5" fillId="0" borderId="129" xfId="0" quotePrefix="1" applyFont="1" applyBorder="1" applyAlignment="1">
      <alignment horizontal="left" vertical="center"/>
    </xf>
    <xf numFmtId="197" fontId="18" fillId="0" borderId="101" xfId="0" applyNumberFormat="1" applyFont="1" applyBorder="1" applyAlignment="1">
      <alignment vertical="center"/>
    </xf>
    <xf numFmtId="197" fontId="58" fillId="0" borderId="23" xfId="0" applyNumberFormat="1" applyFont="1" applyBorder="1" applyAlignment="1">
      <alignment vertical="center" shrinkToFit="1"/>
    </xf>
    <xf numFmtId="9" fontId="41" fillId="0" borderId="52" xfId="0" applyNumberFormat="1" applyFont="1" applyBorder="1" applyAlignment="1">
      <alignment horizontal="left" vertical="center" indent="1"/>
    </xf>
    <xf numFmtId="0" fontId="5" fillId="15" borderId="12" xfId="0" quotePrefix="1" applyFont="1" applyFill="1" applyBorder="1" applyAlignment="1">
      <alignment horizontal="left" vertical="center"/>
    </xf>
    <xf numFmtId="0" fontId="5" fillId="15" borderId="13" xfId="0" applyFont="1" applyFill="1" applyBorder="1" applyAlignment="1">
      <alignment vertical="center"/>
    </xf>
    <xf numFmtId="197" fontId="41" fillId="0" borderId="22" xfId="0" applyNumberFormat="1" applyFont="1" applyBorder="1" applyAlignment="1">
      <alignment vertical="center"/>
    </xf>
    <xf numFmtId="197" fontId="18" fillId="0" borderId="27" xfId="0" applyNumberFormat="1" applyFont="1" applyBorder="1" applyAlignment="1">
      <alignment vertical="center"/>
    </xf>
    <xf numFmtId="0" fontId="5" fillId="15" borderId="52" xfId="0" quotePrefix="1" applyFont="1" applyFill="1" applyBorder="1" applyAlignment="1">
      <alignment horizontal="left" vertical="center"/>
    </xf>
    <xf numFmtId="0" fontId="5" fillId="15" borderId="143" xfId="0" applyFont="1" applyFill="1" applyBorder="1" applyAlignment="1">
      <alignment vertical="center"/>
    </xf>
    <xf numFmtId="197" fontId="18" fillId="0" borderId="142" xfId="0" applyNumberFormat="1" applyFont="1" applyBorder="1" applyAlignment="1">
      <alignment horizontal="left" vertical="center"/>
    </xf>
    <xf numFmtId="197" fontId="18" fillId="0" borderId="26" xfId="0" applyNumberFormat="1" applyFont="1" applyBorder="1" applyAlignment="1">
      <alignment vertical="center"/>
    </xf>
    <xf numFmtId="197" fontId="18" fillId="0" borderId="92" xfId="0" applyNumberFormat="1" applyFont="1" applyBorder="1" applyAlignment="1">
      <alignment horizontal="right" vertical="center"/>
    </xf>
    <xf numFmtId="10" fontId="41" fillId="0" borderId="27" xfId="0" applyNumberFormat="1" applyFont="1" applyBorder="1" applyAlignment="1">
      <alignment horizontal="center" vertical="center"/>
    </xf>
    <xf numFmtId="0" fontId="5" fillId="0" borderId="52" xfId="0" quotePrefix="1" applyFont="1" applyBorder="1" applyAlignment="1">
      <alignment horizontal="left" vertical="center"/>
    </xf>
    <xf numFmtId="197" fontId="18" fillId="0" borderId="96" xfId="0" applyNumberFormat="1" applyFont="1" applyBorder="1" applyAlignment="1">
      <alignment horizontal="left" vertical="center"/>
    </xf>
    <xf numFmtId="197" fontId="18" fillId="0" borderId="24" xfId="0" applyNumberFormat="1" applyFont="1" applyBorder="1" applyAlignment="1">
      <alignment horizontal="left" vertical="center"/>
    </xf>
    <xf numFmtId="197" fontId="18" fillId="0" borderId="25" xfId="0" applyNumberFormat="1" applyFont="1" applyBorder="1" applyAlignment="1">
      <alignment horizontal="center" vertical="center"/>
    </xf>
    <xf numFmtId="197" fontId="40" fillId="0" borderId="149" xfId="0" applyNumberFormat="1" applyFont="1" applyBorder="1" applyAlignment="1">
      <alignment horizontal="right" vertical="center"/>
    </xf>
    <xf numFmtId="0" fontId="5" fillId="15" borderId="52" xfId="0" applyFont="1" applyFill="1" applyBorder="1" applyAlignment="1">
      <alignment vertical="center"/>
    </xf>
    <xf numFmtId="204" fontId="41" fillId="0" borderId="23" xfId="0" applyNumberFormat="1" applyFont="1" applyBorder="1" applyAlignment="1">
      <alignment vertical="center"/>
    </xf>
    <xf numFmtId="0" fontId="5" fillId="15" borderId="11" xfId="0" applyFont="1" applyFill="1" applyBorder="1" applyAlignment="1">
      <alignment vertical="center"/>
    </xf>
    <xf numFmtId="197" fontId="18" fillId="0" borderId="116" xfId="0" applyNumberFormat="1" applyFont="1" applyBorder="1" applyAlignment="1">
      <alignment vertical="center"/>
    </xf>
    <xf numFmtId="197" fontId="56" fillId="0" borderId="205" xfId="0" applyNumberFormat="1" applyFont="1" applyBorder="1" applyAlignment="1">
      <alignment horizontal="right" vertical="center"/>
    </xf>
    <xf numFmtId="197" fontId="18" fillId="0" borderId="26" xfId="0" applyNumberFormat="1" applyFont="1" applyBorder="1" applyAlignment="1">
      <alignment horizontal="left" vertical="center"/>
    </xf>
    <xf numFmtId="204" fontId="18" fillId="0" borderId="52" xfId="0" applyNumberFormat="1" applyFont="1" applyBorder="1" applyAlignment="1">
      <alignment horizontal="center" vertical="center"/>
    </xf>
    <xf numFmtId="223" fontId="41" fillId="0" borderId="52" xfId="0" applyNumberFormat="1" applyFont="1" applyBorder="1" applyAlignment="1">
      <alignment horizontal="left" vertical="center"/>
    </xf>
    <xf numFmtId="0" fontId="5" fillId="0" borderId="23" xfId="0" applyFont="1" applyBorder="1" applyAlignment="1">
      <alignment vertical="center"/>
    </xf>
    <xf numFmtId="197" fontId="18" fillId="0" borderId="22" xfId="0" quotePrefix="1" applyNumberFormat="1" applyFont="1" applyBorder="1" applyAlignment="1">
      <alignment vertical="center"/>
    </xf>
    <xf numFmtId="0" fontId="120" fillId="0" borderId="52" xfId="0" applyFont="1" applyBorder="1"/>
    <xf numFmtId="198" fontId="41" fillId="0" borderId="52" xfId="0" applyNumberFormat="1" applyFont="1" applyBorder="1" applyAlignment="1">
      <alignment horizontal="left" vertical="center"/>
    </xf>
    <xf numFmtId="198" fontId="123" fillId="0" borderId="23" xfId="0" applyNumberFormat="1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63" fillId="0" borderId="23" xfId="0" applyFont="1" applyBorder="1" applyAlignment="1">
      <alignment vertical="center"/>
    </xf>
    <xf numFmtId="197" fontId="64" fillId="0" borderId="52" xfId="0" applyNumberFormat="1" applyFont="1" applyBorder="1" applyAlignment="1">
      <alignment vertical="center"/>
    </xf>
    <xf numFmtId="225" fontId="64" fillId="0" borderId="52" xfId="0" applyNumberFormat="1" applyFont="1" applyBorder="1" applyAlignment="1">
      <alignment vertical="center"/>
    </xf>
    <xf numFmtId="197" fontId="64" fillId="0" borderId="52" xfId="0" applyNumberFormat="1" applyFont="1" applyBorder="1" applyAlignment="1">
      <alignment horizontal="center" vertical="center"/>
    </xf>
    <xf numFmtId="195" fontId="64" fillId="0" borderId="52" xfId="0" applyNumberFormat="1" applyFont="1" applyBorder="1" applyAlignment="1">
      <alignment horizontal="left" vertical="center"/>
    </xf>
    <xf numFmtId="197" fontId="18" fillId="0" borderId="22" xfId="0" applyNumberFormat="1" applyFont="1" applyBorder="1" applyAlignment="1">
      <alignment horizontal="left" vertical="center"/>
    </xf>
    <xf numFmtId="9" fontId="18" fillId="0" borderId="52" xfId="0" applyNumberFormat="1" applyFont="1" applyBorder="1" applyAlignment="1">
      <alignment vertical="center"/>
    </xf>
    <xf numFmtId="197" fontId="18" fillId="0" borderId="52" xfId="0" applyNumberFormat="1" applyFont="1" applyBorder="1" applyAlignment="1">
      <alignment horizontal="center" vertical="center"/>
    </xf>
    <xf numFmtId="216" fontId="41" fillId="0" borderId="52" xfId="0" applyNumberFormat="1" applyFont="1" applyBorder="1" applyAlignment="1">
      <alignment horizontal="left" vertical="center"/>
    </xf>
    <xf numFmtId="10" fontId="18" fillId="0" borderId="52" xfId="0" applyNumberFormat="1" applyFont="1" applyBorder="1" applyAlignment="1">
      <alignment vertical="center"/>
    </xf>
    <xf numFmtId="9" fontId="41" fillId="0" borderId="52" xfId="0" applyNumberFormat="1" applyFont="1" applyBorder="1" applyAlignment="1">
      <alignment horizontal="left" vertical="center"/>
    </xf>
    <xf numFmtId="226" fontId="18" fillId="0" borderId="52" xfId="0" applyNumberFormat="1" applyFont="1" applyBorder="1" applyAlignment="1">
      <alignment vertical="center"/>
    </xf>
    <xf numFmtId="204" fontId="18" fillId="0" borderId="52" xfId="0" applyNumberFormat="1" applyFont="1" applyBorder="1" applyAlignment="1">
      <alignment vertical="center"/>
    </xf>
    <xf numFmtId="197" fontId="48" fillId="0" borderId="52" xfId="0" applyNumberFormat="1" applyFont="1" applyBorder="1" applyAlignment="1">
      <alignment vertical="center"/>
    </xf>
    <xf numFmtId="204" fontId="48" fillId="0" borderId="52" xfId="0" applyNumberFormat="1" applyFont="1" applyBorder="1" applyAlignment="1">
      <alignment horizontal="center" vertical="center"/>
    </xf>
    <xf numFmtId="204" fontId="60" fillId="0" borderId="52" xfId="0" applyNumberFormat="1" applyFont="1" applyBorder="1" applyAlignment="1">
      <alignment vertical="center"/>
    </xf>
    <xf numFmtId="10" fontId="41" fillId="0" borderId="52" xfId="0" applyNumberFormat="1" applyFont="1" applyBorder="1" applyAlignment="1">
      <alignment vertical="center"/>
    </xf>
    <xf numFmtId="205" fontId="18" fillId="0" borderId="52" xfId="0" applyNumberFormat="1" applyFont="1" applyBorder="1" applyAlignment="1">
      <alignment horizontal="center" vertical="center"/>
    </xf>
    <xf numFmtId="0" fontId="5" fillId="15" borderId="96" xfId="0" applyFont="1" applyFill="1" applyBorder="1" applyAlignment="1">
      <alignment horizontal="left" vertical="center"/>
    </xf>
    <xf numFmtId="38" fontId="18" fillId="0" borderId="147" xfId="0" applyNumberFormat="1" applyFont="1" applyBorder="1" applyAlignment="1">
      <alignment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vertical="center"/>
    </xf>
    <xf numFmtId="9" fontId="52" fillId="0" borderId="52" xfId="0" applyNumberFormat="1" applyFont="1" applyBorder="1" applyAlignment="1">
      <alignment vertical="center"/>
    </xf>
    <xf numFmtId="197" fontId="60" fillId="0" borderId="52" xfId="0" applyNumberFormat="1" applyFont="1" applyBorder="1" applyAlignment="1">
      <alignment horizontal="left" vertical="center"/>
    </xf>
    <xf numFmtId="10" fontId="41" fillId="0" borderId="52" xfId="0" applyNumberFormat="1" applyFont="1" applyBorder="1" applyAlignment="1">
      <alignment horizontal="center" vertical="center"/>
    </xf>
    <xf numFmtId="198" fontId="18" fillId="0" borderId="52" xfId="0" applyNumberFormat="1" applyFont="1" applyBorder="1" applyAlignment="1">
      <alignment horizontal="center" vertical="center"/>
    </xf>
    <xf numFmtId="204" fontId="41" fillId="15" borderId="52" xfId="0" applyNumberFormat="1" applyFont="1" applyFill="1" applyBorder="1" applyAlignment="1">
      <alignment horizontal="center" vertical="center"/>
    </xf>
    <xf numFmtId="216" fontId="58" fillId="0" borderId="52" xfId="0" applyNumberFormat="1" applyFont="1" applyBorder="1" applyAlignment="1">
      <alignment horizontal="left" vertical="center"/>
    </xf>
    <xf numFmtId="9" fontId="41" fillId="0" borderId="52" xfId="0" applyNumberFormat="1" applyFont="1" applyBorder="1" applyAlignment="1">
      <alignment horizontal="center" vertical="center"/>
    </xf>
    <xf numFmtId="197" fontId="18" fillId="15" borderId="52" xfId="0" applyNumberFormat="1" applyFont="1" applyFill="1" applyBorder="1" applyAlignment="1">
      <alignment horizontal="left" vertical="center"/>
    </xf>
    <xf numFmtId="197" fontId="18" fillId="15" borderId="52" xfId="0" applyNumberFormat="1" applyFont="1" applyFill="1" applyBorder="1" applyAlignment="1">
      <alignment horizontal="center" vertical="center"/>
    </xf>
    <xf numFmtId="216" fontId="58" fillId="15" borderId="52" xfId="0" applyNumberFormat="1" applyFont="1" applyFill="1" applyBorder="1" applyAlignment="1">
      <alignment horizontal="left" vertical="center"/>
    </xf>
    <xf numFmtId="38" fontId="18" fillId="4" borderId="102" xfId="0" applyNumberFormat="1" applyFont="1" applyFill="1" applyBorder="1" applyAlignment="1">
      <alignment vertical="center"/>
    </xf>
    <xf numFmtId="0" fontId="5" fillId="4" borderId="12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225" fontId="18" fillId="0" borderId="52" xfId="0" applyNumberFormat="1" applyFont="1" applyBorder="1" applyAlignment="1">
      <alignment horizontal="center" vertical="center" shrinkToFit="1"/>
    </xf>
    <xf numFmtId="204" fontId="18" fillId="0" borderId="23" xfId="0" applyNumberFormat="1" applyFont="1" applyBorder="1" applyAlignment="1">
      <alignment horizontal="center" vertical="center" shrinkToFit="1"/>
    </xf>
    <xf numFmtId="38" fontId="18" fillId="4" borderId="102" xfId="0" applyNumberFormat="1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 shrinkToFit="1"/>
    </xf>
    <xf numFmtId="197" fontId="5" fillId="0" borderId="96" xfId="0" applyNumberFormat="1" applyFont="1" applyBorder="1" applyAlignment="1">
      <alignment vertical="center"/>
    </xf>
    <xf numFmtId="0" fontId="5" fillId="0" borderId="127" xfId="0" applyFont="1" applyBorder="1" applyAlignment="1">
      <alignment vertical="center"/>
    </xf>
    <xf numFmtId="0" fontId="18" fillId="0" borderId="127" xfId="0" applyFont="1" applyBorder="1" applyAlignment="1">
      <alignment vertical="center"/>
    </xf>
    <xf numFmtId="0" fontId="18" fillId="0" borderId="101" xfId="0" applyFont="1" applyBorder="1" applyAlignment="1">
      <alignment vertical="center"/>
    </xf>
    <xf numFmtId="0" fontId="18" fillId="0" borderId="126" xfId="0" applyFont="1" applyBorder="1" applyAlignment="1">
      <alignment vertical="center"/>
    </xf>
    <xf numFmtId="204" fontId="18" fillId="0" borderId="5" xfId="0" applyNumberFormat="1" applyFont="1" applyBorder="1" applyAlignment="1">
      <alignment horizontal="center" vertical="center"/>
    </xf>
    <xf numFmtId="197" fontId="5" fillId="0" borderId="6" xfId="0" applyNumberFormat="1" applyFont="1" applyBorder="1" applyAlignment="1">
      <alignment horizontal="center" vertical="center"/>
    </xf>
    <xf numFmtId="197" fontId="18" fillId="0" borderId="6" xfId="0" applyNumberFormat="1" applyFont="1" applyBorder="1" applyAlignment="1">
      <alignment vertical="center"/>
    </xf>
    <xf numFmtId="0" fontId="18" fillId="0" borderId="126" xfId="0" applyFont="1" applyBorder="1" applyAlignment="1">
      <alignment horizontal="right" vertical="center" shrinkToFit="1"/>
    </xf>
    <xf numFmtId="197" fontId="58" fillId="0" borderId="126" xfId="0" applyNumberFormat="1" applyFont="1" applyBorder="1" applyAlignment="1">
      <alignment vertical="center"/>
    </xf>
    <xf numFmtId="226" fontId="18" fillId="0" borderId="126" xfId="0" applyNumberFormat="1" applyFont="1" applyBorder="1" applyAlignment="1">
      <alignment vertical="center"/>
    </xf>
    <xf numFmtId="226" fontId="18" fillId="0" borderId="92" xfId="0" applyNumberFormat="1" applyFont="1" applyBorder="1" applyAlignment="1">
      <alignment vertical="center"/>
    </xf>
    <xf numFmtId="197" fontId="52" fillId="0" borderId="26" xfId="0" applyNumberFormat="1" applyFont="1" applyBorder="1" applyAlignment="1">
      <alignment horizontal="center" vertical="center"/>
    </xf>
    <xf numFmtId="38" fontId="18" fillId="0" borderId="12" xfId="0" applyNumberFormat="1" applyFont="1" applyBorder="1" applyAlignment="1">
      <alignment vertical="center"/>
    </xf>
    <xf numFmtId="38" fontId="18" fillId="0" borderId="13" xfId="0" applyNumberFormat="1" applyFont="1" applyBorder="1" applyAlignment="1">
      <alignment vertical="center"/>
    </xf>
    <xf numFmtId="38" fontId="18" fillId="0" borderId="129" xfId="0" applyNumberFormat="1" applyFont="1" applyBorder="1" applyAlignment="1">
      <alignment vertical="center"/>
    </xf>
    <xf numFmtId="197" fontId="52" fillId="0" borderId="24" xfId="0" applyNumberFormat="1" applyFont="1" applyBorder="1" applyAlignment="1">
      <alignment horizontal="center" vertical="center"/>
    </xf>
    <xf numFmtId="38" fontId="18" fillId="0" borderId="126" xfId="0" applyNumberFormat="1" applyFont="1" applyBorder="1" applyAlignment="1">
      <alignment vertical="center"/>
    </xf>
    <xf numFmtId="38" fontId="18" fillId="0" borderId="24" xfId="0" applyNumberFormat="1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204" fontId="70" fillId="0" borderId="92" xfId="0" applyNumberFormat="1" applyFont="1" applyBorder="1" applyAlignment="1">
      <alignment horizontal="center" vertical="center"/>
    </xf>
    <xf numFmtId="197" fontId="40" fillId="0" borderId="92" xfId="0" applyNumberFormat="1" applyFont="1" applyBorder="1" applyAlignment="1">
      <alignment vertical="center"/>
    </xf>
    <xf numFmtId="197" fontId="52" fillId="0" borderId="142" xfId="0" applyNumberFormat="1" applyFont="1" applyBorder="1" applyAlignment="1">
      <alignment horizontal="center" vertical="center"/>
    </xf>
    <xf numFmtId="197" fontId="18" fillId="0" borderId="142" xfId="0" applyNumberFormat="1" applyFont="1" applyBorder="1" applyAlignment="1">
      <alignment vertical="center"/>
    </xf>
    <xf numFmtId="197" fontId="40" fillId="14" borderId="11" xfId="0" applyNumberFormat="1" applyFont="1" applyFill="1" applyBorder="1" applyAlignment="1">
      <alignment vertical="center"/>
    </xf>
    <xf numFmtId="0" fontId="18" fillId="8" borderId="11" xfId="0" applyFont="1" applyFill="1" applyBorder="1" applyAlignment="1">
      <alignment vertical="center"/>
    </xf>
    <xf numFmtId="226" fontId="18" fillId="8" borderId="11" xfId="0" applyNumberFormat="1" applyFont="1" applyFill="1" applyBorder="1" applyAlignment="1">
      <alignment vertical="center"/>
    </xf>
    <xf numFmtId="197" fontId="18" fillId="8" borderId="11" xfId="0" applyNumberFormat="1" applyFont="1" applyFill="1" applyBorder="1" applyAlignment="1">
      <alignment vertical="center"/>
    </xf>
    <xf numFmtId="38" fontId="18" fillId="8" borderId="11" xfId="0" applyNumberFormat="1" applyFont="1" applyFill="1" applyBorder="1" applyAlignment="1">
      <alignment vertical="center"/>
    </xf>
    <xf numFmtId="227" fontId="41" fillId="0" borderId="92" xfId="0" applyNumberFormat="1" applyFont="1" applyBorder="1" applyAlignment="1">
      <alignment horizontal="left" vertical="center"/>
    </xf>
    <xf numFmtId="224" fontId="18" fillId="0" borderId="92" xfId="0" applyNumberFormat="1" applyFont="1" applyBorder="1" applyAlignment="1">
      <alignment vertical="center"/>
    </xf>
    <xf numFmtId="43" fontId="40" fillId="0" borderId="92" xfId="0" applyNumberFormat="1" applyFont="1" applyBorder="1" applyAlignment="1">
      <alignment vertical="center"/>
    </xf>
    <xf numFmtId="227" fontId="41" fillId="0" borderId="52" xfId="0" applyNumberFormat="1" applyFont="1" applyBorder="1" applyAlignment="1">
      <alignment horizontal="left" vertical="center"/>
    </xf>
    <xf numFmtId="224" fontId="18" fillId="0" borderId="52" xfId="0" applyNumberFormat="1" applyFont="1" applyBorder="1" applyAlignment="1">
      <alignment vertical="center"/>
    </xf>
    <xf numFmtId="204" fontId="70" fillId="0" borderId="52" xfId="0" applyNumberFormat="1" applyFont="1" applyBorder="1" applyAlignment="1">
      <alignment horizontal="center" vertical="center"/>
    </xf>
    <xf numFmtId="197" fontId="52" fillId="0" borderId="22" xfId="0" applyNumberFormat="1" applyFont="1" applyBorder="1" applyAlignment="1">
      <alignment horizontal="center" vertical="center"/>
    </xf>
    <xf numFmtId="197" fontId="40" fillId="0" borderId="101" xfId="0" applyNumberFormat="1" applyFont="1" applyBorder="1" applyAlignment="1">
      <alignment vertical="center"/>
    </xf>
    <xf numFmtId="227" fontId="41" fillId="0" borderId="127" xfId="0" applyNumberFormat="1" applyFont="1" applyBorder="1" applyAlignment="1">
      <alignment horizontal="left" vertical="center"/>
    </xf>
    <xf numFmtId="224" fontId="18" fillId="0" borderId="127" xfId="0" applyNumberFormat="1" applyFont="1" applyBorder="1" applyAlignment="1">
      <alignment vertical="center"/>
    </xf>
    <xf numFmtId="204" fontId="70" fillId="0" borderId="127" xfId="0" applyNumberFormat="1" applyFont="1" applyBorder="1" applyAlignment="1">
      <alignment horizontal="center" vertical="center"/>
    </xf>
    <xf numFmtId="197" fontId="18" fillId="21" borderId="142" xfId="0" applyNumberFormat="1" applyFont="1" applyFill="1" applyBorder="1" applyAlignment="1">
      <alignment vertical="center"/>
    </xf>
    <xf numFmtId="204" fontId="70" fillId="43" borderId="52" xfId="0" applyNumberFormat="1" applyFont="1" applyFill="1" applyBorder="1" applyAlignment="1">
      <alignment horizontal="center" vertical="center"/>
    </xf>
    <xf numFmtId="197" fontId="18" fillId="0" borderId="129" xfId="0" applyNumberFormat="1" applyFont="1" applyBorder="1" applyAlignment="1">
      <alignment vertical="center"/>
    </xf>
    <xf numFmtId="204" fontId="70" fillId="44" borderId="52" xfId="0" applyNumberFormat="1" applyFont="1" applyFill="1" applyBorder="1" applyAlignment="1">
      <alignment horizontal="center" vertical="center"/>
    </xf>
    <xf numFmtId="0" fontId="54" fillId="5" borderId="12" xfId="0" applyFont="1" applyFill="1" applyBorder="1" applyAlignment="1">
      <alignment vertical="center"/>
    </xf>
    <xf numFmtId="197" fontId="54" fillId="5" borderId="142" xfId="0" applyNumberFormat="1" applyFont="1" applyFill="1" applyBorder="1" applyAlignment="1">
      <alignment horizontal="right" vertical="center"/>
    </xf>
    <xf numFmtId="9" fontId="18" fillId="0" borderId="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204" fontId="22" fillId="11" borderId="12" xfId="0" applyNumberFormat="1" applyFont="1" applyFill="1" applyBorder="1" applyAlignment="1">
      <alignment horizontal="center" vertical="center"/>
    </xf>
    <xf numFmtId="204" fontId="26" fillId="11" borderId="12" xfId="0" applyNumberFormat="1" applyFont="1" applyFill="1" applyBorder="1" applyAlignment="1">
      <alignment horizontal="center" vertical="center"/>
    </xf>
    <xf numFmtId="204" fontId="22" fillId="11" borderId="13" xfId="0" applyNumberFormat="1" applyFont="1" applyFill="1" applyBorder="1" applyAlignment="1">
      <alignment horizontal="center" vertical="center"/>
    </xf>
    <xf numFmtId="204" fontId="27" fillId="11" borderId="19" xfId="0" applyNumberFormat="1" applyFont="1" applyFill="1" applyBorder="1" applyAlignment="1">
      <alignment horizontal="center" vertical="center"/>
    </xf>
    <xf numFmtId="197" fontId="26" fillId="11" borderId="11" xfId="0" applyNumberFormat="1" applyFont="1" applyFill="1" applyBorder="1" applyAlignment="1">
      <alignment horizontal="center" vertical="center"/>
    </xf>
    <xf numFmtId="203" fontId="22" fillId="11" borderId="19" xfId="0" applyNumberFormat="1" applyFont="1" applyFill="1" applyBorder="1" applyAlignment="1">
      <alignment horizontal="right" vertical="center"/>
    </xf>
    <xf numFmtId="204" fontId="24" fillId="0" borderId="26" xfId="0" applyNumberFormat="1" applyFont="1" applyBorder="1" applyAlignment="1">
      <alignment horizontal="center" vertical="center"/>
    </xf>
    <xf numFmtId="204" fontId="24" fillId="0" borderId="92" xfId="0" applyNumberFormat="1" applyFont="1" applyBorder="1" applyAlignment="1">
      <alignment horizontal="center" vertical="center"/>
    </xf>
    <xf numFmtId="204" fontId="24" fillId="0" borderId="27" xfId="0" applyNumberFormat="1" applyFont="1" applyBorder="1" applyAlignment="1">
      <alignment horizontal="center" vertical="center"/>
    </xf>
    <xf numFmtId="204" fontId="24" fillId="0" borderId="22" xfId="0" applyNumberFormat="1" applyFont="1" applyBorder="1" applyAlignment="1">
      <alignment horizontal="center" vertical="center"/>
    </xf>
    <xf numFmtId="204" fontId="24" fillId="0" borderId="52" xfId="0" applyNumberFormat="1" applyFont="1" applyBorder="1" applyAlignment="1">
      <alignment horizontal="center" vertical="center"/>
    </xf>
    <xf numFmtId="204" fontId="24" fillId="0" borderId="23" xfId="0" applyNumberFormat="1" applyFont="1" applyBorder="1" applyAlignment="1">
      <alignment horizontal="center" vertical="center"/>
    </xf>
    <xf numFmtId="204" fontId="24" fillId="7" borderId="52" xfId="0" applyNumberFormat="1" applyFont="1" applyFill="1" applyBorder="1" applyAlignment="1">
      <alignment horizontal="center" vertical="center"/>
    </xf>
    <xf numFmtId="204" fontId="24" fillId="0" borderId="24" xfId="0" applyNumberFormat="1" applyFont="1" applyBorder="1" applyAlignment="1">
      <alignment horizontal="center" vertical="center"/>
    </xf>
    <xf numFmtId="204" fontId="24" fillId="0" borderId="25" xfId="0" applyNumberFormat="1" applyFont="1" applyBorder="1" applyAlignment="1">
      <alignment horizontal="center" vertical="center"/>
    </xf>
    <xf numFmtId="204" fontId="24" fillId="0" borderId="4" xfId="0" applyNumberFormat="1" applyFont="1" applyBorder="1" applyAlignment="1">
      <alignment horizontal="center" vertical="center"/>
    </xf>
    <xf numFmtId="9" fontId="24" fillId="0" borderId="4" xfId="0" applyNumberFormat="1" applyFont="1" applyBorder="1" applyAlignment="1">
      <alignment horizontal="center" vertical="center"/>
    </xf>
    <xf numFmtId="197" fontId="24" fillId="0" borderId="4" xfId="0" applyNumberFormat="1" applyFont="1" applyBorder="1" applyAlignment="1">
      <alignment horizontal="center" vertical="center"/>
    </xf>
    <xf numFmtId="197" fontId="24" fillId="8" borderId="21" xfId="0" applyNumberFormat="1" applyFont="1" applyFill="1" applyBorder="1" applyAlignment="1">
      <alignment horizontal="right" vertical="center"/>
    </xf>
    <xf numFmtId="197" fontId="24" fillId="8" borderId="19" xfId="0" applyNumberFormat="1" applyFont="1" applyFill="1" applyBorder="1" applyAlignment="1">
      <alignment horizontal="right" vertical="center"/>
    </xf>
    <xf numFmtId="0" fontId="22" fillId="2" borderId="129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203" fontId="23" fillId="8" borderId="21" xfId="0" applyNumberFormat="1" applyFont="1" applyFill="1" applyBorder="1" applyAlignment="1">
      <alignment vertical="center"/>
    </xf>
    <xf numFmtId="203" fontId="24" fillId="0" borderId="129" xfId="0" applyNumberFormat="1" applyFont="1" applyBorder="1" applyAlignment="1">
      <alignment vertical="center"/>
    </xf>
    <xf numFmtId="203" fontId="24" fillId="0" borderId="23" xfId="0" applyNumberFormat="1" applyFont="1" applyBorder="1" applyAlignment="1">
      <alignment vertical="center"/>
    </xf>
    <xf numFmtId="203" fontId="24" fillId="0" borderId="22" xfId="0" applyNumberFormat="1" applyFont="1" applyBorder="1" applyAlignment="1">
      <alignment vertical="center"/>
    </xf>
    <xf numFmtId="203" fontId="24" fillId="0" borderId="25" xfId="0" applyNumberFormat="1" applyFont="1" applyBorder="1" applyAlignment="1">
      <alignment vertical="center"/>
    </xf>
    <xf numFmtId="203" fontId="24" fillId="0" borderId="24" xfId="0" applyNumberFormat="1" applyFont="1" applyBorder="1" applyAlignment="1">
      <alignment vertical="center"/>
    </xf>
    <xf numFmtId="203" fontId="23" fillId="8" borderId="13" xfId="0" applyNumberFormat="1" applyFont="1" applyFill="1" applyBorder="1" applyAlignment="1">
      <alignment vertical="center"/>
    </xf>
    <xf numFmtId="203" fontId="24" fillId="0" borderId="27" xfId="0" applyNumberFormat="1" applyFont="1" applyBorder="1" applyAlignment="1">
      <alignment horizontal="right" vertical="center"/>
    </xf>
    <xf numFmtId="203" fontId="24" fillId="0" borderId="26" xfId="0" applyNumberFormat="1" applyFont="1" applyBorder="1" applyAlignment="1">
      <alignment horizontal="right" vertical="center"/>
    </xf>
    <xf numFmtId="203" fontId="22" fillId="2" borderId="142" xfId="0" applyNumberFormat="1" applyFont="1" applyFill="1" applyBorder="1" applyAlignment="1">
      <alignment horizontal="center" vertical="center"/>
    </xf>
    <xf numFmtId="203" fontId="24" fillId="0" borderId="23" xfId="0" applyNumberFormat="1" applyFont="1" applyBorder="1" applyAlignment="1">
      <alignment horizontal="right" vertical="center"/>
    </xf>
    <xf numFmtId="203" fontId="24" fillId="0" borderId="22" xfId="0" applyNumberFormat="1" applyFont="1" applyBorder="1" applyAlignment="1">
      <alignment horizontal="right" vertical="center"/>
    </xf>
    <xf numFmtId="197" fontId="24" fillId="0" borderId="22" xfId="0" applyNumberFormat="1" applyFont="1" applyBorder="1" applyAlignment="1">
      <alignment horizontal="right" vertical="center"/>
    </xf>
    <xf numFmtId="203" fontId="22" fillId="2" borderId="96" xfId="0" applyNumberFormat="1" applyFont="1" applyFill="1" applyBorder="1" applyAlignment="1">
      <alignment horizontal="center" vertical="center"/>
    </xf>
    <xf numFmtId="203" fontId="22" fillId="2" borderId="47" xfId="0" applyNumberFormat="1" applyFont="1" applyFill="1" applyBorder="1" applyAlignment="1">
      <alignment horizontal="center" vertical="center"/>
    </xf>
    <xf numFmtId="203" fontId="24" fillId="0" borderId="25" xfId="0" applyNumberFormat="1" applyFont="1" applyBorder="1" applyAlignment="1">
      <alignment horizontal="right" vertical="center"/>
    </xf>
    <xf numFmtId="9" fontId="24" fillId="0" borderId="24" xfId="0" applyNumberFormat="1" applyFont="1" applyBorder="1" applyAlignment="1">
      <alignment horizontal="right" vertical="center"/>
    </xf>
    <xf numFmtId="203" fontId="22" fillId="2" borderId="13" xfId="0" applyNumberFormat="1" applyFont="1" applyFill="1" applyBorder="1" applyAlignment="1">
      <alignment horizontal="center" vertical="center"/>
    </xf>
    <xf numFmtId="203" fontId="24" fillId="0" borderId="96" xfId="0" applyNumberFormat="1" applyFont="1" applyBorder="1" applyAlignment="1">
      <alignment horizontal="right" vertical="center"/>
    </xf>
    <xf numFmtId="203" fontId="24" fillId="0" borderId="5" xfId="0" applyNumberFormat="1" applyFont="1" applyBorder="1" applyAlignment="1">
      <alignment horizontal="right" vertical="center"/>
    </xf>
    <xf numFmtId="203" fontId="24" fillId="0" borderId="6" xfId="0" applyNumberFormat="1" applyFont="1" applyBorder="1" applyAlignment="1">
      <alignment horizontal="right" vertical="center"/>
    </xf>
    <xf numFmtId="203" fontId="24" fillId="0" borderId="5" xfId="0" applyNumberFormat="1" applyFont="1" applyBorder="1" applyAlignment="1">
      <alignment vertical="center"/>
    </xf>
    <xf numFmtId="203" fontId="22" fillId="2" borderId="19" xfId="0" applyNumberFormat="1" applyFont="1" applyFill="1" applyBorder="1" applyAlignment="1">
      <alignment horizontal="center" vertical="center"/>
    </xf>
    <xf numFmtId="197" fontId="24" fillId="0" borderId="6" xfId="0" applyNumberFormat="1" applyFont="1" applyBorder="1" applyAlignment="1">
      <alignment vertical="center"/>
    </xf>
    <xf numFmtId="203" fontId="22" fillId="2" borderId="12" xfId="0" applyNumberFormat="1" applyFont="1" applyFill="1" applyBorder="1" applyAlignment="1">
      <alignment horizontal="center" vertical="center"/>
    </xf>
    <xf numFmtId="203" fontId="24" fillId="0" borderId="13" xfId="0" applyNumberFormat="1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197" fontId="23" fillId="0" borderId="2" xfId="0" applyNumberFormat="1" applyFont="1" applyBorder="1" applyAlignment="1">
      <alignment vertical="center"/>
    </xf>
    <xf numFmtId="197" fontId="23" fillId="0" borderId="7" xfId="0" applyNumberFormat="1" applyFont="1" applyBorder="1" applyAlignment="1">
      <alignment vertical="center"/>
    </xf>
    <xf numFmtId="206" fontId="24" fillId="0" borderId="2" xfId="0" applyNumberFormat="1" applyFont="1" applyBorder="1" applyAlignment="1">
      <alignment horizontal="center" vertical="center"/>
    </xf>
    <xf numFmtId="203" fontId="36" fillId="0" borderId="12" xfId="0" applyNumberFormat="1" applyFont="1" applyBorder="1" applyAlignment="1">
      <alignment horizontal="left" vertical="center"/>
    </xf>
    <xf numFmtId="203" fontId="25" fillId="0" borderId="12" xfId="0" applyNumberFormat="1" applyFont="1" applyBorder="1" applyAlignment="1">
      <alignment vertical="center"/>
    </xf>
    <xf numFmtId="0" fontId="24" fillId="13" borderId="19" xfId="0" applyFont="1" applyFill="1" applyBorder="1" applyAlignment="1">
      <alignment vertical="center" wrapText="1"/>
    </xf>
    <xf numFmtId="205" fontId="24" fillId="0" borderId="4" xfId="0" applyNumberFormat="1" applyFont="1" applyBorder="1" applyAlignment="1">
      <alignment horizontal="center" vertical="center"/>
    </xf>
    <xf numFmtId="197" fontId="23" fillId="0" borderId="4" xfId="0" applyNumberFormat="1" applyFont="1" applyBorder="1" applyAlignment="1">
      <alignment horizontal="center" vertical="center"/>
    </xf>
    <xf numFmtId="0" fontId="39" fillId="2" borderId="129" xfId="0" applyFont="1" applyFill="1" applyBorder="1" applyAlignment="1">
      <alignment horizontal="left" vertical="center"/>
    </xf>
    <xf numFmtId="0" fontId="39" fillId="2" borderId="20" xfId="0" applyFont="1" applyFill="1" applyBorder="1" applyAlignment="1">
      <alignment horizontal="left" vertical="center"/>
    </xf>
    <xf numFmtId="203" fontId="23" fillId="8" borderId="19" xfId="0" applyNumberFormat="1" applyFont="1" applyFill="1" applyBorder="1" applyAlignment="1">
      <alignment vertical="center"/>
    </xf>
    <xf numFmtId="203" fontId="39" fillId="2" borderId="142" xfId="0" applyNumberFormat="1" applyFont="1" applyFill="1" applyBorder="1" applyAlignment="1">
      <alignment horizontal="left" vertical="center"/>
    </xf>
    <xf numFmtId="203" fontId="39" fillId="2" borderId="96" xfId="0" applyNumberFormat="1" applyFont="1" applyFill="1" applyBorder="1" applyAlignment="1">
      <alignment horizontal="left" vertical="center"/>
    </xf>
    <xf numFmtId="203" fontId="39" fillId="2" borderId="47" xfId="0" applyNumberFormat="1" applyFont="1" applyFill="1" applyBorder="1" applyAlignment="1">
      <alignment horizontal="left" vertical="center"/>
    </xf>
    <xf numFmtId="203" fontId="39" fillId="2" borderId="13" xfId="0" applyNumberFormat="1" applyFont="1" applyFill="1" applyBorder="1" applyAlignment="1">
      <alignment horizontal="left" vertical="center"/>
    </xf>
    <xf numFmtId="0" fontId="39" fillId="2" borderId="13" xfId="0" applyFont="1" applyFill="1" applyBorder="1" applyAlignment="1">
      <alignment horizontal="left" vertical="center"/>
    </xf>
    <xf numFmtId="203" fontId="39" fillId="2" borderId="19" xfId="0" applyNumberFormat="1" applyFont="1" applyFill="1" applyBorder="1" applyAlignment="1">
      <alignment horizontal="left" vertical="center"/>
    </xf>
    <xf numFmtId="203" fontId="39" fillId="2" borderId="12" xfId="0" applyNumberFormat="1" applyFont="1" applyFill="1" applyBorder="1" applyAlignment="1">
      <alignment horizontal="left" vertical="center"/>
    </xf>
    <xf numFmtId="0" fontId="74" fillId="0" borderId="6" xfId="0" applyFont="1" applyBorder="1" applyAlignment="1">
      <alignment horizontal="center" vertical="center"/>
    </xf>
    <xf numFmtId="229" fontId="74" fillId="0" borderId="4" xfId="0" applyNumberFormat="1" applyFont="1" applyBorder="1" applyAlignment="1">
      <alignment horizontal="center" vertical="center"/>
    </xf>
    <xf numFmtId="197" fontId="74" fillId="0" borderId="5" xfId="0" applyNumberFormat="1" applyFont="1" applyBorder="1" applyAlignment="1">
      <alignment horizontal="right" vertical="center"/>
    </xf>
    <xf numFmtId="0" fontId="74" fillId="0" borderId="5" xfId="0" applyFont="1" applyBorder="1" applyAlignment="1">
      <alignment horizontal="center" vertical="center"/>
    </xf>
    <xf numFmtId="0" fontId="86" fillId="8" borderId="178" xfId="0" applyFont="1" applyFill="1" applyBorder="1"/>
    <xf numFmtId="0" fontId="91" fillId="8" borderId="178" xfId="0" applyFont="1" applyFill="1" applyBorder="1"/>
    <xf numFmtId="0" fontId="89" fillId="26" borderId="181" xfId="0" applyFont="1" applyFill="1" applyBorder="1"/>
    <xf numFmtId="0" fontId="86" fillId="9" borderId="180" xfId="0" applyFont="1" applyFill="1" applyBorder="1" applyAlignment="1">
      <alignment vertical="center"/>
    </xf>
    <xf numFmtId="0" fontId="90" fillId="18" borderId="181" xfId="0" applyFont="1" applyFill="1" applyBorder="1" applyAlignment="1">
      <alignment vertical="center"/>
    </xf>
    <xf numFmtId="3" fontId="90" fillId="8" borderId="19" xfId="0" applyNumberFormat="1" applyFont="1" applyFill="1" applyBorder="1" applyAlignment="1">
      <alignment horizontal="center" vertical="center"/>
    </xf>
    <xf numFmtId="0" fontId="86" fillId="18" borderId="142" xfId="0" applyFont="1" applyFill="1" applyBorder="1"/>
    <xf numFmtId="0" fontId="86" fillId="8" borderId="143" xfId="0" applyFont="1" applyFill="1" applyBorder="1"/>
    <xf numFmtId="0" fontId="86" fillId="8" borderId="129" xfId="0" applyFont="1" applyFill="1" applyBorder="1"/>
    <xf numFmtId="0" fontId="86" fillId="8" borderId="20" xfId="0" applyFont="1" applyFill="1" applyBorder="1"/>
    <xf numFmtId="0" fontId="86" fillId="0" borderId="129" xfId="0" applyFont="1" applyBorder="1"/>
    <xf numFmtId="0" fontId="90" fillId="8" borderId="19" xfId="0" applyFont="1" applyFill="1" applyBorder="1"/>
    <xf numFmtId="0" fontId="90" fillId="8" borderId="181" xfId="0" applyFont="1" applyFill="1" applyBorder="1"/>
    <xf numFmtId="3" fontId="86" fillId="8" borderId="181" xfId="0" applyNumberFormat="1" applyFont="1" applyFill="1" applyBorder="1" applyAlignment="1">
      <alignment horizontal="center"/>
    </xf>
    <xf numFmtId="9" fontId="86" fillId="8" borderId="181" xfId="0" applyNumberFormat="1" applyFont="1" applyFill="1" applyBorder="1" applyAlignment="1">
      <alignment horizontal="center"/>
    </xf>
    <xf numFmtId="197" fontId="86" fillId="0" borderId="224" xfId="0" applyNumberFormat="1" applyFont="1" applyBorder="1" applyAlignment="1">
      <alignment vertical="center"/>
    </xf>
    <xf numFmtId="197" fontId="86" fillId="8" borderId="181" xfId="0" applyNumberFormat="1" applyFont="1" applyFill="1" applyBorder="1" applyAlignment="1">
      <alignment vertical="center"/>
    </xf>
    <xf numFmtId="197" fontId="32" fillId="0" borderId="226" xfId="0" applyNumberFormat="1" applyFont="1" applyBorder="1" applyAlignment="1">
      <alignment vertical="center"/>
    </xf>
    <xf numFmtId="197" fontId="32" fillId="0" borderId="228" xfId="0" applyNumberFormat="1" applyFont="1" applyBorder="1" applyAlignment="1">
      <alignment vertical="center"/>
    </xf>
    <xf numFmtId="205" fontId="57" fillId="17" borderId="98" xfId="0" applyNumberFormat="1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77" fontId="3" fillId="2" borderId="32" xfId="0" applyNumberFormat="1" applyFont="1" applyFill="1" applyBorder="1" applyAlignment="1">
      <alignment horizontal="center" vertical="center"/>
    </xf>
    <xf numFmtId="0" fontId="2" fillId="0" borderId="32" xfId="0" applyFont="1" applyBorder="1"/>
    <xf numFmtId="176" fontId="6" fillId="2" borderId="6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7" xfId="0" applyFont="1" applyBorder="1"/>
    <xf numFmtId="0" fontId="2" fillId="0" borderId="116" xfId="0" applyFont="1" applyBorder="1"/>
    <xf numFmtId="49" fontId="13" fillId="2" borderId="7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76" fontId="11" fillId="3" borderId="6" xfId="0" applyNumberFormat="1" applyFont="1" applyFill="1" applyBorder="1" applyAlignment="1">
      <alignment horizontal="center" vertical="center"/>
    </xf>
    <xf numFmtId="176" fontId="11" fillId="4" borderId="6" xfId="0" applyNumberFormat="1" applyFont="1" applyFill="1" applyBorder="1" applyAlignment="1">
      <alignment horizontal="center" vertical="center"/>
    </xf>
    <xf numFmtId="176" fontId="13" fillId="2" borderId="2" xfId="0" applyNumberFormat="1" applyFont="1" applyFill="1" applyBorder="1" applyAlignment="1">
      <alignment horizontal="center" vertical="center"/>
    </xf>
    <xf numFmtId="0" fontId="2" fillId="0" borderId="4" xfId="0" applyFont="1" applyBorder="1"/>
    <xf numFmtId="176" fontId="13" fillId="2" borderId="2" xfId="0" applyNumberFormat="1" applyFont="1" applyFill="1" applyBorder="1" applyAlignment="1">
      <alignment horizontal="center" vertical="center" wrapText="1"/>
    </xf>
    <xf numFmtId="38" fontId="18" fillId="7" borderId="114" xfId="0" applyNumberFormat="1" applyFont="1" applyFill="1" applyBorder="1" applyAlignment="1">
      <alignment horizontal="center" vertical="center"/>
    </xf>
    <xf numFmtId="38" fontId="18" fillId="7" borderId="102" xfId="0" applyNumberFormat="1" applyFont="1" applyFill="1" applyBorder="1" applyAlignment="1">
      <alignment horizontal="center" vertical="center"/>
    </xf>
    <xf numFmtId="38" fontId="18" fillId="7" borderId="51" xfId="0" applyNumberFormat="1" applyFont="1" applyFill="1" applyBorder="1" applyAlignment="1">
      <alignment horizontal="center" vertical="center"/>
    </xf>
    <xf numFmtId="197" fontId="5" fillId="7" borderId="266" xfId="0" applyNumberFormat="1" applyFont="1" applyFill="1" applyBorder="1" applyAlignment="1">
      <alignment horizontal="center" vertical="center"/>
    </xf>
    <xf numFmtId="197" fontId="5" fillId="7" borderId="229" xfId="0" applyNumberFormat="1" applyFont="1" applyFill="1" applyBorder="1" applyAlignment="1">
      <alignment horizontal="center" vertical="center"/>
    </xf>
    <xf numFmtId="197" fontId="5" fillId="7" borderId="275" xfId="0" applyNumberFormat="1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12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142" xfId="0" applyFont="1" applyBorder="1"/>
    <xf numFmtId="197" fontId="5" fillId="7" borderId="261" xfId="0" applyNumberFormat="1" applyFont="1" applyFill="1" applyBorder="1" applyAlignment="1">
      <alignment horizontal="center" vertical="center"/>
    </xf>
    <xf numFmtId="197" fontId="5" fillId="7" borderId="262" xfId="0" applyNumberFormat="1" applyFont="1" applyFill="1" applyBorder="1" applyAlignment="1">
      <alignment horizontal="center" vertical="center"/>
    </xf>
    <xf numFmtId="197" fontId="5" fillId="7" borderId="276" xfId="0" applyNumberFormat="1" applyFont="1" applyFill="1" applyBorder="1" applyAlignment="1">
      <alignment horizontal="center" vertical="center"/>
    </xf>
    <xf numFmtId="0" fontId="5" fillId="4" borderId="96" xfId="0" applyFont="1" applyFill="1" applyBorder="1" applyAlignment="1">
      <alignment horizontal="center" vertical="center"/>
    </xf>
    <xf numFmtId="0" fontId="5" fillId="4" borderId="47" xfId="0" applyFont="1" applyFill="1" applyBorder="1" applyAlignment="1">
      <alignment horizontal="center" vertical="center"/>
    </xf>
    <xf numFmtId="0" fontId="5" fillId="4" borderId="142" xfId="0" applyFont="1" applyFill="1" applyBorder="1" applyAlignment="1">
      <alignment horizontal="center" vertical="center"/>
    </xf>
    <xf numFmtId="0" fontId="5" fillId="4" borderId="143" xfId="0" applyFont="1" applyFill="1" applyBorder="1" applyAlignment="1">
      <alignment horizontal="center" vertical="center"/>
    </xf>
    <xf numFmtId="0" fontId="5" fillId="0" borderId="96" xfId="0" applyFont="1" applyBorder="1" applyAlignment="1">
      <alignment horizontal="center" vertical="center" shrinkToFit="1"/>
    </xf>
    <xf numFmtId="0" fontId="5" fillId="0" borderId="144" xfId="0" applyFont="1" applyBorder="1" applyAlignment="1">
      <alignment horizontal="center" vertical="center" shrinkToFit="1"/>
    </xf>
    <xf numFmtId="0" fontId="2" fillId="0" borderId="146" xfId="0" applyFont="1" applyBorder="1"/>
    <xf numFmtId="0" fontId="5" fillId="7" borderId="2" xfId="0" applyFont="1" applyFill="1" applyBorder="1" applyAlignment="1">
      <alignment horizontal="center" vertical="center"/>
    </xf>
    <xf numFmtId="0" fontId="2" fillId="0" borderId="19" xfId="0" applyFont="1" applyBorder="1"/>
    <xf numFmtId="0" fontId="5" fillId="7" borderId="6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left" vertical="center"/>
    </xf>
    <xf numFmtId="0" fontId="5" fillId="15" borderId="96" xfId="0" applyFont="1" applyFill="1" applyBorder="1" applyAlignment="1">
      <alignment horizontal="center" vertical="center"/>
    </xf>
    <xf numFmtId="0" fontId="2" fillId="0" borderId="129" xfId="0" applyFont="1" applyBorder="1"/>
    <xf numFmtId="0" fontId="5" fillId="0" borderId="47" xfId="0" applyFont="1" applyBorder="1" applyAlignment="1">
      <alignment horizontal="center" vertical="center"/>
    </xf>
    <xf numFmtId="197" fontId="67" fillId="5" borderId="2" xfId="0" applyNumberFormat="1" applyFont="1" applyFill="1" applyBorder="1" applyAlignment="1">
      <alignment horizontal="center" vertical="center"/>
    </xf>
    <xf numFmtId="0" fontId="5" fillId="7" borderId="45" xfId="0" applyFont="1" applyFill="1" applyBorder="1" applyAlignment="1">
      <alignment horizontal="center" vertical="center"/>
    </xf>
    <xf numFmtId="0" fontId="2" fillId="0" borderId="23" xfId="0" applyFont="1" applyBorder="1"/>
    <xf numFmtId="0" fontId="5" fillId="7" borderId="46" xfId="0" applyFont="1" applyFill="1" applyBorder="1" applyAlignment="1">
      <alignment horizontal="center" vertical="center"/>
    </xf>
    <xf numFmtId="0" fontId="2" fillId="0" borderId="47" xfId="0" applyFont="1" applyBorder="1"/>
    <xf numFmtId="0" fontId="2" fillId="0" borderId="48" xfId="0" applyFont="1" applyBorder="1"/>
    <xf numFmtId="0" fontId="2" fillId="0" borderId="20" xfId="0" applyFont="1" applyBorder="1"/>
    <xf numFmtId="195" fontId="43" fillId="0" borderId="96" xfId="0" applyNumberFormat="1" applyFont="1" applyBorder="1" applyAlignment="1">
      <alignment vertical="center"/>
    </xf>
    <xf numFmtId="40" fontId="44" fillId="0" borderId="127" xfId="0" applyNumberFormat="1" applyFont="1" applyBorder="1" applyAlignment="1">
      <alignment vertical="center"/>
    </xf>
    <xf numFmtId="0" fontId="2" fillId="0" borderId="101" xfId="0" applyFont="1" applyBorder="1"/>
    <xf numFmtId="0" fontId="3" fillId="17" borderId="199" xfId="0" applyFont="1" applyFill="1" applyBorder="1" applyAlignment="1">
      <alignment horizontal="center" vertical="center"/>
    </xf>
    <xf numFmtId="0" fontId="2" fillId="0" borderId="224" xfId="0" applyFont="1" applyBorder="1"/>
    <xf numFmtId="0" fontId="2" fillId="0" borderId="64" xfId="0" applyFont="1" applyBorder="1"/>
    <xf numFmtId="0" fontId="2" fillId="0" borderId="73" xfId="0" applyFont="1" applyBorder="1"/>
    <xf numFmtId="0" fontId="2" fillId="0" borderId="74" xfId="0" applyFont="1" applyBorder="1"/>
    <xf numFmtId="0" fontId="2" fillId="0" borderId="75" xfId="0" applyFont="1" applyBorder="1"/>
    <xf numFmtId="0" fontId="3" fillId="17" borderId="263" xfId="0" applyFont="1" applyFill="1" applyBorder="1" applyAlignment="1">
      <alignment horizontal="center" vertical="center" textRotation="255"/>
    </xf>
    <xf numFmtId="0" fontId="2" fillId="0" borderId="265" xfId="0" applyFont="1" applyBorder="1"/>
    <xf numFmtId="0" fontId="5" fillId="7" borderId="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2" borderId="5" xfId="0" quotePrefix="1" applyFont="1" applyFill="1" applyBorder="1" applyAlignment="1">
      <alignment horizontal="center" vertical="center"/>
    </xf>
    <xf numFmtId="0" fontId="67" fillId="17" borderId="200" xfId="0" applyFont="1" applyFill="1" applyBorder="1" applyAlignment="1">
      <alignment horizontal="center" vertical="center"/>
    </xf>
    <xf numFmtId="0" fontId="67" fillId="17" borderId="162" xfId="0" applyFont="1" applyFill="1" applyBorder="1" applyAlignment="1">
      <alignment horizontal="center" vertical="center"/>
    </xf>
    <xf numFmtId="0" fontId="67" fillId="17" borderId="179" xfId="0" applyFont="1" applyFill="1" applyBorder="1" applyAlignment="1">
      <alignment horizontal="center" vertical="center"/>
    </xf>
    <xf numFmtId="0" fontId="67" fillId="5" borderId="28" xfId="0" applyFont="1" applyFill="1" applyBorder="1" applyAlignment="1">
      <alignment horizontal="center" vertical="center"/>
    </xf>
    <xf numFmtId="0" fontId="67" fillId="5" borderId="29" xfId="0" applyFont="1" applyFill="1" applyBorder="1" applyAlignment="1">
      <alignment horizontal="center" vertical="center"/>
    </xf>
    <xf numFmtId="0" fontId="67" fillId="5" borderId="30" xfId="0" applyFont="1" applyFill="1" applyBorder="1" applyAlignment="1">
      <alignment horizontal="center" vertical="center"/>
    </xf>
    <xf numFmtId="176" fontId="5" fillId="7" borderId="264" xfId="0" applyNumberFormat="1" applyFont="1" applyFill="1" applyBorder="1" applyAlignment="1">
      <alignment horizontal="center" vertical="center" shrinkToFit="1"/>
    </xf>
    <xf numFmtId="176" fontId="5" fillId="7" borderId="32" xfId="0" applyNumberFormat="1" applyFont="1" applyFill="1" applyBorder="1" applyAlignment="1">
      <alignment horizontal="center" vertical="center" shrinkToFit="1"/>
    </xf>
    <xf numFmtId="0" fontId="5" fillId="7" borderId="7" xfId="0" applyFont="1" applyFill="1" applyBorder="1" applyAlignment="1">
      <alignment horizontal="center" vertical="center"/>
    </xf>
    <xf numFmtId="0" fontId="5" fillId="7" borderId="142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1" fillId="2" borderId="199" xfId="0" quotePrefix="1" applyFont="1" applyFill="1" applyBorder="1" applyAlignment="1">
      <alignment horizontal="center" vertical="center" shrinkToFit="1"/>
    </xf>
    <xf numFmtId="0" fontId="2" fillId="0" borderId="198" xfId="0" applyFont="1" applyBorder="1"/>
    <xf numFmtId="0" fontId="2" fillId="0" borderId="126" xfId="0" applyFont="1" applyBorder="1"/>
    <xf numFmtId="176" fontId="1" fillId="2" borderId="224" xfId="0" applyNumberFormat="1" applyFont="1" applyFill="1" applyBorder="1" applyAlignment="1">
      <alignment horizontal="center" vertical="center" shrinkToFit="1"/>
    </xf>
    <xf numFmtId="0" fontId="1" fillId="2" borderId="224" xfId="0" applyFont="1" applyFill="1" applyBorder="1" applyAlignment="1">
      <alignment horizontal="center" vertical="center" shrinkToFit="1"/>
    </xf>
    <xf numFmtId="0" fontId="5" fillId="7" borderId="33" xfId="0" applyFont="1" applyFill="1" applyBorder="1" applyAlignment="1">
      <alignment horizontal="center" vertical="center"/>
    </xf>
    <xf numFmtId="0" fontId="2" fillId="0" borderId="92" xfId="0" applyFont="1" applyBorder="1"/>
    <xf numFmtId="0" fontId="2" fillId="0" borderId="27" xfId="0" applyFont="1" applyBorder="1"/>
    <xf numFmtId="0" fontId="5" fillId="7" borderId="226" xfId="0" applyFont="1" applyFill="1" applyBorder="1" applyAlignment="1">
      <alignment horizontal="center" vertical="center"/>
    </xf>
    <xf numFmtId="0" fontId="2" fillId="0" borderId="52" xfId="0" applyFont="1" applyBorder="1"/>
    <xf numFmtId="176" fontId="18" fillId="0" borderId="22" xfId="0" applyNumberFormat="1" applyFont="1" applyBorder="1" applyAlignment="1">
      <alignment horizontal="left" vertical="center" shrinkToFit="1"/>
    </xf>
    <xf numFmtId="0" fontId="3" fillId="17" borderId="65" xfId="0" applyFont="1" applyFill="1" applyBorder="1" applyAlignment="1">
      <alignment horizontal="center" vertical="center"/>
    </xf>
    <xf numFmtId="0" fontId="2" fillId="0" borderId="76" xfId="0" applyFont="1" applyBorder="1"/>
    <xf numFmtId="0" fontId="3" fillId="17" borderId="66" xfId="0" quotePrefix="1" applyFont="1" applyFill="1" applyBorder="1" applyAlignment="1">
      <alignment horizontal="center" vertical="center"/>
    </xf>
    <xf numFmtId="0" fontId="2" fillId="0" borderId="77" xfId="0" applyFont="1" applyBorder="1"/>
    <xf numFmtId="0" fontId="5" fillId="7" borderId="114" xfId="0" applyFont="1" applyFill="1" applyBorder="1" applyAlignment="1">
      <alignment horizontal="center" vertical="center" wrapText="1"/>
    </xf>
    <xf numFmtId="0" fontId="2" fillId="0" borderId="102" xfId="0" applyFont="1" applyBorder="1"/>
    <xf numFmtId="0" fontId="2" fillId="0" borderId="51" xfId="0" applyFont="1" applyBorder="1"/>
    <xf numFmtId="0" fontId="5" fillId="7" borderId="99" xfId="0" applyFont="1" applyFill="1" applyBorder="1" applyAlignment="1">
      <alignment horizontal="center" vertical="center" wrapText="1"/>
    </xf>
    <xf numFmtId="0" fontId="2" fillId="0" borderId="213" xfId="0" applyFont="1" applyBorder="1"/>
    <xf numFmtId="0" fontId="2" fillId="0" borderId="58" xfId="0" applyFont="1" applyBorder="1"/>
    <xf numFmtId="0" fontId="5" fillId="7" borderId="52" xfId="0" quotePrefix="1" applyFont="1" applyFill="1" applyBorder="1" applyAlignment="1">
      <alignment horizontal="center" vertical="center"/>
    </xf>
    <xf numFmtId="0" fontId="5" fillId="7" borderId="45" xfId="0" quotePrefix="1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2" fillId="0" borderId="21" xfId="0" applyFont="1" applyBorder="1"/>
    <xf numFmtId="180" fontId="43" fillId="0" borderId="47" xfId="0" applyNumberFormat="1" applyFont="1" applyBorder="1" applyAlignment="1">
      <alignment horizontal="right" vertical="center"/>
    </xf>
    <xf numFmtId="0" fontId="121" fillId="35" borderId="60" xfId="0" applyFont="1" applyFill="1" applyBorder="1" applyAlignment="1">
      <alignment horizontal="center"/>
    </xf>
    <xf numFmtId="0" fontId="122" fillId="35" borderId="61" xfId="0" applyFont="1" applyFill="1" applyBorder="1" applyAlignment="1">
      <alignment horizontal="center"/>
    </xf>
    <xf numFmtId="206" fontId="40" fillId="30" borderId="277" xfId="0" applyNumberFormat="1" applyFont="1" applyFill="1" applyBorder="1" applyAlignment="1">
      <alignment horizontal="center" vertical="center"/>
    </xf>
    <xf numFmtId="206" fontId="40" fillId="30" borderId="271" xfId="0" applyNumberFormat="1" applyFont="1" applyFill="1" applyBorder="1" applyAlignment="1">
      <alignment horizontal="center" vertical="center"/>
    </xf>
    <xf numFmtId="0" fontId="5" fillId="15" borderId="123" xfId="0" applyFont="1" applyFill="1" applyBorder="1" applyAlignment="1">
      <alignment horizontal="left" vertical="center"/>
    </xf>
    <xf numFmtId="0" fontId="2" fillId="0" borderId="124" xfId="0" applyFont="1" applyBorder="1"/>
    <xf numFmtId="0" fontId="2" fillId="0" borderId="125" xfId="0" applyFont="1" applyBorder="1"/>
    <xf numFmtId="0" fontId="5" fillId="7" borderId="230" xfId="0" applyFont="1" applyFill="1" applyBorder="1" applyAlignment="1">
      <alignment horizontal="center" vertical="center"/>
    </xf>
    <xf numFmtId="0" fontId="5" fillId="7" borderId="231" xfId="0" applyFont="1" applyFill="1" applyBorder="1" applyAlignment="1">
      <alignment horizontal="center" vertical="center"/>
    </xf>
    <xf numFmtId="0" fontId="5" fillId="7" borderId="232" xfId="0" applyFont="1" applyFill="1" applyBorder="1" applyAlignment="1">
      <alignment horizontal="center" vertical="center"/>
    </xf>
    <xf numFmtId="199" fontId="65" fillId="15" borderId="136" xfId="0" applyNumberFormat="1" applyFont="1" applyFill="1" applyBorder="1"/>
    <xf numFmtId="0" fontId="2" fillId="0" borderId="137" xfId="0" applyFont="1" applyBorder="1"/>
    <xf numFmtId="197" fontId="18" fillId="0" borderId="22" xfId="0" applyNumberFormat="1" applyFont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left" vertical="center" wrapText="1"/>
    </xf>
    <xf numFmtId="0" fontId="24" fillId="13" borderId="6" xfId="0" applyFont="1" applyFill="1" applyBorder="1" applyAlignment="1">
      <alignment horizontal="left" vertical="center" wrapText="1"/>
    </xf>
    <xf numFmtId="0" fontId="24" fillId="13" borderId="7" xfId="0" applyFont="1" applyFill="1" applyBorder="1" applyAlignment="1">
      <alignment horizontal="left" vertical="center"/>
    </xf>
    <xf numFmtId="0" fontId="24" fillId="13" borderId="6" xfId="0" applyFont="1" applyFill="1" applyBorder="1" applyAlignment="1">
      <alignment horizontal="left" vertical="center"/>
    </xf>
    <xf numFmtId="0" fontId="4" fillId="13" borderId="6" xfId="0" applyFont="1" applyFill="1" applyBorder="1" applyAlignment="1">
      <alignment horizontal="left" vertical="center"/>
    </xf>
    <xf numFmtId="0" fontId="24" fillId="13" borderId="7" xfId="0" applyFont="1" applyFill="1" applyBorder="1" applyAlignment="1">
      <alignment horizontal="left" vertical="center" wrapText="1"/>
    </xf>
    <xf numFmtId="0" fontId="22" fillId="2" borderId="7" xfId="0" applyFont="1" applyFill="1" applyBorder="1" applyAlignment="1">
      <alignment horizontal="center" vertical="center"/>
    </xf>
    <xf numFmtId="0" fontId="2" fillId="0" borderId="12" xfId="0" applyFont="1" applyBorder="1"/>
    <xf numFmtId="0" fontId="0" fillId="0" borderId="0" xfId="0"/>
    <xf numFmtId="0" fontId="2" fillId="0" borderId="143" xfId="0" applyFont="1" applyBorder="1"/>
    <xf numFmtId="0" fontId="22" fillId="2" borderId="2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202" fontId="22" fillId="2" borderId="2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" fillId="0" borderId="187" xfId="0" applyFont="1" applyBorder="1"/>
    <xf numFmtId="202" fontId="22" fillId="2" borderId="13" xfId="0" applyNumberFormat="1" applyFont="1" applyFill="1" applyBorder="1" applyAlignment="1">
      <alignment horizontal="center" vertical="center"/>
    </xf>
    <xf numFmtId="203" fontId="22" fillId="2" borderId="7" xfId="0" applyNumberFormat="1" applyFont="1" applyFill="1" applyBorder="1" applyAlignment="1">
      <alignment horizontal="center" vertical="center" wrapText="1"/>
    </xf>
    <xf numFmtId="203" fontId="22" fillId="2" borderId="6" xfId="0" applyNumberFormat="1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2" fillId="0" borderId="29" xfId="0" applyFont="1" applyBorder="1"/>
    <xf numFmtId="0" fontId="2" fillId="0" borderId="30" xfId="0" applyFont="1" applyBorder="1"/>
    <xf numFmtId="203" fontId="22" fillId="2" borderId="6" xfId="0" applyNumberFormat="1" applyFont="1" applyFill="1" applyBorder="1" applyAlignment="1">
      <alignment horizontal="center" vertical="center" wrapText="1"/>
    </xf>
    <xf numFmtId="0" fontId="2" fillId="0" borderId="163" xfId="0" applyFont="1" applyBorder="1"/>
    <xf numFmtId="0" fontId="2" fillId="0" borderId="162" xfId="0" applyFont="1" applyBorder="1"/>
    <xf numFmtId="0" fontId="2" fillId="0" borderId="179" xfId="0" applyFont="1" applyBorder="1"/>
    <xf numFmtId="0" fontId="22" fillId="2" borderId="19" xfId="0" applyFont="1" applyFill="1" applyBorder="1" applyAlignment="1">
      <alignment horizontal="center" vertical="center" wrapText="1"/>
    </xf>
    <xf numFmtId="0" fontId="24" fillId="13" borderId="7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24" fillId="13" borderId="6" xfId="0" applyFont="1" applyFill="1" applyBorder="1" applyAlignment="1">
      <alignment horizontal="center" vertical="center"/>
    </xf>
    <xf numFmtId="202" fontId="24" fillId="13" borderId="2" xfId="0" applyNumberFormat="1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left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39" fillId="2" borderId="19" xfId="0" applyFont="1" applyFill="1" applyBorder="1" applyAlignment="1">
      <alignment horizontal="left" vertical="center" wrapText="1"/>
    </xf>
    <xf numFmtId="0" fontId="39" fillId="2" borderId="7" xfId="0" applyFont="1" applyFill="1" applyBorder="1" applyAlignment="1">
      <alignment horizontal="left" vertical="center" wrapText="1"/>
    </xf>
    <xf numFmtId="0" fontId="39" fillId="2" borderId="6" xfId="0" applyFont="1" applyFill="1" applyBorder="1" applyAlignment="1">
      <alignment horizontal="left" vertical="center" wrapText="1"/>
    </xf>
    <xf numFmtId="203" fontId="39" fillId="2" borderId="6" xfId="0" applyNumberFormat="1" applyFont="1" applyFill="1" applyBorder="1" applyAlignment="1">
      <alignment horizontal="left" vertical="center"/>
    </xf>
    <xf numFmtId="0" fontId="73" fillId="8" borderId="164" xfId="0" applyFont="1" applyFill="1" applyBorder="1" applyAlignment="1">
      <alignment horizontal="center" vertical="center"/>
    </xf>
    <xf numFmtId="0" fontId="2" fillId="0" borderId="165" xfId="0" applyFont="1" applyBorder="1"/>
    <xf numFmtId="0" fontId="2" fillId="0" borderId="166" xfId="0" applyFont="1" applyBorder="1"/>
    <xf numFmtId="197" fontId="73" fillId="9" borderId="170" xfId="0" applyNumberFormat="1" applyFont="1" applyFill="1" applyBorder="1" applyAlignment="1">
      <alignment horizontal="center" vertical="center"/>
    </xf>
    <xf numFmtId="0" fontId="74" fillId="9" borderId="6" xfId="0" applyFont="1" applyFill="1" applyBorder="1" applyAlignment="1">
      <alignment horizontal="center" vertical="center"/>
    </xf>
    <xf numFmtId="0" fontId="74" fillId="0" borderId="6" xfId="0" applyFont="1" applyBorder="1" applyAlignment="1">
      <alignment horizontal="center" vertical="center"/>
    </xf>
    <xf numFmtId="0" fontId="74" fillId="0" borderId="2" xfId="0" applyFont="1" applyBorder="1" applyAlignment="1">
      <alignment horizontal="center" vertical="center"/>
    </xf>
    <xf numFmtId="0" fontId="74" fillId="0" borderId="7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10" fontId="80" fillId="0" borderId="2" xfId="0" applyNumberFormat="1" applyFont="1" applyBorder="1" applyAlignment="1">
      <alignment horizontal="center" vertical="center"/>
    </xf>
    <xf numFmtId="10" fontId="80" fillId="0" borderId="54" xfId="0" applyNumberFormat="1" applyFont="1" applyBorder="1" applyAlignment="1">
      <alignment horizontal="center" vertical="center"/>
    </xf>
    <xf numFmtId="0" fontId="81" fillId="8" borderId="164" xfId="0" applyFont="1" applyFill="1" applyBorder="1" applyAlignment="1">
      <alignment horizontal="center" vertical="center" wrapText="1"/>
    </xf>
    <xf numFmtId="0" fontId="73" fillId="18" borderId="164" xfId="0" applyFont="1" applyFill="1" applyBorder="1" applyAlignment="1">
      <alignment horizontal="center" vertical="center"/>
    </xf>
    <xf numFmtId="0" fontId="2" fillId="0" borderId="174" xfId="0" applyFont="1" applyBorder="1"/>
    <xf numFmtId="229" fontId="73" fillId="9" borderId="6" xfId="0" applyNumberFormat="1" applyFont="1" applyFill="1" applyBorder="1" applyAlignment="1">
      <alignment horizontal="center" vertical="center"/>
    </xf>
    <xf numFmtId="0" fontId="74" fillId="0" borderId="7" xfId="0" applyFont="1" applyBorder="1" applyAlignment="1">
      <alignment horizontal="left" vertical="center"/>
    </xf>
    <xf numFmtId="0" fontId="82" fillId="0" borderId="2" xfId="0" applyFont="1" applyBorder="1" applyAlignment="1">
      <alignment horizontal="center" vertical="center"/>
    </xf>
    <xf numFmtId="0" fontId="74" fillId="0" borderId="6" xfId="0" applyFont="1" applyBorder="1" applyAlignment="1">
      <alignment horizontal="left" vertical="center"/>
    </xf>
    <xf numFmtId="229" fontId="74" fillId="0" borderId="2" xfId="0" applyNumberFormat="1" applyFont="1" applyBorder="1" applyAlignment="1">
      <alignment horizontal="center" vertical="center" wrapText="1"/>
    </xf>
    <xf numFmtId="0" fontId="85" fillId="0" borderId="2" xfId="0" applyFont="1" applyBorder="1" applyAlignment="1">
      <alignment horizontal="center" vertical="center" wrapText="1"/>
    </xf>
    <xf numFmtId="0" fontId="74" fillId="0" borderId="2" xfId="0" applyFont="1" applyBorder="1" applyAlignment="1">
      <alignment horizontal="left" vertical="center"/>
    </xf>
    <xf numFmtId="0" fontId="73" fillId="23" borderId="6" xfId="0" applyFont="1" applyFill="1" applyBorder="1" applyAlignment="1">
      <alignment horizontal="center" vertical="center"/>
    </xf>
    <xf numFmtId="0" fontId="112" fillId="28" borderId="205" xfId="2" applyFont="1" applyFill="1" applyBorder="1"/>
    <xf numFmtId="0" fontId="113" fillId="29" borderId="177" xfId="2" applyFont="1" applyFill="1" applyBorder="1"/>
    <xf numFmtId="0" fontId="109" fillId="29" borderId="233" xfId="2" applyFont="1" applyFill="1" applyBorder="1" applyAlignment="1">
      <alignment horizontal="center" vertical="center"/>
    </xf>
    <xf numFmtId="0" fontId="109" fillId="29" borderId="234" xfId="2" applyFont="1" applyFill="1" applyBorder="1" applyAlignment="1">
      <alignment horizontal="center" vertical="center"/>
    </xf>
    <xf numFmtId="0" fontId="109" fillId="29" borderId="235" xfId="2" applyFont="1" applyFill="1" applyBorder="1" applyAlignment="1">
      <alignment horizontal="center" vertical="center"/>
    </xf>
    <xf numFmtId="0" fontId="112" fillId="28" borderId="113" xfId="2" applyFont="1" applyFill="1" applyBorder="1"/>
    <xf numFmtId="0" fontId="113" fillId="29" borderId="176" xfId="2" applyFont="1" applyFill="1" applyBorder="1"/>
    <xf numFmtId="0" fontId="112" fillId="28" borderId="19" xfId="2" applyFont="1" applyFill="1" applyBorder="1"/>
    <xf numFmtId="0" fontId="113" fillId="29" borderId="4" xfId="2" applyFont="1" applyFill="1" applyBorder="1"/>
    <xf numFmtId="0" fontId="112" fillId="28" borderId="126" xfId="2" applyFont="1" applyFill="1" applyBorder="1"/>
    <xf numFmtId="0" fontId="113" fillId="29" borderId="116" xfId="2" applyFont="1" applyFill="1" applyBorder="1"/>
    <xf numFmtId="0" fontId="112" fillId="24" borderId="248" xfId="2" applyFont="1" applyFill="1" applyBorder="1"/>
    <xf numFmtId="0" fontId="112" fillId="24" borderId="249" xfId="2" applyFont="1" applyFill="1" applyBorder="1"/>
    <xf numFmtId="0" fontId="112" fillId="24" borderId="244" xfId="2" applyFont="1" applyFill="1" applyBorder="1"/>
    <xf numFmtId="0" fontId="112" fillId="24" borderId="278" xfId="2" applyFont="1" applyFill="1" applyBorder="1"/>
    <xf numFmtId="0" fontId="112" fillId="24" borderId="245" xfId="2" applyFont="1" applyFill="1" applyBorder="1"/>
    <xf numFmtId="0" fontId="112" fillId="24" borderId="19" xfId="2" applyFont="1" applyFill="1" applyBorder="1"/>
    <xf numFmtId="0" fontId="112" fillId="24" borderId="246" xfId="2" applyFont="1" applyFill="1" applyBorder="1"/>
    <xf numFmtId="0" fontId="112" fillId="24" borderId="247" xfId="2" applyFont="1" applyFill="1" applyBorder="1"/>
    <xf numFmtId="0" fontId="112" fillId="24" borderId="4" xfId="2" applyFont="1" applyFill="1" applyBorder="1"/>
    <xf numFmtId="0" fontId="15" fillId="0" borderId="0" xfId="0" applyFont="1" applyAlignment="1">
      <alignment vertical="center"/>
    </xf>
    <xf numFmtId="0" fontId="89" fillId="9" borderId="175" xfId="0" applyFont="1" applyFill="1" applyBorder="1" applyAlignment="1">
      <alignment horizontal="center" vertical="center"/>
    </xf>
    <xf numFmtId="0" fontId="2" fillId="0" borderId="176" xfId="0" applyFont="1" applyBorder="1"/>
    <xf numFmtId="0" fontId="86" fillId="8" borderId="197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5">
    <cellStyle name="쉼표 [0] 2" xfId="3" xr:uid="{D7676AF9-DC5F-4D57-9AF1-AEC01AD476BC}"/>
    <cellStyle name="쉼표 [0] 4" xfId="1" xr:uid="{00000000-0005-0000-0000-000001000000}"/>
    <cellStyle name="표준" xfId="0" builtinId="0"/>
    <cellStyle name="표준 2" xfId="2" xr:uid="{B64606C4-A421-4C6C-9437-E4ACF2428B41}"/>
    <cellStyle name="표준_3_사업성검토" xfId="4" xr:uid="{E38F7DFB-6465-4E7E-B617-D5ECA8313B9D}"/>
  </cellStyles>
  <dxfs count="5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colors>
    <mruColors>
      <color rgb="FF95B7DD"/>
      <color rgb="FFFFFFCC"/>
      <color rgb="FFCCFFCC"/>
      <color rgb="FF0000FF"/>
      <color rgb="FFFFCC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714375</xdr:colOff>
      <xdr:row>10</xdr:row>
      <xdr:rowOff>123825</xdr:rowOff>
    </xdr:from>
    <xdr:ext cx="3914775" cy="42957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306</xdr:row>
      <xdr:rowOff>0</xdr:rowOff>
    </xdr:from>
    <xdr:ext cx="2705100" cy="462915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1666875</xdr:colOff>
      <xdr:row>38</xdr:row>
      <xdr:rowOff>152400</xdr:rowOff>
    </xdr:from>
    <xdr:ext cx="4743450" cy="4572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210</xdr:row>
      <xdr:rowOff>9525</xdr:rowOff>
    </xdr:from>
    <xdr:ext cx="8334375" cy="13335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199</xdr:row>
      <xdr:rowOff>123825</xdr:rowOff>
    </xdr:from>
    <xdr:ext cx="3810000" cy="1419225"/>
    <xdr:pic>
      <xdr:nvPicPr>
        <xdr:cNvPr id="6" name="image5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hn%20HS/Desktop/UNIV/URID%2015&#44592;/1.%20&#47700;&#51064;&#54532;&#47196;&#51229;&#53944;/&#53664;&#51648;&#51312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개요"/>
      <sheetName val="개발-운영"/>
      <sheetName val="English"/>
      <sheetName val="사업검토"/>
      <sheetName val="개발부담금"/>
      <sheetName val="토지조서"/>
      <sheetName val="세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34"/>
  <sheetViews>
    <sheetView zoomScale="70" zoomScaleNormal="70" workbookViewId="0">
      <pane xSplit="2" ySplit="1" topLeftCell="D95" activePane="bottomRight" state="frozen"/>
      <selection pane="topRight" activeCell="C1" sqref="C1"/>
      <selection pane="bottomLeft" activeCell="A2" sqref="A2"/>
      <selection pane="bottomRight" activeCell="D42" sqref="D42"/>
    </sheetView>
  </sheetViews>
  <sheetFormatPr defaultColWidth="14.453125" defaultRowHeight="15" customHeight="1"/>
  <cols>
    <col min="1" max="1" width="7.54296875" customWidth="1"/>
    <col min="2" max="2" width="18.1796875" customWidth="1"/>
    <col min="3" max="3" width="15.1796875" customWidth="1"/>
    <col min="4" max="4" width="16.453125" customWidth="1"/>
    <col min="5" max="5" width="15.54296875" customWidth="1"/>
    <col min="6" max="6" width="14.453125" customWidth="1"/>
    <col min="7" max="7" width="15" customWidth="1"/>
    <col min="8" max="8" width="17.1796875" bestFit="1" customWidth="1"/>
    <col min="9" max="9" width="14.453125" customWidth="1"/>
    <col min="10" max="10" width="13.81640625" customWidth="1"/>
    <col min="11" max="11" width="12.54296875" customWidth="1"/>
    <col min="12" max="12" width="13.54296875" customWidth="1"/>
    <col min="13" max="20" width="12.54296875" customWidth="1"/>
    <col min="21" max="29" width="10.54296875" customWidth="1"/>
  </cols>
  <sheetData>
    <row r="1" spans="1:29" ht="42" customHeight="1">
      <c r="A1" s="1490" t="s">
        <v>0</v>
      </c>
      <c r="B1" s="1491"/>
      <c r="C1" s="1490"/>
      <c r="D1" s="1492"/>
      <c r="E1" s="1492"/>
      <c r="F1" s="1492"/>
      <c r="G1" s="1492"/>
      <c r="H1" s="1492"/>
      <c r="I1" s="1492"/>
      <c r="J1" s="1492"/>
      <c r="K1" s="1493"/>
      <c r="L1" s="1492"/>
      <c r="M1" s="1492"/>
      <c r="N1" s="1492"/>
      <c r="O1" s="1494"/>
      <c r="P1" s="1495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9.5" customHeight="1">
      <c r="A4" s="2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9.5" customHeight="1">
      <c r="A5" s="1496" t="s">
        <v>2</v>
      </c>
      <c r="B5" s="1491"/>
      <c r="C5" s="1096" t="s">
        <v>3</v>
      </c>
      <c r="D5" s="1097"/>
      <c r="E5" s="1098"/>
      <c r="F5" s="1098"/>
      <c r="G5" s="1098"/>
      <c r="H5" s="1098"/>
      <c r="I5" s="1098"/>
      <c r="J5" s="1098"/>
      <c r="K5" s="1098"/>
      <c r="L5" s="1098"/>
      <c r="M5" s="109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9.5" customHeight="1">
      <c r="A6" s="1496" t="s">
        <v>4</v>
      </c>
      <c r="B6" s="1491"/>
      <c r="C6" s="1021" t="s">
        <v>5</v>
      </c>
      <c r="D6" s="1097"/>
      <c r="E6" s="1098"/>
      <c r="F6" s="1098"/>
      <c r="G6" s="1098"/>
      <c r="H6" s="1098"/>
      <c r="I6" s="1098"/>
      <c r="J6" s="1098"/>
      <c r="K6" s="1098"/>
      <c r="L6" s="1098"/>
      <c r="M6" s="109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9.5" customHeight="1">
      <c r="A7" s="1496" t="s">
        <v>6</v>
      </c>
      <c r="B7" s="1491"/>
      <c r="C7" s="1096" t="s">
        <v>7</v>
      </c>
      <c r="D7" s="1098"/>
      <c r="E7" s="1098"/>
      <c r="F7" s="1098"/>
      <c r="G7" s="1098"/>
      <c r="H7" s="1098"/>
      <c r="I7" s="1098"/>
      <c r="J7" s="1098"/>
      <c r="K7" s="1098"/>
      <c r="L7" s="1098"/>
      <c r="M7" s="109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9.5" customHeight="1">
      <c r="A8" s="1496" t="s">
        <v>8</v>
      </c>
      <c r="B8" s="1491"/>
      <c r="C8" s="1100" t="s">
        <v>9</v>
      </c>
      <c r="D8" s="1098"/>
      <c r="E8" s="1101"/>
      <c r="F8" s="1102"/>
      <c r="G8" s="1103"/>
      <c r="H8" s="1098"/>
      <c r="I8" s="1104">
        <f>I9/$F$9</f>
        <v>0</v>
      </c>
      <c r="J8" s="1105"/>
      <c r="K8" s="1105"/>
      <c r="L8" s="1104"/>
      <c r="M8" s="110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9.5" customHeight="1">
      <c r="A9" s="1496" t="s">
        <v>10</v>
      </c>
      <c r="B9" s="1491"/>
      <c r="C9" s="1107">
        <f>F9-I9-L9</f>
        <v>60663.8</v>
      </c>
      <c r="D9" s="1103">
        <f>C9*0.3025</f>
        <v>18350.799500000001</v>
      </c>
      <c r="E9" s="1101" t="s">
        <v>11</v>
      </c>
      <c r="F9" s="940">
        <v>60663.8</v>
      </c>
      <c r="G9" s="1103">
        <f>F9*0.3025</f>
        <v>18350.799500000001</v>
      </c>
      <c r="H9" s="1101" t="s">
        <v>12</v>
      </c>
      <c r="I9" s="940">
        <v>0</v>
      </c>
      <c r="J9" s="1103">
        <f>I9*0.3025</f>
        <v>0</v>
      </c>
      <c r="K9" s="1101"/>
      <c r="L9" s="1102"/>
      <c r="M9" s="110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9.5" customHeight="1">
      <c r="A10" s="1497" t="s">
        <v>13</v>
      </c>
      <c r="B10" s="1491"/>
      <c r="C10" s="1109" t="s">
        <v>14</v>
      </c>
      <c r="D10" s="1110"/>
      <c r="E10" s="1111"/>
      <c r="F10" s="1111"/>
      <c r="G10" s="1111"/>
      <c r="H10" s="1111"/>
      <c r="I10" s="1111"/>
      <c r="J10" s="1111"/>
      <c r="K10" s="1111"/>
      <c r="L10" s="1111"/>
      <c r="M10" s="111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9.5" customHeight="1">
      <c r="A11" s="1496" t="s">
        <v>15</v>
      </c>
      <c r="B11" s="1491"/>
      <c r="C11" s="1016">
        <v>13572.54</v>
      </c>
      <c r="D11" s="1103">
        <f>C11*0.3025</f>
        <v>4105.6933500000005</v>
      </c>
      <c r="E11" s="1113"/>
      <c r="F11" s="1113"/>
      <c r="G11" s="1114"/>
      <c r="H11" s="1113"/>
      <c r="I11" s="1113"/>
      <c r="J11" s="1113"/>
      <c r="K11" s="1113"/>
      <c r="L11" s="1113"/>
      <c r="M11" s="111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9.5" customHeight="1">
      <c r="A12" s="1496" t="s">
        <v>16</v>
      </c>
      <c r="B12" s="1491"/>
      <c r="C12" s="1116">
        <f>C11/C9</f>
        <v>0.22373375884794558</v>
      </c>
      <c r="D12" s="1117" t="s">
        <v>17</v>
      </c>
      <c r="E12" s="941">
        <v>22.37</v>
      </c>
      <c r="F12" s="1118" t="s">
        <v>18</v>
      </c>
      <c r="G12" s="1119"/>
      <c r="H12" s="1120"/>
      <c r="I12" s="1121"/>
      <c r="J12" s="1120"/>
      <c r="K12" s="1122"/>
      <c r="L12" s="1122"/>
      <c r="M12" s="112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9.5" customHeight="1">
      <c r="A13" s="1496" t="s">
        <v>19</v>
      </c>
      <c r="B13" s="1491"/>
      <c r="C13" s="1124">
        <f>E24</f>
        <v>155753.45000000001</v>
      </c>
      <c r="D13" s="1103">
        <f>C13*0.3025</f>
        <v>47115.418625000006</v>
      </c>
      <c r="E13" s="1125"/>
      <c r="F13" s="1125"/>
      <c r="G13" s="1126"/>
      <c r="H13" s="1127"/>
      <c r="I13" s="1120"/>
      <c r="J13" s="1126"/>
      <c r="K13" s="1125"/>
      <c r="L13" s="1125"/>
      <c r="M13" s="112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9.5" customHeight="1">
      <c r="A14" s="1496" t="s">
        <v>20</v>
      </c>
      <c r="B14" s="1491"/>
      <c r="C14" s="1116">
        <f>E24/C9</f>
        <v>2.5674858812009798</v>
      </c>
      <c r="D14" s="1117" t="s">
        <v>17</v>
      </c>
      <c r="E14" s="942">
        <v>257.55</v>
      </c>
      <c r="F14" s="1118" t="s">
        <v>18</v>
      </c>
      <c r="G14" s="1110"/>
      <c r="H14" s="933"/>
      <c r="I14" s="1"/>
      <c r="J14" s="1"/>
      <c r="K14" s="1"/>
      <c r="L14" s="1129"/>
      <c r="M14" s="113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9.5" customHeight="1">
      <c r="A15" s="1496" t="s">
        <v>21</v>
      </c>
      <c r="B15" s="1491"/>
      <c r="C15" s="943" t="s">
        <v>22</v>
      </c>
      <c r="D15" s="944" t="s">
        <v>23</v>
      </c>
      <c r="E15" s="1131"/>
      <c r="F15" s="1131"/>
      <c r="G15" s="1"/>
      <c r="H15" s="1117"/>
      <c r="I15" s="1131"/>
      <c r="J15" s="1131"/>
      <c r="K15" s="1131"/>
      <c r="L15" s="1131"/>
      <c r="M15" s="113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9.5" customHeight="1">
      <c r="A16" s="1496" t="s">
        <v>24</v>
      </c>
      <c r="B16" s="1491"/>
      <c r="C16" s="1133" t="s">
        <v>25</v>
      </c>
      <c r="D16" s="1131"/>
      <c r="E16" s="1098"/>
      <c r="F16" s="1098"/>
      <c r="G16" s="1098"/>
      <c r="H16" s="1098"/>
      <c r="I16" s="1098"/>
      <c r="J16" s="1098"/>
      <c r="K16" s="1098"/>
      <c r="L16" s="1098"/>
      <c r="M16" s="109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9.5" customHeight="1">
      <c r="A17" s="1498" t="s">
        <v>26</v>
      </c>
      <c r="B17" s="1499"/>
      <c r="C17" s="1134"/>
      <c r="D17" s="1135"/>
      <c r="E17" s="1110"/>
      <c r="F17" s="1110"/>
      <c r="G17" s="1136"/>
      <c r="H17" s="1122"/>
      <c r="I17" s="1136"/>
      <c r="J17" s="1136"/>
      <c r="K17" s="1137"/>
      <c r="L17" s="1122"/>
      <c r="M17" s="113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9.5" customHeight="1">
      <c r="A18" s="1500"/>
      <c r="B18" s="1501"/>
      <c r="C18" s="1139" t="s">
        <v>27</v>
      </c>
      <c r="D18" s="945">
        <v>11</v>
      </c>
      <c r="E18" s="1139" t="s">
        <v>28</v>
      </c>
      <c r="F18" s="1140">
        <v>2015</v>
      </c>
      <c r="G18" s="1137"/>
      <c r="H18" s="1141"/>
      <c r="I18" s="1142"/>
      <c r="J18" s="1122"/>
      <c r="K18" s="1137"/>
      <c r="L18" s="1122"/>
      <c r="M18" s="113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9.5" customHeight="1">
      <c r="A19" s="4"/>
      <c r="B19" s="5"/>
      <c r="C19" s="6"/>
      <c r="D19" s="7"/>
      <c r="E19" s="6"/>
      <c r="F19" s="7"/>
      <c r="G19" s="5"/>
      <c r="H19" s="5"/>
      <c r="I19" s="5"/>
      <c r="J19" s="5"/>
      <c r="K19" s="5"/>
      <c r="L19" s="5"/>
      <c r="M19" s="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9.5" customHeight="1">
      <c r="A20" s="4"/>
      <c r="B20" s="5"/>
      <c r="C20" s="6"/>
      <c r="D20" s="7"/>
      <c r="E20" s="6"/>
      <c r="F20" s="7"/>
      <c r="G20" s="5"/>
      <c r="H20" s="5"/>
      <c r="I20" s="5"/>
      <c r="J20" s="5"/>
      <c r="K20" s="5"/>
      <c r="L20" s="5"/>
      <c r="M20" s="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9.5" customHeight="1">
      <c r="A21" s="2" t="s">
        <v>29</v>
      </c>
      <c r="B21" s="3"/>
      <c r="C21" s="3"/>
      <c r="D21" s="3"/>
      <c r="E21" s="1"/>
      <c r="F21" s="8" t="s">
        <v>30</v>
      </c>
      <c r="G21" s="8"/>
      <c r="H21" s="1"/>
      <c r="I21" s="5"/>
      <c r="J21" s="5"/>
      <c r="K21" s="5"/>
      <c r="L21" s="5"/>
      <c r="M21" s="5"/>
      <c r="N21" s="1"/>
      <c r="O21" s="1"/>
      <c r="P21" s="5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9.5" customHeight="1">
      <c r="A22" s="1502" t="s">
        <v>31</v>
      </c>
      <c r="B22" s="1499"/>
      <c r="C22" s="1507" t="s">
        <v>32</v>
      </c>
      <c r="D22" s="1509" t="s">
        <v>33</v>
      </c>
      <c r="E22" s="1507" t="s">
        <v>34</v>
      </c>
      <c r="F22" s="1507" t="s">
        <v>35</v>
      </c>
      <c r="G22" s="1"/>
      <c r="H22" s="5"/>
      <c r="I22" s="5"/>
      <c r="J22" s="5"/>
      <c r="K22" s="5"/>
      <c r="L22" s="5"/>
      <c r="M22" s="1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9.5" customHeight="1">
      <c r="A23" s="1500"/>
      <c r="B23" s="1501"/>
      <c r="C23" s="1508"/>
      <c r="D23" s="1508"/>
      <c r="E23" s="1508"/>
      <c r="F23" s="1508"/>
      <c r="G23" s="1"/>
      <c r="H23" s="9"/>
      <c r="I23" s="5"/>
      <c r="J23" s="5"/>
      <c r="K23" s="5"/>
      <c r="L23" s="5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9.5" customHeight="1">
      <c r="A24" s="1503" t="s">
        <v>36</v>
      </c>
      <c r="B24" s="1499"/>
      <c r="C24" s="939">
        <v>153042.91</v>
      </c>
      <c r="D24" s="939">
        <v>2710.54</v>
      </c>
      <c r="E24" s="1143">
        <f>SUM(C24:D24)</f>
        <v>155753.45000000001</v>
      </c>
      <c r="F24" s="1144">
        <f>E24/C9</f>
        <v>2.5674858812009798</v>
      </c>
      <c r="G24" s="1"/>
      <c r="H24" s="10"/>
      <c r="I24" s="5"/>
      <c r="J24" s="5"/>
      <c r="K24" s="5"/>
      <c r="L24" s="5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9.5" customHeight="1">
      <c r="A25" s="1500"/>
      <c r="B25" s="1501"/>
      <c r="C25" s="1145">
        <f>C24*0.3025</f>
        <v>46295.480275000002</v>
      </c>
      <c r="D25" s="1146">
        <f>D24*0.3025</f>
        <v>819.93835000000001</v>
      </c>
      <c r="E25" s="1146">
        <f t="shared" ref="E25:E29" si="0">SUM(C25:D25)</f>
        <v>47115.418624999998</v>
      </c>
      <c r="F25" s="1147"/>
      <c r="G25" s="1"/>
      <c r="H25" s="10"/>
      <c r="I25" s="5"/>
      <c r="J25" s="5"/>
      <c r="K25" s="5"/>
      <c r="L25" s="5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9.5" customHeight="1">
      <c r="A26" s="1503" t="s">
        <v>37</v>
      </c>
      <c r="B26" s="1499"/>
      <c r="C26" s="939">
        <v>87376.25</v>
      </c>
      <c r="D26" s="939">
        <v>583.72</v>
      </c>
      <c r="E26" s="1143">
        <f t="shared" si="0"/>
        <v>87959.97</v>
      </c>
      <c r="F26" s="1144">
        <f>E26/$C$9</f>
        <v>1.449958129889654</v>
      </c>
      <c r="G26" s="1"/>
      <c r="H26" s="10"/>
      <c r="I26" s="5"/>
      <c r="J26" s="5"/>
      <c r="K26" s="5"/>
      <c r="L26" s="5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9.5" customHeight="1">
      <c r="A27" s="1500"/>
      <c r="B27" s="1501"/>
      <c r="C27" s="1145">
        <f t="shared" ref="C27:D27" si="1">C26*0.3025</f>
        <v>26431.315624999999</v>
      </c>
      <c r="D27" s="1146">
        <f t="shared" si="1"/>
        <v>176.5753</v>
      </c>
      <c r="E27" s="1146">
        <f t="shared" si="0"/>
        <v>26607.890925</v>
      </c>
      <c r="F27" s="1148">
        <f>ROUNDUP(F26/80%,0)</f>
        <v>2</v>
      </c>
      <c r="G27" s="1"/>
      <c r="H27" s="11"/>
      <c r="I27" s="5"/>
      <c r="J27" s="5"/>
      <c r="K27" s="5"/>
      <c r="L27" s="5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9.5" customHeight="1">
      <c r="A28" s="1503" t="s">
        <v>38</v>
      </c>
      <c r="B28" s="1499"/>
      <c r="C28" s="1143">
        <f>C24+C26</f>
        <v>240419.16</v>
      </c>
      <c r="D28" s="1143">
        <f>D24+D26</f>
        <v>3294.26</v>
      </c>
      <c r="E28" s="1143">
        <f t="shared" si="0"/>
        <v>243713.42</v>
      </c>
      <c r="F28" s="1149"/>
      <c r="G28" s="1"/>
      <c r="H28" s="10"/>
      <c r="I28" s="5"/>
      <c r="J28" s="5"/>
      <c r="K28" s="5"/>
      <c r="L28" s="5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9.5" customHeight="1">
      <c r="A29" s="1500"/>
      <c r="B29" s="1501"/>
      <c r="C29" s="1145">
        <f t="shared" ref="C29:D29" si="2">C28*0.3025</f>
        <v>72726.795899999997</v>
      </c>
      <c r="D29" s="1146">
        <f t="shared" si="2"/>
        <v>996.51364999999998</v>
      </c>
      <c r="E29" s="1146">
        <f t="shared" si="0"/>
        <v>73723.309549999991</v>
      </c>
      <c r="F29" s="1147"/>
      <c r="G29" s="1"/>
      <c r="H29" s="5"/>
      <c r="I29" s="5"/>
      <c r="J29" s="5"/>
      <c r="K29" s="5"/>
      <c r="L29" s="5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9.5" customHeight="1">
      <c r="A30" s="1504" t="s">
        <v>39</v>
      </c>
      <c r="B30" s="1491"/>
      <c r="C30" s="12">
        <f t="shared" ref="C30:E30" si="3">C28/$E$28</f>
        <v>0.98648305866784025</v>
      </c>
      <c r="D30" s="12">
        <f t="shared" si="3"/>
        <v>1.3516941332159714E-2</v>
      </c>
      <c r="E30" s="12">
        <f t="shared" si="3"/>
        <v>1</v>
      </c>
      <c r="F30" s="13"/>
      <c r="G30" s="5"/>
      <c r="H30" s="5"/>
      <c r="I30" s="5"/>
      <c r="J30" s="5"/>
      <c r="K30" s="5"/>
      <c r="L30" s="5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9.5" customHeight="1">
      <c r="A33" s="2" t="s">
        <v>40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9.5" customHeight="1">
      <c r="A34" s="1496" t="s">
        <v>41</v>
      </c>
      <c r="B34" s="1492"/>
      <c r="C34" s="1491"/>
      <c r="D34" s="1496" t="s">
        <v>42</v>
      </c>
      <c r="E34" s="1491"/>
      <c r="F34" s="1496" t="s">
        <v>43</v>
      </c>
      <c r="G34" s="1491"/>
      <c r="H34" s="1496" t="s">
        <v>44</v>
      </c>
      <c r="I34" s="1491"/>
      <c r="J34" s="1496" t="s">
        <v>45</v>
      </c>
      <c r="K34" s="1491"/>
      <c r="L34" s="1496" t="s">
        <v>46</v>
      </c>
      <c r="M34" s="1491"/>
      <c r="N34" s="14" t="s">
        <v>47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9.5" customHeight="1">
      <c r="A35" s="1505" t="str">
        <f>C22</f>
        <v>아파트</v>
      </c>
      <c r="B35" s="1492"/>
      <c r="C35" s="1491"/>
      <c r="D35" s="15">
        <f>D57+D72+D81</f>
        <v>113066.45</v>
      </c>
      <c r="E35" s="15">
        <f t="shared" ref="E35:E37" si="4">D35*0.3025</f>
        <v>34202.601125000001</v>
      </c>
      <c r="F35" s="15">
        <f>F57+F72+F81</f>
        <v>39970.050000000003</v>
      </c>
      <c r="G35" s="15">
        <f t="shared" ref="G35:G37" si="5">F35*0.3025</f>
        <v>12090.940125000001</v>
      </c>
      <c r="H35" s="15">
        <f t="shared" ref="H35:H36" si="6">D35+F35</f>
        <v>153036.5</v>
      </c>
      <c r="I35" s="15">
        <f t="shared" ref="I35:I37" si="7">H35*0.3025</f>
        <v>46293.541250000002</v>
      </c>
      <c r="J35" s="15" t="b">
        <f>C26=J57+J72+J81</f>
        <v>0</v>
      </c>
      <c r="K35" s="15">
        <f t="shared" ref="K35:K37" si="8">J35*0.3025</f>
        <v>0</v>
      </c>
      <c r="L35" s="15">
        <f t="shared" ref="L35:L36" si="9">H35+J35</f>
        <v>153036.5</v>
      </c>
      <c r="M35" s="15">
        <f t="shared" ref="M35:M37" si="10">L35*0.3025</f>
        <v>46293.541250000002</v>
      </c>
      <c r="N35" s="12">
        <f t="shared" ref="N35:N37" si="11">L35/$L$37</f>
        <v>0.98259652318271984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9.5" customHeight="1">
      <c r="A36" s="1505" t="str">
        <f>D22</f>
        <v>근생시설</v>
      </c>
      <c r="B36" s="1492"/>
      <c r="C36" s="1491"/>
      <c r="D36" s="15">
        <f>D89</f>
        <v>2710.54</v>
      </c>
      <c r="E36" s="15">
        <f t="shared" si="4"/>
        <v>819.93835000000001</v>
      </c>
      <c r="F36" s="15">
        <f>F89</f>
        <v>0</v>
      </c>
      <c r="G36" s="15">
        <f t="shared" si="5"/>
        <v>0</v>
      </c>
      <c r="H36" s="15">
        <f t="shared" si="6"/>
        <v>2710.54</v>
      </c>
      <c r="I36" s="15">
        <f t="shared" si="7"/>
        <v>819.93835000000001</v>
      </c>
      <c r="J36" s="15"/>
      <c r="K36" s="15">
        <f t="shared" si="8"/>
        <v>0</v>
      </c>
      <c r="L36" s="15">
        <f t="shared" si="9"/>
        <v>2710.54</v>
      </c>
      <c r="M36" s="15">
        <f t="shared" si="10"/>
        <v>819.93835000000001</v>
      </c>
      <c r="N36" s="12">
        <f t="shared" si="11"/>
        <v>1.7403476817280123E-2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9.5" customHeight="1">
      <c r="A37" s="1506" t="s">
        <v>48</v>
      </c>
      <c r="B37" s="1492"/>
      <c r="C37" s="1491"/>
      <c r="D37" s="16">
        <f>SUM(D35:D36)</f>
        <v>115776.98999999999</v>
      </c>
      <c r="E37" s="16">
        <f t="shared" si="4"/>
        <v>35022.539474999998</v>
      </c>
      <c r="F37" s="16">
        <f>SUM(F35:F36)</f>
        <v>39970.050000000003</v>
      </c>
      <c r="G37" s="16">
        <f t="shared" si="5"/>
        <v>12090.940125000001</v>
      </c>
      <c r="H37" s="16">
        <f>SUM(H35:H36)</f>
        <v>155747.04</v>
      </c>
      <c r="I37" s="16">
        <f t="shared" si="7"/>
        <v>47113.479599999999</v>
      </c>
      <c r="J37" s="16">
        <f>SUM(J35:J36)</f>
        <v>0</v>
      </c>
      <c r="K37" s="16">
        <f t="shared" si="8"/>
        <v>0</v>
      </c>
      <c r="L37" s="16">
        <f>SUM(L35:L36)</f>
        <v>155747.04</v>
      </c>
      <c r="M37" s="16">
        <f t="shared" si="10"/>
        <v>47113.479599999999</v>
      </c>
      <c r="N37" s="17">
        <f t="shared" si="11"/>
        <v>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9.399999999999999" customHeight="1">
      <c r="A40" s="2" t="s">
        <v>49</v>
      </c>
      <c r="B40" s="18" t="s">
        <v>50</v>
      </c>
      <c r="C40" s="18" t="s">
        <v>51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9.5" customHeight="1">
      <c r="A41" s="14" t="s">
        <v>31</v>
      </c>
      <c r="B41" s="14" t="s">
        <v>52</v>
      </c>
      <c r="C41" s="14" t="s">
        <v>53</v>
      </c>
      <c r="D41" s="1496" t="s">
        <v>54</v>
      </c>
      <c r="E41" s="1491"/>
      <c r="F41" s="1496" t="s">
        <v>55</v>
      </c>
      <c r="G41" s="1491"/>
      <c r="H41" s="1496" t="s">
        <v>56</v>
      </c>
      <c r="I41" s="1491"/>
      <c r="J41" s="1496" t="s">
        <v>57</v>
      </c>
      <c r="K41" s="1491"/>
      <c r="L41" s="1496" t="s">
        <v>58</v>
      </c>
      <c r="M41" s="1491"/>
      <c r="N41" s="14" t="s">
        <v>59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9.5" customHeight="1">
      <c r="A42" s="19" t="s">
        <v>60</v>
      </c>
      <c r="B42" s="20">
        <f>E42</f>
        <v>18.095549999999999</v>
      </c>
      <c r="C42" s="948">
        <v>142</v>
      </c>
      <c r="D42" s="949">
        <v>59.82</v>
      </c>
      <c r="E42" s="15">
        <f t="shared" ref="E42:G57" si="12">D42*0.3025</f>
        <v>18.095549999999999</v>
      </c>
      <c r="F42" s="949">
        <v>23.84</v>
      </c>
      <c r="G42" s="15">
        <f t="shared" ref="G42:G56" si="13">F42*0.3025</f>
        <v>7.2115999999999998</v>
      </c>
      <c r="H42" s="15">
        <f t="shared" ref="H42:H56" si="14">D42+F42</f>
        <v>83.66</v>
      </c>
      <c r="I42" s="15">
        <f t="shared" ref="I42:I57" si="15">H42*0.3025</f>
        <v>25.307149999999996</v>
      </c>
      <c r="J42" s="949">
        <v>53.36</v>
      </c>
      <c r="K42" s="15">
        <f t="shared" ref="K42:K57" si="16">J42*0.3025</f>
        <v>16.141400000000001</v>
      </c>
      <c r="L42" s="15">
        <f t="shared" ref="L42:L56" si="17">H42+J42</f>
        <v>137.01999999999998</v>
      </c>
      <c r="M42" s="15">
        <f t="shared" ref="M42:M57" si="18">L42*0.3025</f>
        <v>41.44854999999999</v>
      </c>
      <c r="N42" s="1150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9.5" customHeight="1">
      <c r="A43" s="19" t="s">
        <v>61</v>
      </c>
      <c r="B43" s="20">
        <f t="shared" ref="B43:B56" si="19">E43</f>
        <v>18.14395</v>
      </c>
      <c r="C43" s="948">
        <v>19</v>
      </c>
      <c r="D43" s="949">
        <v>59.98</v>
      </c>
      <c r="E43" s="15">
        <f t="shared" si="12"/>
        <v>18.14395</v>
      </c>
      <c r="F43" s="949">
        <v>23.25</v>
      </c>
      <c r="G43" s="15">
        <f t="shared" si="13"/>
        <v>7.0331250000000001</v>
      </c>
      <c r="H43" s="15">
        <f t="shared" si="14"/>
        <v>83.22999999999999</v>
      </c>
      <c r="I43" s="15">
        <f t="shared" si="15"/>
        <v>25.177074999999995</v>
      </c>
      <c r="J43" s="949">
        <v>44.57</v>
      </c>
      <c r="K43" s="15">
        <f t="shared" si="16"/>
        <v>13.482424999999999</v>
      </c>
      <c r="L43" s="15">
        <f t="shared" si="17"/>
        <v>127.79999999999998</v>
      </c>
      <c r="M43" s="15">
        <f t="shared" si="18"/>
        <v>38.659499999999994</v>
      </c>
      <c r="N43" s="946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9.5" customHeight="1">
      <c r="A44" s="19" t="s">
        <v>62</v>
      </c>
      <c r="B44" s="20">
        <f t="shared" si="19"/>
        <v>18.095549999999999</v>
      </c>
      <c r="C44" s="950">
        <v>20</v>
      </c>
      <c r="D44" s="951">
        <v>59.82</v>
      </c>
      <c r="E44" s="15">
        <f t="shared" si="12"/>
        <v>18.095549999999999</v>
      </c>
      <c r="F44" s="951">
        <v>23.08</v>
      </c>
      <c r="G44" s="15">
        <f t="shared" si="13"/>
        <v>6.9816999999999991</v>
      </c>
      <c r="H44" s="15">
        <f t="shared" si="14"/>
        <v>82.9</v>
      </c>
      <c r="I44" s="15">
        <f t="shared" si="15"/>
        <v>25.077249999999999</v>
      </c>
      <c r="J44" s="951">
        <v>44.46</v>
      </c>
      <c r="K44" s="15">
        <f t="shared" si="16"/>
        <v>13.449149999999999</v>
      </c>
      <c r="L44" s="15">
        <f t="shared" si="17"/>
        <v>127.36000000000001</v>
      </c>
      <c r="M44" s="15">
        <f t="shared" si="18"/>
        <v>38.526400000000002</v>
      </c>
      <c r="N44" s="94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9.5" customHeight="1">
      <c r="A45" s="19" t="s">
        <v>63</v>
      </c>
      <c r="B45" s="20">
        <f t="shared" si="19"/>
        <v>25.69435</v>
      </c>
      <c r="C45" s="950">
        <v>88</v>
      </c>
      <c r="D45" s="951">
        <v>84.94</v>
      </c>
      <c r="E45" s="15">
        <f t="shared" si="12"/>
        <v>25.69435</v>
      </c>
      <c r="F45" s="951">
        <v>24.49</v>
      </c>
      <c r="G45" s="15">
        <f t="shared" si="13"/>
        <v>7.4082249999999989</v>
      </c>
      <c r="H45" s="15">
        <f t="shared" si="14"/>
        <v>109.42999999999999</v>
      </c>
      <c r="I45" s="15">
        <f t="shared" si="15"/>
        <v>33.102574999999995</v>
      </c>
      <c r="J45" s="951">
        <v>63.13</v>
      </c>
      <c r="K45" s="15">
        <f t="shared" si="16"/>
        <v>19.096824999999999</v>
      </c>
      <c r="L45" s="15">
        <f t="shared" si="17"/>
        <v>172.56</v>
      </c>
      <c r="M45" s="15">
        <f t="shared" si="18"/>
        <v>52.199399999999997</v>
      </c>
      <c r="N45" s="94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9.5" customHeight="1">
      <c r="A46" s="19" t="s">
        <v>64</v>
      </c>
      <c r="B46" s="20">
        <f t="shared" si="19"/>
        <v>25.627800000000001</v>
      </c>
      <c r="C46" s="950">
        <v>70</v>
      </c>
      <c r="D46" s="951">
        <v>84.72</v>
      </c>
      <c r="E46" s="15">
        <f t="shared" si="12"/>
        <v>25.627800000000001</v>
      </c>
      <c r="F46" s="951">
        <v>23.8</v>
      </c>
      <c r="G46" s="15">
        <f t="shared" si="13"/>
        <v>7.1994999999999996</v>
      </c>
      <c r="H46" s="15">
        <f t="shared" si="14"/>
        <v>108.52</v>
      </c>
      <c r="I46" s="15">
        <f t="shared" si="15"/>
        <v>32.827300000000001</v>
      </c>
      <c r="J46" s="951">
        <v>62.97</v>
      </c>
      <c r="K46" s="15">
        <f t="shared" si="16"/>
        <v>19.048424999999998</v>
      </c>
      <c r="L46" s="15">
        <f t="shared" si="17"/>
        <v>171.49</v>
      </c>
      <c r="M46" s="15">
        <f t="shared" si="18"/>
        <v>51.875725000000003</v>
      </c>
      <c r="N46" s="94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9.5" customHeight="1">
      <c r="A47" s="19" t="s">
        <v>65</v>
      </c>
      <c r="B47" s="20">
        <f t="shared" si="19"/>
        <v>25.664100000000001</v>
      </c>
      <c r="C47" s="950">
        <v>5</v>
      </c>
      <c r="D47" s="951">
        <v>84.84</v>
      </c>
      <c r="E47" s="15">
        <f t="shared" si="12"/>
        <v>25.664100000000001</v>
      </c>
      <c r="F47" s="951">
        <v>41.94</v>
      </c>
      <c r="G47" s="15">
        <f t="shared" si="13"/>
        <v>12.68685</v>
      </c>
      <c r="H47" s="15">
        <f t="shared" si="14"/>
        <v>126.78</v>
      </c>
      <c r="I47" s="15">
        <f t="shared" si="15"/>
        <v>38.350949999999997</v>
      </c>
      <c r="J47" s="951">
        <v>63.05</v>
      </c>
      <c r="K47" s="15">
        <f t="shared" si="16"/>
        <v>19.072624999999999</v>
      </c>
      <c r="L47" s="15">
        <f t="shared" si="17"/>
        <v>189.82999999999998</v>
      </c>
      <c r="M47" s="15">
        <f t="shared" si="18"/>
        <v>57.423574999999992</v>
      </c>
      <c r="N47" s="94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9.5" customHeight="1">
      <c r="A48" s="19" t="s">
        <v>66</v>
      </c>
      <c r="B48" s="20">
        <f t="shared" si="19"/>
        <v>25.68225</v>
      </c>
      <c r="C48" s="950">
        <v>109</v>
      </c>
      <c r="D48" s="951">
        <v>84.9</v>
      </c>
      <c r="E48" s="15">
        <f t="shared" si="12"/>
        <v>25.68225</v>
      </c>
      <c r="F48" s="951">
        <v>26.45</v>
      </c>
      <c r="G48" s="15">
        <f t="shared" si="13"/>
        <v>8.001125</v>
      </c>
      <c r="H48" s="15">
        <f t="shared" si="14"/>
        <v>111.35000000000001</v>
      </c>
      <c r="I48" s="15">
        <f t="shared" si="15"/>
        <v>33.683374999999998</v>
      </c>
      <c r="J48" s="951">
        <v>63.09</v>
      </c>
      <c r="K48" s="15">
        <f t="shared" si="16"/>
        <v>19.084724999999999</v>
      </c>
      <c r="L48" s="15">
        <f t="shared" si="17"/>
        <v>174.44</v>
      </c>
      <c r="M48" s="15">
        <f t="shared" si="18"/>
        <v>52.768099999999997</v>
      </c>
      <c r="N48" s="94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9.5" customHeight="1">
      <c r="A49" s="19" t="s">
        <v>67</v>
      </c>
      <c r="B49" s="20">
        <f t="shared" si="19"/>
        <v>25.697375000000001</v>
      </c>
      <c r="C49" s="950">
        <v>45</v>
      </c>
      <c r="D49" s="951">
        <v>84.95</v>
      </c>
      <c r="E49" s="15">
        <f t="shared" si="12"/>
        <v>25.697375000000001</v>
      </c>
      <c r="F49" s="951">
        <v>25.64</v>
      </c>
      <c r="G49" s="15">
        <f t="shared" si="13"/>
        <v>7.7561</v>
      </c>
      <c r="H49" s="15">
        <f t="shared" si="14"/>
        <v>110.59</v>
      </c>
      <c r="I49" s="15">
        <f t="shared" si="15"/>
        <v>33.453474999999997</v>
      </c>
      <c r="J49" s="951">
        <v>63.13</v>
      </c>
      <c r="K49" s="15">
        <f t="shared" si="16"/>
        <v>19.096824999999999</v>
      </c>
      <c r="L49" s="15">
        <f t="shared" si="17"/>
        <v>173.72</v>
      </c>
      <c r="M49" s="15">
        <f t="shared" si="18"/>
        <v>52.5503</v>
      </c>
      <c r="N49" s="94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9.5" customHeight="1">
      <c r="A50" s="19" t="s">
        <v>68</v>
      </c>
      <c r="B50" s="20">
        <f t="shared" si="19"/>
        <v>25.585449999999998</v>
      </c>
      <c r="C50" s="950">
        <v>75</v>
      </c>
      <c r="D50" s="951">
        <v>84.58</v>
      </c>
      <c r="E50" s="15">
        <f t="shared" si="12"/>
        <v>25.585449999999998</v>
      </c>
      <c r="F50" s="951">
        <v>25.83</v>
      </c>
      <c r="G50" s="15">
        <f t="shared" si="13"/>
        <v>7.8135749999999993</v>
      </c>
      <c r="H50" s="15">
        <f t="shared" si="14"/>
        <v>110.41</v>
      </c>
      <c r="I50" s="15">
        <f t="shared" si="15"/>
        <v>33.399024999999995</v>
      </c>
      <c r="J50" s="951">
        <v>62.86</v>
      </c>
      <c r="K50" s="15">
        <f t="shared" si="16"/>
        <v>19.015149999999998</v>
      </c>
      <c r="L50" s="15">
        <f t="shared" si="17"/>
        <v>173.26999999999998</v>
      </c>
      <c r="M50" s="15">
        <f t="shared" si="18"/>
        <v>52.414174999999993</v>
      </c>
      <c r="N50" s="94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9.5" customHeight="1">
      <c r="A51" s="19" t="s">
        <v>69</v>
      </c>
      <c r="B51" s="20">
        <f t="shared" si="19"/>
        <v>35.080925000000001</v>
      </c>
      <c r="C51" s="950">
        <v>71</v>
      </c>
      <c r="D51" s="951">
        <v>115.97</v>
      </c>
      <c r="E51" s="15">
        <f t="shared" si="12"/>
        <v>35.080925000000001</v>
      </c>
      <c r="F51" s="951">
        <v>36.71</v>
      </c>
      <c r="G51" s="15">
        <f t="shared" si="13"/>
        <v>11.104775</v>
      </c>
      <c r="H51" s="15">
        <f t="shared" si="14"/>
        <v>152.68</v>
      </c>
      <c r="I51" s="15">
        <f t="shared" si="15"/>
        <v>46.185700000000004</v>
      </c>
      <c r="J51" s="951">
        <v>86.19</v>
      </c>
      <c r="K51" s="15">
        <f t="shared" si="16"/>
        <v>26.072474999999997</v>
      </c>
      <c r="L51" s="15">
        <f t="shared" si="17"/>
        <v>238.87</v>
      </c>
      <c r="M51" s="15">
        <f t="shared" si="18"/>
        <v>72.258174999999994</v>
      </c>
      <c r="N51" s="94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9.5" customHeight="1">
      <c r="A52" s="19" t="s">
        <v>70</v>
      </c>
      <c r="B52" s="20">
        <f t="shared" si="19"/>
        <v>0</v>
      </c>
      <c r="C52" s="950"/>
      <c r="D52" s="951"/>
      <c r="E52" s="15">
        <f t="shared" si="12"/>
        <v>0</v>
      </c>
      <c r="F52" s="951"/>
      <c r="G52" s="15">
        <f t="shared" si="13"/>
        <v>0</v>
      </c>
      <c r="H52" s="15">
        <f t="shared" si="14"/>
        <v>0</v>
      </c>
      <c r="I52" s="15">
        <f t="shared" si="15"/>
        <v>0</v>
      </c>
      <c r="J52" s="951"/>
      <c r="K52" s="15">
        <f t="shared" si="16"/>
        <v>0</v>
      </c>
      <c r="L52" s="15">
        <f t="shared" si="17"/>
        <v>0</v>
      </c>
      <c r="M52" s="15">
        <f t="shared" si="18"/>
        <v>0</v>
      </c>
      <c r="N52" s="94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9.5" customHeight="1">
      <c r="A53" s="19" t="s">
        <v>71</v>
      </c>
      <c r="B53" s="20">
        <f t="shared" si="19"/>
        <v>0</v>
      </c>
      <c r="C53" s="950"/>
      <c r="D53" s="951"/>
      <c r="E53" s="15">
        <f t="shared" si="12"/>
        <v>0</v>
      </c>
      <c r="F53" s="951"/>
      <c r="G53" s="15">
        <f t="shared" si="13"/>
        <v>0</v>
      </c>
      <c r="H53" s="15">
        <f t="shared" si="14"/>
        <v>0</v>
      </c>
      <c r="I53" s="15">
        <f t="shared" si="15"/>
        <v>0</v>
      </c>
      <c r="J53" s="951"/>
      <c r="K53" s="15">
        <f t="shared" si="16"/>
        <v>0</v>
      </c>
      <c r="L53" s="15">
        <f t="shared" si="17"/>
        <v>0</v>
      </c>
      <c r="M53" s="15">
        <f t="shared" si="18"/>
        <v>0</v>
      </c>
      <c r="N53" s="94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9.5" customHeight="1">
      <c r="A54" s="19" t="s">
        <v>72</v>
      </c>
      <c r="B54" s="20">
        <f t="shared" si="19"/>
        <v>0</v>
      </c>
      <c r="C54" s="950"/>
      <c r="D54" s="951"/>
      <c r="E54" s="15">
        <f t="shared" si="12"/>
        <v>0</v>
      </c>
      <c r="F54" s="951"/>
      <c r="G54" s="15">
        <f t="shared" si="13"/>
        <v>0</v>
      </c>
      <c r="H54" s="15">
        <f t="shared" si="14"/>
        <v>0</v>
      </c>
      <c r="I54" s="15">
        <f t="shared" si="15"/>
        <v>0</v>
      </c>
      <c r="J54" s="951"/>
      <c r="K54" s="15">
        <f t="shared" si="16"/>
        <v>0</v>
      </c>
      <c r="L54" s="15">
        <f t="shared" si="17"/>
        <v>0</v>
      </c>
      <c r="M54" s="15">
        <f t="shared" si="18"/>
        <v>0</v>
      </c>
      <c r="N54" s="94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9.5" customHeight="1">
      <c r="A55" s="19" t="s">
        <v>73</v>
      </c>
      <c r="B55" s="20">
        <f t="shared" si="19"/>
        <v>0</v>
      </c>
      <c r="C55" s="950"/>
      <c r="D55" s="951"/>
      <c r="E55" s="15">
        <f t="shared" si="12"/>
        <v>0</v>
      </c>
      <c r="F55" s="951"/>
      <c r="G55" s="15">
        <f t="shared" si="13"/>
        <v>0</v>
      </c>
      <c r="H55" s="15">
        <f t="shared" si="14"/>
        <v>0</v>
      </c>
      <c r="I55" s="15">
        <f t="shared" si="15"/>
        <v>0</v>
      </c>
      <c r="J55" s="951"/>
      <c r="K55" s="15">
        <f t="shared" si="16"/>
        <v>0</v>
      </c>
      <c r="L55" s="15">
        <f t="shared" si="17"/>
        <v>0</v>
      </c>
      <c r="M55" s="15">
        <f t="shared" si="18"/>
        <v>0</v>
      </c>
      <c r="N55" s="94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9.5" customHeight="1">
      <c r="A56" s="19" t="s">
        <v>74</v>
      </c>
      <c r="B56" s="20">
        <f t="shared" si="19"/>
        <v>0</v>
      </c>
      <c r="C56" s="950"/>
      <c r="D56" s="951"/>
      <c r="E56" s="15">
        <f t="shared" si="12"/>
        <v>0</v>
      </c>
      <c r="F56" s="951"/>
      <c r="G56" s="15">
        <f t="shared" si="13"/>
        <v>0</v>
      </c>
      <c r="H56" s="15">
        <f t="shared" si="14"/>
        <v>0</v>
      </c>
      <c r="I56" s="15">
        <f t="shared" si="15"/>
        <v>0</v>
      </c>
      <c r="J56" s="951"/>
      <c r="K56" s="15">
        <f t="shared" si="16"/>
        <v>0</v>
      </c>
      <c r="L56" s="15">
        <f t="shared" si="17"/>
        <v>0</v>
      </c>
      <c r="M56" s="15">
        <f t="shared" si="18"/>
        <v>0</v>
      </c>
      <c r="N56" s="94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9.399999999999999" customHeight="1">
      <c r="A57" s="21" t="s">
        <v>75</v>
      </c>
      <c r="B57" s="22"/>
      <c r="C57" s="23">
        <f>SUM(C42:C56)</f>
        <v>644</v>
      </c>
      <c r="D57" s="16">
        <f>SUMPRODUCT($C42:$C56,D42:D56)</f>
        <v>52314.000000000007</v>
      </c>
      <c r="E57" s="16">
        <f t="shared" si="12"/>
        <v>15824.985000000002</v>
      </c>
      <c r="F57" s="16">
        <f>SUMPRODUCT($C42:$C56,F42:F56)</f>
        <v>16899.96</v>
      </c>
      <c r="G57" s="16">
        <f t="shared" si="12"/>
        <v>5112.2378999999992</v>
      </c>
      <c r="H57" s="16">
        <f>SUMPRODUCT($C42:$C56,H42:H56)</f>
        <v>69213.960000000006</v>
      </c>
      <c r="I57" s="16">
        <f t="shared" si="15"/>
        <v>20937.222900000001</v>
      </c>
      <c r="J57" s="16">
        <f>SUMPRODUCT($C42:$C56,J42:J56)</f>
        <v>40143.39</v>
      </c>
      <c r="K57" s="16">
        <f t="shared" si="16"/>
        <v>12143.375474999999</v>
      </c>
      <c r="L57" s="16">
        <f>SUMPRODUCT($C42:$C56,L42:L56)</f>
        <v>109357.34999999999</v>
      </c>
      <c r="M57" s="16">
        <f t="shared" si="18"/>
        <v>33080.598374999994</v>
      </c>
      <c r="N57" s="2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9.5" customHeight="1">
      <c r="A58" s="4"/>
      <c r="B58" s="4"/>
      <c r="C58" s="25"/>
      <c r="D58" s="26"/>
      <c r="E58" s="26"/>
      <c r="F58" s="26"/>
      <c r="G58" s="26"/>
      <c r="H58" s="27"/>
      <c r="I58" s="28"/>
      <c r="J58" s="29"/>
      <c r="K58" s="1151"/>
      <c r="L58" s="27"/>
      <c r="M58" s="28"/>
      <c r="N58" s="1"/>
      <c r="O58" s="30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9.5" customHeight="1">
      <c r="A59" s="4"/>
      <c r="B59" s="4"/>
      <c r="C59" s="25"/>
      <c r="D59" s="26"/>
      <c r="E59" s="26"/>
      <c r="F59" s="26"/>
      <c r="G59" s="26"/>
      <c r="H59" s="27"/>
      <c r="I59" s="28"/>
      <c r="J59" s="29"/>
      <c r="K59" s="947"/>
      <c r="L59" s="27"/>
      <c r="M59" s="28"/>
      <c r="N59" s="1"/>
      <c r="O59" s="30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9.5" customHeight="1">
      <c r="A60" s="2" t="s">
        <v>49</v>
      </c>
      <c r="B60" s="18" t="s">
        <v>76</v>
      </c>
      <c r="C60" s="18" t="s">
        <v>51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0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9.5" customHeight="1">
      <c r="A61" s="14" t="s">
        <v>31</v>
      </c>
      <c r="B61" s="14" t="s">
        <v>52</v>
      </c>
      <c r="C61" s="14" t="s">
        <v>53</v>
      </c>
      <c r="D61" s="1496" t="s">
        <v>54</v>
      </c>
      <c r="E61" s="1491"/>
      <c r="F61" s="1496" t="s">
        <v>55</v>
      </c>
      <c r="G61" s="1491"/>
      <c r="H61" s="1496" t="s">
        <v>56</v>
      </c>
      <c r="I61" s="1491"/>
      <c r="J61" s="1496" t="s">
        <v>57</v>
      </c>
      <c r="K61" s="1491"/>
      <c r="L61" s="1496" t="s">
        <v>58</v>
      </c>
      <c r="M61" s="1491"/>
      <c r="N61" s="14" t="s">
        <v>59</v>
      </c>
      <c r="O61" s="30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9.5" customHeight="1">
      <c r="A62" s="19" t="s">
        <v>60</v>
      </c>
      <c r="B62" s="20">
        <f>E62</f>
        <v>18.095549999999999</v>
      </c>
      <c r="C62" s="948">
        <v>8</v>
      </c>
      <c r="D62" s="949">
        <v>59.82</v>
      </c>
      <c r="E62" s="15">
        <f t="shared" ref="E62:E72" si="20">D62*0.3025</f>
        <v>18.095549999999999</v>
      </c>
      <c r="F62" s="949">
        <v>23.84</v>
      </c>
      <c r="G62" s="15">
        <f t="shared" ref="G62:G72" si="21">F62*0.3025</f>
        <v>7.2115999999999998</v>
      </c>
      <c r="H62" s="15">
        <f t="shared" ref="H62:H70" si="22">D62+F62</f>
        <v>83.66</v>
      </c>
      <c r="I62" s="15">
        <f t="shared" ref="I62:I72" si="23">H62*0.3025</f>
        <v>25.307149999999996</v>
      </c>
      <c r="J62" s="949">
        <v>53.36</v>
      </c>
      <c r="K62" s="15">
        <f t="shared" ref="K62:K72" si="24">J62*0.3025</f>
        <v>16.141400000000001</v>
      </c>
      <c r="L62" s="15">
        <f t="shared" ref="L62:L70" si="25">H62+J62</f>
        <v>137.01999999999998</v>
      </c>
      <c r="M62" s="15">
        <f t="shared" ref="M62:M72" si="26">L62*0.3025</f>
        <v>41.44854999999999</v>
      </c>
      <c r="N62" s="1150"/>
      <c r="O62" s="30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9.399999999999999" customHeight="1">
      <c r="A63" s="19" t="s">
        <v>61</v>
      </c>
      <c r="B63" s="20">
        <f t="shared" ref="B63:B71" si="27">E63</f>
        <v>18.14395</v>
      </c>
      <c r="C63" s="948">
        <v>8</v>
      </c>
      <c r="D63" s="949">
        <v>59.98</v>
      </c>
      <c r="E63" s="15">
        <f t="shared" si="20"/>
        <v>18.14395</v>
      </c>
      <c r="F63" s="949">
        <v>23.25</v>
      </c>
      <c r="G63" s="15">
        <f t="shared" si="21"/>
        <v>7.0331250000000001</v>
      </c>
      <c r="H63" s="15">
        <f t="shared" si="22"/>
        <v>83.22999999999999</v>
      </c>
      <c r="I63" s="15">
        <f t="shared" si="23"/>
        <v>25.177074999999995</v>
      </c>
      <c r="J63" s="949">
        <v>44.57</v>
      </c>
      <c r="K63" s="15">
        <f t="shared" si="24"/>
        <v>13.482424999999999</v>
      </c>
      <c r="L63" s="15">
        <f t="shared" si="25"/>
        <v>127.79999999999998</v>
      </c>
      <c r="M63" s="15">
        <f t="shared" si="26"/>
        <v>38.659499999999994</v>
      </c>
      <c r="N63" s="946"/>
      <c r="O63" s="30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9.5" customHeight="1">
      <c r="A64" s="19" t="s">
        <v>62</v>
      </c>
      <c r="B64" s="20">
        <f t="shared" si="27"/>
        <v>18.095549999999999</v>
      </c>
      <c r="C64" s="950">
        <v>87</v>
      </c>
      <c r="D64" s="951">
        <v>59.82</v>
      </c>
      <c r="E64" s="15">
        <f t="shared" si="20"/>
        <v>18.095549999999999</v>
      </c>
      <c r="F64" s="951">
        <v>23.08</v>
      </c>
      <c r="G64" s="15">
        <f t="shared" si="21"/>
        <v>6.9816999999999991</v>
      </c>
      <c r="H64" s="15">
        <f t="shared" si="22"/>
        <v>82.9</v>
      </c>
      <c r="I64" s="15">
        <f t="shared" si="23"/>
        <v>25.077249999999999</v>
      </c>
      <c r="J64" s="951">
        <v>44.57</v>
      </c>
      <c r="K64" s="15">
        <f t="shared" si="24"/>
        <v>13.482424999999999</v>
      </c>
      <c r="L64" s="15">
        <f t="shared" si="25"/>
        <v>127.47</v>
      </c>
      <c r="M64" s="15">
        <f t="shared" si="26"/>
        <v>38.559674999999999</v>
      </c>
      <c r="N64" s="946"/>
      <c r="O64" s="30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9.399999999999999" customHeight="1">
      <c r="A65" s="19" t="s">
        <v>63</v>
      </c>
      <c r="B65" s="20">
        <f t="shared" si="27"/>
        <v>25.69435</v>
      </c>
      <c r="C65" s="950">
        <v>108</v>
      </c>
      <c r="D65" s="951">
        <v>84.94</v>
      </c>
      <c r="E65" s="15">
        <f t="shared" si="20"/>
        <v>25.69435</v>
      </c>
      <c r="F65" s="951">
        <v>24.49</v>
      </c>
      <c r="G65" s="15">
        <f t="shared" si="21"/>
        <v>7.4082249999999989</v>
      </c>
      <c r="H65" s="15">
        <f t="shared" si="22"/>
        <v>109.42999999999999</v>
      </c>
      <c r="I65" s="15">
        <f t="shared" si="23"/>
        <v>33.102574999999995</v>
      </c>
      <c r="J65" s="951">
        <v>63.13</v>
      </c>
      <c r="K65" s="15">
        <f t="shared" si="24"/>
        <v>19.096824999999999</v>
      </c>
      <c r="L65" s="15">
        <f t="shared" si="25"/>
        <v>172.56</v>
      </c>
      <c r="M65" s="15">
        <f t="shared" si="26"/>
        <v>52.199399999999997</v>
      </c>
      <c r="N65" s="946"/>
      <c r="O65" s="30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9.399999999999999" customHeight="1">
      <c r="A66" s="19" t="s">
        <v>64</v>
      </c>
      <c r="B66" s="20">
        <f t="shared" si="27"/>
        <v>25.627800000000001</v>
      </c>
      <c r="C66" s="950">
        <v>126</v>
      </c>
      <c r="D66" s="951">
        <v>84.72</v>
      </c>
      <c r="E66" s="15">
        <f t="shared" si="20"/>
        <v>25.627800000000001</v>
      </c>
      <c r="F66" s="951">
        <v>23.8</v>
      </c>
      <c r="G66" s="15">
        <f t="shared" si="21"/>
        <v>7.1994999999999996</v>
      </c>
      <c r="H66" s="15">
        <f t="shared" si="22"/>
        <v>108.52</v>
      </c>
      <c r="I66" s="15">
        <f t="shared" si="23"/>
        <v>32.827300000000001</v>
      </c>
      <c r="J66" s="951">
        <v>62.97</v>
      </c>
      <c r="K66" s="15">
        <f t="shared" si="24"/>
        <v>19.048424999999998</v>
      </c>
      <c r="L66" s="15">
        <f t="shared" si="25"/>
        <v>171.49</v>
      </c>
      <c r="M66" s="15">
        <f t="shared" si="26"/>
        <v>51.875725000000003</v>
      </c>
      <c r="N66" s="946"/>
      <c r="O66" s="30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9.399999999999999" customHeight="1">
      <c r="A67" s="19" t="s">
        <v>65</v>
      </c>
      <c r="B67" s="20">
        <f t="shared" si="27"/>
        <v>25.664100000000001</v>
      </c>
      <c r="C67" s="950">
        <v>14</v>
      </c>
      <c r="D67" s="951">
        <v>84.84</v>
      </c>
      <c r="E67" s="15">
        <f t="shared" si="20"/>
        <v>25.664100000000001</v>
      </c>
      <c r="F67" s="951">
        <v>41.94</v>
      </c>
      <c r="G67" s="15">
        <f t="shared" si="21"/>
        <v>12.68685</v>
      </c>
      <c r="H67" s="15">
        <f t="shared" si="22"/>
        <v>126.78</v>
      </c>
      <c r="I67" s="15">
        <f t="shared" si="23"/>
        <v>38.350949999999997</v>
      </c>
      <c r="J67" s="951">
        <v>63.05</v>
      </c>
      <c r="K67" s="15">
        <f t="shared" si="24"/>
        <v>19.072624999999999</v>
      </c>
      <c r="L67" s="15">
        <f t="shared" si="25"/>
        <v>189.82999999999998</v>
      </c>
      <c r="M67" s="15">
        <f t="shared" si="26"/>
        <v>57.423574999999992</v>
      </c>
      <c r="N67" s="946"/>
      <c r="O67" s="30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9.399999999999999" customHeight="1">
      <c r="A68" s="19" t="s">
        <v>66</v>
      </c>
      <c r="B68" s="20">
        <f t="shared" si="27"/>
        <v>25.68225</v>
      </c>
      <c r="C68" s="950">
        <v>32</v>
      </c>
      <c r="D68" s="951">
        <v>84.9</v>
      </c>
      <c r="E68" s="15">
        <f t="shared" si="20"/>
        <v>25.68225</v>
      </c>
      <c r="F68" s="951">
        <v>26.45</v>
      </c>
      <c r="G68" s="15">
        <f t="shared" si="21"/>
        <v>8.001125</v>
      </c>
      <c r="H68" s="15">
        <f t="shared" si="22"/>
        <v>111.35000000000001</v>
      </c>
      <c r="I68" s="15">
        <f t="shared" si="23"/>
        <v>33.683374999999998</v>
      </c>
      <c r="J68" s="951">
        <v>63.09</v>
      </c>
      <c r="K68" s="15">
        <f t="shared" si="24"/>
        <v>19.084724999999999</v>
      </c>
      <c r="L68" s="15">
        <f t="shared" si="25"/>
        <v>174.44</v>
      </c>
      <c r="M68" s="15">
        <f t="shared" si="26"/>
        <v>52.768099999999997</v>
      </c>
      <c r="N68" s="946"/>
      <c r="O68" s="30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9.399999999999999" customHeight="1">
      <c r="A69" s="19" t="s">
        <v>67</v>
      </c>
      <c r="B69" s="20">
        <f t="shared" si="27"/>
        <v>25.697375000000001</v>
      </c>
      <c r="C69" s="950">
        <v>149</v>
      </c>
      <c r="D69" s="951">
        <v>84.95</v>
      </c>
      <c r="E69" s="15">
        <f t="shared" si="20"/>
        <v>25.697375000000001</v>
      </c>
      <c r="F69" s="951">
        <v>25.64</v>
      </c>
      <c r="G69" s="15">
        <f t="shared" si="21"/>
        <v>7.7561</v>
      </c>
      <c r="H69" s="15">
        <f t="shared" si="22"/>
        <v>110.59</v>
      </c>
      <c r="I69" s="15">
        <f t="shared" si="23"/>
        <v>33.453474999999997</v>
      </c>
      <c r="J69" s="951">
        <v>63.09</v>
      </c>
      <c r="K69" s="15">
        <f t="shared" si="24"/>
        <v>19.084724999999999</v>
      </c>
      <c r="L69" s="15">
        <f t="shared" si="25"/>
        <v>173.68</v>
      </c>
      <c r="M69" s="15">
        <f t="shared" si="26"/>
        <v>52.538200000000003</v>
      </c>
      <c r="N69" s="946"/>
      <c r="O69" s="30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9.399999999999999" customHeight="1">
      <c r="A70" s="19" t="s">
        <v>68</v>
      </c>
      <c r="B70" s="20">
        <f t="shared" si="27"/>
        <v>25.585449999999998</v>
      </c>
      <c r="C70" s="950">
        <v>27</v>
      </c>
      <c r="D70" s="951">
        <v>84.58</v>
      </c>
      <c r="E70" s="15">
        <f t="shared" si="20"/>
        <v>25.585449999999998</v>
      </c>
      <c r="F70" s="951">
        <v>25.83</v>
      </c>
      <c r="G70" s="15">
        <f t="shared" si="21"/>
        <v>7.8135749999999993</v>
      </c>
      <c r="H70" s="15">
        <f t="shared" si="22"/>
        <v>110.41</v>
      </c>
      <c r="I70" s="15">
        <f t="shared" si="23"/>
        <v>33.399024999999995</v>
      </c>
      <c r="J70" s="951">
        <v>62.86</v>
      </c>
      <c r="K70" s="15">
        <f t="shared" si="24"/>
        <v>19.015149999999998</v>
      </c>
      <c r="L70" s="15">
        <f t="shared" si="25"/>
        <v>173.26999999999998</v>
      </c>
      <c r="M70" s="15">
        <f t="shared" si="26"/>
        <v>52.414174999999993</v>
      </c>
      <c r="N70" s="946"/>
      <c r="O70" s="30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9.399999999999999" customHeight="1">
      <c r="A71" s="19" t="s">
        <v>69</v>
      </c>
      <c r="B71" s="20">
        <f t="shared" si="27"/>
        <v>35.080925000000001</v>
      </c>
      <c r="C71" s="950">
        <v>28</v>
      </c>
      <c r="D71" s="951">
        <v>115.97</v>
      </c>
      <c r="E71" s="15">
        <f t="shared" ref="E71" si="28">D71*0.3025</f>
        <v>35.080925000000001</v>
      </c>
      <c r="F71" s="951">
        <v>36.71</v>
      </c>
      <c r="G71" s="15">
        <f t="shared" ref="G71" si="29">F71*0.3025</f>
        <v>11.104775</v>
      </c>
      <c r="H71" s="15">
        <f t="shared" ref="H71" si="30">D71+F71</f>
        <v>152.68</v>
      </c>
      <c r="I71" s="15">
        <f t="shared" ref="I71" si="31">H71*0.3025</f>
        <v>46.185700000000004</v>
      </c>
      <c r="J71" s="951">
        <v>86.19</v>
      </c>
      <c r="K71" s="15">
        <f t="shared" ref="K71" si="32">J71*0.3025</f>
        <v>26.072474999999997</v>
      </c>
      <c r="L71" s="15">
        <f t="shared" ref="L71" si="33">H71+J71</f>
        <v>238.87</v>
      </c>
      <c r="M71" s="15">
        <f t="shared" ref="M71" si="34">L71*0.3025</f>
        <v>72.258174999999994</v>
      </c>
      <c r="N71" s="946"/>
      <c r="O71" s="30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9.399999999999999" customHeight="1">
      <c r="A72" s="21" t="s">
        <v>75</v>
      </c>
      <c r="B72" s="22"/>
      <c r="C72" s="23">
        <f>SUM(C62:C71)</f>
        <v>587</v>
      </c>
      <c r="D72" s="16">
        <f>SUMPRODUCT($C62:$C71,D62:D71)</f>
        <v>48103.91</v>
      </c>
      <c r="E72" s="16">
        <f t="shared" si="20"/>
        <v>14551.432775000001</v>
      </c>
      <c r="F72" s="16">
        <f>SUMPRODUCT($C62:$C71,F62:F71)</f>
        <v>15007.61</v>
      </c>
      <c r="G72" s="16">
        <f t="shared" si="21"/>
        <v>4539.802025</v>
      </c>
      <c r="H72" s="16">
        <f>SUMPRODUCT($C62:$C71,H62:H71)</f>
        <v>63111.51999999999</v>
      </c>
      <c r="I72" s="16">
        <f t="shared" si="23"/>
        <v>19091.234799999995</v>
      </c>
      <c r="J72" s="16">
        <f>SUMPRODUCT($C62:$C71,J62:J71)</f>
        <v>35825.82</v>
      </c>
      <c r="K72" s="16">
        <f t="shared" si="24"/>
        <v>10837.31055</v>
      </c>
      <c r="L72" s="16">
        <f>SUMPRODUCT($C62:$C71,L62:L71)</f>
        <v>98937.34</v>
      </c>
      <c r="M72" s="16">
        <f t="shared" si="26"/>
        <v>29928.545349999997</v>
      </c>
      <c r="N72" s="24"/>
      <c r="O72" s="30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9.399999999999999" customHeight="1">
      <c r="A73" s="4"/>
      <c r="B73" s="4"/>
      <c r="C73" s="25"/>
      <c r="D73" s="26"/>
      <c r="E73" s="26"/>
      <c r="F73" s="26"/>
      <c r="G73" s="26"/>
      <c r="H73" s="27"/>
      <c r="I73" s="28"/>
      <c r="J73" s="29"/>
      <c r="K73" s="947"/>
      <c r="L73" s="27"/>
      <c r="M73" s="28"/>
      <c r="N73" s="1"/>
      <c r="O73" s="30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9.399999999999999" customHeight="1">
      <c r="A74" s="4"/>
      <c r="B74" s="4"/>
      <c r="C74" s="25"/>
      <c r="D74" s="26"/>
      <c r="E74" s="26"/>
      <c r="F74" s="26"/>
      <c r="G74" s="26"/>
      <c r="H74" s="27"/>
      <c r="I74" s="28"/>
      <c r="J74" s="29"/>
      <c r="K74" s="947"/>
      <c r="L74" s="27"/>
      <c r="M74" s="28"/>
      <c r="N74" s="1"/>
      <c r="O74" s="30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9.399999999999999" customHeight="1">
      <c r="A75" s="2" t="s">
        <v>49</v>
      </c>
      <c r="B75" s="18" t="s">
        <v>77</v>
      </c>
      <c r="C75" s="18" t="s">
        <v>51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30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9.399999999999999" customHeight="1">
      <c r="A76" s="14" t="s">
        <v>31</v>
      </c>
      <c r="B76" s="14" t="s">
        <v>52</v>
      </c>
      <c r="C76" s="14" t="s">
        <v>53</v>
      </c>
      <c r="D76" s="1496" t="s">
        <v>54</v>
      </c>
      <c r="E76" s="1491"/>
      <c r="F76" s="1496" t="s">
        <v>55</v>
      </c>
      <c r="G76" s="1491"/>
      <c r="H76" s="1496" t="s">
        <v>56</v>
      </c>
      <c r="I76" s="1491"/>
      <c r="J76" s="1496" t="s">
        <v>57</v>
      </c>
      <c r="K76" s="1491"/>
      <c r="L76" s="1496" t="s">
        <v>58</v>
      </c>
      <c r="M76" s="1491"/>
      <c r="N76" s="14" t="s">
        <v>59</v>
      </c>
      <c r="O76" s="30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9.399999999999999" customHeight="1">
      <c r="A77" s="19" t="s">
        <v>78</v>
      </c>
      <c r="B77" s="20">
        <f>E77</f>
        <v>11.915475000000001</v>
      </c>
      <c r="C77" s="948">
        <v>90</v>
      </c>
      <c r="D77" s="949">
        <v>39.39</v>
      </c>
      <c r="E77" s="15">
        <f t="shared" ref="E77:E81" si="35">D77*0.3025</f>
        <v>11.915475000000001</v>
      </c>
      <c r="F77" s="949">
        <v>25.41</v>
      </c>
      <c r="G77" s="15">
        <f t="shared" ref="G77:G81" si="36">F77*0.3025</f>
        <v>7.6865249999999996</v>
      </c>
      <c r="H77" s="15">
        <f t="shared" ref="H77:H80" si="37">D77+F77</f>
        <v>64.8</v>
      </c>
      <c r="I77" s="15">
        <f t="shared" ref="I77:I81" si="38">H77*0.3025</f>
        <v>19.602</v>
      </c>
      <c r="J77" s="949">
        <v>35.14</v>
      </c>
      <c r="K77" s="15">
        <f t="shared" ref="K77:K81" si="39">J77*0.3025</f>
        <v>10.629849999999999</v>
      </c>
      <c r="L77" s="15">
        <f t="shared" ref="L77:L80" si="40">H77+J77</f>
        <v>99.94</v>
      </c>
      <c r="M77" s="15">
        <f t="shared" ref="M77:M81" si="41">L77*0.3025</f>
        <v>30.231849999999998</v>
      </c>
      <c r="N77" s="1150"/>
      <c r="O77" s="30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9.399999999999999" customHeight="1">
      <c r="A78" s="19" t="s">
        <v>61</v>
      </c>
      <c r="B78" s="20">
        <f t="shared" ref="B78:B80" si="42">E78</f>
        <v>14.889049999999999</v>
      </c>
      <c r="C78" s="948">
        <v>106</v>
      </c>
      <c r="D78" s="949">
        <v>49.22</v>
      </c>
      <c r="E78" s="15">
        <f t="shared" si="35"/>
        <v>14.889049999999999</v>
      </c>
      <c r="F78" s="949">
        <v>31.31</v>
      </c>
      <c r="G78" s="15">
        <f t="shared" si="36"/>
        <v>9.4712749999999986</v>
      </c>
      <c r="H78" s="15">
        <f t="shared" si="37"/>
        <v>80.53</v>
      </c>
      <c r="I78" s="15">
        <f t="shared" si="38"/>
        <v>24.360325</v>
      </c>
      <c r="J78" s="949">
        <v>43.9</v>
      </c>
      <c r="K78" s="15">
        <f t="shared" si="39"/>
        <v>13.27975</v>
      </c>
      <c r="L78" s="15">
        <f t="shared" si="40"/>
        <v>124.43</v>
      </c>
      <c r="M78" s="15">
        <f t="shared" si="41"/>
        <v>37.640075000000003</v>
      </c>
      <c r="N78" s="946"/>
      <c r="O78" s="30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9.399999999999999" customHeight="1">
      <c r="A79" s="19" t="s">
        <v>62</v>
      </c>
      <c r="B79" s="20">
        <f t="shared" si="42"/>
        <v>16.4681</v>
      </c>
      <c r="C79" s="950">
        <v>56</v>
      </c>
      <c r="D79" s="951">
        <v>54.44</v>
      </c>
      <c r="E79" s="15">
        <f t="shared" si="35"/>
        <v>16.4681</v>
      </c>
      <c r="F79" s="951">
        <v>34.33</v>
      </c>
      <c r="G79" s="15">
        <f t="shared" si="36"/>
        <v>10.384824999999999</v>
      </c>
      <c r="H79" s="15">
        <f t="shared" si="37"/>
        <v>88.77</v>
      </c>
      <c r="I79" s="15">
        <f t="shared" si="38"/>
        <v>26.852924999999999</v>
      </c>
      <c r="J79" s="951">
        <v>48.56</v>
      </c>
      <c r="K79" s="15">
        <f t="shared" si="39"/>
        <v>14.689400000000001</v>
      </c>
      <c r="L79" s="15">
        <f t="shared" si="40"/>
        <v>137.32999999999998</v>
      </c>
      <c r="M79" s="15">
        <f t="shared" si="41"/>
        <v>41.542324999999991</v>
      </c>
      <c r="N79" s="946"/>
      <c r="O79" s="30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9.399999999999999" customHeight="1">
      <c r="A80" s="19" t="s">
        <v>63</v>
      </c>
      <c r="B80" s="20">
        <f t="shared" si="42"/>
        <v>18.095549999999999</v>
      </c>
      <c r="C80" s="950">
        <v>14</v>
      </c>
      <c r="D80" s="951">
        <v>59.82</v>
      </c>
      <c r="E80" s="15">
        <f t="shared" si="35"/>
        <v>18.095549999999999</v>
      </c>
      <c r="F80" s="951">
        <v>38.159999999999997</v>
      </c>
      <c r="G80" s="15">
        <f t="shared" si="36"/>
        <v>11.543399999999998</v>
      </c>
      <c r="H80" s="15">
        <f t="shared" si="37"/>
        <v>97.97999999999999</v>
      </c>
      <c r="I80" s="15">
        <f t="shared" si="38"/>
        <v>29.638949999999998</v>
      </c>
      <c r="J80" s="951">
        <v>53.36</v>
      </c>
      <c r="K80" s="15">
        <f t="shared" si="39"/>
        <v>16.141400000000001</v>
      </c>
      <c r="L80" s="15">
        <f t="shared" si="40"/>
        <v>151.33999999999997</v>
      </c>
      <c r="M80" s="15">
        <f t="shared" si="41"/>
        <v>45.780349999999991</v>
      </c>
      <c r="N80" s="946"/>
      <c r="O80" s="30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9.5" customHeight="1">
      <c r="A81" s="21" t="s">
        <v>75</v>
      </c>
      <c r="B81" s="22"/>
      <c r="C81" s="23">
        <f>SUM(C77:C80)</f>
        <v>266</v>
      </c>
      <c r="D81" s="16">
        <f>SUMPRODUCT($C77:$C80,D77:D80)</f>
        <v>12648.539999999999</v>
      </c>
      <c r="E81" s="16">
        <f t="shared" si="35"/>
        <v>3826.1833499999998</v>
      </c>
      <c r="F81" s="16">
        <f>SUMPRODUCT($C77:$C80,F77:F80)</f>
        <v>8062.48</v>
      </c>
      <c r="G81" s="16">
        <f t="shared" si="36"/>
        <v>2438.9001999999996</v>
      </c>
      <c r="H81" s="16">
        <f>SUMPRODUCT($C77:$C80,H77:H80)</f>
        <v>20711.02</v>
      </c>
      <c r="I81" s="16">
        <f t="shared" si="38"/>
        <v>6265.0835500000003</v>
      </c>
      <c r="J81" s="16">
        <f>SUMPRODUCT($C77:$C80,J77:J80)</f>
        <v>11282.400000000001</v>
      </c>
      <c r="K81" s="16">
        <f t="shared" si="39"/>
        <v>3412.9260000000004</v>
      </c>
      <c r="L81" s="16">
        <f>SUMPRODUCT($C77:$C80,L77:L80)</f>
        <v>31993.42</v>
      </c>
      <c r="M81" s="16">
        <f t="shared" si="41"/>
        <v>9678.0095499999989</v>
      </c>
      <c r="N81" s="24"/>
      <c r="O81" s="30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9.5" customHeight="1">
      <c r="A82" s="5" t="s">
        <v>79</v>
      </c>
      <c r="B82" s="4"/>
      <c r="C82" s="25"/>
      <c r="D82" s="26"/>
      <c r="E82" s="26"/>
      <c r="F82" s="26"/>
      <c r="G82" s="26"/>
      <c r="H82" s="27"/>
      <c r="I82" s="28"/>
      <c r="J82" s="26"/>
      <c r="K82" s="26"/>
      <c r="L82" s="26"/>
      <c r="M82" s="26"/>
      <c r="N82" s="27"/>
      <c r="O82" s="28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9.5" customHeight="1">
      <c r="A84" s="2" t="s">
        <v>49</v>
      </c>
      <c r="B84" s="18" t="str">
        <f>D22</f>
        <v>근생시설</v>
      </c>
      <c r="C84" s="18" t="s">
        <v>51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9.5" customHeight="1">
      <c r="A85" s="1496" t="s">
        <v>80</v>
      </c>
      <c r="B85" s="1492"/>
      <c r="C85" s="31" t="s">
        <v>81</v>
      </c>
      <c r="D85" s="1496" t="s">
        <v>54</v>
      </c>
      <c r="E85" s="1491"/>
      <c r="F85" s="1496" t="s">
        <v>55</v>
      </c>
      <c r="G85" s="1491"/>
      <c r="H85" s="1496" t="s">
        <v>56</v>
      </c>
      <c r="I85" s="1491"/>
      <c r="J85" s="1496" t="s">
        <v>57</v>
      </c>
      <c r="K85" s="1491"/>
      <c r="L85" s="1496" t="s">
        <v>58</v>
      </c>
      <c r="M85" s="1491"/>
      <c r="N85" s="14" t="s">
        <v>59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9.5" customHeight="1">
      <c r="A86" s="32" t="s">
        <v>82</v>
      </c>
      <c r="B86" s="33">
        <f t="shared" ref="B86:B88" si="43">M86</f>
        <v>819.93835000000001</v>
      </c>
      <c r="C86" s="952">
        <v>1</v>
      </c>
      <c r="D86" s="949">
        <v>2710.54</v>
      </c>
      <c r="E86" s="15">
        <f>D86*0.3025</f>
        <v>819.93835000000001</v>
      </c>
      <c r="F86" s="949">
        <v>0</v>
      </c>
      <c r="G86" s="15">
        <f t="shared" ref="G86" si="44">F86*0.3025</f>
        <v>0</v>
      </c>
      <c r="H86" s="15">
        <f>D86+F86</f>
        <v>2710.54</v>
      </c>
      <c r="I86" s="15">
        <f t="shared" ref="I86:I89" si="45">H86*0.3025</f>
        <v>819.93835000000001</v>
      </c>
      <c r="J86" s="949">
        <v>0</v>
      </c>
      <c r="K86" s="15">
        <f t="shared" ref="K86:K89" si="46">J86*0.3025</f>
        <v>0</v>
      </c>
      <c r="L86" s="15">
        <f t="shared" ref="L86:L88" si="47">H86+J86</f>
        <v>2710.54</v>
      </c>
      <c r="M86" s="15">
        <f t="shared" ref="M86:M89" si="48">L86*0.3025</f>
        <v>819.93835000000001</v>
      </c>
      <c r="N86" s="946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9.5" customHeight="1">
      <c r="A87" s="32" t="s">
        <v>83</v>
      </c>
      <c r="B87" s="33">
        <f t="shared" si="43"/>
        <v>114.43575</v>
      </c>
      <c r="C87" s="948" t="s">
        <v>84</v>
      </c>
      <c r="D87" s="949">
        <v>0</v>
      </c>
      <c r="E87" s="15">
        <f>D87*0.3025</f>
        <v>0</v>
      </c>
      <c r="F87" s="949">
        <v>0</v>
      </c>
      <c r="G87" s="15">
        <f>F87*0.3025</f>
        <v>0</v>
      </c>
      <c r="H87" s="15">
        <f>D87+F87</f>
        <v>0</v>
      </c>
      <c r="I87" s="15">
        <f t="shared" si="45"/>
        <v>0</v>
      </c>
      <c r="J87" s="949">
        <v>378.3</v>
      </c>
      <c r="K87" s="15">
        <f t="shared" si="46"/>
        <v>114.43575</v>
      </c>
      <c r="L87" s="15">
        <f t="shared" si="47"/>
        <v>378.3</v>
      </c>
      <c r="M87" s="15">
        <f t="shared" si="48"/>
        <v>114.43575</v>
      </c>
      <c r="N87" s="946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9.5" customHeight="1">
      <c r="A88" s="32" t="s">
        <v>85</v>
      </c>
      <c r="B88" s="33">
        <f t="shared" si="43"/>
        <v>62.139549999999993</v>
      </c>
      <c r="C88" s="948" t="s">
        <v>86</v>
      </c>
      <c r="D88" s="949">
        <v>0</v>
      </c>
      <c r="E88" s="15">
        <f>D88*0.3025</f>
        <v>0</v>
      </c>
      <c r="F88" s="949">
        <v>0</v>
      </c>
      <c r="G88" s="15">
        <f>F88*0.3025</f>
        <v>0</v>
      </c>
      <c r="H88" s="15">
        <f>D88+F88</f>
        <v>0</v>
      </c>
      <c r="I88" s="15">
        <f t="shared" si="45"/>
        <v>0</v>
      </c>
      <c r="J88" s="949">
        <v>205.42</v>
      </c>
      <c r="K88" s="15">
        <f t="shared" si="46"/>
        <v>62.139549999999993</v>
      </c>
      <c r="L88" s="15">
        <f t="shared" si="47"/>
        <v>205.42</v>
      </c>
      <c r="M88" s="15">
        <f t="shared" si="48"/>
        <v>62.139549999999993</v>
      </c>
      <c r="N88" s="115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9.5" customHeight="1">
      <c r="A89" s="34" t="s">
        <v>75</v>
      </c>
      <c r="B89" s="34"/>
      <c r="C89" s="35">
        <f>SUM(C86:C88)</f>
        <v>1</v>
      </c>
      <c r="D89" s="36">
        <f>SUMPRODUCT(C86:C88,D86:D88)</f>
        <v>2710.54</v>
      </c>
      <c r="E89" s="36">
        <f t="shared" ref="E89" si="49">D89*0.3025</f>
        <v>819.93835000000001</v>
      </c>
      <c r="F89" s="36"/>
      <c r="G89" s="36">
        <f>F89*0.3025</f>
        <v>0</v>
      </c>
      <c r="H89" s="36">
        <f>SUMPRODUCT($C86:$C88,H86:H88)</f>
        <v>2710.54</v>
      </c>
      <c r="I89" s="36">
        <f t="shared" si="45"/>
        <v>819.93835000000001</v>
      </c>
      <c r="J89" s="36">
        <f>J36</f>
        <v>0</v>
      </c>
      <c r="K89" s="36">
        <f t="shared" si="46"/>
        <v>0</v>
      </c>
      <c r="L89" s="36">
        <f>SUMPRODUCT($C86:$C88,L86:L88)</f>
        <v>2710.54</v>
      </c>
      <c r="M89" s="36">
        <f t="shared" si="48"/>
        <v>819.93835000000001</v>
      </c>
      <c r="N89" s="3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9.5" customHeight="1">
      <c r="A90" s="4"/>
      <c r="B90" s="4"/>
      <c r="C90" s="25"/>
      <c r="D90" s="26"/>
      <c r="E90" s="26"/>
      <c r="F90" s="26"/>
      <c r="G90" s="26"/>
      <c r="H90" s="27"/>
      <c r="I90" s="28"/>
      <c r="J90" s="26"/>
      <c r="K90" s="26"/>
      <c r="L90" s="27"/>
      <c r="M90" s="28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9.5" customHeight="1">
      <c r="A92" s="38" t="s">
        <v>87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39"/>
      <c r="L93" s="40"/>
      <c r="M93" s="41"/>
      <c r="N93" s="40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9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9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9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9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9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9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9.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9.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9.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9.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9.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9.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9.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9.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9.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9.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9.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9.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9.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9.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9.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9.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9.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9.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9.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9.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9.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9.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9.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9.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9.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ht="19.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19.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19.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</sheetData>
  <mergeCells count="56">
    <mergeCell ref="J85:K85"/>
    <mergeCell ref="L85:M85"/>
    <mergeCell ref="D61:E61"/>
    <mergeCell ref="F61:G61"/>
    <mergeCell ref="H61:I61"/>
    <mergeCell ref="J61:K61"/>
    <mergeCell ref="L61:M61"/>
    <mergeCell ref="D76:E76"/>
    <mergeCell ref="F76:G76"/>
    <mergeCell ref="H76:I76"/>
    <mergeCell ref="J76:K76"/>
    <mergeCell ref="L76:M76"/>
    <mergeCell ref="D41:E41"/>
    <mergeCell ref="F41:G41"/>
    <mergeCell ref="D85:E85"/>
    <mergeCell ref="F85:G85"/>
    <mergeCell ref="H85:I85"/>
    <mergeCell ref="H41:I41"/>
    <mergeCell ref="J41:K41"/>
    <mergeCell ref="H34:I34"/>
    <mergeCell ref="J34:K34"/>
    <mergeCell ref="L34:M34"/>
    <mergeCell ref="L41:M41"/>
    <mergeCell ref="C22:C23"/>
    <mergeCell ref="D22:D23"/>
    <mergeCell ref="E22:E23"/>
    <mergeCell ref="F22:F23"/>
    <mergeCell ref="F34:G34"/>
    <mergeCell ref="A34:C34"/>
    <mergeCell ref="D34:E34"/>
    <mergeCell ref="A11:B11"/>
    <mergeCell ref="A12:B12"/>
    <mergeCell ref="A13:B13"/>
    <mergeCell ref="A14:B14"/>
    <mergeCell ref="A85:B85"/>
    <mergeCell ref="A15:B15"/>
    <mergeCell ref="A16:B16"/>
    <mergeCell ref="A17:B18"/>
    <mergeCell ref="A22:B23"/>
    <mergeCell ref="A24:B25"/>
    <mergeCell ref="A26:B27"/>
    <mergeCell ref="A28:B29"/>
    <mergeCell ref="A30:B30"/>
    <mergeCell ref="A35:C35"/>
    <mergeCell ref="A36:C36"/>
    <mergeCell ref="A37:C37"/>
    <mergeCell ref="A6:B6"/>
    <mergeCell ref="A7:B7"/>
    <mergeCell ref="A8:B8"/>
    <mergeCell ref="A9:B9"/>
    <mergeCell ref="A10:B10"/>
    <mergeCell ref="A1:B1"/>
    <mergeCell ref="C1:J1"/>
    <mergeCell ref="K1:N1"/>
    <mergeCell ref="O1:P1"/>
    <mergeCell ref="A5:B5"/>
  </mergeCells>
  <phoneticPr fontId="102" type="noConversion"/>
  <pageMargins left="0.7" right="0.7" top="0.75" bottom="0.75" header="0" footer="0"/>
  <pageSetup paperSize="9" orientation="portrait"/>
  <colBreaks count="1" manualBreakCount="1">
    <brk id="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S1023"/>
  <sheetViews>
    <sheetView showGridLines="0" tabSelected="1" topLeftCell="A5" zoomScale="40" zoomScaleNormal="40" workbookViewId="0">
      <pane xSplit="7" topLeftCell="H1" activePane="topRight" state="frozen"/>
      <selection pane="topRight" activeCell="V144" sqref="V144"/>
    </sheetView>
  </sheetViews>
  <sheetFormatPr defaultColWidth="14.453125" defaultRowHeight="15" customHeight="1" outlineLevelCol="1"/>
  <cols>
    <col min="1" max="1" width="2" customWidth="1"/>
    <col min="2" max="2" width="9" customWidth="1"/>
    <col min="3" max="3" width="14.1796875" customWidth="1"/>
    <col min="4" max="5" width="17.54296875" customWidth="1"/>
    <col min="6" max="6" width="22.81640625" customWidth="1"/>
    <col min="7" max="7" width="42.81640625" customWidth="1"/>
    <col min="8" max="8" width="48" customWidth="1"/>
    <col min="9" max="9" width="28.54296875" customWidth="1"/>
    <col min="10" max="10" width="17.453125" customWidth="1"/>
    <col min="11" max="11" width="29.54296875" customWidth="1"/>
    <col min="12" max="12" width="25" customWidth="1"/>
    <col min="13" max="13" width="28.453125" customWidth="1"/>
    <col min="14" max="14" width="15.54296875" customWidth="1"/>
    <col min="15" max="15" width="16.81640625" customWidth="1"/>
    <col min="16" max="16" width="22.453125" customWidth="1" outlineLevel="1"/>
    <col min="17" max="18" width="18.81640625" bestFit="1" customWidth="1" outlineLevel="1"/>
    <col min="19" max="19" width="24.1796875" customWidth="1" outlineLevel="1"/>
    <col min="20" max="20" width="23.453125" customWidth="1" outlineLevel="1"/>
    <col min="21" max="22" width="22" bestFit="1" customWidth="1" outlineLevel="1"/>
    <col min="23" max="23" width="22.453125" customWidth="1" outlineLevel="1"/>
    <col min="24" max="24" width="25.453125" customWidth="1" outlineLevel="1"/>
    <col min="25" max="25" width="23.453125" customWidth="1" outlineLevel="1"/>
    <col min="26" max="26" width="21.54296875" customWidth="1" outlineLevel="1"/>
    <col min="27" max="27" width="27" customWidth="1" outlineLevel="1"/>
    <col min="28" max="28" width="23.54296875" customWidth="1" outlineLevel="1"/>
    <col min="29" max="29" width="22.453125" customWidth="1"/>
    <col min="30" max="30" width="22" bestFit="1" customWidth="1"/>
    <col min="31" max="31" width="25.54296875" customWidth="1"/>
    <col min="32" max="32" width="20" customWidth="1"/>
    <col min="33" max="33" width="20.81640625" customWidth="1"/>
    <col min="34" max="34" width="25.1796875" customWidth="1"/>
    <col min="35" max="36" width="23.453125" customWidth="1"/>
    <col min="37" max="37" width="26" customWidth="1"/>
    <col min="38" max="38" width="22" bestFit="1" customWidth="1"/>
    <col min="39" max="39" width="27" customWidth="1"/>
    <col min="40" max="40" width="29" customWidth="1"/>
    <col min="41" max="41" width="22.81640625" customWidth="1"/>
    <col min="42" max="42" width="19.453125" customWidth="1"/>
    <col min="43" max="43" width="23.54296875" customWidth="1"/>
    <col min="44" max="44" width="22.81640625" customWidth="1"/>
    <col min="45" max="45" width="29.1796875" customWidth="1"/>
    <col min="46" max="46" width="22" bestFit="1" customWidth="1"/>
    <col min="47" max="47" width="25.54296875" customWidth="1"/>
    <col min="48" max="48" width="24.81640625" customWidth="1"/>
    <col min="49" max="49" width="24.54296875" customWidth="1"/>
    <col min="50" max="50" width="28.81640625" customWidth="1"/>
    <col min="51" max="51" width="29.1796875" customWidth="1"/>
    <col min="52" max="52" width="27" customWidth="1"/>
    <col min="53" max="53" width="21.54296875" customWidth="1"/>
    <col min="54" max="54" width="28.54296875" customWidth="1"/>
    <col min="55" max="55" width="29.81640625" customWidth="1"/>
    <col min="56" max="56" width="27.453125" customWidth="1"/>
    <col min="57" max="58" width="24.81640625" customWidth="1"/>
    <col min="59" max="59" width="20.54296875" customWidth="1"/>
    <col min="60" max="60" width="21.453125" customWidth="1"/>
    <col min="61" max="61" width="18.453125" customWidth="1"/>
    <col min="62" max="62" width="21.81640625" customWidth="1"/>
    <col min="63" max="63" width="22.453125" customWidth="1"/>
    <col min="64" max="68" width="14.54296875" customWidth="1"/>
    <col min="69" max="69" width="19.1796875" customWidth="1"/>
    <col min="70" max="70" width="20.54296875" customWidth="1"/>
    <col min="71" max="71" width="17.453125" customWidth="1"/>
  </cols>
  <sheetData>
    <row r="1" spans="1:71" ht="9.75" customHeight="1">
      <c r="A1" s="38"/>
      <c r="B1" s="45"/>
      <c r="C1" s="38"/>
      <c r="D1" s="38"/>
      <c r="E1" s="38"/>
      <c r="F1" s="261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</row>
    <row r="2" spans="1:71" ht="19.5" customHeight="1">
      <c r="A2" s="38"/>
      <c r="B2" s="1576" t="s">
        <v>88</v>
      </c>
      <c r="C2" s="1550"/>
      <c r="D2" s="1550"/>
      <c r="E2" s="1579" t="str">
        <f>건축개요!C5</f>
        <v>래미안목동아델리체</v>
      </c>
      <c r="F2" s="1550"/>
      <c r="G2" s="1550"/>
      <c r="H2" s="1550"/>
      <c r="I2" s="1550"/>
      <c r="J2" s="1580"/>
      <c r="K2" s="1550"/>
      <c r="L2" s="1550"/>
      <c r="M2" s="1153">
        <f ca="1">TODAY()</f>
        <v>45993</v>
      </c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</row>
    <row r="3" spans="1:71" ht="19.5" customHeight="1" thickBot="1">
      <c r="A3" s="38"/>
      <c r="B3" s="1577"/>
      <c r="C3" s="1578"/>
      <c r="D3" s="1578"/>
      <c r="E3" s="1578"/>
      <c r="F3" s="1578"/>
      <c r="G3" s="1578"/>
      <c r="H3" s="1578"/>
      <c r="I3" s="1578"/>
      <c r="J3" s="1578"/>
      <c r="K3" s="1578"/>
      <c r="L3" s="1578"/>
      <c r="M3" s="1154" t="s">
        <v>89</v>
      </c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</row>
    <row r="4" spans="1:71" ht="19.5" customHeight="1">
      <c r="A4" s="38"/>
      <c r="B4" s="1581" t="s">
        <v>90</v>
      </c>
      <c r="C4" s="1582"/>
      <c r="D4" s="1583"/>
      <c r="E4" s="1155" t="str">
        <f>건축개요!C6</f>
        <v>서울 양천구 신정동 1326</v>
      </c>
      <c r="F4" s="1156"/>
      <c r="G4" s="1157"/>
      <c r="H4" s="1158" t="s">
        <v>91</v>
      </c>
      <c r="I4" s="1159">
        <f>0</f>
        <v>0</v>
      </c>
      <c r="J4" s="1160"/>
      <c r="K4" s="1161" t="s">
        <v>92</v>
      </c>
      <c r="L4" s="1162">
        <f>건축개요!C14</f>
        <v>2.5674858812009798</v>
      </c>
      <c r="M4" s="262"/>
      <c r="N4" s="38"/>
      <c r="O4" s="263" t="s">
        <v>93</v>
      </c>
      <c r="P4" s="264">
        <f>E12/E10</f>
        <v>0.36091557863329804</v>
      </c>
      <c r="Q4" s="38"/>
      <c r="R4" s="265" t="s">
        <v>94</v>
      </c>
      <c r="S4" s="266" t="s">
        <v>95</v>
      </c>
      <c r="T4" s="267" t="s">
        <v>96</v>
      </c>
      <c r="U4" s="268" t="s">
        <v>97</v>
      </c>
      <c r="V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</row>
    <row r="5" spans="1:71" ht="19.5" customHeight="1">
      <c r="A5" s="38"/>
      <c r="B5" s="1584" t="s">
        <v>98</v>
      </c>
      <c r="C5" s="1585"/>
      <c r="D5" s="1541"/>
      <c r="E5" s="1586" t="str">
        <f>건축개요!C7</f>
        <v>도시지역, 제2종일반주거지역</v>
      </c>
      <c r="F5" s="1585"/>
      <c r="G5" s="1541"/>
      <c r="H5" s="269" t="s">
        <v>99</v>
      </c>
      <c r="I5" s="1163">
        <v>0</v>
      </c>
      <c r="J5" s="1164"/>
      <c r="K5" s="270" t="s">
        <v>100</v>
      </c>
      <c r="L5" s="1165">
        <f>건축개요!C12</f>
        <v>0.22373375884794558</v>
      </c>
      <c r="M5" s="271"/>
      <c r="N5" s="38"/>
      <c r="O5" s="272" t="s">
        <v>101</v>
      </c>
      <c r="P5" s="273" t="e">
        <f>M75/M70</f>
        <v>#DIV/0!</v>
      </c>
      <c r="Q5" s="38"/>
      <c r="R5" s="274" t="s">
        <v>102</v>
      </c>
      <c r="S5" s="1011">
        <v>0.7</v>
      </c>
      <c r="T5" s="1011">
        <v>0</v>
      </c>
      <c r="U5" s="275">
        <f>$M$22*S5+$M$54*T5</f>
        <v>473728838.46749997</v>
      </c>
      <c r="V5" s="38"/>
      <c r="W5" s="38" t="s">
        <v>103</v>
      </c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</row>
    <row r="6" spans="1:71" ht="19.5" customHeight="1">
      <c r="A6" s="38"/>
      <c r="B6" s="1591" t="s">
        <v>104</v>
      </c>
      <c r="C6" s="1540" t="s">
        <v>105</v>
      </c>
      <c r="D6" s="1541"/>
      <c r="E6" s="1166">
        <f>건축개요!F9</f>
        <v>60663.8</v>
      </c>
      <c r="F6" s="1167" t="s">
        <v>106</v>
      </c>
      <c r="G6" s="1168">
        <f t="shared" ref="G6:G7" si="0">E6*0.3025</f>
        <v>18350.799500000001</v>
      </c>
      <c r="H6" s="276" t="s">
        <v>107</v>
      </c>
      <c r="I6" s="973">
        <f>0</f>
        <v>0</v>
      </c>
      <c r="J6" s="974"/>
      <c r="K6" s="270" t="s">
        <v>108</v>
      </c>
      <c r="L6" s="1169" t="str">
        <f>건축개요!C15</f>
        <v>지상 : 27층</v>
      </c>
      <c r="M6" s="277" t="str">
        <f>건축개요!D15</f>
        <v>지하 : 3층</v>
      </c>
      <c r="N6" s="38"/>
      <c r="O6" s="272" t="s">
        <v>109</v>
      </c>
      <c r="P6" s="273">
        <f>M54/M58</f>
        <v>3.7710293691211191E-2</v>
      </c>
      <c r="Q6" s="38"/>
      <c r="R6" s="278" t="s">
        <v>110</v>
      </c>
      <c r="S6" s="1012">
        <v>0.1</v>
      </c>
      <c r="T6" s="1012">
        <v>0</v>
      </c>
      <c r="U6" s="275">
        <f t="shared" ref="U6:U10" si="1">$M$22*S6+$M$54*T6</f>
        <v>67675548.352500007</v>
      </c>
      <c r="V6" s="38"/>
      <c r="W6" s="38" t="s">
        <v>111</v>
      </c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</row>
    <row r="7" spans="1:71" ht="19.5" customHeight="1">
      <c r="A7" s="38"/>
      <c r="B7" s="1592"/>
      <c r="C7" s="1542" t="s">
        <v>112</v>
      </c>
      <c r="D7" s="1543"/>
      <c r="E7" s="1546">
        <f>건축개요!I9</f>
        <v>0</v>
      </c>
      <c r="F7" s="1547" t="s">
        <v>106</v>
      </c>
      <c r="G7" s="1601">
        <f t="shared" si="0"/>
        <v>0</v>
      </c>
      <c r="H7" s="276" t="s">
        <v>113</v>
      </c>
      <c r="I7" s="1170">
        <f>M70*110%</f>
        <v>0</v>
      </c>
      <c r="J7" s="1171"/>
      <c r="K7" s="270" t="s">
        <v>53</v>
      </c>
      <c r="L7" s="1172">
        <f>G22+G38</f>
        <v>1231</v>
      </c>
      <c r="M7" s="279" t="s">
        <v>114</v>
      </c>
      <c r="N7" s="38"/>
      <c r="O7" s="272" t="s">
        <v>115</v>
      </c>
      <c r="P7" s="273">
        <f>E9/E6</f>
        <v>1</v>
      </c>
      <c r="Q7" s="38"/>
      <c r="R7" s="278" t="s">
        <v>116</v>
      </c>
      <c r="S7" s="1012">
        <v>0.1</v>
      </c>
      <c r="T7" s="1012">
        <v>0</v>
      </c>
      <c r="U7" s="275">
        <f t="shared" si="1"/>
        <v>67675548.352500007</v>
      </c>
      <c r="V7" s="38"/>
      <c r="W7" s="38" t="s">
        <v>117</v>
      </c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</row>
    <row r="8" spans="1:71" ht="19.5" customHeight="1" thickBot="1">
      <c r="A8" s="38"/>
      <c r="B8" s="1592"/>
      <c r="C8" s="1544"/>
      <c r="D8" s="1545"/>
      <c r="E8" s="1537"/>
      <c r="F8" s="1548"/>
      <c r="G8" s="1545"/>
      <c r="H8" s="276" t="s">
        <v>118</v>
      </c>
      <c r="I8" s="1173">
        <f>M168</f>
        <v>460000000</v>
      </c>
      <c r="J8" s="1174"/>
      <c r="K8" s="270" t="s">
        <v>119</v>
      </c>
      <c r="L8" s="1175">
        <f>L12+8</f>
        <v>48</v>
      </c>
      <c r="M8" s="271"/>
      <c r="N8" s="38"/>
      <c r="O8" s="280" t="s">
        <v>120</v>
      </c>
      <c r="P8" s="281" t="e">
        <f>M146/I6</f>
        <v>#DIV/0!</v>
      </c>
      <c r="Q8" s="38"/>
      <c r="R8" s="278" t="s">
        <v>121</v>
      </c>
      <c r="S8" s="1012">
        <v>0.1</v>
      </c>
      <c r="T8" s="1012">
        <v>0.5</v>
      </c>
      <c r="U8" s="275">
        <f t="shared" si="1"/>
        <v>85622759.18900001</v>
      </c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</row>
    <row r="9" spans="1:71" ht="19.5" customHeight="1">
      <c r="A9" s="38"/>
      <c r="B9" s="1593"/>
      <c r="C9" s="1540" t="s">
        <v>122</v>
      </c>
      <c r="D9" s="1541"/>
      <c r="E9" s="1166">
        <f>E6-E7-E8</f>
        <v>60663.8</v>
      </c>
      <c r="F9" s="1167" t="s">
        <v>106</v>
      </c>
      <c r="G9" s="1168">
        <f t="shared" ref="G9:G12" si="2">E9*0.3025</f>
        <v>18350.799500000001</v>
      </c>
      <c r="H9" s="276"/>
      <c r="I9" s="1173"/>
      <c r="J9" s="1164"/>
      <c r="K9" s="269" t="s">
        <v>123</v>
      </c>
      <c r="L9" s="975">
        <v>7000</v>
      </c>
      <c r="M9" s="271"/>
      <c r="N9" s="38"/>
      <c r="O9" s="282"/>
      <c r="P9" s="283"/>
      <c r="Q9" s="283"/>
      <c r="R9" s="278" t="s">
        <v>124</v>
      </c>
      <c r="S9" s="1012">
        <v>0</v>
      </c>
      <c r="T9" s="1012">
        <v>0.5</v>
      </c>
      <c r="U9" s="275">
        <f t="shared" si="1"/>
        <v>17947210.8365</v>
      </c>
      <c r="V9" s="38"/>
      <c r="W9" s="38" t="s">
        <v>125</v>
      </c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</row>
    <row r="10" spans="1:71" ht="19.5" customHeight="1">
      <c r="A10" s="38"/>
      <c r="B10" s="1594" t="s">
        <v>126</v>
      </c>
      <c r="C10" s="1597" t="s">
        <v>34</v>
      </c>
      <c r="D10" s="1541"/>
      <c r="E10" s="1166">
        <f>E11+E12</f>
        <v>243713.42</v>
      </c>
      <c r="F10" s="1167" t="s">
        <v>106</v>
      </c>
      <c r="G10" s="1168">
        <f t="shared" si="2"/>
        <v>73723.309550000005</v>
      </c>
      <c r="H10" s="276" t="s">
        <v>127</v>
      </c>
      <c r="I10" s="1176">
        <f>SUM(I7:I9)</f>
        <v>460000000</v>
      </c>
      <c r="J10" s="45"/>
      <c r="K10" s="270" t="s">
        <v>128</v>
      </c>
      <c r="L10" s="1177">
        <v>1</v>
      </c>
      <c r="M10" s="271"/>
      <c r="N10" s="38"/>
      <c r="O10" s="38"/>
      <c r="P10" s="38"/>
      <c r="Q10" s="283"/>
      <c r="R10" s="284" t="s">
        <v>129</v>
      </c>
      <c r="S10" s="1012">
        <v>0</v>
      </c>
      <c r="T10" s="1012">
        <v>0</v>
      </c>
      <c r="U10" s="275">
        <f t="shared" si="1"/>
        <v>0</v>
      </c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</row>
    <row r="11" spans="1:71" ht="19.5" customHeight="1" thickBot="1">
      <c r="A11" s="38"/>
      <c r="B11" s="1595"/>
      <c r="C11" s="1598" t="s">
        <v>130</v>
      </c>
      <c r="D11" s="1541"/>
      <c r="E11" s="1166">
        <f>건축개요!E24</f>
        <v>155753.45000000001</v>
      </c>
      <c r="F11" s="1167" t="s">
        <v>106</v>
      </c>
      <c r="G11" s="1168">
        <f>E11*0.3025</f>
        <v>47115.418625000006</v>
      </c>
      <c r="H11" s="276" t="s">
        <v>131</v>
      </c>
      <c r="I11" s="1178">
        <v>1</v>
      </c>
      <c r="J11" s="1179"/>
      <c r="K11" s="1599" t="s">
        <v>132</v>
      </c>
      <c r="L11" s="1180" t="str">
        <f>U19&amp;"년 "&amp;U20&amp; "월"&amp;" ~"</f>
        <v>2026년 4월 ~</v>
      </c>
      <c r="M11" s="285" t="str">
        <f>HLOOKUP(L12,Q16:BP20,4)&amp;"년 "&amp;HLOOKUP(L12,Q16:BP20,5)&amp;"월"</f>
        <v>2029년 7월</v>
      </c>
      <c r="N11" s="38"/>
      <c r="O11" s="282"/>
      <c r="P11" s="283"/>
      <c r="Q11" s="283"/>
      <c r="R11" s="286" t="s">
        <v>34</v>
      </c>
      <c r="S11" s="287">
        <f t="shared" ref="S11:U11" si="3">SUM(S5:S10)</f>
        <v>0.99999999999999989</v>
      </c>
      <c r="T11" s="287">
        <f t="shared" si="3"/>
        <v>1</v>
      </c>
      <c r="U11" s="288">
        <f t="shared" si="3"/>
        <v>712649905.19799995</v>
      </c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</row>
    <row r="12" spans="1:71" ht="19.5" customHeight="1">
      <c r="A12" s="38"/>
      <c r="B12" s="1596"/>
      <c r="C12" s="1598" t="s">
        <v>133</v>
      </c>
      <c r="D12" s="1541"/>
      <c r="E12" s="1166">
        <f>건축개요!E26</f>
        <v>87959.97</v>
      </c>
      <c r="F12" s="1167" t="s">
        <v>106</v>
      </c>
      <c r="G12" s="1168">
        <f t="shared" si="2"/>
        <v>26607.890925</v>
      </c>
      <c r="H12" s="276" t="s">
        <v>134</v>
      </c>
      <c r="I12" s="1181">
        <v>0.01</v>
      </c>
      <c r="J12" s="1164"/>
      <c r="K12" s="1600"/>
      <c r="L12" s="1182">
        <v>40</v>
      </c>
      <c r="M12" s="262"/>
      <c r="N12" s="38"/>
      <c r="O12" s="38"/>
      <c r="P12" s="38"/>
      <c r="Q12" s="38"/>
      <c r="R12" s="289"/>
      <c r="S12" s="289"/>
      <c r="T12" s="290"/>
      <c r="U12" s="290"/>
      <c r="V12" s="290"/>
      <c r="W12" s="290"/>
      <c r="X12" s="290"/>
      <c r="Y12" s="290"/>
      <c r="Z12" s="290"/>
      <c r="AA12" s="290"/>
      <c r="AB12" s="290"/>
      <c r="AC12" s="290"/>
      <c r="AD12" s="290"/>
      <c r="AE12" s="290"/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290"/>
      <c r="AQ12" s="290"/>
      <c r="AR12" s="290"/>
      <c r="AS12" s="290"/>
      <c r="AT12" s="290"/>
      <c r="AU12" s="290"/>
      <c r="AV12" s="290"/>
      <c r="AW12" s="290"/>
      <c r="AX12" s="290"/>
      <c r="AY12" s="290"/>
      <c r="AZ12" s="290"/>
      <c r="BA12" s="290"/>
      <c r="BB12" s="290"/>
      <c r="BC12" s="290"/>
      <c r="BD12" s="290"/>
      <c r="BE12" s="290"/>
      <c r="BF12" s="290"/>
      <c r="BG12" s="290"/>
      <c r="BH12" s="290"/>
      <c r="BI12" s="290"/>
      <c r="BJ12" s="290"/>
      <c r="BK12" s="290"/>
      <c r="BL12" s="290"/>
      <c r="BM12" s="290"/>
      <c r="BN12" s="290"/>
      <c r="BO12" s="290"/>
      <c r="BP12" s="290"/>
      <c r="BQ12" s="38"/>
      <c r="BR12" s="38"/>
      <c r="BS12" s="38"/>
    </row>
    <row r="13" spans="1:71" ht="19.5" customHeight="1">
      <c r="A13" s="38"/>
      <c r="B13" s="1001"/>
      <c r="C13" s="1183"/>
      <c r="D13" s="1184"/>
      <c r="E13" s="1185"/>
      <c r="F13" s="1174"/>
      <c r="G13" s="1164"/>
      <c r="H13" s="276" t="s">
        <v>135</v>
      </c>
      <c r="I13" s="1186">
        <v>6.5000000000000002E-2</v>
      </c>
      <c r="J13" s="1164"/>
      <c r="K13" s="276" t="s">
        <v>136</v>
      </c>
      <c r="L13" s="1181">
        <v>0</v>
      </c>
      <c r="M13" s="271"/>
      <c r="N13" s="38"/>
      <c r="O13" s="38"/>
      <c r="P13" s="291"/>
      <c r="Q13" s="38"/>
      <c r="R13" s="292"/>
      <c r="S13" s="292"/>
      <c r="T13" s="292"/>
      <c r="U13" s="292"/>
      <c r="V13" s="292"/>
      <c r="W13" s="292"/>
      <c r="X13" s="292"/>
      <c r="Y13" s="292"/>
      <c r="Z13" s="292"/>
      <c r="AA13" s="292"/>
      <c r="AB13" s="292"/>
      <c r="AC13" s="292"/>
      <c r="AD13" s="292"/>
      <c r="AE13" s="292"/>
      <c r="AF13" s="292"/>
      <c r="AG13" s="292"/>
      <c r="AH13" s="292"/>
      <c r="AI13" s="292"/>
      <c r="AJ13" s="292"/>
      <c r="AK13" s="292"/>
      <c r="AL13" s="292"/>
      <c r="AM13" s="292"/>
      <c r="AN13" s="292"/>
      <c r="AO13" s="292"/>
      <c r="AP13" s="292"/>
      <c r="AQ13" s="292"/>
      <c r="AR13" s="292"/>
      <c r="AS13" s="292"/>
      <c r="AT13" s="292"/>
      <c r="AU13" s="292"/>
      <c r="AV13" s="292"/>
      <c r="AW13" s="292"/>
      <c r="AX13" s="292"/>
      <c r="AY13" s="292"/>
      <c r="AZ13" s="292"/>
      <c r="BA13" s="292"/>
      <c r="BB13" s="292"/>
      <c r="BC13" s="292"/>
      <c r="BD13" s="292"/>
      <c r="BE13" s="292"/>
      <c r="BF13" s="292"/>
      <c r="BG13" s="292"/>
      <c r="BH13" s="292"/>
      <c r="BI13" s="292"/>
      <c r="BJ13" s="292"/>
      <c r="BK13" s="292"/>
      <c r="BL13" s="292"/>
      <c r="BM13" s="292"/>
      <c r="BN13" s="292"/>
      <c r="BO13" s="292"/>
      <c r="BP13" s="292"/>
      <c r="BQ13" s="38"/>
      <c r="BR13" s="38"/>
      <c r="BS13" s="293" t="s">
        <v>137</v>
      </c>
    </row>
    <row r="14" spans="1:71" ht="19.5" customHeight="1">
      <c r="A14" s="38"/>
      <c r="B14" s="1002"/>
      <c r="C14" s="1183"/>
      <c r="D14" s="1184"/>
      <c r="E14" s="1185"/>
      <c r="F14" s="1174"/>
      <c r="G14" s="1164"/>
      <c r="H14" s="270"/>
      <c r="I14" s="1187"/>
      <c r="J14" s="1174"/>
      <c r="K14" s="276" t="s">
        <v>138</v>
      </c>
      <c r="L14" s="1175">
        <f>ROUNDUP(L12/6,0)</f>
        <v>7</v>
      </c>
      <c r="M14" s="271"/>
      <c r="N14" s="38"/>
      <c r="O14" s="294" t="s">
        <v>138</v>
      </c>
      <c r="P14" s="295"/>
      <c r="Q14" s="295"/>
      <c r="R14" s="1000"/>
      <c r="S14" s="296"/>
      <c r="T14" s="297"/>
      <c r="U14" s="298"/>
      <c r="V14" s="298"/>
      <c r="W14" s="298"/>
      <c r="X14" s="298"/>
      <c r="Y14" s="298"/>
      <c r="Z14" s="298"/>
      <c r="AA14" s="298"/>
      <c r="AB14" s="298"/>
      <c r="AC14" s="298"/>
      <c r="AD14" s="298"/>
      <c r="AE14" s="298"/>
      <c r="AF14" s="298"/>
      <c r="AG14" s="298"/>
      <c r="AH14" s="298"/>
      <c r="AI14" s="298"/>
      <c r="AJ14" s="298"/>
      <c r="AK14" s="298"/>
      <c r="AL14" s="298"/>
      <c r="AM14" s="298"/>
      <c r="AN14" s="298"/>
      <c r="AO14" s="298"/>
      <c r="AP14" s="298"/>
      <c r="AQ14" s="298"/>
      <c r="AR14" s="298"/>
      <c r="AS14" s="298"/>
      <c r="AT14" s="298"/>
      <c r="AU14" s="298"/>
      <c r="AV14" s="298"/>
      <c r="AW14" s="298"/>
      <c r="AX14" s="298"/>
      <c r="AY14" s="298"/>
      <c r="AZ14" s="298"/>
      <c r="BA14" s="298"/>
      <c r="BB14" s="298"/>
      <c r="BC14" s="298"/>
      <c r="BD14" s="298"/>
      <c r="BE14" s="298"/>
      <c r="BF14" s="298"/>
      <c r="BG14" s="298"/>
      <c r="BH14" s="298"/>
      <c r="BI14" s="298">
        <f t="shared" ref="BI14:BP14" si="4">ROUNDUP((BI16-1)/$L$14,0)</f>
        <v>6</v>
      </c>
      <c r="BJ14" s="298">
        <f t="shared" si="4"/>
        <v>6</v>
      </c>
      <c r="BK14" s="298">
        <f t="shared" si="4"/>
        <v>6</v>
      </c>
      <c r="BL14" s="298">
        <f t="shared" si="4"/>
        <v>7</v>
      </c>
      <c r="BM14" s="298">
        <f t="shared" si="4"/>
        <v>7</v>
      </c>
      <c r="BN14" s="298">
        <f t="shared" si="4"/>
        <v>7</v>
      </c>
      <c r="BO14" s="298">
        <f t="shared" si="4"/>
        <v>7</v>
      </c>
      <c r="BP14" s="298">
        <f t="shared" si="4"/>
        <v>7</v>
      </c>
      <c r="BQ14" s="38"/>
      <c r="BR14" s="38"/>
      <c r="BS14" s="293"/>
    </row>
    <row r="15" spans="1:71" ht="19.5" customHeight="1" thickBot="1">
      <c r="A15" s="38"/>
      <c r="B15" s="1003"/>
      <c r="C15" s="1602"/>
      <c r="D15" s="1603"/>
      <c r="E15" s="1006"/>
      <c r="F15" s="1007"/>
      <c r="G15" s="1008"/>
      <c r="H15" s="300" t="s">
        <v>139</v>
      </c>
      <c r="I15" s="301">
        <v>0.1</v>
      </c>
      <c r="J15" s="299"/>
      <c r="K15" s="302" t="s">
        <v>140</v>
      </c>
      <c r="L15" s="1604">
        <v>42765</v>
      </c>
      <c r="M15" s="1605"/>
      <c r="N15" s="38"/>
      <c r="O15" s="294" t="s">
        <v>141</v>
      </c>
      <c r="P15" s="295"/>
      <c r="Q15" s="295"/>
      <c r="R15" s="303"/>
      <c r="S15" s="303"/>
      <c r="T15" s="303"/>
      <c r="U15" s="297"/>
      <c r="V15" s="297"/>
      <c r="W15" s="297"/>
      <c r="X15" s="297"/>
      <c r="Y15" s="297"/>
      <c r="Z15" s="297"/>
      <c r="AA15" s="297"/>
      <c r="AB15" s="297"/>
      <c r="AC15" s="297"/>
      <c r="AD15" s="297"/>
      <c r="AE15" s="297"/>
      <c r="AF15" s="297"/>
      <c r="AG15" s="297"/>
      <c r="AH15" s="297"/>
      <c r="AI15" s="297"/>
      <c r="AJ15" s="297"/>
      <c r="AK15" s="297"/>
      <c r="AL15" s="297"/>
      <c r="AM15" s="297"/>
      <c r="AN15" s="297"/>
      <c r="AO15" s="297"/>
      <c r="AP15" s="297"/>
      <c r="AQ15" s="297"/>
      <c r="AR15" s="297"/>
      <c r="AS15" s="297"/>
      <c r="AT15" s="297"/>
      <c r="AU15" s="297"/>
      <c r="AV15" s="297"/>
      <c r="AW15" s="297"/>
      <c r="AX15" s="297"/>
      <c r="AY15" s="297"/>
      <c r="AZ15" s="297"/>
      <c r="BA15" s="297"/>
      <c r="BB15" s="297"/>
      <c r="BC15" s="297"/>
      <c r="BD15" s="297"/>
      <c r="BE15" s="297"/>
      <c r="BF15" s="297"/>
      <c r="BG15" s="297"/>
      <c r="BH15" s="297"/>
      <c r="BI15" s="297">
        <f t="shared" ref="BI15:BP15" si="5">IF(BH14=BI14,"",BI14)</f>
        <v>6</v>
      </c>
      <c r="BJ15" s="297" t="str">
        <f t="shared" si="5"/>
        <v/>
      </c>
      <c r="BK15" s="297" t="str">
        <f t="shared" si="5"/>
        <v/>
      </c>
      <c r="BL15" s="297">
        <f t="shared" si="5"/>
        <v>7</v>
      </c>
      <c r="BM15" s="297" t="str">
        <f t="shared" si="5"/>
        <v/>
      </c>
      <c r="BN15" s="297" t="str">
        <f t="shared" si="5"/>
        <v/>
      </c>
      <c r="BO15" s="297" t="str">
        <f t="shared" si="5"/>
        <v/>
      </c>
      <c r="BP15" s="297" t="str">
        <f t="shared" si="5"/>
        <v/>
      </c>
      <c r="BQ15" s="38"/>
      <c r="BR15" s="38"/>
      <c r="BS15" s="293"/>
    </row>
    <row r="16" spans="1:71" ht="16.5" customHeight="1">
      <c r="A16" s="38"/>
      <c r="B16" s="38"/>
      <c r="C16" s="38"/>
      <c r="D16" s="304"/>
      <c r="E16" s="304"/>
      <c r="F16" s="304"/>
      <c r="G16" s="304"/>
      <c r="H16" s="38"/>
      <c r="I16" s="38"/>
      <c r="J16" s="38"/>
      <c r="K16" s="38"/>
      <c r="L16" s="305"/>
      <c r="M16" s="306"/>
      <c r="N16" s="38"/>
      <c r="O16" s="294" t="s">
        <v>132</v>
      </c>
      <c r="P16" s="307"/>
      <c r="Q16" s="307"/>
      <c r="R16" s="307"/>
      <c r="S16" s="307"/>
      <c r="T16" s="307"/>
      <c r="U16" s="308">
        <v>1</v>
      </c>
      <c r="V16" s="308">
        <f t="shared" ref="V16:BP16" si="6">U16+1</f>
        <v>2</v>
      </c>
      <c r="W16" s="308">
        <f t="shared" si="6"/>
        <v>3</v>
      </c>
      <c r="X16" s="308">
        <f t="shared" si="6"/>
        <v>4</v>
      </c>
      <c r="Y16" s="308">
        <f t="shared" si="6"/>
        <v>5</v>
      </c>
      <c r="Z16" s="308">
        <f t="shared" si="6"/>
        <v>6</v>
      </c>
      <c r="AA16" s="309">
        <f t="shared" si="6"/>
        <v>7</v>
      </c>
      <c r="AB16" s="309">
        <f t="shared" si="6"/>
        <v>8</v>
      </c>
      <c r="AC16" s="309">
        <f t="shared" si="6"/>
        <v>9</v>
      </c>
      <c r="AD16" s="309">
        <f t="shared" si="6"/>
        <v>10</v>
      </c>
      <c r="AE16" s="309">
        <f t="shared" si="6"/>
        <v>11</v>
      </c>
      <c r="AF16" s="309">
        <f t="shared" si="6"/>
        <v>12</v>
      </c>
      <c r="AG16" s="309">
        <f t="shared" si="6"/>
        <v>13</v>
      </c>
      <c r="AH16" s="309">
        <f t="shared" si="6"/>
        <v>14</v>
      </c>
      <c r="AI16" s="309">
        <f t="shared" si="6"/>
        <v>15</v>
      </c>
      <c r="AJ16" s="309">
        <f t="shared" si="6"/>
        <v>16</v>
      </c>
      <c r="AK16" s="309">
        <f t="shared" si="6"/>
        <v>17</v>
      </c>
      <c r="AL16" s="309">
        <f t="shared" si="6"/>
        <v>18</v>
      </c>
      <c r="AM16" s="309">
        <f t="shared" si="6"/>
        <v>19</v>
      </c>
      <c r="AN16" s="309">
        <f t="shared" si="6"/>
        <v>20</v>
      </c>
      <c r="AO16" s="309">
        <f t="shared" si="6"/>
        <v>21</v>
      </c>
      <c r="AP16" s="309">
        <f t="shared" si="6"/>
        <v>22</v>
      </c>
      <c r="AQ16" s="309">
        <f t="shared" si="6"/>
        <v>23</v>
      </c>
      <c r="AR16" s="309">
        <f t="shared" si="6"/>
        <v>24</v>
      </c>
      <c r="AS16" s="309">
        <f t="shared" si="6"/>
        <v>25</v>
      </c>
      <c r="AT16" s="309">
        <f t="shared" si="6"/>
        <v>26</v>
      </c>
      <c r="AU16" s="309">
        <f t="shared" si="6"/>
        <v>27</v>
      </c>
      <c r="AV16" s="309">
        <f t="shared" si="6"/>
        <v>28</v>
      </c>
      <c r="AW16" s="309">
        <f t="shared" si="6"/>
        <v>29</v>
      </c>
      <c r="AX16" s="309">
        <f t="shared" si="6"/>
        <v>30</v>
      </c>
      <c r="AY16" s="309">
        <f t="shared" si="6"/>
        <v>31</v>
      </c>
      <c r="AZ16" s="309">
        <f t="shared" si="6"/>
        <v>32</v>
      </c>
      <c r="BA16" s="309">
        <f t="shared" si="6"/>
        <v>33</v>
      </c>
      <c r="BB16" s="309">
        <f t="shared" si="6"/>
        <v>34</v>
      </c>
      <c r="BC16" s="309">
        <f t="shared" si="6"/>
        <v>35</v>
      </c>
      <c r="BD16" s="309">
        <f t="shared" si="6"/>
        <v>36</v>
      </c>
      <c r="BE16" s="309">
        <f t="shared" si="6"/>
        <v>37</v>
      </c>
      <c r="BF16" s="309">
        <f t="shared" si="6"/>
        <v>38</v>
      </c>
      <c r="BG16" s="309">
        <f t="shared" si="6"/>
        <v>39</v>
      </c>
      <c r="BH16" s="309">
        <f t="shared" si="6"/>
        <v>40</v>
      </c>
      <c r="BI16" s="310">
        <f t="shared" si="6"/>
        <v>41</v>
      </c>
      <c r="BJ16" s="310">
        <f t="shared" si="6"/>
        <v>42</v>
      </c>
      <c r="BK16" s="310">
        <f t="shared" si="6"/>
        <v>43</v>
      </c>
      <c r="BL16" s="310">
        <f t="shared" si="6"/>
        <v>44</v>
      </c>
      <c r="BM16" s="310">
        <f t="shared" si="6"/>
        <v>45</v>
      </c>
      <c r="BN16" s="310">
        <f t="shared" si="6"/>
        <v>46</v>
      </c>
      <c r="BO16" s="310">
        <f t="shared" si="6"/>
        <v>47</v>
      </c>
      <c r="BP16" s="310">
        <f t="shared" si="6"/>
        <v>48</v>
      </c>
      <c r="BQ16" s="38"/>
      <c r="BR16" s="38"/>
      <c r="BS16" s="38"/>
    </row>
    <row r="17" spans="1:71" s="930" customFormat="1" ht="16.5" customHeight="1">
      <c r="A17" s="925"/>
      <c r="B17" s="925"/>
      <c r="C17" s="925"/>
      <c r="D17" s="465"/>
      <c r="E17" s="465"/>
      <c r="F17" s="465"/>
      <c r="G17" s="465"/>
      <c r="H17" s="925"/>
      <c r="I17" s="925"/>
      <c r="J17" s="925"/>
      <c r="K17" s="925"/>
      <c r="L17" s="925"/>
      <c r="M17" s="925"/>
      <c r="N17" s="925"/>
      <c r="O17" s="926" t="s">
        <v>142</v>
      </c>
      <c r="P17" s="927">
        <v>0</v>
      </c>
      <c r="Q17" s="927">
        <v>0</v>
      </c>
      <c r="R17" s="927">
        <v>0</v>
      </c>
      <c r="S17" s="927">
        <v>0</v>
      </c>
      <c r="T17" s="927"/>
      <c r="U17" s="977">
        <f>2.5%</f>
        <v>2.5000000000000001E-2</v>
      </c>
      <c r="V17" s="977">
        <v>2.5000000000000001E-2</v>
      </c>
      <c r="W17" s="977">
        <v>2.5000000000000001E-2</v>
      </c>
      <c r="X17" s="977">
        <v>2.5000000000000001E-2</v>
      </c>
      <c r="Y17" s="977">
        <v>2.5000000000000001E-2</v>
      </c>
      <c r="Z17" s="977">
        <v>2.5000000000000001E-2</v>
      </c>
      <c r="AA17" s="977">
        <v>2.5000000000000001E-2</v>
      </c>
      <c r="AB17" s="977">
        <v>2.5000000000000001E-2</v>
      </c>
      <c r="AC17" s="977">
        <v>2.5000000000000001E-2</v>
      </c>
      <c r="AD17" s="977">
        <v>2.5000000000000001E-2</v>
      </c>
      <c r="AE17" s="977">
        <v>2.5000000000000001E-2</v>
      </c>
      <c r="AF17" s="977">
        <v>2.5000000000000001E-2</v>
      </c>
      <c r="AG17" s="977">
        <v>2.5000000000000001E-2</v>
      </c>
      <c r="AH17" s="977">
        <v>2.5000000000000001E-2</v>
      </c>
      <c r="AI17" s="977">
        <v>2.5000000000000001E-2</v>
      </c>
      <c r="AJ17" s="977">
        <v>2.5000000000000001E-2</v>
      </c>
      <c r="AK17" s="977">
        <v>2.5000000000000001E-2</v>
      </c>
      <c r="AL17" s="977">
        <v>2.5000000000000001E-2</v>
      </c>
      <c r="AM17" s="977">
        <v>2.5000000000000001E-2</v>
      </c>
      <c r="AN17" s="977">
        <v>2.5000000000000001E-2</v>
      </c>
      <c r="AO17" s="977">
        <v>2.5000000000000001E-2</v>
      </c>
      <c r="AP17" s="977">
        <v>2.5000000000000001E-2</v>
      </c>
      <c r="AQ17" s="977">
        <v>2.5000000000000001E-2</v>
      </c>
      <c r="AR17" s="977">
        <v>2.5000000000000001E-2</v>
      </c>
      <c r="AS17" s="977">
        <v>2.5000000000000001E-2</v>
      </c>
      <c r="AT17" s="977">
        <v>2.5000000000000001E-2</v>
      </c>
      <c r="AU17" s="977">
        <v>2.5000000000000001E-2</v>
      </c>
      <c r="AV17" s="977">
        <v>2.5000000000000001E-2</v>
      </c>
      <c r="AW17" s="977">
        <v>2.5000000000000001E-2</v>
      </c>
      <c r="AX17" s="977">
        <v>2.5000000000000001E-2</v>
      </c>
      <c r="AY17" s="977">
        <v>2.5000000000000001E-2</v>
      </c>
      <c r="AZ17" s="977">
        <v>2.5000000000000001E-2</v>
      </c>
      <c r="BA17" s="977">
        <v>2.5000000000000001E-2</v>
      </c>
      <c r="BB17" s="977">
        <v>2.5000000000000001E-2</v>
      </c>
      <c r="BC17" s="977">
        <v>2.5000000000000001E-2</v>
      </c>
      <c r="BD17" s="977">
        <v>2.5000000000000001E-2</v>
      </c>
      <c r="BE17" s="977">
        <v>2.5000000000000001E-2</v>
      </c>
      <c r="BF17" s="977">
        <v>2.5000000000000001E-2</v>
      </c>
      <c r="BG17" s="977">
        <v>2.5000000000000001E-2</v>
      </c>
      <c r="BH17" s="977">
        <v>2.5000000000000001E-2</v>
      </c>
      <c r="BI17" s="928"/>
      <c r="BJ17" s="928"/>
      <c r="BK17" s="928"/>
      <c r="BL17" s="928"/>
      <c r="BM17" s="928"/>
      <c r="BN17" s="928"/>
      <c r="BO17" s="928"/>
      <c r="BP17" s="928"/>
      <c r="BQ17" s="929"/>
      <c r="BR17" s="929"/>
      <c r="BS17" s="929"/>
    </row>
    <row r="18" spans="1:71" s="930" customFormat="1" ht="16.5" customHeight="1">
      <c r="A18" s="925"/>
      <c r="B18" s="925"/>
      <c r="C18" s="925"/>
      <c r="D18" s="465"/>
      <c r="E18" s="465"/>
      <c r="F18" s="925"/>
      <c r="G18" s="311"/>
      <c r="H18" s="925"/>
      <c r="I18" s="925"/>
      <c r="J18" s="925"/>
      <c r="K18" s="925"/>
      <c r="L18" s="925"/>
      <c r="M18" s="925"/>
      <c r="N18" s="925"/>
      <c r="O18" s="926" t="s">
        <v>143</v>
      </c>
      <c r="P18" s="927"/>
      <c r="Q18" s="927"/>
      <c r="R18" s="927"/>
      <c r="S18" s="927"/>
      <c r="T18" s="927"/>
      <c r="U18" s="928">
        <f t="shared" ref="U18:BH18" si="7">T18+U17</f>
        <v>2.5000000000000001E-2</v>
      </c>
      <c r="V18" s="928">
        <f t="shared" si="7"/>
        <v>0.05</v>
      </c>
      <c r="W18" s="928">
        <f t="shared" si="7"/>
        <v>7.5000000000000011E-2</v>
      </c>
      <c r="X18" s="928">
        <f t="shared" si="7"/>
        <v>0.1</v>
      </c>
      <c r="Y18" s="928">
        <f t="shared" si="7"/>
        <v>0.125</v>
      </c>
      <c r="Z18" s="928">
        <f t="shared" si="7"/>
        <v>0.15</v>
      </c>
      <c r="AA18" s="928">
        <f t="shared" si="7"/>
        <v>0.17499999999999999</v>
      </c>
      <c r="AB18" s="928">
        <f t="shared" si="7"/>
        <v>0.19999999999999998</v>
      </c>
      <c r="AC18" s="928">
        <f t="shared" si="7"/>
        <v>0.22499999999999998</v>
      </c>
      <c r="AD18" s="928">
        <f t="shared" si="7"/>
        <v>0.24999999999999997</v>
      </c>
      <c r="AE18" s="928">
        <f t="shared" si="7"/>
        <v>0.27499999999999997</v>
      </c>
      <c r="AF18" s="928">
        <f t="shared" si="7"/>
        <v>0.3</v>
      </c>
      <c r="AG18" s="928">
        <f t="shared" si="7"/>
        <v>0.32500000000000001</v>
      </c>
      <c r="AH18" s="928">
        <f t="shared" si="7"/>
        <v>0.35000000000000003</v>
      </c>
      <c r="AI18" s="928">
        <f t="shared" si="7"/>
        <v>0.37500000000000006</v>
      </c>
      <c r="AJ18" s="928">
        <f t="shared" si="7"/>
        <v>0.40000000000000008</v>
      </c>
      <c r="AK18" s="928">
        <f t="shared" si="7"/>
        <v>0.4250000000000001</v>
      </c>
      <c r="AL18" s="928">
        <f t="shared" si="7"/>
        <v>0.45000000000000012</v>
      </c>
      <c r="AM18" s="928">
        <f t="shared" si="7"/>
        <v>0.47500000000000014</v>
      </c>
      <c r="AN18" s="928">
        <f t="shared" si="7"/>
        <v>0.50000000000000011</v>
      </c>
      <c r="AO18" s="928">
        <f t="shared" si="7"/>
        <v>0.52500000000000013</v>
      </c>
      <c r="AP18" s="928">
        <f t="shared" si="7"/>
        <v>0.55000000000000016</v>
      </c>
      <c r="AQ18" s="928">
        <f t="shared" si="7"/>
        <v>0.57500000000000018</v>
      </c>
      <c r="AR18" s="928">
        <f t="shared" si="7"/>
        <v>0.6000000000000002</v>
      </c>
      <c r="AS18" s="928">
        <f t="shared" si="7"/>
        <v>0.62500000000000022</v>
      </c>
      <c r="AT18" s="928">
        <f t="shared" si="7"/>
        <v>0.65000000000000024</v>
      </c>
      <c r="AU18" s="928">
        <f t="shared" si="7"/>
        <v>0.67500000000000027</v>
      </c>
      <c r="AV18" s="928">
        <f t="shared" si="7"/>
        <v>0.70000000000000029</v>
      </c>
      <c r="AW18" s="928">
        <f t="shared" si="7"/>
        <v>0.72500000000000031</v>
      </c>
      <c r="AX18" s="928">
        <f t="shared" si="7"/>
        <v>0.75000000000000033</v>
      </c>
      <c r="AY18" s="928">
        <f t="shared" si="7"/>
        <v>0.77500000000000036</v>
      </c>
      <c r="AZ18" s="928">
        <f t="shared" si="7"/>
        <v>0.80000000000000038</v>
      </c>
      <c r="BA18" s="928">
        <f t="shared" si="7"/>
        <v>0.8250000000000004</v>
      </c>
      <c r="BB18" s="928">
        <f t="shared" si="7"/>
        <v>0.85000000000000042</v>
      </c>
      <c r="BC18" s="928">
        <f t="shared" si="7"/>
        <v>0.87500000000000044</v>
      </c>
      <c r="BD18" s="928">
        <f t="shared" si="7"/>
        <v>0.90000000000000047</v>
      </c>
      <c r="BE18" s="928">
        <f t="shared" si="7"/>
        <v>0.92500000000000049</v>
      </c>
      <c r="BF18" s="928">
        <f t="shared" si="7"/>
        <v>0.95000000000000051</v>
      </c>
      <c r="BG18" s="928">
        <f t="shared" si="7"/>
        <v>0.97500000000000053</v>
      </c>
      <c r="BH18" s="928">
        <f t="shared" si="7"/>
        <v>1.0000000000000004</v>
      </c>
      <c r="BI18" s="928"/>
      <c r="BJ18" s="928"/>
      <c r="BK18" s="928"/>
      <c r="BL18" s="928"/>
      <c r="BM18" s="928"/>
      <c r="BN18" s="928"/>
      <c r="BO18" s="928"/>
      <c r="BP18" s="928"/>
      <c r="BQ18" s="929"/>
      <c r="BR18" s="925"/>
      <c r="BS18" s="925"/>
    </row>
    <row r="19" spans="1:71" ht="16.5" customHeight="1">
      <c r="A19" s="312"/>
      <c r="B19" s="312"/>
      <c r="C19" s="312"/>
      <c r="D19" s="312"/>
      <c r="E19" s="312"/>
      <c r="F19" s="312"/>
      <c r="G19" s="312"/>
      <c r="H19" s="312"/>
      <c r="I19" s="312"/>
      <c r="J19" s="312"/>
      <c r="K19" s="312"/>
      <c r="L19" s="312"/>
      <c r="M19" s="313" t="s">
        <v>144</v>
      </c>
      <c r="N19" s="312"/>
      <c r="O19" s="314" t="s">
        <v>145</v>
      </c>
      <c r="P19" s="976">
        <v>2025</v>
      </c>
      <c r="Q19" s="315">
        <f t="shared" ref="Q19:BP19" si="8">IF(Q20=1,(P19+1),P19)</f>
        <v>2025</v>
      </c>
      <c r="R19" s="315">
        <f t="shared" si="8"/>
        <v>2026</v>
      </c>
      <c r="S19" s="315">
        <f t="shared" si="8"/>
        <v>2026</v>
      </c>
      <c r="T19" s="315">
        <f t="shared" si="8"/>
        <v>2026</v>
      </c>
      <c r="U19" s="315">
        <f t="shared" si="8"/>
        <v>2026</v>
      </c>
      <c r="V19" s="315">
        <f t="shared" si="8"/>
        <v>2026</v>
      </c>
      <c r="W19" s="315">
        <f t="shared" si="8"/>
        <v>2026</v>
      </c>
      <c r="X19" s="315">
        <f t="shared" si="8"/>
        <v>2026</v>
      </c>
      <c r="Y19" s="315">
        <f t="shared" si="8"/>
        <v>2026</v>
      </c>
      <c r="Z19" s="315">
        <f t="shared" si="8"/>
        <v>2026</v>
      </c>
      <c r="AA19" s="315">
        <f t="shared" si="8"/>
        <v>2026</v>
      </c>
      <c r="AB19" s="315">
        <f t="shared" si="8"/>
        <v>2026</v>
      </c>
      <c r="AC19" s="315">
        <f t="shared" si="8"/>
        <v>2026</v>
      </c>
      <c r="AD19" s="315">
        <f t="shared" si="8"/>
        <v>2027</v>
      </c>
      <c r="AE19" s="315">
        <f t="shared" si="8"/>
        <v>2027</v>
      </c>
      <c r="AF19" s="315">
        <f t="shared" si="8"/>
        <v>2027</v>
      </c>
      <c r="AG19" s="315">
        <f t="shared" si="8"/>
        <v>2027</v>
      </c>
      <c r="AH19" s="315">
        <f t="shared" si="8"/>
        <v>2027</v>
      </c>
      <c r="AI19" s="315">
        <f t="shared" si="8"/>
        <v>2027</v>
      </c>
      <c r="AJ19" s="315">
        <f t="shared" si="8"/>
        <v>2027</v>
      </c>
      <c r="AK19" s="315">
        <f t="shared" si="8"/>
        <v>2027</v>
      </c>
      <c r="AL19" s="315">
        <f t="shared" si="8"/>
        <v>2027</v>
      </c>
      <c r="AM19" s="315">
        <f t="shared" si="8"/>
        <v>2027</v>
      </c>
      <c r="AN19" s="315">
        <f t="shared" si="8"/>
        <v>2027</v>
      </c>
      <c r="AO19" s="315">
        <f t="shared" si="8"/>
        <v>2027</v>
      </c>
      <c r="AP19" s="315">
        <f t="shared" si="8"/>
        <v>2028</v>
      </c>
      <c r="AQ19" s="315">
        <f t="shared" si="8"/>
        <v>2028</v>
      </c>
      <c r="AR19" s="315">
        <f t="shared" si="8"/>
        <v>2028</v>
      </c>
      <c r="AS19" s="315">
        <f t="shared" si="8"/>
        <v>2028</v>
      </c>
      <c r="AT19" s="315">
        <f t="shared" si="8"/>
        <v>2028</v>
      </c>
      <c r="AU19" s="315">
        <f t="shared" si="8"/>
        <v>2028</v>
      </c>
      <c r="AV19" s="315">
        <f t="shared" si="8"/>
        <v>2028</v>
      </c>
      <c r="AW19" s="315">
        <f t="shared" si="8"/>
        <v>2028</v>
      </c>
      <c r="AX19" s="315">
        <f t="shared" si="8"/>
        <v>2028</v>
      </c>
      <c r="AY19" s="315">
        <f t="shared" si="8"/>
        <v>2028</v>
      </c>
      <c r="AZ19" s="315">
        <f t="shared" si="8"/>
        <v>2028</v>
      </c>
      <c r="BA19" s="315">
        <f t="shared" si="8"/>
        <v>2028</v>
      </c>
      <c r="BB19" s="315">
        <f t="shared" si="8"/>
        <v>2029</v>
      </c>
      <c r="BC19" s="315">
        <f t="shared" si="8"/>
        <v>2029</v>
      </c>
      <c r="BD19" s="315">
        <f t="shared" si="8"/>
        <v>2029</v>
      </c>
      <c r="BE19" s="315">
        <f t="shared" si="8"/>
        <v>2029</v>
      </c>
      <c r="BF19" s="315">
        <f t="shared" si="8"/>
        <v>2029</v>
      </c>
      <c r="BG19" s="315">
        <f t="shared" si="8"/>
        <v>2029</v>
      </c>
      <c r="BH19" s="315">
        <f t="shared" si="8"/>
        <v>2029</v>
      </c>
      <c r="BI19" s="315">
        <f t="shared" si="8"/>
        <v>2029</v>
      </c>
      <c r="BJ19" s="315">
        <f t="shared" si="8"/>
        <v>2029</v>
      </c>
      <c r="BK19" s="315">
        <f t="shared" si="8"/>
        <v>2029</v>
      </c>
      <c r="BL19" s="315">
        <f t="shared" si="8"/>
        <v>2029</v>
      </c>
      <c r="BM19" s="315">
        <f t="shared" si="8"/>
        <v>2029</v>
      </c>
      <c r="BN19" s="315">
        <f t="shared" si="8"/>
        <v>2030</v>
      </c>
      <c r="BO19" s="315">
        <f t="shared" si="8"/>
        <v>2030</v>
      </c>
      <c r="BP19" s="315">
        <f t="shared" si="8"/>
        <v>2030</v>
      </c>
      <c r="BQ19" s="316"/>
      <c r="BR19" s="312"/>
      <c r="BS19" s="312"/>
    </row>
    <row r="20" spans="1:71" ht="19.5" customHeight="1">
      <c r="A20" s="38"/>
      <c r="B20" s="1549" t="s">
        <v>146</v>
      </c>
      <c r="C20" s="1550"/>
      <c r="D20" s="1550"/>
      <c r="E20" s="1550"/>
      <c r="F20" s="1551"/>
      <c r="G20" s="1587" t="s">
        <v>147</v>
      </c>
      <c r="H20" s="1550"/>
      <c r="I20" s="1550"/>
      <c r="J20" s="1550"/>
      <c r="K20" s="1551"/>
      <c r="L20" s="317" t="s">
        <v>47</v>
      </c>
      <c r="M20" s="1589" t="s">
        <v>148</v>
      </c>
      <c r="N20" s="38"/>
      <c r="O20" s="318"/>
      <c r="P20" s="1188">
        <v>11</v>
      </c>
      <c r="Q20" s="1188">
        <f t="shared" ref="Q20:BP20" si="9">MOD((P20),12)+1</f>
        <v>12</v>
      </c>
      <c r="R20" s="1188">
        <f t="shared" si="9"/>
        <v>1</v>
      </c>
      <c r="S20" s="1188">
        <f t="shared" si="9"/>
        <v>2</v>
      </c>
      <c r="T20" s="1188">
        <f t="shared" si="9"/>
        <v>3</v>
      </c>
      <c r="U20" s="1189">
        <f t="shared" si="9"/>
        <v>4</v>
      </c>
      <c r="V20" s="1189">
        <f t="shared" si="9"/>
        <v>5</v>
      </c>
      <c r="W20" s="1189">
        <f t="shared" si="9"/>
        <v>6</v>
      </c>
      <c r="X20" s="1189">
        <f t="shared" si="9"/>
        <v>7</v>
      </c>
      <c r="Y20" s="319">
        <f t="shared" si="9"/>
        <v>8</v>
      </c>
      <c r="Z20" s="320">
        <f t="shared" si="9"/>
        <v>9</v>
      </c>
      <c r="AA20" s="321">
        <f t="shared" si="9"/>
        <v>10</v>
      </c>
      <c r="AB20" s="1189">
        <f t="shared" si="9"/>
        <v>11</v>
      </c>
      <c r="AC20" s="1189">
        <f t="shared" si="9"/>
        <v>12</v>
      </c>
      <c r="AD20" s="1189">
        <f t="shared" si="9"/>
        <v>1</v>
      </c>
      <c r="AE20" s="1189">
        <f t="shared" si="9"/>
        <v>2</v>
      </c>
      <c r="AF20" s="1189">
        <f t="shared" si="9"/>
        <v>3</v>
      </c>
      <c r="AG20" s="1189">
        <f t="shared" si="9"/>
        <v>4</v>
      </c>
      <c r="AH20" s="1189">
        <f t="shared" si="9"/>
        <v>5</v>
      </c>
      <c r="AI20" s="1189">
        <f t="shared" si="9"/>
        <v>6</v>
      </c>
      <c r="AJ20" s="1189">
        <f t="shared" si="9"/>
        <v>7</v>
      </c>
      <c r="AK20" s="1189">
        <f t="shared" si="9"/>
        <v>8</v>
      </c>
      <c r="AL20" s="1189">
        <f t="shared" si="9"/>
        <v>9</v>
      </c>
      <c r="AM20" s="1189">
        <f t="shared" si="9"/>
        <v>10</v>
      </c>
      <c r="AN20" s="1189">
        <f t="shared" si="9"/>
        <v>11</v>
      </c>
      <c r="AO20" s="1189">
        <f t="shared" si="9"/>
        <v>12</v>
      </c>
      <c r="AP20" s="1189">
        <f t="shared" si="9"/>
        <v>1</v>
      </c>
      <c r="AQ20" s="1189">
        <f t="shared" si="9"/>
        <v>2</v>
      </c>
      <c r="AR20" s="1189">
        <f t="shared" si="9"/>
        <v>3</v>
      </c>
      <c r="AS20" s="1189">
        <f t="shared" si="9"/>
        <v>4</v>
      </c>
      <c r="AT20" s="1189">
        <f t="shared" si="9"/>
        <v>5</v>
      </c>
      <c r="AU20" s="1189">
        <f t="shared" si="9"/>
        <v>6</v>
      </c>
      <c r="AV20" s="1189">
        <f t="shared" si="9"/>
        <v>7</v>
      </c>
      <c r="AW20" s="1189">
        <f t="shared" si="9"/>
        <v>8</v>
      </c>
      <c r="AX20" s="1189">
        <f t="shared" si="9"/>
        <v>9</v>
      </c>
      <c r="AY20" s="1189">
        <f t="shared" si="9"/>
        <v>10</v>
      </c>
      <c r="AZ20" s="1189">
        <f t="shared" si="9"/>
        <v>11</v>
      </c>
      <c r="BA20" s="1189">
        <f t="shared" si="9"/>
        <v>12</v>
      </c>
      <c r="BB20" s="1189">
        <f t="shared" si="9"/>
        <v>1</v>
      </c>
      <c r="BC20" s="1189">
        <f t="shared" si="9"/>
        <v>2</v>
      </c>
      <c r="BD20" s="1189">
        <f t="shared" si="9"/>
        <v>3</v>
      </c>
      <c r="BE20" s="1189">
        <f t="shared" si="9"/>
        <v>4</v>
      </c>
      <c r="BF20" s="1189">
        <f t="shared" si="9"/>
        <v>5</v>
      </c>
      <c r="BG20" s="1189">
        <f t="shared" si="9"/>
        <v>6</v>
      </c>
      <c r="BH20" s="1189">
        <f t="shared" si="9"/>
        <v>7</v>
      </c>
      <c r="BI20" s="1190">
        <f t="shared" si="9"/>
        <v>8</v>
      </c>
      <c r="BJ20" s="1190">
        <f t="shared" si="9"/>
        <v>9</v>
      </c>
      <c r="BK20" s="1190">
        <f t="shared" si="9"/>
        <v>10</v>
      </c>
      <c r="BL20" s="1190">
        <f t="shared" si="9"/>
        <v>11</v>
      </c>
      <c r="BM20" s="1190">
        <f t="shared" si="9"/>
        <v>12</v>
      </c>
      <c r="BN20" s="1190">
        <f t="shared" si="9"/>
        <v>1</v>
      </c>
      <c r="BO20" s="1190">
        <f t="shared" si="9"/>
        <v>2</v>
      </c>
      <c r="BP20" s="1190">
        <f t="shared" si="9"/>
        <v>3</v>
      </c>
      <c r="BQ20" s="322" t="s">
        <v>34</v>
      </c>
      <c r="BR20" s="323" t="s">
        <v>149</v>
      </c>
      <c r="BS20" s="1191" t="s">
        <v>150</v>
      </c>
    </row>
    <row r="21" spans="1:71" ht="19.5" customHeight="1" thickBot="1">
      <c r="A21" s="38"/>
      <c r="B21" s="1552"/>
      <c r="C21" s="1553"/>
      <c r="D21" s="1553"/>
      <c r="E21" s="1553"/>
      <c r="F21" s="1554"/>
      <c r="G21" s="1588"/>
      <c r="H21" s="1553"/>
      <c r="I21" s="1553"/>
      <c r="J21" s="1553"/>
      <c r="K21" s="1554"/>
      <c r="L21" s="324" t="s">
        <v>151</v>
      </c>
      <c r="M21" s="1590"/>
      <c r="N21" s="38"/>
      <c r="O21" s="325"/>
      <c r="P21" s="326" t="s">
        <v>152</v>
      </c>
      <c r="Q21" s="326"/>
      <c r="R21" s="326"/>
      <c r="S21" s="326" t="s">
        <v>153</v>
      </c>
      <c r="T21" s="326" t="s">
        <v>154</v>
      </c>
      <c r="U21" s="327" t="s">
        <v>102</v>
      </c>
      <c r="V21" s="327" t="s">
        <v>155</v>
      </c>
      <c r="W21" s="327" t="s">
        <v>156</v>
      </c>
      <c r="X21" s="328" t="s">
        <v>157</v>
      </c>
      <c r="Y21" s="1192" t="s">
        <v>158</v>
      </c>
      <c r="Z21" s="329"/>
      <c r="AA21" s="329"/>
      <c r="AB21" s="327" t="s">
        <v>159</v>
      </c>
      <c r="AC21" s="327"/>
      <c r="AD21" s="327"/>
      <c r="AE21" s="327"/>
      <c r="AF21" s="327"/>
      <c r="AG21" s="327"/>
      <c r="AH21" s="327" t="s">
        <v>160</v>
      </c>
      <c r="AI21" s="327"/>
      <c r="AJ21" s="327"/>
      <c r="AK21" s="327"/>
      <c r="AL21" s="327"/>
      <c r="AM21" s="327"/>
      <c r="AN21" s="327" t="s">
        <v>161</v>
      </c>
      <c r="AO21" s="327"/>
      <c r="AP21" s="327"/>
      <c r="AQ21" s="327"/>
      <c r="AR21" s="327"/>
      <c r="AS21" s="327"/>
      <c r="AT21" s="327" t="s">
        <v>162</v>
      </c>
      <c r="AU21" s="330"/>
      <c r="AV21" s="330"/>
      <c r="AW21" s="330"/>
      <c r="AX21" s="330"/>
      <c r="AY21" s="330"/>
      <c r="AZ21" s="330" t="s">
        <v>163</v>
      </c>
      <c r="BA21" s="330"/>
      <c r="BB21" s="330"/>
      <c r="BC21" s="330"/>
      <c r="BD21" s="330"/>
      <c r="BE21" s="330"/>
      <c r="BF21" s="330" t="s">
        <v>164</v>
      </c>
      <c r="BG21" s="330"/>
      <c r="BH21" s="330" t="s">
        <v>129</v>
      </c>
      <c r="BI21" s="331" t="s">
        <v>165</v>
      </c>
      <c r="BJ21" s="331" t="s">
        <v>166</v>
      </c>
      <c r="BK21" s="331"/>
      <c r="BL21" s="331"/>
      <c r="BM21" s="331"/>
      <c r="BN21" s="331"/>
      <c r="BO21" s="331"/>
      <c r="BP21" s="331"/>
      <c r="BQ21" s="332"/>
      <c r="BR21" s="333"/>
      <c r="BS21" s="334"/>
    </row>
    <row r="22" spans="1:71" ht="30" customHeight="1" thickTop="1">
      <c r="A22" s="335"/>
      <c r="B22" s="1555" t="s">
        <v>167</v>
      </c>
      <c r="C22" s="1571" t="s">
        <v>50</v>
      </c>
      <c r="D22" s="336" t="s">
        <v>168</v>
      </c>
      <c r="E22" s="337">
        <f>SUMPRODUCT(E23:E37,G23:G37)</f>
        <v>15824.985000000001</v>
      </c>
      <c r="F22" s="338"/>
      <c r="G22" s="339">
        <f>SUM(G23:G37)</f>
        <v>644</v>
      </c>
      <c r="H22" s="340" t="s">
        <v>169</v>
      </c>
      <c r="I22" s="341" t="s">
        <v>170</v>
      </c>
      <c r="J22" s="342"/>
      <c r="K22" s="343"/>
      <c r="L22" s="344">
        <f t="shared" ref="L22:L66" si="10">M22/M$69</f>
        <v>0.72179116294066403</v>
      </c>
      <c r="M22" s="345">
        <f>SUM(M23:M37)</f>
        <v>676755483.52499998</v>
      </c>
      <c r="N22" s="38"/>
      <c r="O22" s="346" t="str">
        <f>C22</f>
        <v>일반분양</v>
      </c>
      <c r="P22" s="978">
        <f>SUM(P23:P37)</f>
        <v>0</v>
      </c>
      <c r="Q22" s="978">
        <f t="shared" ref="Q22:BO22" si="11">SUM(Q23:Q37)</f>
        <v>0</v>
      </c>
      <c r="R22" s="978">
        <f t="shared" si="11"/>
        <v>0</v>
      </c>
      <c r="S22" s="978">
        <f t="shared" si="11"/>
        <v>0</v>
      </c>
      <c r="T22" s="978">
        <f t="shared" si="11"/>
        <v>0</v>
      </c>
      <c r="U22" s="978">
        <f t="shared" si="11"/>
        <v>0</v>
      </c>
      <c r="V22" s="978">
        <f t="shared" si="11"/>
        <v>47372883.846749991</v>
      </c>
      <c r="W22" s="978">
        <f t="shared" si="11"/>
        <v>6767554.8352500014</v>
      </c>
      <c r="X22" s="978">
        <f t="shared" si="11"/>
        <v>6767554.8352500014</v>
      </c>
      <c r="Y22" s="978">
        <f t="shared" si="11"/>
        <v>6767554.8352500014</v>
      </c>
      <c r="Z22" s="978">
        <f t="shared" si="11"/>
        <v>0</v>
      </c>
      <c r="AA22" s="978">
        <f t="shared" si="11"/>
        <v>0</v>
      </c>
      <c r="AB22" s="978">
        <f t="shared" si="11"/>
        <v>67675548.352499992</v>
      </c>
      <c r="AC22" s="978">
        <f t="shared" si="11"/>
        <v>0</v>
      </c>
      <c r="AD22" s="978">
        <f t="shared" si="11"/>
        <v>0</v>
      </c>
      <c r="AE22" s="978">
        <f t="shared" si="11"/>
        <v>0</v>
      </c>
      <c r="AF22" s="978">
        <f t="shared" si="11"/>
        <v>0</v>
      </c>
      <c r="AG22" s="978">
        <f t="shared" si="11"/>
        <v>0</v>
      </c>
      <c r="AH22" s="978">
        <f t="shared" si="11"/>
        <v>67675548.352499992</v>
      </c>
      <c r="AI22" s="978">
        <f t="shared" si="11"/>
        <v>0</v>
      </c>
      <c r="AJ22" s="978">
        <f t="shared" si="11"/>
        <v>0</v>
      </c>
      <c r="AK22" s="978">
        <f t="shared" si="11"/>
        <v>0</v>
      </c>
      <c r="AL22" s="978">
        <f t="shared" si="11"/>
        <v>0</v>
      </c>
      <c r="AM22" s="978">
        <f t="shared" si="11"/>
        <v>0</v>
      </c>
      <c r="AN22" s="978">
        <f t="shared" si="11"/>
        <v>67675548.352499992</v>
      </c>
      <c r="AO22" s="978">
        <f t="shared" si="11"/>
        <v>0</v>
      </c>
      <c r="AP22" s="978">
        <f t="shared" si="11"/>
        <v>0</v>
      </c>
      <c r="AQ22" s="978">
        <f t="shared" si="11"/>
        <v>0</v>
      </c>
      <c r="AR22" s="978">
        <f t="shared" si="11"/>
        <v>0</v>
      </c>
      <c r="AS22" s="978">
        <f t="shared" si="11"/>
        <v>0</v>
      </c>
      <c r="AT22" s="978">
        <f t="shared" si="11"/>
        <v>67675548.352499992</v>
      </c>
      <c r="AU22" s="978">
        <f t="shared" si="11"/>
        <v>0</v>
      </c>
      <c r="AV22" s="978">
        <f t="shared" si="11"/>
        <v>0</v>
      </c>
      <c r="AW22" s="978">
        <f t="shared" si="11"/>
        <v>0</v>
      </c>
      <c r="AX22" s="978">
        <f t="shared" si="11"/>
        <v>0</v>
      </c>
      <c r="AY22" s="978">
        <f t="shared" si="11"/>
        <v>0</v>
      </c>
      <c r="AZ22" s="978">
        <f t="shared" si="11"/>
        <v>67675548.352499992</v>
      </c>
      <c r="BA22" s="978">
        <f t="shared" si="11"/>
        <v>0</v>
      </c>
      <c r="BB22" s="978">
        <f t="shared" si="11"/>
        <v>0</v>
      </c>
      <c r="BC22" s="978">
        <f t="shared" si="11"/>
        <v>0</v>
      </c>
      <c r="BD22" s="978">
        <f t="shared" si="11"/>
        <v>0</v>
      </c>
      <c r="BE22" s="978">
        <f t="shared" si="11"/>
        <v>0</v>
      </c>
      <c r="BF22" s="978">
        <f t="shared" si="11"/>
        <v>67675548.352499992</v>
      </c>
      <c r="BG22" s="978">
        <f t="shared" si="11"/>
        <v>0</v>
      </c>
      <c r="BH22" s="978">
        <f t="shared" si="11"/>
        <v>0</v>
      </c>
      <c r="BI22" s="978">
        <f t="shared" si="11"/>
        <v>203026645.0575</v>
      </c>
      <c r="BJ22" s="978">
        <f t="shared" si="11"/>
        <v>0</v>
      </c>
      <c r="BK22" s="978">
        <f t="shared" si="11"/>
        <v>0</v>
      </c>
      <c r="BL22" s="978">
        <f t="shared" si="11"/>
        <v>0</v>
      </c>
      <c r="BM22" s="978">
        <f t="shared" si="11"/>
        <v>0</v>
      </c>
      <c r="BN22" s="978">
        <f t="shared" si="11"/>
        <v>0</v>
      </c>
      <c r="BO22" s="978">
        <f t="shared" si="11"/>
        <v>0</v>
      </c>
      <c r="BP22" s="978">
        <f>SUM(BP23:BP37)</f>
        <v>0</v>
      </c>
      <c r="BQ22" s="979">
        <f>SUM(P22:BP22)</f>
        <v>676755483.52499986</v>
      </c>
      <c r="BR22" s="980">
        <f>+M22</f>
        <v>676755483.52499998</v>
      </c>
      <c r="BS22" s="1193">
        <f t="shared" ref="BS22:BS53" si="12">BQ22-BR22</f>
        <v>0</v>
      </c>
    </row>
    <row r="23" spans="1:71" ht="19.5" customHeight="1">
      <c r="A23" s="38"/>
      <c r="B23" s="1556"/>
      <c r="C23" s="1572"/>
      <c r="D23" s="347" t="s">
        <v>60</v>
      </c>
      <c r="E23" s="959">
        <f>건축개요!B42</f>
        <v>18.095549999999999</v>
      </c>
      <c r="F23" s="1194" t="s">
        <v>171</v>
      </c>
      <c r="G23" s="1195">
        <f>건축개요!C42</f>
        <v>142</v>
      </c>
      <c r="H23" s="1196">
        <f>IF(건축개요!D42&gt;85,I23*(1-$I$15),I23)</f>
        <v>42765</v>
      </c>
      <c r="I23" s="991">
        <f>L15</f>
        <v>42765</v>
      </c>
      <c r="J23" s="1197" t="s">
        <v>172</v>
      </c>
      <c r="K23" s="993">
        <f t="shared" ref="K23:K36" si="13">E23*I23</f>
        <v>773856.19574999996</v>
      </c>
      <c r="L23" s="348">
        <f t="shared" si="10"/>
        <v>0.11720020885670554</v>
      </c>
      <c r="M23" s="956">
        <f>E23*G23*I23</f>
        <v>109887579.7965</v>
      </c>
      <c r="N23" s="38"/>
      <c r="O23" s="364"/>
      <c r="P23" s="1198"/>
      <c r="Q23" s="1198"/>
      <c r="R23" s="1198"/>
      <c r="S23" s="1198"/>
      <c r="T23" s="1198"/>
      <c r="U23" s="1198"/>
      <c r="V23" s="955">
        <f>$M23*$S$5*10%</f>
        <v>7692130.5857549999</v>
      </c>
      <c r="W23" s="955">
        <f>$M23*$S$6*10%</f>
        <v>1098875.7979650002</v>
      </c>
      <c r="X23" s="955">
        <f>$M23*$S$7*10%</f>
        <v>1098875.7979650002</v>
      </c>
      <c r="Y23" s="955">
        <f>$M23*$S$8*10%</f>
        <v>1098875.7979650002</v>
      </c>
      <c r="Z23" s="955"/>
      <c r="AA23" s="1198"/>
      <c r="AB23" s="1198">
        <f>$M23*10%</f>
        <v>10988757.97965</v>
      </c>
      <c r="AC23" s="1198"/>
      <c r="AD23" s="955"/>
      <c r="AE23" s="1198"/>
      <c r="AF23" s="1198"/>
      <c r="AG23" s="1198"/>
      <c r="AH23" s="1198">
        <f>$M23*10%</f>
        <v>10988757.97965</v>
      </c>
      <c r="AI23" s="1198"/>
      <c r="AJ23" s="1198"/>
      <c r="AK23" s="1198"/>
      <c r="AL23" s="955"/>
      <c r="AM23" s="1198"/>
      <c r="AN23" s="1198">
        <f>$M23*10%</f>
        <v>10988757.97965</v>
      </c>
      <c r="AO23" s="1198"/>
      <c r="AP23" s="1198"/>
      <c r="AQ23" s="1198"/>
      <c r="AR23" s="1198"/>
      <c r="AS23" s="1198"/>
      <c r="AT23" s="1198">
        <f>$M23*10%</f>
        <v>10988757.97965</v>
      </c>
      <c r="AU23" s="1198"/>
      <c r="AV23" s="1198"/>
      <c r="AW23" s="1198"/>
      <c r="AX23" s="1198"/>
      <c r="AY23" s="1198"/>
      <c r="AZ23" s="1198">
        <f>$M23*10%</f>
        <v>10988757.97965</v>
      </c>
      <c r="BA23" s="1198"/>
      <c r="BB23" s="1198"/>
      <c r="BC23" s="1198"/>
      <c r="BD23" s="1198"/>
      <c r="BE23" s="1198"/>
      <c r="BF23" s="1198">
        <f>$M23*10%</f>
        <v>10988757.97965</v>
      </c>
      <c r="BG23" s="1198"/>
      <c r="BH23" s="1198"/>
      <c r="BI23" s="1198">
        <f>$M23*30%</f>
        <v>32966273.938949998</v>
      </c>
      <c r="BJ23" s="1198"/>
      <c r="BK23" s="1198"/>
      <c r="BL23" s="1198"/>
      <c r="BM23" s="1198"/>
      <c r="BN23" s="1198"/>
      <c r="BO23" s="1198"/>
      <c r="BP23" s="1198"/>
      <c r="BQ23" s="354">
        <f t="shared" ref="BQ23:BQ38" si="14">SUM(P23:BP23)</f>
        <v>109887579.7965</v>
      </c>
      <c r="BR23" s="349">
        <f t="shared" ref="BR23:BR39" si="15">$M23</f>
        <v>109887579.7965</v>
      </c>
      <c r="BS23" s="1193">
        <f t="shared" si="12"/>
        <v>0</v>
      </c>
    </row>
    <row r="24" spans="1:71" ht="19.5" customHeight="1">
      <c r="A24" s="38"/>
      <c r="B24" s="1556"/>
      <c r="C24" s="1572"/>
      <c r="D24" s="350" t="s">
        <v>61</v>
      </c>
      <c r="E24" s="351">
        <f>건축개요!B43</f>
        <v>18.14395</v>
      </c>
      <c r="F24" s="352" t="s">
        <v>171</v>
      </c>
      <c r="G24" s="1195">
        <f>건축개요!C43</f>
        <v>19</v>
      </c>
      <c r="H24" s="1199">
        <f>IF(건축개요!D43&gt;85,I24*(1-$I$15),I24)</f>
        <v>42765</v>
      </c>
      <c r="I24" s="1200">
        <f>$I$23</f>
        <v>42765</v>
      </c>
      <c r="J24" s="1201" t="s">
        <v>172</v>
      </c>
      <c r="K24" s="994">
        <f t="shared" si="13"/>
        <v>775926.02174999996</v>
      </c>
      <c r="L24" s="353">
        <f t="shared" si="10"/>
        <v>1.5723661832596235E-2</v>
      </c>
      <c r="M24" s="956">
        <f t="shared" ref="M24:M25" si="16">E24*G24*I24</f>
        <v>14742594.413249999</v>
      </c>
      <c r="N24" s="38"/>
      <c r="O24" s="364"/>
      <c r="P24" s="954"/>
      <c r="Q24" s="954"/>
      <c r="R24" s="954"/>
      <c r="S24" s="954"/>
      <c r="T24" s="954"/>
      <c r="U24" s="954"/>
      <c r="V24" s="955">
        <f t="shared" ref="V24:V37" si="17">$M24*$S$5*10%</f>
        <v>1031981.6089275</v>
      </c>
      <c r="W24" s="955">
        <f t="shared" ref="W24:W37" si="18">$M24*$S$6*10%</f>
        <v>147425.94413250001</v>
      </c>
      <c r="X24" s="955">
        <f t="shared" ref="X24:X37" si="19">$M24*$S$7*10%</f>
        <v>147425.94413250001</v>
      </c>
      <c r="Y24" s="955">
        <f t="shared" ref="Y24:Y37" si="20">$M24*$S$8*10%</f>
        <v>147425.94413250001</v>
      </c>
      <c r="Z24" s="955"/>
      <c r="AA24" s="954"/>
      <c r="AB24" s="1198">
        <f t="shared" ref="AB24:AB37" si="21">$M24*10%</f>
        <v>1474259.441325</v>
      </c>
      <c r="AC24" s="954"/>
      <c r="AD24" s="955"/>
      <c r="AE24" s="954"/>
      <c r="AF24" s="954"/>
      <c r="AG24" s="954"/>
      <c r="AH24" s="1198">
        <f t="shared" ref="AH24:AH37" si="22">$M24*10%</f>
        <v>1474259.441325</v>
      </c>
      <c r="AI24" s="1198"/>
      <c r="AJ24" s="1198"/>
      <c r="AK24" s="1198"/>
      <c r="AL24" s="955"/>
      <c r="AM24" s="1198"/>
      <c r="AN24" s="1198">
        <f t="shared" ref="AN24:AN37" si="23">$M24*10%</f>
        <v>1474259.441325</v>
      </c>
      <c r="AO24" s="1198"/>
      <c r="AP24" s="1198"/>
      <c r="AQ24" s="1198"/>
      <c r="AR24" s="1198"/>
      <c r="AS24" s="1198"/>
      <c r="AT24" s="1198">
        <f t="shared" ref="AT24:AT37" si="24">$M24*10%</f>
        <v>1474259.441325</v>
      </c>
      <c r="AU24" s="954"/>
      <c r="AV24" s="954"/>
      <c r="AW24" s="954"/>
      <c r="AX24" s="954"/>
      <c r="AY24" s="954"/>
      <c r="AZ24" s="1198">
        <f t="shared" ref="AZ24:AZ37" si="25">$M24*10%</f>
        <v>1474259.441325</v>
      </c>
      <c r="BA24" s="954"/>
      <c r="BB24" s="954"/>
      <c r="BC24" s="954"/>
      <c r="BD24" s="954"/>
      <c r="BE24" s="954"/>
      <c r="BF24" s="1198">
        <f t="shared" ref="BF24:BF37" si="26">$M24*10%</f>
        <v>1474259.441325</v>
      </c>
      <c r="BG24" s="954"/>
      <c r="BH24" s="1198"/>
      <c r="BI24" s="1198">
        <f t="shared" ref="BI24:BI37" si="27">$M24*30%</f>
        <v>4422778.3239749996</v>
      </c>
      <c r="BJ24" s="954"/>
      <c r="BK24" s="954"/>
      <c r="BL24" s="954"/>
      <c r="BM24" s="954"/>
      <c r="BN24" s="954"/>
      <c r="BO24" s="954"/>
      <c r="BP24" s="954"/>
      <c r="BQ24" s="354">
        <f t="shared" si="14"/>
        <v>14742594.413249999</v>
      </c>
      <c r="BR24" s="349">
        <f t="shared" si="15"/>
        <v>14742594.413249999</v>
      </c>
      <c r="BS24" s="1193">
        <f t="shared" si="12"/>
        <v>0</v>
      </c>
    </row>
    <row r="25" spans="1:71" ht="19.5" customHeight="1">
      <c r="A25" s="38"/>
      <c r="B25" s="1556"/>
      <c r="C25" s="1572"/>
      <c r="D25" s="350" t="s">
        <v>62</v>
      </c>
      <c r="E25" s="351">
        <f>건축개요!B44</f>
        <v>18.095549999999999</v>
      </c>
      <c r="F25" s="352" t="s">
        <v>52</v>
      </c>
      <c r="G25" s="1195">
        <f>건축개요!C44</f>
        <v>20</v>
      </c>
      <c r="H25" s="1199">
        <f>IF(건축개요!D44&gt;85,I25*(1-$I$15),I25)</f>
        <v>42765</v>
      </c>
      <c r="I25" s="1200">
        <f>$I$23</f>
        <v>42765</v>
      </c>
      <c r="J25" s="1201" t="s">
        <v>172</v>
      </c>
      <c r="K25" s="994">
        <f t="shared" si="13"/>
        <v>773856.19574999996</v>
      </c>
      <c r="L25" s="353">
        <f t="shared" si="10"/>
        <v>1.6507071669958528E-2</v>
      </c>
      <c r="M25" s="956">
        <f t="shared" si="16"/>
        <v>15477123.915000001</v>
      </c>
      <c r="N25" s="38"/>
      <c r="O25" s="364"/>
      <c r="P25" s="954"/>
      <c r="Q25" s="954"/>
      <c r="R25" s="954"/>
      <c r="S25" s="954"/>
      <c r="T25" s="954"/>
      <c r="U25" s="954"/>
      <c r="V25" s="955">
        <f t="shared" si="17"/>
        <v>1083398.67405</v>
      </c>
      <c r="W25" s="955">
        <f t="shared" si="18"/>
        <v>154771.23915000001</v>
      </c>
      <c r="X25" s="955">
        <f t="shared" si="19"/>
        <v>154771.23915000001</v>
      </c>
      <c r="Y25" s="955">
        <f t="shared" si="20"/>
        <v>154771.23915000001</v>
      </c>
      <c r="Z25" s="954"/>
      <c r="AA25" s="954"/>
      <c r="AB25" s="1198">
        <f t="shared" si="21"/>
        <v>1547712.3915000001</v>
      </c>
      <c r="AC25" s="954"/>
      <c r="AD25" s="955"/>
      <c r="AE25" s="954"/>
      <c r="AF25" s="954"/>
      <c r="AG25" s="954"/>
      <c r="AH25" s="1198">
        <f t="shared" si="22"/>
        <v>1547712.3915000001</v>
      </c>
      <c r="AI25" s="954"/>
      <c r="AJ25" s="954"/>
      <c r="AK25" s="954"/>
      <c r="AL25" s="955"/>
      <c r="AM25" s="954"/>
      <c r="AN25" s="1198">
        <f t="shared" si="23"/>
        <v>1547712.3915000001</v>
      </c>
      <c r="AO25" s="954"/>
      <c r="AP25" s="954"/>
      <c r="AQ25" s="954"/>
      <c r="AR25" s="954"/>
      <c r="AS25" s="954"/>
      <c r="AT25" s="1198">
        <f t="shared" si="24"/>
        <v>1547712.3915000001</v>
      </c>
      <c r="AU25" s="954"/>
      <c r="AV25" s="954"/>
      <c r="AW25" s="954"/>
      <c r="AX25" s="954"/>
      <c r="AY25" s="954"/>
      <c r="AZ25" s="1198">
        <f t="shared" si="25"/>
        <v>1547712.3915000001</v>
      </c>
      <c r="BA25" s="954"/>
      <c r="BB25" s="954"/>
      <c r="BC25" s="954"/>
      <c r="BD25" s="954"/>
      <c r="BE25" s="954"/>
      <c r="BF25" s="1198">
        <f t="shared" si="26"/>
        <v>1547712.3915000001</v>
      </c>
      <c r="BG25" s="954"/>
      <c r="BH25" s="1198"/>
      <c r="BI25" s="1198">
        <f t="shared" si="27"/>
        <v>4643137.1744999997</v>
      </c>
      <c r="BJ25" s="954"/>
      <c r="BK25" s="954"/>
      <c r="BL25" s="954"/>
      <c r="BM25" s="954"/>
      <c r="BN25" s="954"/>
      <c r="BO25" s="954"/>
      <c r="BP25" s="954"/>
      <c r="BQ25" s="354">
        <f t="shared" si="14"/>
        <v>15477123.915000001</v>
      </c>
      <c r="BR25" s="349">
        <f t="shared" si="15"/>
        <v>15477123.915000001</v>
      </c>
      <c r="BS25" s="1193">
        <f t="shared" si="12"/>
        <v>0</v>
      </c>
    </row>
    <row r="26" spans="1:71" ht="19.5" customHeight="1">
      <c r="A26" s="38"/>
      <c r="B26" s="1556"/>
      <c r="C26" s="1572"/>
      <c r="D26" s="350" t="s">
        <v>63</v>
      </c>
      <c r="E26" s="351">
        <f>건축개요!B45</f>
        <v>25.69435</v>
      </c>
      <c r="F26" s="352" t="s">
        <v>52</v>
      </c>
      <c r="G26" s="1195">
        <f>건축개요!C45</f>
        <v>88</v>
      </c>
      <c r="H26" s="1199">
        <f>IF(건축개요!D45&gt;85,I26*(1-$I$15),I26)</f>
        <v>42765</v>
      </c>
      <c r="I26" s="1200">
        <f t="shared" ref="I26:I37" si="28">$I$23</f>
        <v>42765</v>
      </c>
      <c r="J26" s="1201" t="s">
        <v>172</v>
      </c>
      <c r="K26" s="994">
        <f t="shared" si="13"/>
        <v>1098818.87775</v>
      </c>
      <c r="L26" s="353">
        <f t="shared" si="10"/>
        <v>0.10313084148518255</v>
      </c>
      <c r="M26" s="956">
        <f>E26*G26*I26</f>
        <v>96696061.241999999</v>
      </c>
      <c r="N26" s="38"/>
      <c r="O26" s="364"/>
      <c r="P26" s="954"/>
      <c r="Q26" s="954"/>
      <c r="R26" s="954"/>
      <c r="S26" s="954"/>
      <c r="T26" s="954"/>
      <c r="U26" s="954"/>
      <c r="V26" s="955">
        <f t="shared" si="17"/>
        <v>6768724.28694</v>
      </c>
      <c r="W26" s="955">
        <f t="shared" si="18"/>
        <v>966960.61242000002</v>
      </c>
      <c r="X26" s="955">
        <f t="shared" si="19"/>
        <v>966960.61242000002</v>
      </c>
      <c r="Y26" s="955">
        <f t="shared" si="20"/>
        <v>966960.61242000002</v>
      </c>
      <c r="Z26" s="954"/>
      <c r="AA26" s="954"/>
      <c r="AB26" s="1198">
        <f t="shared" si="21"/>
        <v>9669606.1241999995</v>
      </c>
      <c r="AC26" s="954"/>
      <c r="AD26" s="954"/>
      <c r="AE26" s="954"/>
      <c r="AF26" s="954"/>
      <c r="AG26" s="954"/>
      <c r="AH26" s="1198">
        <f t="shared" si="22"/>
        <v>9669606.1241999995</v>
      </c>
      <c r="AI26" s="954"/>
      <c r="AJ26" s="954"/>
      <c r="AK26" s="954"/>
      <c r="AL26" s="955"/>
      <c r="AM26" s="954"/>
      <c r="AN26" s="1198">
        <f t="shared" si="23"/>
        <v>9669606.1241999995</v>
      </c>
      <c r="AO26" s="954"/>
      <c r="AP26" s="954"/>
      <c r="AQ26" s="954"/>
      <c r="AR26" s="954"/>
      <c r="AS26" s="954"/>
      <c r="AT26" s="1198">
        <f t="shared" si="24"/>
        <v>9669606.1241999995</v>
      </c>
      <c r="AU26" s="954"/>
      <c r="AV26" s="954"/>
      <c r="AW26" s="954"/>
      <c r="AX26" s="954"/>
      <c r="AY26" s="954"/>
      <c r="AZ26" s="1198">
        <f t="shared" si="25"/>
        <v>9669606.1241999995</v>
      </c>
      <c r="BA26" s="954"/>
      <c r="BB26" s="954"/>
      <c r="BC26" s="954"/>
      <c r="BD26" s="954"/>
      <c r="BE26" s="954"/>
      <c r="BF26" s="1198">
        <f t="shared" si="26"/>
        <v>9669606.1241999995</v>
      </c>
      <c r="BG26" s="954"/>
      <c r="BH26" s="1198"/>
      <c r="BI26" s="1198">
        <f t="shared" si="27"/>
        <v>29008818.3726</v>
      </c>
      <c r="BJ26" s="954"/>
      <c r="BK26" s="954"/>
      <c r="BL26" s="954"/>
      <c r="BM26" s="954"/>
      <c r="BN26" s="954"/>
      <c r="BO26" s="954"/>
      <c r="BP26" s="954"/>
      <c r="BQ26" s="354">
        <f t="shared" si="14"/>
        <v>96696061.241999999</v>
      </c>
      <c r="BR26" s="349">
        <f t="shared" si="15"/>
        <v>96696061.241999999</v>
      </c>
      <c r="BS26" s="1193">
        <f t="shared" si="12"/>
        <v>0</v>
      </c>
    </row>
    <row r="27" spans="1:71" ht="19.5" customHeight="1">
      <c r="A27" s="38"/>
      <c r="B27" s="1556"/>
      <c r="C27" s="1572"/>
      <c r="D27" s="350" t="s">
        <v>64</v>
      </c>
      <c r="E27" s="351">
        <f>건축개요!B46</f>
        <v>25.627800000000001</v>
      </c>
      <c r="F27" s="352" t="s">
        <v>52</v>
      </c>
      <c r="G27" s="1195">
        <f>건축개요!C46</f>
        <v>70</v>
      </c>
      <c r="H27" s="1199">
        <f>IF(건축개요!D46&gt;85,I27*(1-$I$15),I27)</f>
        <v>42765</v>
      </c>
      <c r="I27" s="1200">
        <f t="shared" si="28"/>
        <v>42765</v>
      </c>
      <c r="J27" s="1201" t="s">
        <v>172</v>
      </c>
      <c r="K27" s="994">
        <f t="shared" si="13"/>
        <v>1095972.8670000001</v>
      </c>
      <c r="L27" s="353">
        <f t="shared" si="10"/>
        <v>8.1823418448279894E-2</v>
      </c>
      <c r="M27" s="956">
        <f t="shared" ref="M27:M36" si="29">E27*G27*I27</f>
        <v>76718100.690000013</v>
      </c>
      <c r="N27" s="38"/>
      <c r="O27" s="364"/>
      <c r="P27" s="954"/>
      <c r="Q27" s="954"/>
      <c r="R27" s="954"/>
      <c r="S27" s="954"/>
      <c r="T27" s="954"/>
      <c r="U27" s="954"/>
      <c r="V27" s="955">
        <f t="shared" si="17"/>
        <v>5370267.0483000008</v>
      </c>
      <c r="W27" s="955">
        <f t="shared" si="18"/>
        <v>767181.00690000027</v>
      </c>
      <c r="X27" s="955">
        <f t="shared" si="19"/>
        <v>767181.00690000027</v>
      </c>
      <c r="Y27" s="955">
        <f t="shared" si="20"/>
        <v>767181.00690000027</v>
      </c>
      <c r="Z27" s="954"/>
      <c r="AA27" s="954"/>
      <c r="AB27" s="1198">
        <f t="shared" si="21"/>
        <v>7671810.069000002</v>
      </c>
      <c r="AC27" s="954"/>
      <c r="AD27" s="954"/>
      <c r="AE27" s="954"/>
      <c r="AF27" s="954"/>
      <c r="AG27" s="954"/>
      <c r="AH27" s="1198">
        <f t="shared" si="22"/>
        <v>7671810.069000002</v>
      </c>
      <c r="AI27" s="954"/>
      <c r="AJ27" s="954"/>
      <c r="AK27" s="954"/>
      <c r="AL27" s="955"/>
      <c r="AM27" s="954"/>
      <c r="AN27" s="1198">
        <f t="shared" si="23"/>
        <v>7671810.069000002</v>
      </c>
      <c r="AO27" s="954"/>
      <c r="AP27" s="954"/>
      <c r="AQ27" s="954"/>
      <c r="AR27" s="954"/>
      <c r="AS27" s="954"/>
      <c r="AT27" s="1198">
        <f t="shared" si="24"/>
        <v>7671810.069000002</v>
      </c>
      <c r="AU27" s="954"/>
      <c r="AV27" s="954"/>
      <c r="AW27" s="954"/>
      <c r="AX27" s="954"/>
      <c r="AY27" s="954"/>
      <c r="AZ27" s="1198">
        <f t="shared" si="25"/>
        <v>7671810.069000002</v>
      </c>
      <c r="BA27" s="954"/>
      <c r="BB27" s="954"/>
      <c r="BC27" s="954"/>
      <c r="BD27" s="954"/>
      <c r="BE27" s="954"/>
      <c r="BF27" s="1198">
        <f t="shared" si="26"/>
        <v>7671810.069000002</v>
      </c>
      <c r="BG27" s="954"/>
      <c r="BH27" s="1198"/>
      <c r="BI27" s="1198">
        <f t="shared" si="27"/>
        <v>23015430.207000002</v>
      </c>
      <c r="BJ27" s="954"/>
      <c r="BK27" s="954"/>
      <c r="BL27" s="954"/>
      <c r="BM27" s="954"/>
      <c r="BN27" s="954"/>
      <c r="BO27" s="954"/>
      <c r="BP27" s="954"/>
      <c r="BQ27" s="354">
        <f t="shared" si="14"/>
        <v>76718100.690000027</v>
      </c>
      <c r="BR27" s="349">
        <f t="shared" si="15"/>
        <v>76718100.690000013</v>
      </c>
      <c r="BS27" s="1193">
        <f t="shared" si="12"/>
        <v>0</v>
      </c>
    </row>
    <row r="28" spans="1:71" ht="19.5" customHeight="1">
      <c r="A28" s="38"/>
      <c r="B28" s="1556"/>
      <c r="C28" s="1572"/>
      <c r="D28" s="350" t="s">
        <v>65</v>
      </c>
      <c r="E28" s="351">
        <f>건축개요!B47</f>
        <v>25.664100000000001</v>
      </c>
      <c r="F28" s="352" t="s">
        <v>52</v>
      </c>
      <c r="G28" s="1195">
        <f>건축개요!C47</f>
        <v>5</v>
      </c>
      <c r="H28" s="1199">
        <f>IF(건축개요!D47&gt;85,I28*(1-$I$15),I28)</f>
        <v>42765</v>
      </c>
      <c r="I28" s="1200">
        <f t="shared" si="28"/>
        <v>42765</v>
      </c>
      <c r="J28" s="1201" t="s">
        <v>172</v>
      </c>
      <c r="K28" s="994">
        <f t="shared" si="13"/>
        <v>1097525.2365000001</v>
      </c>
      <c r="L28" s="353">
        <f t="shared" si="10"/>
        <v>5.8528082601106719E-3</v>
      </c>
      <c r="M28" s="956">
        <f t="shared" si="29"/>
        <v>5487626.1825000001</v>
      </c>
      <c r="N28" s="38"/>
      <c r="O28" s="364"/>
      <c r="P28" s="954"/>
      <c r="Q28" s="954"/>
      <c r="R28" s="954"/>
      <c r="S28" s="954"/>
      <c r="T28" s="954"/>
      <c r="U28" s="954"/>
      <c r="V28" s="955">
        <f t="shared" si="17"/>
        <v>384133.83277500002</v>
      </c>
      <c r="W28" s="955">
        <f t="shared" si="18"/>
        <v>54876.261825000009</v>
      </c>
      <c r="X28" s="955">
        <f t="shared" si="19"/>
        <v>54876.261825000009</v>
      </c>
      <c r="Y28" s="955">
        <f t="shared" si="20"/>
        <v>54876.261825000009</v>
      </c>
      <c r="Z28" s="954"/>
      <c r="AA28" s="954"/>
      <c r="AB28" s="1198">
        <f t="shared" si="21"/>
        <v>548762.61825000006</v>
      </c>
      <c r="AC28" s="954"/>
      <c r="AD28" s="954"/>
      <c r="AE28" s="954"/>
      <c r="AF28" s="954"/>
      <c r="AG28" s="954"/>
      <c r="AH28" s="1198">
        <f t="shared" si="22"/>
        <v>548762.61825000006</v>
      </c>
      <c r="AI28" s="954"/>
      <c r="AJ28" s="954"/>
      <c r="AK28" s="954"/>
      <c r="AL28" s="954"/>
      <c r="AM28" s="954"/>
      <c r="AN28" s="1198">
        <f t="shared" si="23"/>
        <v>548762.61825000006</v>
      </c>
      <c r="AO28" s="954"/>
      <c r="AP28" s="954"/>
      <c r="AQ28" s="954"/>
      <c r="AR28" s="954"/>
      <c r="AS28" s="954"/>
      <c r="AT28" s="1198">
        <f t="shared" si="24"/>
        <v>548762.61825000006</v>
      </c>
      <c r="AU28" s="954"/>
      <c r="AV28" s="954"/>
      <c r="AW28" s="954"/>
      <c r="AX28" s="954"/>
      <c r="AY28" s="954"/>
      <c r="AZ28" s="1198">
        <f t="shared" si="25"/>
        <v>548762.61825000006</v>
      </c>
      <c r="BA28" s="954"/>
      <c r="BB28" s="954"/>
      <c r="BC28" s="954"/>
      <c r="BD28" s="954"/>
      <c r="BE28" s="954"/>
      <c r="BF28" s="1198">
        <f t="shared" si="26"/>
        <v>548762.61825000006</v>
      </c>
      <c r="BG28" s="954"/>
      <c r="BH28" s="1198"/>
      <c r="BI28" s="1198">
        <f t="shared" si="27"/>
        <v>1646287.8547499999</v>
      </c>
      <c r="BJ28" s="954"/>
      <c r="BK28" s="954"/>
      <c r="BL28" s="954"/>
      <c r="BM28" s="954"/>
      <c r="BN28" s="954"/>
      <c r="BO28" s="954"/>
      <c r="BP28" s="954"/>
      <c r="BQ28" s="354">
        <f t="shared" si="14"/>
        <v>5487626.182500001</v>
      </c>
      <c r="BR28" s="349">
        <f t="shared" si="15"/>
        <v>5487626.1825000001</v>
      </c>
      <c r="BS28" s="1193">
        <f t="shared" si="12"/>
        <v>0</v>
      </c>
    </row>
    <row r="29" spans="1:71" ht="19.5" customHeight="1">
      <c r="A29" s="38"/>
      <c r="B29" s="1556"/>
      <c r="C29" s="1572"/>
      <c r="D29" s="350" t="s">
        <v>66</v>
      </c>
      <c r="E29" s="351">
        <f>건축개요!B48</f>
        <v>25.68225</v>
      </c>
      <c r="F29" s="352" t="s">
        <v>52</v>
      </c>
      <c r="G29" s="1195">
        <f>건축개요!C48</f>
        <v>109</v>
      </c>
      <c r="H29" s="1199">
        <f>IF(건축개요!D48&gt;85,I29*(1-$I$15),I29)</f>
        <v>42765</v>
      </c>
      <c r="I29" s="1200">
        <f t="shared" si="28"/>
        <v>42765</v>
      </c>
      <c r="J29" s="1201" t="s">
        <v>172</v>
      </c>
      <c r="K29" s="994">
        <f t="shared" si="13"/>
        <v>1098301.4212499999</v>
      </c>
      <c r="L29" s="353">
        <f t="shared" si="10"/>
        <v>0.12768145431374389</v>
      </c>
      <c r="M29" s="956">
        <f t="shared" si="29"/>
        <v>119714854.91624999</v>
      </c>
      <c r="N29" s="38"/>
      <c r="O29" s="364"/>
      <c r="P29" s="954"/>
      <c r="Q29" s="954"/>
      <c r="R29" s="954"/>
      <c r="S29" s="954"/>
      <c r="T29" s="954"/>
      <c r="U29" s="954"/>
      <c r="V29" s="955">
        <f t="shared" si="17"/>
        <v>8380039.8441374991</v>
      </c>
      <c r="W29" s="955">
        <f t="shared" si="18"/>
        <v>1197148.5491625001</v>
      </c>
      <c r="X29" s="955">
        <f t="shared" si="19"/>
        <v>1197148.5491625001</v>
      </c>
      <c r="Y29" s="955">
        <f t="shared" si="20"/>
        <v>1197148.5491625001</v>
      </c>
      <c r="Z29" s="954"/>
      <c r="AA29" s="954"/>
      <c r="AB29" s="1198">
        <f t="shared" si="21"/>
        <v>11971485.491625</v>
      </c>
      <c r="AC29" s="954"/>
      <c r="AD29" s="954"/>
      <c r="AE29" s="954"/>
      <c r="AF29" s="954"/>
      <c r="AG29" s="954"/>
      <c r="AH29" s="1198">
        <f t="shared" si="22"/>
        <v>11971485.491625</v>
      </c>
      <c r="AI29" s="954"/>
      <c r="AJ29" s="954"/>
      <c r="AK29" s="954"/>
      <c r="AL29" s="954"/>
      <c r="AM29" s="954"/>
      <c r="AN29" s="1198">
        <f t="shared" si="23"/>
        <v>11971485.491625</v>
      </c>
      <c r="AO29" s="954"/>
      <c r="AP29" s="954"/>
      <c r="AQ29" s="954"/>
      <c r="AR29" s="954"/>
      <c r="AS29" s="954"/>
      <c r="AT29" s="1198">
        <f t="shared" si="24"/>
        <v>11971485.491625</v>
      </c>
      <c r="AU29" s="954"/>
      <c r="AV29" s="954"/>
      <c r="AW29" s="954"/>
      <c r="AX29" s="954"/>
      <c r="AY29" s="954"/>
      <c r="AZ29" s="1198">
        <f t="shared" si="25"/>
        <v>11971485.491625</v>
      </c>
      <c r="BA29" s="954"/>
      <c r="BB29" s="954"/>
      <c r="BC29" s="954"/>
      <c r="BD29" s="954"/>
      <c r="BE29" s="954"/>
      <c r="BF29" s="1198">
        <f t="shared" si="26"/>
        <v>11971485.491625</v>
      </c>
      <c r="BG29" s="954"/>
      <c r="BH29" s="1198"/>
      <c r="BI29" s="1198">
        <f t="shared" si="27"/>
        <v>35914456.474874996</v>
      </c>
      <c r="BJ29" s="954"/>
      <c r="BK29" s="954"/>
      <c r="BL29" s="954"/>
      <c r="BM29" s="954"/>
      <c r="BN29" s="954"/>
      <c r="BO29" s="954"/>
      <c r="BP29" s="954"/>
      <c r="BQ29" s="354">
        <f t="shared" si="14"/>
        <v>119714854.91624999</v>
      </c>
      <c r="BR29" s="349">
        <f t="shared" si="15"/>
        <v>119714854.91624999</v>
      </c>
      <c r="BS29" s="1193">
        <f t="shared" si="12"/>
        <v>0</v>
      </c>
    </row>
    <row r="30" spans="1:71" ht="19.5" customHeight="1">
      <c r="A30" s="38"/>
      <c r="B30" s="1556"/>
      <c r="C30" s="1572"/>
      <c r="D30" s="350" t="s">
        <v>67</v>
      </c>
      <c r="E30" s="351">
        <f>건축개요!B49</f>
        <v>25.697375000000001</v>
      </c>
      <c r="F30" s="352" t="s">
        <v>52</v>
      </c>
      <c r="G30" s="1195">
        <f>건축개요!C49</f>
        <v>45</v>
      </c>
      <c r="H30" s="1199">
        <f>IF(건축개요!D49&gt;85,I30*(1-$I$15),I30)</f>
        <v>42765</v>
      </c>
      <c r="I30" s="1200">
        <f t="shared" si="28"/>
        <v>42765</v>
      </c>
      <c r="J30" s="1201" t="s">
        <v>172</v>
      </c>
      <c r="K30" s="994">
        <f t="shared" si="13"/>
        <v>1098948.2418750001</v>
      </c>
      <c r="L30" s="353">
        <f t="shared" si="10"/>
        <v>5.2743570901315581E-2</v>
      </c>
      <c r="M30" s="956">
        <f t="shared" si="29"/>
        <v>49452670.884374999</v>
      </c>
      <c r="N30" s="38"/>
      <c r="O30" s="364"/>
      <c r="P30" s="954"/>
      <c r="Q30" s="954"/>
      <c r="R30" s="954"/>
      <c r="S30" s="954"/>
      <c r="T30" s="954"/>
      <c r="U30" s="954"/>
      <c r="V30" s="955">
        <f t="shared" si="17"/>
        <v>3461686.9619062501</v>
      </c>
      <c r="W30" s="955">
        <f t="shared" si="18"/>
        <v>494526.70884375006</v>
      </c>
      <c r="X30" s="955">
        <f t="shared" si="19"/>
        <v>494526.70884375006</v>
      </c>
      <c r="Y30" s="955">
        <f t="shared" si="20"/>
        <v>494526.70884375006</v>
      </c>
      <c r="Z30" s="954"/>
      <c r="AA30" s="954"/>
      <c r="AB30" s="1198">
        <f t="shared" si="21"/>
        <v>4945267.0884375004</v>
      </c>
      <c r="AC30" s="954"/>
      <c r="AD30" s="954"/>
      <c r="AE30" s="954"/>
      <c r="AF30" s="954"/>
      <c r="AG30" s="954"/>
      <c r="AH30" s="1198">
        <f t="shared" si="22"/>
        <v>4945267.0884375004</v>
      </c>
      <c r="AI30" s="954"/>
      <c r="AJ30" s="954"/>
      <c r="AK30" s="954"/>
      <c r="AL30" s="954"/>
      <c r="AM30" s="954"/>
      <c r="AN30" s="1198">
        <f t="shared" si="23"/>
        <v>4945267.0884375004</v>
      </c>
      <c r="AO30" s="954"/>
      <c r="AP30" s="954"/>
      <c r="AQ30" s="954"/>
      <c r="AR30" s="954"/>
      <c r="AS30" s="954"/>
      <c r="AT30" s="1198">
        <f t="shared" si="24"/>
        <v>4945267.0884375004</v>
      </c>
      <c r="AU30" s="954"/>
      <c r="AV30" s="954"/>
      <c r="AW30" s="954"/>
      <c r="AX30" s="954"/>
      <c r="AY30" s="954"/>
      <c r="AZ30" s="1198">
        <f t="shared" si="25"/>
        <v>4945267.0884375004</v>
      </c>
      <c r="BA30" s="954"/>
      <c r="BB30" s="954"/>
      <c r="BC30" s="954"/>
      <c r="BD30" s="954"/>
      <c r="BE30" s="954"/>
      <c r="BF30" s="1198">
        <f t="shared" si="26"/>
        <v>4945267.0884375004</v>
      </c>
      <c r="BG30" s="954"/>
      <c r="BH30" s="1198"/>
      <c r="BI30" s="1198">
        <f t="shared" si="27"/>
        <v>14835801.265312498</v>
      </c>
      <c r="BJ30" s="954"/>
      <c r="BK30" s="954"/>
      <c r="BL30" s="954"/>
      <c r="BM30" s="954"/>
      <c r="BN30" s="954"/>
      <c r="BO30" s="954"/>
      <c r="BP30" s="954"/>
      <c r="BQ30" s="354">
        <f t="shared" si="14"/>
        <v>49452670.884375006</v>
      </c>
      <c r="BR30" s="349">
        <f t="shared" si="15"/>
        <v>49452670.884374999</v>
      </c>
      <c r="BS30" s="1193">
        <f t="shared" si="12"/>
        <v>0</v>
      </c>
    </row>
    <row r="31" spans="1:71" ht="19.5" customHeight="1">
      <c r="A31" s="38"/>
      <c r="B31" s="1556"/>
      <c r="C31" s="1572"/>
      <c r="D31" s="350" t="s">
        <v>68</v>
      </c>
      <c r="E31" s="351">
        <f>건축개요!B50</f>
        <v>25.585449999999998</v>
      </c>
      <c r="F31" s="352" t="s">
        <v>52</v>
      </c>
      <c r="G31" s="1195">
        <f>건축개요!C50</f>
        <v>75</v>
      </c>
      <c r="H31" s="1199">
        <f>IF(건축개요!D50&gt;85,I31*(1-$I$15),I31)</f>
        <v>42765</v>
      </c>
      <c r="I31" s="1200">
        <f t="shared" si="28"/>
        <v>42765</v>
      </c>
      <c r="J31" s="1201" t="s">
        <v>172</v>
      </c>
      <c r="K31" s="994">
        <f t="shared" si="13"/>
        <v>1094161.7692499999</v>
      </c>
      <c r="L31" s="353">
        <f t="shared" si="10"/>
        <v>8.7523076845855835E-2</v>
      </c>
      <c r="M31" s="956">
        <f t="shared" si="29"/>
        <v>82062132.693749994</v>
      </c>
      <c r="N31" s="38"/>
      <c r="O31" s="364"/>
      <c r="P31" s="954"/>
      <c r="Q31" s="954"/>
      <c r="R31" s="954"/>
      <c r="S31" s="954"/>
      <c r="T31" s="954"/>
      <c r="U31" s="954"/>
      <c r="V31" s="955">
        <f t="shared" si="17"/>
        <v>5744349.288562499</v>
      </c>
      <c r="W31" s="955">
        <f t="shared" si="18"/>
        <v>820621.32693750004</v>
      </c>
      <c r="X31" s="955">
        <f t="shared" si="19"/>
        <v>820621.32693750004</v>
      </c>
      <c r="Y31" s="955">
        <f t="shared" si="20"/>
        <v>820621.32693750004</v>
      </c>
      <c r="Z31" s="954"/>
      <c r="AA31" s="954"/>
      <c r="AB31" s="1198">
        <f t="shared" si="21"/>
        <v>8206213.2693750001</v>
      </c>
      <c r="AC31" s="954"/>
      <c r="AD31" s="954"/>
      <c r="AE31" s="954"/>
      <c r="AF31" s="954"/>
      <c r="AG31" s="954"/>
      <c r="AH31" s="1198">
        <f t="shared" si="22"/>
        <v>8206213.2693750001</v>
      </c>
      <c r="AI31" s="954"/>
      <c r="AJ31" s="954"/>
      <c r="AK31" s="954"/>
      <c r="AL31" s="954"/>
      <c r="AM31" s="954"/>
      <c r="AN31" s="1198">
        <f t="shared" si="23"/>
        <v>8206213.2693750001</v>
      </c>
      <c r="AO31" s="954"/>
      <c r="AP31" s="954"/>
      <c r="AQ31" s="954"/>
      <c r="AR31" s="954"/>
      <c r="AS31" s="954"/>
      <c r="AT31" s="1198">
        <f t="shared" si="24"/>
        <v>8206213.2693750001</v>
      </c>
      <c r="AU31" s="954"/>
      <c r="AV31" s="954"/>
      <c r="AW31" s="954"/>
      <c r="AX31" s="954"/>
      <c r="AY31" s="954"/>
      <c r="AZ31" s="1198">
        <f t="shared" si="25"/>
        <v>8206213.2693750001</v>
      </c>
      <c r="BA31" s="954"/>
      <c r="BB31" s="954"/>
      <c r="BC31" s="954"/>
      <c r="BD31" s="954"/>
      <c r="BE31" s="954"/>
      <c r="BF31" s="1198">
        <f t="shared" si="26"/>
        <v>8206213.2693750001</v>
      </c>
      <c r="BG31" s="954"/>
      <c r="BH31" s="1198"/>
      <c r="BI31" s="1198">
        <f t="shared" si="27"/>
        <v>24618639.808124997</v>
      </c>
      <c r="BJ31" s="954"/>
      <c r="BK31" s="954"/>
      <c r="BL31" s="954"/>
      <c r="BM31" s="954"/>
      <c r="BN31" s="954"/>
      <c r="BO31" s="954"/>
      <c r="BP31" s="954"/>
      <c r="BQ31" s="354">
        <f t="shared" si="14"/>
        <v>82062132.693749994</v>
      </c>
      <c r="BR31" s="349">
        <f t="shared" si="15"/>
        <v>82062132.693749994</v>
      </c>
      <c r="BS31" s="1193">
        <f t="shared" si="12"/>
        <v>0</v>
      </c>
    </row>
    <row r="32" spans="1:71" ht="19.5" customHeight="1">
      <c r="A32" s="38"/>
      <c r="B32" s="1556"/>
      <c r="C32" s="1572"/>
      <c r="D32" s="350" t="s">
        <v>69</v>
      </c>
      <c r="E32" s="351">
        <f>건축개요!B51</f>
        <v>35.080925000000001</v>
      </c>
      <c r="F32" s="352" t="s">
        <v>52</v>
      </c>
      <c r="G32" s="1195">
        <f>건축개요!C51</f>
        <v>71</v>
      </c>
      <c r="H32" s="1199">
        <f>IF(건축개요!D51&gt;85,I32*(1-$I$15),I32)</f>
        <v>38488.5</v>
      </c>
      <c r="I32" s="1200">
        <f t="shared" si="28"/>
        <v>42765</v>
      </c>
      <c r="J32" s="1201" t="s">
        <v>172</v>
      </c>
      <c r="K32" s="994">
        <f t="shared" si="13"/>
        <v>1500235.7576250001</v>
      </c>
      <c r="L32" s="353">
        <f t="shared" si="10"/>
        <v>0.11360505032691527</v>
      </c>
      <c r="M32" s="956">
        <f t="shared" si="29"/>
        <v>106516738.79137501</v>
      </c>
      <c r="N32" s="38"/>
      <c r="O32" s="364"/>
      <c r="P32" s="954"/>
      <c r="Q32" s="954"/>
      <c r="R32" s="954"/>
      <c r="S32" s="954"/>
      <c r="T32" s="954"/>
      <c r="U32" s="954"/>
      <c r="V32" s="955">
        <f t="shared" si="17"/>
        <v>7456171.7153962515</v>
      </c>
      <c r="W32" s="955">
        <f t="shared" si="18"/>
        <v>1065167.3879137503</v>
      </c>
      <c r="X32" s="955">
        <f t="shared" si="19"/>
        <v>1065167.3879137503</v>
      </c>
      <c r="Y32" s="955">
        <f t="shared" si="20"/>
        <v>1065167.3879137503</v>
      </c>
      <c r="Z32" s="954"/>
      <c r="AA32" s="954"/>
      <c r="AB32" s="1198">
        <f t="shared" si="21"/>
        <v>10651673.879137501</v>
      </c>
      <c r="AC32" s="954"/>
      <c r="AD32" s="954"/>
      <c r="AE32" s="954"/>
      <c r="AF32" s="954"/>
      <c r="AG32" s="954"/>
      <c r="AH32" s="1198">
        <f t="shared" si="22"/>
        <v>10651673.879137501</v>
      </c>
      <c r="AI32" s="954"/>
      <c r="AJ32" s="954"/>
      <c r="AK32" s="954"/>
      <c r="AL32" s="954"/>
      <c r="AM32" s="954"/>
      <c r="AN32" s="1198">
        <f t="shared" si="23"/>
        <v>10651673.879137501</v>
      </c>
      <c r="AO32" s="954"/>
      <c r="AP32" s="954"/>
      <c r="AQ32" s="954"/>
      <c r="AR32" s="954"/>
      <c r="AS32" s="954"/>
      <c r="AT32" s="1198">
        <f t="shared" si="24"/>
        <v>10651673.879137501</v>
      </c>
      <c r="AU32" s="954"/>
      <c r="AV32" s="954"/>
      <c r="AW32" s="954"/>
      <c r="AX32" s="954"/>
      <c r="AY32" s="954"/>
      <c r="AZ32" s="1198">
        <f t="shared" si="25"/>
        <v>10651673.879137501</v>
      </c>
      <c r="BA32" s="954"/>
      <c r="BB32" s="954"/>
      <c r="BC32" s="954"/>
      <c r="BD32" s="954"/>
      <c r="BE32" s="954"/>
      <c r="BF32" s="1198">
        <f t="shared" si="26"/>
        <v>10651673.879137501</v>
      </c>
      <c r="BG32" s="954"/>
      <c r="BH32" s="1198"/>
      <c r="BI32" s="1198">
        <f t="shared" si="27"/>
        <v>31955021.637412503</v>
      </c>
      <c r="BJ32" s="954"/>
      <c r="BK32" s="954"/>
      <c r="BL32" s="954"/>
      <c r="BM32" s="954"/>
      <c r="BN32" s="954"/>
      <c r="BO32" s="954"/>
      <c r="BP32" s="954"/>
      <c r="BQ32" s="354">
        <f t="shared" si="14"/>
        <v>106516738.79137501</v>
      </c>
      <c r="BR32" s="349">
        <f t="shared" si="15"/>
        <v>106516738.79137501</v>
      </c>
      <c r="BS32" s="1193">
        <f t="shared" si="12"/>
        <v>0</v>
      </c>
    </row>
    <row r="33" spans="1:71" ht="19.5" customHeight="1">
      <c r="A33" s="38"/>
      <c r="B33" s="1556"/>
      <c r="C33" s="1572"/>
      <c r="D33" s="350" t="s">
        <v>70</v>
      </c>
      <c r="E33" s="351">
        <f>건축개요!B52</f>
        <v>0</v>
      </c>
      <c r="F33" s="352" t="s">
        <v>52</v>
      </c>
      <c r="G33" s="1195">
        <f>건축개요!C52</f>
        <v>0</v>
      </c>
      <c r="H33" s="1199">
        <f>IF(건축개요!D52&gt;85,I33*(1-$I$15),I33)</f>
        <v>42765</v>
      </c>
      <c r="I33" s="1200">
        <f t="shared" si="28"/>
        <v>42765</v>
      </c>
      <c r="J33" s="1201" t="s">
        <v>172</v>
      </c>
      <c r="K33" s="994">
        <f>E33*I33</f>
        <v>0</v>
      </c>
      <c r="L33" s="353">
        <f t="shared" si="10"/>
        <v>0</v>
      </c>
      <c r="M33" s="956">
        <f t="shared" si="29"/>
        <v>0</v>
      </c>
      <c r="N33" s="38"/>
      <c r="O33" s="364"/>
      <c r="P33" s="954"/>
      <c r="Q33" s="954"/>
      <c r="R33" s="954"/>
      <c r="S33" s="954"/>
      <c r="T33" s="954"/>
      <c r="U33" s="954"/>
      <c r="V33" s="955">
        <f t="shared" si="17"/>
        <v>0</v>
      </c>
      <c r="W33" s="955">
        <f t="shared" si="18"/>
        <v>0</v>
      </c>
      <c r="X33" s="955">
        <f t="shared" si="19"/>
        <v>0</v>
      </c>
      <c r="Y33" s="955">
        <f t="shared" si="20"/>
        <v>0</v>
      </c>
      <c r="Z33" s="954"/>
      <c r="AA33" s="954"/>
      <c r="AB33" s="1198">
        <f t="shared" si="21"/>
        <v>0</v>
      </c>
      <c r="AC33" s="954"/>
      <c r="AD33" s="954"/>
      <c r="AE33" s="954"/>
      <c r="AF33" s="954"/>
      <c r="AG33" s="954"/>
      <c r="AH33" s="1198">
        <f t="shared" si="22"/>
        <v>0</v>
      </c>
      <c r="AI33" s="954"/>
      <c r="AJ33" s="954"/>
      <c r="AK33" s="954"/>
      <c r="AL33" s="954"/>
      <c r="AM33" s="954"/>
      <c r="AN33" s="1198">
        <f t="shared" si="23"/>
        <v>0</v>
      </c>
      <c r="AO33" s="954"/>
      <c r="AP33" s="954"/>
      <c r="AQ33" s="954"/>
      <c r="AR33" s="954"/>
      <c r="AS33" s="954"/>
      <c r="AT33" s="1198">
        <f t="shared" si="24"/>
        <v>0</v>
      </c>
      <c r="AU33" s="954"/>
      <c r="AV33" s="954"/>
      <c r="AW33" s="954"/>
      <c r="AX33" s="954"/>
      <c r="AY33" s="954"/>
      <c r="AZ33" s="1198">
        <f t="shared" si="25"/>
        <v>0</v>
      </c>
      <c r="BA33" s="954"/>
      <c r="BB33" s="954"/>
      <c r="BC33" s="954"/>
      <c r="BD33" s="954"/>
      <c r="BE33" s="954"/>
      <c r="BF33" s="1198">
        <f t="shared" si="26"/>
        <v>0</v>
      </c>
      <c r="BG33" s="954"/>
      <c r="BH33" s="1198"/>
      <c r="BI33" s="1198">
        <f t="shared" si="27"/>
        <v>0</v>
      </c>
      <c r="BJ33" s="954"/>
      <c r="BK33" s="954"/>
      <c r="BL33" s="954"/>
      <c r="BM33" s="954"/>
      <c r="BN33" s="954"/>
      <c r="BO33" s="954"/>
      <c r="BP33" s="954"/>
      <c r="BQ33" s="354">
        <f t="shared" si="14"/>
        <v>0</v>
      </c>
      <c r="BR33" s="349">
        <f t="shared" si="15"/>
        <v>0</v>
      </c>
      <c r="BS33" s="1193">
        <f t="shared" si="12"/>
        <v>0</v>
      </c>
    </row>
    <row r="34" spans="1:71" ht="19.5" customHeight="1">
      <c r="A34" s="38"/>
      <c r="B34" s="1556"/>
      <c r="C34" s="1572"/>
      <c r="D34" s="350" t="s">
        <v>71</v>
      </c>
      <c r="E34" s="351">
        <f>건축개요!B53</f>
        <v>0</v>
      </c>
      <c r="F34" s="352" t="s">
        <v>52</v>
      </c>
      <c r="G34" s="1195">
        <f>건축개요!C53</f>
        <v>0</v>
      </c>
      <c r="H34" s="1199">
        <f>IF(건축개요!D53&gt;85,I34*(1-$I$15),I34)</f>
        <v>42765</v>
      </c>
      <c r="I34" s="1200">
        <f t="shared" si="28"/>
        <v>42765</v>
      </c>
      <c r="J34" s="1201" t="s">
        <v>172</v>
      </c>
      <c r="K34" s="994">
        <f t="shared" si="13"/>
        <v>0</v>
      </c>
      <c r="L34" s="353">
        <f t="shared" si="10"/>
        <v>0</v>
      </c>
      <c r="M34" s="956">
        <f t="shared" si="29"/>
        <v>0</v>
      </c>
      <c r="N34" s="38"/>
      <c r="O34" s="364"/>
      <c r="P34" s="954"/>
      <c r="Q34" s="954"/>
      <c r="R34" s="954"/>
      <c r="S34" s="954"/>
      <c r="T34" s="954"/>
      <c r="U34" s="954"/>
      <c r="V34" s="955">
        <f t="shared" si="17"/>
        <v>0</v>
      </c>
      <c r="W34" s="955">
        <f t="shared" si="18"/>
        <v>0</v>
      </c>
      <c r="X34" s="955">
        <f t="shared" si="19"/>
        <v>0</v>
      </c>
      <c r="Y34" s="955">
        <f t="shared" si="20"/>
        <v>0</v>
      </c>
      <c r="Z34" s="954"/>
      <c r="AA34" s="954"/>
      <c r="AB34" s="1198">
        <f t="shared" si="21"/>
        <v>0</v>
      </c>
      <c r="AC34" s="954"/>
      <c r="AD34" s="954"/>
      <c r="AE34" s="954"/>
      <c r="AF34" s="954"/>
      <c r="AG34" s="954"/>
      <c r="AH34" s="1198">
        <f t="shared" si="22"/>
        <v>0</v>
      </c>
      <c r="AI34" s="954"/>
      <c r="AJ34" s="954"/>
      <c r="AK34" s="954"/>
      <c r="AL34" s="954"/>
      <c r="AM34" s="954"/>
      <c r="AN34" s="1198">
        <f t="shared" si="23"/>
        <v>0</v>
      </c>
      <c r="AO34" s="954"/>
      <c r="AP34" s="954"/>
      <c r="AQ34" s="954"/>
      <c r="AR34" s="954"/>
      <c r="AS34" s="954"/>
      <c r="AT34" s="1198">
        <f t="shared" si="24"/>
        <v>0</v>
      </c>
      <c r="AU34" s="954"/>
      <c r="AV34" s="954"/>
      <c r="AW34" s="954"/>
      <c r="AX34" s="954"/>
      <c r="AY34" s="954"/>
      <c r="AZ34" s="1198">
        <f t="shared" si="25"/>
        <v>0</v>
      </c>
      <c r="BA34" s="954"/>
      <c r="BB34" s="954"/>
      <c r="BC34" s="954"/>
      <c r="BD34" s="954"/>
      <c r="BE34" s="954"/>
      <c r="BF34" s="1198">
        <f t="shared" si="26"/>
        <v>0</v>
      </c>
      <c r="BG34" s="954"/>
      <c r="BH34" s="1198"/>
      <c r="BI34" s="1198">
        <f t="shared" si="27"/>
        <v>0</v>
      </c>
      <c r="BJ34" s="954"/>
      <c r="BK34" s="954"/>
      <c r="BL34" s="954"/>
      <c r="BM34" s="954"/>
      <c r="BN34" s="954"/>
      <c r="BO34" s="954"/>
      <c r="BP34" s="954"/>
      <c r="BQ34" s="354">
        <f t="shared" si="14"/>
        <v>0</v>
      </c>
      <c r="BR34" s="349">
        <f t="shared" si="15"/>
        <v>0</v>
      </c>
      <c r="BS34" s="1193">
        <f t="shared" si="12"/>
        <v>0</v>
      </c>
    </row>
    <row r="35" spans="1:71" ht="19.5" customHeight="1">
      <c r="A35" s="38"/>
      <c r="B35" s="1556"/>
      <c r="C35" s="1572"/>
      <c r="D35" s="350" t="s">
        <v>72</v>
      </c>
      <c r="E35" s="351">
        <f>건축개요!B54</f>
        <v>0</v>
      </c>
      <c r="F35" s="352" t="s">
        <v>52</v>
      </c>
      <c r="G35" s="1195">
        <f>건축개요!C54</f>
        <v>0</v>
      </c>
      <c r="H35" s="1199">
        <f>IF(건축개요!D54&gt;85,I35*(1-$I$15),I35)</f>
        <v>42765</v>
      </c>
      <c r="I35" s="1200">
        <f t="shared" si="28"/>
        <v>42765</v>
      </c>
      <c r="J35" s="1201" t="s">
        <v>172</v>
      </c>
      <c r="K35" s="994">
        <f t="shared" si="13"/>
        <v>0</v>
      </c>
      <c r="L35" s="353">
        <f t="shared" si="10"/>
        <v>0</v>
      </c>
      <c r="M35" s="956">
        <f t="shared" si="29"/>
        <v>0</v>
      </c>
      <c r="N35" s="38"/>
      <c r="O35" s="364"/>
      <c r="P35" s="954"/>
      <c r="Q35" s="954"/>
      <c r="R35" s="954"/>
      <c r="S35" s="954"/>
      <c r="T35" s="954"/>
      <c r="U35" s="954"/>
      <c r="V35" s="955">
        <f t="shared" si="17"/>
        <v>0</v>
      </c>
      <c r="W35" s="955">
        <f t="shared" si="18"/>
        <v>0</v>
      </c>
      <c r="X35" s="955">
        <f t="shared" si="19"/>
        <v>0</v>
      </c>
      <c r="Y35" s="955">
        <f t="shared" si="20"/>
        <v>0</v>
      </c>
      <c r="Z35" s="954"/>
      <c r="AA35" s="954"/>
      <c r="AB35" s="1198">
        <f t="shared" si="21"/>
        <v>0</v>
      </c>
      <c r="AC35" s="954"/>
      <c r="AD35" s="954"/>
      <c r="AE35" s="954"/>
      <c r="AF35" s="954"/>
      <c r="AG35" s="954"/>
      <c r="AH35" s="1198">
        <f t="shared" si="22"/>
        <v>0</v>
      </c>
      <c r="AI35" s="954"/>
      <c r="AJ35" s="954"/>
      <c r="AK35" s="954"/>
      <c r="AL35" s="954"/>
      <c r="AM35" s="954"/>
      <c r="AN35" s="1198">
        <f t="shared" si="23"/>
        <v>0</v>
      </c>
      <c r="AO35" s="954"/>
      <c r="AP35" s="954"/>
      <c r="AQ35" s="954"/>
      <c r="AR35" s="954"/>
      <c r="AS35" s="954"/>
      <c r="AT35" s="1198">
        <f t="shared" si="24"/>
        <v>0</v>
      </c>
      <c r="AU35" s="954"/>
      <c r="AV35" s="954"/>
      <c r="AW35" s="954"/>
      <c r="AX35" s="954"/>
      <c r="AY35" s="954"/>
      <c r="AZ35" s="1198">
        <f t="shared" si="25"/>
        <v>0</v>
      </c>
      <c r="BA35" s="954"/>
      <c r="BB35" s="954"/>
      <c r="BC35" s="954"/>
      <c r="BD35" s="954"/>
      <c r="BE35" s="954"/>
      <c r="BF35" s="1198">
        <f t="shared" si="26"/>
        <v>0</v>
      </c>
      <c r="BG35" s="954"/>
      <c r="BH35" s="1198"/>
      <c r="BI35" s="1198">
        <f t="shared" si="27"/>
        <v>0</v>
      </c>
      <c r="BJ35" s="954"/>
      <c r="BK35" s="954"/>
      <c r="BL35" s="954"/>
      <c r="BM35" s="954"/>
      <c r="BN35" s="954"/>
      <c r="BO35" s="954"/>
      <c r="BP35" s="954"/>
      <c r="BQ35" s="354">
        <f t="shared" si="14"/>
        <v>0</v>
      </c>
      <c r="BR35" s="349">
        <f t="shared" si="15"/>
        <v>0</v>
      </c>
      <c r="BS35" s="1193">
        <f t="shared" si="12"/>
        <v>0</v>
      </c>
    </row>
    <row r="36" spans="1:71" ht="19.5" customHeight="1">
      <c r="A36" s="38"/>
      <c r="B36" s="1556"/>
      <c r="C36" s="1572"/>
      <c r="D36" s="350" t="s">
        <v>73</v>
      </c>
      <c r="E36" s="351">
        <f>건축개요!B55</f>
        <v>0</v>
      </c>
      <c r="F36" s="352" t="s">
        <v>52</v>
      </c>
      <c r="G36" s="1195">
        <f>건축개요!C55</f>
        <v>0</v>
      </c>
      <c r="H36" s="1199">
        <f>IF(건축개요!D55&gt;85,I36*(1-$I$15),I36)</f>
        <v>42765</v>
      </c>
      <c r="I36" s="1200">
        <f t="shared" si="28"/>
        <v>42765</v>
      </c>
      <c r="J36" s="1201" t="s">
        <v>172</v>
      </c>
      <c r="K36" s="994">
        <f t="shared" si="13"/>
        <v>0</v>
      </c>
      <c r="L36" s="353">
        <f t="shared" si="10"/>
        <v>0</v>
      </c>
      <c r="M36" s="956">
        <f t="shared" si="29"/>
        <v>0</v>
      </c>
      <c r="N36" s="38"/>
      <c r="O36" s="364"/>
      <c r="P36" s="954"/>
      <c r="Q36" s="954"/>
      <c r="R36" s="954"/>
      <c r="S36" s="954"/>
      <c r="T36" s="954"/>
      <c r="U36" s="954"/>
      <c r="V36" s="955">
        <f t="shared" si="17"/>
        <v>0</v>
      </c>
      <c r="W36" s="955">
        <f t="shared" si="18"/>
        <v>0</v>
      </c>
      <c r="X36" s="955">
        <f t="shared" si="19"/>
        <v>0</v>
      </c>
      <c r="Y36" s="955">
        <f t="shared" si="20"/>
        <v>0</v>
      </c>
      <c r="Z36" s="954"/>
      <c r="AA36" s="954"/>
      <c r="AB36" s="1198">
        <f t="shared" si="21"/>
        <v>0</v>
      </c>
      <c r="AC36" s="954"/>
      <c r="AD36" s="954"/>
      <c r="AE36" s="954"/>
      <c r="AF36" s="954"/>
      <c r="AG36" s="954"/>
      <c r="AH36" s="1198">
        <f t="shared" si="22"/>
        <v>0</v>
      </c>
      <c r="AI36" s="954"/>
      <c r="AJ36" s="954"/>
      <c r="AK36" s="954"/>
      <c r="AL36" s="954"/>
      <c r="AM36" s="954"/>
      <c r="AN36" s="1198">
        <f t="shared" si="23"/>
        <v>0</v>
      </c>
      <c r="AO36" s="954"/>
      <c r="AP36" s="954"/>
      <c r="AQ36" s="954"/>
      <c r="AR36" s="954"/>
      <c r="AS36" s="954"/>
      <c r="AT36" s="1198">
        <f t="shared" si="24"/>
        <v>0</v>
      </c>
      <c r="AU36" s="954"/>
      <c r="AV36" s="954"/>
      <c r="AW36" s="954"/>
      <c r="AX36" s="954"/>
      <c r="AY36" s="954"/>
      <c r="AZ36" s="1198">
        <f t="shared" si="25"/>
        <v>0</v>
      </c>
      <c r="BA36" s="954"/>
      <c r="BB36" s="954"/>
      <c r="BC36" s="954"/>
      <c r="BD36" s="954"/>
      <c r="BE36" s="954"/>
      <c r="BF36" s="1198">
        <f t="shared" si="26"/>
        <v>0</v>
      </c>
      <c r="BG36" s="954"/>
      <c r="BH36" s="1198"/>
      <c r="BI36" s="1198">
        <f t="shared" si="27"/>
        <v>0</v>
      </c>
      <c r="BJ36" s="954"/>
      <c r="BK36" s="954"/>
      <c r="BL36" s="954"/>
      <c r="BM36" s="954"/>
      <c r="BN36" s="954"/>
      <c r="BO36" s="954"/>
      <c r="BP36" s="954"/>
      <c r="BQ36" s="354">
        <f t="shared" si="14"/>
        <v>0</v>
      </c>
      <c r="BR36" s="349">
        <f t="shared" si="15"/>
        <v>0</v>
      </c>
      <c r="BS36" s="1193">
        <f t="shared" si="12"/>
        <v>0</v>
      </c>
    </row>
    <row r="37" spans="1:71" ht="19.5" customHeight="1">
      <c r="A37" s="38"/>
      <c r="B37" s="1556"/>
      <c r="C37" s="1572"/>
      <c r="D37" s="961" t="s">
        <v>74</v>
      </c>
      <c r="E37" s="962">
        <f>건축개요!B56</f>
        <v>0</v>
      </c>
      <c r="F37" s="352" t="s">
        <v>52</v>
      </c>
      <c r="G37" s="1195">
        <f>건축개요!C56</f>
        <v>0</v>
      </c>
      <c r="H37" s="963">
        <f>IF(건축개요!D56&gt;85,I37*(1-$I$15),I37)</f>
        <v>42765</v>
      </c>
      <c r="I37" s="992">
        <f t="shared" si="28"/>
        <v>42765</v>
      </c>
      <c r="J37" s="964" t="s">
        <v>172</v>
      </c>
      <c r="K37" s="995">
        <f t="shared" ref="K37" si="30">E37*I37</f>
        <v>0</v>
      </c>
      <c r="L37" s="965">
        <f t="shared" si="10"/>
        <v>0</v>
      </c>
      <c r="M37" s="966">
        <f t="shared" ref="M37" si="31">E37*G37*I37</f>
        <v>0</v>
      </c>
      <c r="N37" s="38"/>
      <c r="O37" s="364"/>
      <c r="P37" s="954"/>
      <c r="Q37" s="954"/>
      <c r="R37" s="954"/>
      <c r="S37" s="954"/>
      <c r="T37" s="954"/>
      <c r="U37" s="954"/>
      <c r="V37" s="955">
        <f t="shared" si="17"/>
        <v>0</v>
      </c>
      <c r="W37" s="955">
        <f t="shared" si="18"/>
        <v>0</v>
      </c>
      <c r="X37" s="955">
        <f t="shared" si="19"/>
        <v>0</v>
      </c>
      <c r="Y37" s="955">
        <f t="shared" si="20"/>
        <v>0</v>
      </c>
      <c r="Z37" s="954"/>
      <c r="AA37" s="954"/>
      <c r="AB37" s="1198">
        <f t="shared" si="21"/>
        <v>0</v>
      </c>
      <c r="AC37" s="954"/>
      <c r="AD37" s="954"/>
      <c r="AE37" s="954"/>
      <c r="AF37" s="954"/>
      <c r="AG37" s="954"/>
      <c r="AH37" s="1198">
        <f t="shared" si="22"/>
        <v>0</v>
      </c>
      <c r="AI37" s="954"/>
      <c r="AJ37" s="954"/>
      <c r="AK37" s="954"/>
      <c r="AL37" s="954"/>
      <c r="AM37" s="954"/>
      <c r="AN37" s="1198">
        <f t="shared" si="23"/>
        <v>0</v>
      </c>
      <c r="AO37" s="954"/>
      <c r="AP37" s="954"/>
      <c r="AQ37" s="954"/>
      <c r="AR37" s="954"/>
      <c r="AS37" s="954"/>
      <c r="AT37" s="1198">
        <f t="shared" si="24"/>
        <v>0</v>
      </c>
      <c r="AU37" s="954"/>
      <c r="AV37" s="954"/>
      <c r="AW37" s="954"/>
      <c r="AX37" s="954"/>
      <c r="AY37" s="954"/>
      <c r="AZ37" s="1198">
        <f t="shared" si="25"/>
        <v>0</v>
      </c>
      <c r="BA37" s="954"/>
      <c r="BB37" s="954"/>
      <c r="BC37" s="954"/>
      <c r="BD37" s="954"/>
      <c r="BE37" s="954"/>
      <c r="BF37" s="1198">
        <f t="shared" si="26"/>
        <v>0</v>
      </c>
      <c r="BG37" s="954"/>
      <c r="BH37" s="1198"/>
      <c r="BI37" s="1198">
        <f t="shared" si="27"/>
        <v>0</v>
      </c>
      <c r="BJ37" s="954"/>
      <c r="BK37" s="954"/>
      <c r="BL37" s="954"/>
      <c r="BM37" s="954"/>
      <c r="BN37" s="954"/>
      <c r="BO37" s="954"/>
      <c r="BP37" s="954"/>
      <c r="BQ37" s="354">
        <f t="shared" si="14"/>
        <v>0</v>
      </c>
      <c r="BR37" s="349">
        <f t="shared" si="15"/>
        <v>0</v>
      </c>
      <c r="BS37" s="1193">
        <f t="shared" si="12"/>
        <v>0</v>
      </c>
    </row>
    <row r="38" spans="1:71" ht="30" customHeight="1">
      <c r="A38" s="38"/>
      <c r="B38" s="1556"/>
      <c r="C38" s="968"/>
      <c r="D38" s="336" t="s">
        <v>168</v>
      </c>
      <c r="E38" s="337">
        <f>SUMPRODUCT(E39:E48,G39:G48)</f>
        <v>14551.432774999999</v>
      </c>
      <c r="F38" s="969"/>
      <c r="G38" s="339">
        <f>SUM(G39:G48)</f>
        <v>587</v>
      </c>
      <c r="H38" s="340"/>
      <c r="I38" s="341"/>
      <c r="J38" s="1020"/>
      <c r="K38" s="970" t="s">
        <v>173</v>
      </c>
      <c r="L38" s="971">
        <f t="shared" si="10"/>
        <v>0.22495093914396444</v>
      </c>
      <c r="M38" s="972">
        <f>SUM(M39:M48)</f>
        <v>210915274.9523083</v>
      </c>
      <c r="N38" s="38"/>
      <c r="O38" s="346" t="s">
        <v>76</v>
      </c>
      <c r="P38" s="978">
        <f>SUM(P39:P48)</f>
        <v>21091527.495230831</v>
      </c>
      <c r="Q38" s="978">
        <f t="shared" ref="Q38:BP38" si="32">SUM(Q39:Q48)</f>
        <v>0</v>
      </c>
      <c r="R38" s="978">
        <f t="shared" si="32"/>
        <v>0</v>
      </c>
      <c r="S38" s="978">
        <f t="shared" si="32"/>
        <v>0</v>
      </c>
      <c r="T38" s="978">
        <f t="shared" si="32"/>
        <v>0</v>
      </c>
      <c r="U38" s="978">
        <f t="shared" si="32"/>
        <v>0</v>
      </c>
      <c r="V38" s="978">
        <f t="shared" si="32"/>
        <v>21091527.495230831</v>
      </c>
      <c r="W38" s="978">
        <f t="shared" si="32"/>
        <v>0</v>
      </c>
      <c r="X38" s="978">
        <f t="shared" si="32"/>
        <v>0</v>
      </c>
      <c r="Y38" s="978">
        <f t="shared" si="32"/>
        <v>0</v>
      </c>
      <c r="Z38" s="978">
        <f t="shared" si="32"/>
        <v>0</v>
      </c>
      <c r="AA38" s="978">
        <f t="shared" si="32"/>
        <v>0</v>
      </c>
      <c r="AB38" s="978">
        <f t="shared" si="32"/>
        <v>21091527.495230831</v>
      </c>
      <c r="AC38" s="978">
        <f t="shared" si="32"/>
        <v>0</v>
      </c>
      <c r="AD38" s="978">
        <f t="shared" si="32"/>
        <v>0</v>
      </c>
      <c r="AE38" s="978">
        <f t="shared" si="32"/>
        <v>0</v>
      </c>
      <c r="AF38" s="978">
        <f t="shared" si="32"/>
        <v>0</v>
      </c>
      <c r="AG38" s="978">
        <f t="shared" si="32"/>
        <v>0</v>
      </c>
      <c r="AH38" s="978">
        <f t="shared" si="32"/>
        <v>21091527.495230831</v>
      </c>
      <c r="AI38" s="978">
        <f t="shared" si="32"/>
        <v>0</v>
      </c>
      <c r="AJ38" s="978">
        <f t="shared" si="32"/>
        <v>0</v>
      </c>
      <c r="AK38" s="978">
        <f t="shared" si="32"/>
        <v>0</v>
      </c>
      <c r="AL38" s="978">
        <f t="shared" si="32"/>
        <v>0</v>
      </c>
      <c r="AM38" s="978">
        <f t="shared" si="32"/>
        <v>0</v>
      </c>
      <c r="AN38" s="978">
        <f t="shared" si="32"/>
        <v>21091527.495230831</v>
      </c>
      <c r="AO38" s="978">
        <f t="shared" si="32"/>
        <v>0</v>
      </c>
      <c r="AP38" s="978">
        <f t="shared" si="32"/>
        <v>0</v>
      </c>
      <c r="AQ38" s="978">
        <f t="shared" si="32"/>
        <v>0</v>
      </c>
      <c r="AR38" s="978">
        <f t="shared" si="32"/>
        <v>0</v>
      </c>
      <c r="AS38" s="978">
        <f t="shared" si="32"/>
        <v>0</v>
      </c>
      <c r="AT38" s="978">
        <f t="shared" si="32"/>
        <v>21091527.495230831</v>
      </c>
      <c r="AU38" s="978">
        <f t="shared" si="32"/>
        <v>0</v>
      </c>
      <c r="AV38" s="978">
        <f t="shared" si="32"/>
        <v>0</v>
      </c>
      <c r="AW38" s="978">
        <f t="shared" si="32"/>
        <v>0</v>
      </c>
      <c r="AX38" s="978">
        <f t="shared" si="32"/>
        <v>0</v>
      </c>
      <c r="AY38" s="978">
        <f t="shared" si="32"/>
        <v>0</v>
      </c>
      <c r="AZ38" s="978">
        <f t="shared" si="32"/>
        <v>21091527.495230831</v>
      </c>
      <c r="BA38" s="978">
        <f t="shared" si="32"/>
        <v>0</v>
      </c>
      <c r="BB38" s="978">
        <f t="shared" si="32"/>
        <v>0</v>
      </c>
      <c r="BC38" s="978">
        <f t="shared" si="32"/>
        <v>0</v>
      </c>
      <c r="BD38" s="978">
        <f t="shared" si="32"/>
        <v>0</v>
      </c>
      <c r="BE38" s="978">
        <f t="shared" si="32"/>
        <v>0</v>
      </c>
      <c r="BF38" s="978">
        <f t="shared" si="32"/>
        <v>21091527.495230831</v>
      </c>
      <c r="BG38" s="978">
        <f t="shared" si="32"/>
        <v>0</v>
      </c>
      <c r="BH38" s="978">
        <f t="shared" si="32"/>
        <v>0</v>
      </c>
      <c r="BI38" s="978">
        <f t="shared" si="32"/>
        <v>42183054.990461662</v>
      </c>
      <c r="BJ38" s="978">
        <f t="shared" si="32"/>
        <v>0</v>
      </c>
      <c r="BK38" s="978">
        <f t="shared" si="32"/>
        <v>0</v>
      </c>
      <c r="BL38" s="978">
        <f t="shared" si="32"/>
        <v>0</v>
      </c>
      <c r="BM38" s="978">
        <f t="shared" si="32"/>
        <v>0</v>
      </c>
      <c r="BN38" s="978">
        <f t="shared" si="32"/>
        <v>0</v>
      </c>
      <c r="BO38" s="978">
        <f t="shared" si="32"/>
        <v>0</v>
      </c>
      <c r="BP38" s="978">
        <f t="shared" si="32"/>
        <v>0</v>
      </c>
      <c r="BQ38" s="979">
        <f t="shared" si="14"/>
        <v>210915274.9523083</v>
      </c>
      <c r="BR38" s="980">
        <f>+M38</f>
        <v>210915274.9523083</v>
      </c>
      <c r="BS38" s="1193">
        <f t="shared" si="12"/>
        <v>0</v>
      </c>
    </row>
    <row r="39" spans="1:71" ht="19.399999999999999" customHeight="1">
      <c r="A39" s="38"/>
      <c r="B39" s="1556"/>
      <c r="C39" s="1521" t="s">
        <v>76</v>
      </c>
      <c r="D39" s="958" t="s">
        <v>78</v>
      </c>
      <c r="E39" s="959">
        <f>건축개요!B62</f>
        <v>18.095549999999999</v>
      </c>
      <c r="F39" s="1194" t="s">
        <v>52</v>
      </c>
      <c r="G39" s="1195">
        <f>건축개요!C62</f>
        <v>8</v>
      </c>
      <c r="H39" s="960"/>
      <c r="I39" s="996"/>
      <c r="J39" s="1201" t="s">
        <v>172</v>
      </c>
      <c r="K39" s="994">
        <f t="shared" ref="K39:K48" si="33">E39*$L$15*0.8</f>
        <v>619084.95660000003</v>
      </c>
      <c r="L39" s="348">
        <f t="shared" si="10"/>
        <v>1.1948181630292723E-2</v>
      </c>
      <c r="M39" s="956">
        <f>E39*K39</f>
        <v>11202682.786403131</v>
      </c>
      <c r="N39" s="38"/>
      <c r="O39" s="1510"/>
      <c r="P39" s="1202">
        <f>$M39*10%</f>
        <v>1120268.2786403131</v>
      </c>
      <c r="Q39" s="957"/>
      <c r="R39" s="954"/>
      <c r="S39" s="954"/>
      <c r="T39" s="954"/>
      <c r="U39" s="954"/>
      <c r="V39" s="955">
        <f>$M39*10%</f>
        <v>1120268.2786403131</v>
      </c>
      <c r="W39" s="954"/>
      <c r="X39" s="954"/>
      <c r="Y39" s="954"/>
      <c r="Z39" s="954"/>
      <c r="AA39" s="954"/>
      <c r="AB39" s="955">
        <f>$M39*10%</f>
        <v>1120268.2786403131</v>
      </c>
      <c r="AC39" s="954"/>
      <c r="AD39" s="954"/>
      <c r="AE39" s="954"/>
      <c r="AF39" s="954"/>
      <c r="AG39" s="954"/>
      <c r="AH39" s="955">
        <f>$M39*10%</f>
        <v>1120268.2786403131</v>
      </c>
      <c r="AI39" s="954"/>
      <c r="AJ39" s="954"/>
      <c r="AK39" s="954"/>
      <c r="AL39" s="954"/>
      <c r="AM39" s="954"/>
      <c r="AN39" s="955">
        <f>$M39*10%</f>
        <v>1120268.2786403131</v>
      </c>
      <c r="AO39" s="954"/>
      <c r="AP39" s="954"/>
      <c r="AQ39" s="954"/>
      <c r="AR39" s="954"/>
      <c r="AS39" s="954"/>
      <c r="AT39" s="955">
        <f>$M39*10%</f>
        <v>1120268.2786403131</v>
      </c>
      <c r="AU39" s="954"/>
      <c r="AV39" s="954"/>
      <c r="AW39" s="954"/>
      <c r="AX39" s="954"/>
      <c r="AY39" s="954"/>
      <c r="AZ39" s="955">
        <f>$M39*10%</f>
        <v>1120268.2786403131</v>
      </c>
      <c r="BA39" s="954"/>
      <c r="BB39" s="954"/>
      <c r="BC39" s="954"/>
      <c r="BD39" s="954"/>
      <c r="BE39" s="954"/>
      <c r="BF39" s="955">
        <f>$M39*10%</f>
        <v>1120268.2786403131</v>
      </c>
      <c r="BG39" s="954"/>
      <c r="BH39" s="954"/>
      <c r="BI39" s="1202">
        <f>$M39*20%</f>
        <v>2240536.5572806261</v>
      </c>
      <c r="BJ39" s="954"/>
      <c r="BK39" s="954"/>
      <c r="BL39" s="954"/>
      <c r="BM39" s="954"/>
      <c r="BN39" s="954"/>
      <c r="BO39" s="954"/>
      <c r="BP39" s="954"/>
      <c r="BQ39" s="354">
        <f t="shared" ref="BQ39:BQ48" si="34">SUM(P39:BP39)</f>
        <v>11202682.786403131</v>
      </c>
      <c r="BR39" s="349">
        <f t="shared" si="15"/>
        <v>11202682.786403131</v>
      </c>
      <c r="BS39" s="1193">
        <f t="shared" si="12"/>
        <v>0</v>
      </c>
    </row>
    <row r="40" spans="1:71" ht="19.399999999999999" customHeight="1">
      <c r="A40" s="38"/>
      <c r="B40" s="1556"/>
      <c r="C40" s="1521"/>
      <c r="D40" s="958" t="s">
        <v>174</v>
      </c>
      <c r="E40" s="959">
        <f>건축개요!B63</f>
        <v>18.14395</v>
      </c>
      <c r="F40" s="1194" t="s">
        <v>52</v>
      </c>
      <c r="G40" s="1195">
        <f>건축개요!C63</f>
        <v>8</v>
      </c>
      <c r="H40" s="960"/>
      <c r="I40" s="996"/>
      <c r="J40" s="1201" t="s">
        <v>172</v>
      </c>
      <c r="K40" s="994">
        <f t="shared" si="33"/>
        <v>620740.81739999994</v>
      </c>
      <c r="L40" s="348">
        <f t="shared" si="10"/>
        <v>1.2012182488738294E-2</v>
      </c>
      <c r="M40" s="956">
        <f t="shared" ref="M40:M48" si="35">E40*K40</f>
        <v>11262690.353864729</v>
      </c>
      <c r="N40" s="38"/>
      <c r="O40" s="1511"/>
      <c r="P40" s="1202">
        <f t="shared" ref="P40:P48" si="36">$M40*10%</f>
        <v>1126269.0353864729</v>
      </c>
      <c r="Q40" s="957"/>
      <c r="R40" s="954"/>
      <c r="S40" s="954"/>
      <c r="T40" s="954"/>
      <c r="U40" s="954"/>
      <c r="V40" s="955">
        <f t="shared" ref="V40:V48" si="37">$M40*10%</f>
        <v>1126269.0353864729</v>
      </c>
      <c r="W40" s="954"/>
      <c r="X40" s="954"/>
      <c r="Y40" s="954"/>
      <c r="Z40" s="954"/>
      <c r="AA40" s="954"/>
      <c r="AB40" s="955">
        <f t="shared" ref="AB40:AB48" si="38">$M40*10%</f>
        <v>1126269.0353864729</v>
      </c>
      <c r="AC40" s="954"/>
      <c r="AD40" s="954"/>
      <c r="AE40" s="954"/>
      <c r="AF40" s="954"/>
      <c r="AG40" s="954"/>
      <c r="AH40" s="955">
        <f t="shared" ref="AH40:AH48" si="39">$M40*10%</f>
        <v>1126269.0353864729</v>
      </c>
      <c r="AI40" s="954"/>
      <c r="AJ40" s="954"/>
      <c r="AK40" s="954"/>
      <c r="AL40" s="954"/>
      <c r="AM40" s="954"/>
      <c r="AN40" s="955">
        <f t="shared" ref="AN40:AN48" si="40">$M40*10%</f>
        <v>1126269.0353864729</v>
      </c>
      <c r="AO40" s="954"/>
      <c r="AP40" s="954"/>
      <c r="AQ40" s="954"/>
      <c r="AR40" s="954"/>
      <c r="AS40" s="954"/>
      <c r="AT40" s="955">
        <f t="shared" ref="AT40:AT48" si="41">$M40*10%</f>
        <v>1126269.0353864729</v>
      </c>
      <c r="AU40" s="954"/>
      <c r="AV40" s="954"/>
      <c r="AW40" s="954"/>
      <c r="AX40" s="954"/>
      <c r="AY40" s="954"/>
      <c r="AZ40" s="955">
        <f t="shared" ref="AZ40:AZ48" si="42">$M40*10%</f>
        <v>1126269.0353864729</v>
      </c>
      <c r="BA40" s="954"/>
      <c r="BB40" s="954"/>
      <c r="BC40" s="954"/>
      <c r="BD40" s="954"/>
      <c r="BE40" s="954"/>
      <c r="BF40" s="955">
        <f t="shared" ref="BF40:BF48" si="43">$M40*10%</f>
        <v>1126269.0353864729</v>
      </c>
      <c r="BG40" s="954"/>
      <c r="BH40" s="954"/>
      <c r="BI40" s="1202">
        <f t="shared" ref="BI40:BI48" si="44">$M40*20%</f>
        <v>2252538.0707729459</v>
      </c>
      <c r="BJ40" s="954"/>
      <c r="BK40" s="954"/>
      <c r="BL40" s="954"/>
      <c r="BM40" s="954"/>
      <c r="BN40" s="954"/>
      <c r="BO40" s="954"/>
      <c r="BP40" s="954"/>
      <c r="BQ40" s="354">
        <f t="shared" si="34"/>
        <v>11262690.353864729</v>
      </c>
      <c r="BR40" s="349">
        <f t="shared" ref="BR40:BR48" si="45">$M40</f>
        <v>11262690.353864729</v>
      </c>
      <c r="BS40" s="1193">
        <f t="shared" si="12"/>
        <v>0</v>
      </c>
    </row>
    <row r="41" spans="1:71" ht="19.399999999999999" customHeight="1">
      <c r="A41" s="38"/>
      <c r="B41" s="1556"/>
      <c r="C41" s="1521"/>
      <c r="D41" s="958" t="s">
        <v>175</v>
      </c>
      <c r="E41" s="959">
        <f>건축개요!B64</f>
        <v>18.095549999999999</v>
      </c>
      <c r="F41" s="1194" t="s">
        <v>52</v>
      </c>
      <c r="G41" s="1195">
        <f>건축개요!C64</f>
        <v>87</v>
      </c>
      <c r="H41" s="960"/>
      <c r="I41" s="996"/>
      <c r="J41" s="1201" t="s">
        <v>172</v>
      </c>
      <c r="K41" s="994">
        <f t="shared" si="33"/>
        <v>619084.95660000003</v>
      </c>
      <c r="L41" s="348">
        <f t="shared" si="10"/>
        <v>1.1948181630292723E-2</v>
      </c>
      <c r="M41" s="956">
        <f t="shared" si="35"/>
        <v>11202682.786403131</v>
      </c>
      <c r="N41" s="38"/>
      <c r="O41" s="1511"/>
      <c r="P41" s="1202">
        <f t="shared" si="36"/>
        <v>1120268.2786403131</v>
      </c>
      <c r="Q41" s="957"/>
      <c r="R41" s="954"/>
      <c r="S41" s="954"/>
      <c r="T41" s="954"/>
      <c r="U41" s="954"/>
      <c r="V41" s="955">
        <f t="shared" si="37"/>
        <v>1120268.2786403131</v>
      </c>
      <c r="W41" s="954"/>
      <c r="X41" s="954"/>
      <c r="Y41" s="954"/>
      <c r="Z41" s="954"/>
      <c r="AA41" s="954"/>
      <c r="AB41" s="955">
        <f t="shared" si="38"/>
        <v>1120268.2786403131</v>
      </c>
      <c r="AC41" s="954"/>
      <c r="AD41" s="954"/>
      <c r="AE41" s="954"/>
      <c r="AF41" s="954"/>
      <c r="AG41" s="954"/>
      <c r="AH41" s="955">
        <f t="shared" si="39"/>
        <v>1120268.2786403131</v>
      </c>
      <c r="AI41" s="954"/>
      <c r="AJ41" s="954"/>
      <c r="AK41" s="954"/>
      <c r="AL41" s="954"/>
      <c r="AM41" s="954"/>
      <c r="AN41" s="955">
        <f t="shared" si="40"/>
        <v>1120268.2786403131</v>
      </c>
      <c r="AO41" s="954"/>
      <c r="AP41" s="954"/>
      <c r="AQ41" s="954"/>
      <c r="AR41" s="954"/>
      <c r="AS41" s="954"/>
      <c r="AT41" s="955">
        <f t="shared" si="41"/>
        <v>1120268.2786403131</v>
      </c>
      <c r="AU41" s="954"/>
      <c r="AV41" s="954"/>
      <c r="AW41" s="954"/>
      <c r="AX41" s="954"/>
      <c r="AY41" s="954"/>
      <c r="AZ41" s="955">
        <f t="shared" si="42"/>
        <v>1120268.2786403131</v>
      </c>
      <c r="BA41" s="954"/>
      <c r="BB41" s="954"/>
      <c r="BC41" s="954"/>
      <c r="BD41" s="954"/>
      <c r="BE41" s="954"/>
      <c r="BF41" s="955">
        <f t="shared" si="43"/>
        <v>1120268.2786403131</v>
      </c>
      <c r="BG41" s="954"/>
      <c r="BH41" s="954"/>
      <c r="BI41" s="1202">
        <f t="shared" si="44"/>
        <v>2240536.5572806261</v>
      </c>
      <c r="BJ41" s="954"/>
      <c r="BK41" s="954"/>
      <c r="BL41" s="954"/>
      <c r="BM41" s="954"/>
      <c r="BN41" s="954"/>
      <c r="BO41" s="954"/>
      <c r="BP41" s="954"/>
      <c r="BQ41" s="354">
        <f t="shared" si="34"/>
        <v>11202682.786403131</v>
      </c>
      <c r="BR41" s="349">
        <f t="shared" si="45"/>
        <v>11202682.786403131</v>
      </c>
      <c r="BS41" s="1193">
        <f t="shared" si="12"/>
        <v>0</v>
      </c>
    </row>
    <row r="42" spans="1:71" ht="19.399999999999999" customHeight="1">
      <c r="A42" s="38"/>
      <c r="B42" s="1556"/>
      <c r="C42" s="1521"/>
      <c r="D42" s="958" t="s">
        <v>176</v>
      </c>
      <c r="E42" s="959">
        <f>건축개요!B65</f>
        <v>25.69435</v>
      </c>
      <c r="F42" s="1194" t="s">
        <v>52</v>
      </c>
      <c r="G42" s="1195">
        <f>건축개요!C65</f>
        <v>108</v>
      </c>
      <c r="H42" s="960"/>
      <c r="I42" s="996"/>
      <c r="J42" s="1201" t="s">
        <v>172</v>
      </c>
      <c r="K42" s="994">
        <f t="shared" si="33"/>
        <v>879055.10220000008</v>
      </c>
      <c r="L42" s="348">
        <f t="shared" si="10"/>
        <v>2.4089817608316369E-2</v>
      </c>
      <c r="M42" s="956">
        <f t="shared" si="35"/>
        <v>22586749.465212572</v>
      </c>
      <c r="N42" s="38"/>
      <c r="O42" s="1511"/>
      <c r="P42" s="1202">
        <f t="shared" si="36"/>
        <v>2258674.9465212575</v>
      </c>
      <c r="Q42" s="957"/>
      <c r="R42" s="954"/>
      <c r="S42" s="954"/>
      <c r="T42" s="954"/>
      <c r="U42" s="954"/>
      <c r="V42" s="955">
        <f t="shared" si="37"/>
        <v>2258674.9465212575</v>
      </c>
      <c r="W42" s="954"/>
      <c r="X42" s="954"/>
      <c r="Y42" s="954"/>
      <c r="Z42" s="954"/>
      <c r="AA42" s="954"/>
      <c r="AB42" s="955">
        <f t="shared" si="38"/>
        <v>2258674.9465212575</v>
      </c>
      <c r="AC42" s="954"/>
      <c r="AD42" s="954"/>
      <c r="AE42" s="954"/>
      <c r="AF42" s="954"/>
      <c r="AG42" s="954"/>
      <c r="AH42" s="955">
        <f t="shared" si="39"/>
        <v>2258674.9465212575</v>
      </c>
      <c r="AI42" s="954"/>
      <c r="AJ42" s="954"/>
      <c r="AK42" s="954"/>
      <c r="AL42" s="954"/>
      <c r="AM42" s="954"/>
      <c r="AN42" s="955">
        <f t="shared" si="40"/>
        <v>2258674.9465212575</v>
      </c>
      <c r="AO42" s="954"/>
      <c r="AP42" s="954"/>
      <c r="AQ42" s="954"/>
      <c r="AR42" s="954"/>
      <c r="AS42" s="954"/>
      <c r="AT42" s="955">
        <f t="shared" si="41"/>
        <v>2258674.9465212575</v>
      </c>
      <c r="AU42" s="954"/>
      <c r="AV42" s="954"/>
      <c r="AW42" s="954"/>
      <c r="AX42" s="954"/>
      <c r="AY42" s="954"/>
      <c r="AZ42" s="955">
        <f t="shared" si="42"/>
        <v>2258674.9465212575</v>
      </c>
      <c r="BA42" s="954"/>
      <c r="BB42" s="954"/>
      <c r="BC42" s="954"/>
      <c r="BD42" s="954"/>
      <c r="BE42" s="954"/>
      <c r="BF42" s="955">
        <f t="shared" si="43"/>
        <v>2258674.9465212575</v>
      </c>
      <c r="BG42" s="954"/>
      <c r="BH42" s="954"/>
      <c r="BI42" s="1202">
        <f t="shared" si="44"/>
        <v>4517349.893042515</v>
      </c>
      <c r="BJ42" s="954"/>
      <c r="BK42" s="954"/>
      <c r="BL42" s="954"/>
      <c r="BM42" s="954"/>
      <c r="BN42" s="954"/>
      <c r="BO42" s="954"/>
      <c r="BP42" s="954"/>
      <c r="BQ42" s="354">
        <f t="shared" si="34"/>
        <v>22586749.465212576</v>
      </c>
      <c r="BR42" s="349">
        <f t="shared" si="45"/>
        <v>22586749.465212572</v>
      </c>
      <c r="BS42" s="1193">
        <f t="shared" si="12"/>
        <v>0</v>
      </c>
    </row>
    <row r="43" spans="1:71" ht="19.399999999999999" customHeight="1">
      <c r="A43" s="38"/>
      <c r="B43" s="1556"/>
      <c r="C43" s="1521"/>
      <c r="D43" s="958" t="s">
        <v>64</v>
      </c>
      <c r="E43" s="959">
        <f>건축개요!B66</f>
        <v>25.627800000000001</v>
      </c>
      <c r="F43" s="1194" t="s">
        <v>52</v>
      </c>
      <c r="G43" s="1195">
        <f>건축개요!C66</f>
        <v>126</v>
      </c>
      <c r="H43" s="960"/>
      <c r="I43" s="996"/>
      <c r="J43" s="1201" t="s">
        <v>172</v>
      </c>
      <c r="K43" s="994">
        <f t="shared" si="33"/>
        <v>876778.29360000009</v>
      </c>
      <c r="L43" s="348">
        <f t="shared" si="10"/>
        <v>2.3965190894958029E-2</v>
      </c>
      <c r="M43" s="956">
        <f t="shared" si="35"/>
        <v>22469898.752722085</v>
      </c>
      <c r="N43" s="38"/>
      <c r="O43" s="1511"/>
      <c r="P43" s="1202">
        <f t="shared" si="36"/>
        <v>2246989.8752722084</v>
      </c>
      <c r="Q43" s="957"/>
      <c r="R43" s="954"/>
      <c r="S43" s="954"/>
      <c r="T43" s="954"/>
      <c r="U43" s="954"/>
      <c r="V43" s="955">
        <f t="shared" si="37"/>
        <v>2246989.8752722084</v>
      </c>
      <c r="W43" s="954"/>
      <c r="X43" s="954"/>
      <c r="Y43" s="954"/>
      <c r="Z43" s="954"/>
      <c r="AA43" s="954"/>
      <c r="AB43" s="955">
        <f t="shared" si="38"/>
        <v>2246989.8752722084</v>
      </c>
      <c r="AC43" s="954"/>
      <c r="AD43" s="954"/>
      <c r="AE43" s="954"/>
      <c r="AF43" s="954"/>
      <c r="AG43" s="954"/>
      <c r="AH43" s="955">
        <f t="shared" si="39"/>
        <v>2246989.8752722084</v>
      </c>
      <c r="AI43" s="954"/>
      <c r="AJ43" s="954"/>
      <c r="AK43" s="954"/>
      <c r="AL43" s="954"/>
      <c r="AM43" s="954"/>
      <c r="AN43" s="955">
        <f t="shared" si="40"/>
        <v>2246989.8752722084</v>
      </c>
      <c r="AO43" s="954"/>
      <c r="AP43" s="954"/>
      <c r="AQ43" s="954"/>
      <c r="AR43" s="954"/>
      <c r="AS43" s="954"/>
      <c r="AT43" s="955">
        <f t="shared" si="41"/>
        <v>2246989.8752722084</v>
      </c>
      <c r="AU43" s="954"/>
      <c r="AV43" s="954"/>
      <c r="AW43" s="954"/>
      <c r="AX43" s="954"/>
      <c r="AY43" s="954"/>
      <c r="AZ43" s="955">
        <f t="shared" si="42"/>
        <v>2246989.8752722084</v>
      </c>
      <c r="BA43" s="954"/>
      <c r="BB43" s="954"/>
      <c r="BC43" s="954"/>
      <c r="BD43" s="954"/>
      <c r="BE43" s="954"/>
      <c r="BF43" s="955">
        <f t="shared" si="43"/>
        <v>2246989.8752722084</v>
      </c>
      <c r="BG43" s="954"/>
      <c r="BH43" s="954"/>
      <c r="BI43" s="1202">
        <f t="shared" si="44"/>
        <v>4493979.7505444167</v>
      </c>
      <c r="BJ43" s="954"/>
      <c r="BK43" s="954"/>
      <c r="BL43" s="954"/>
      <c r="BM43" s="954"/>
      <c r="BN43" s="954"/>
      <c r="BO43" s="954"/>
      <c r="BP43" s="954"/>
      <c r="BQ43" s="354">
        <f t="shared" si="34"/>
        <v>22469898.752722085</v>
      </c>
      <c r="BR43" s="349">
        <f t="shared" si="45"/>
        <v>22469898.752722085</v>
      </c>
      <c r="BS43" s="1193">
        <f t="shared" si="12"/>
        <v>0</v>
      </c>
    </row>
    <row r="44" spans="1:71" ht="19.399999999999999" customHeight="1">
      <c r="A44" s="38"/>
      <c r="B44" s="1556"/>
      <c r="C44" s="1521"/>
      <c r="D44" s="958" t="s">
        <v>65</v>
      </c>
      <c r="E44" s="959">
        <f>건축개요!B67</f>
        <v>25.664100000000001</v>
      </c>
      <c r="F44" s="1194" t="s">
        <v>52</v>
      </c>
      <c r="G44" s="1195">
        <f>건축개요!C67</f>
        <v>14</v>
      </c>
      <c r="H44" s="960"/>
      <c r="I44" s="996"/>
      <c r="J44" s="1201" t="s">
        <v>172</v>
      </c>
      <c r="K44" s="994">
        <f t="shared" si="33"/>
        <v>878020.18920000014</v>
      </c>
      <c r="L44" s="348">
        <f t="shared" si="10"/>
        <v>2.4033129034929011E-2</v>
      </c>
      <c r="M44" s="956">
        <f t="shared" si="35"/>
        <v>22533597.937647726</v>
      </c>
      <c r="N44" s="38"/>
      <c r="O44" s="1511"/>
      <c r="P44" s="1202">
        <f t="shared" si="36"/>
        <v>2253359.7937647728</v>
      </c>
      <c r="Q44" s="957"/>
      <c r="R44" s="954"/>
      <c r="S44" s="954"/>
      <c r="T44" s="954"/>
      <c r="U44" s="954"/>
      <c r="V44" s="955">
        <f t="shared" si="37"/>
        <v>2253359.7937647728</v>
      </c>
      <c r="W44" s="954"/>
      <c r="X44" s="954"/>
      <c r="Y44" s="954"/>
      <c r="Z44" s="954"/>
      <c r="AA44" s="954"/>
      <c r="AB44" s="955">
        <f t="shared" si="38"/>
        <v>2253359.7937647728</v>
      </c>
      <c r="AC44" s="954"/>
      <c r="AD44" s="954"/>
      <c r="AE44" s="954"/>
      <c r="AF44" s="954"/>
      <c r="AG44" s="954"/>
      <c r="AH44" s="955">
        <f t="shared" si="39"/>
        <v>2253359.7937647728</v>
      </c>
      <c r="AI44" s="954"/>
      <c r="AJ44" s="954"/>
      <c r="AK44" s="954"/>
      <c r="AL44" s="954"/>
      <c r="AM44" s="954"/>
      <c r="AN44" s="955">
        <f t="shared" si="40"/>
        <v>2253359.7937647728</v>
      </c>
      <c r="AO44" s="954"/>
      <c r="AP44" s="954"/>
      <c r="AQ44" s="954"/>
      <c r="AR44" s="954"/>
      <c r="AS44" s="954"/>
      <c r="AT44" s="955">
        <f t="shared" si="41"/>
        <v>2253359.7937647728</v>
      </c>
      <c r="AU44" s="954"/>
      <c r="AV44" s="954"/>
      <c r="AW44" s="954"/>
      <c r="AX44" s="954"/>
      <c r="AY44" s="954"/>
      <c r="AZ44" s="955">
        <f t="shared" si="42"/>
        <v>2253359.7937647728</v>
      </c>
      <c r="BA44" s="954"/>
      <c r="BB44" s="954"/>
      <c r="BC44" s="954"/>
      <c r="BD44" s="954"/>
      <c r="BE44" s="954"/>
      <c r="BF44" s="955">
        <f t="shared" si="43"/>
        <v>2253359.7937647728</v>
      </c>
      <c r="BG44" s="954"/>
      <c r="BH44" s="954"/>
      <c r="BI44" s="1202">
        <f t="shared" si="44"/>
        <v>4506719.5875295456</v>
      </c>
      <c r="BJ44" s="954"/>
      <c r="BK44" s="954"/>
      <c r="BL44" s="954"/>
      <c r="BM44" s="954"/>
      <c r="BN44" s="954"/>
      <c r="BO44" s="954"/>
      <c r="BP44" s="954"/>
      <c r="BQ44" s="354">
        <f t="shared" si="34"/>
        <v>22533597.93764773</v>
      </c>
      <c r="BR44" s="349">
        <f t="shared" si="45"/>
        <v>22533597.937647726</v>
      </c>
      <c r="BS44" s="1193">
        <f t="shared" si="12"/>
        <v>0</v>
      </c>
    </row>
    <row r="45" spans="1:71" ht="19.399999999999999" customHeight="1">
      <c r="A45" s="38"/>
      <c r="B45" s="1556"/>
      <c r="C45" s="1521"/>
      <c r="D45" s="958" t="s">
        <v>66</v>
      </c>
      <c r="E45" s="959">
        <f>건축개요!B68</f>
        <v>25.68225</v>
      </c>
      <c r="F45" s="1194" t="s">
        <v>52</v>
      </c>
      <c r="G45" s="1195">
        <f>건축개요!C68</f>
        <v>32</v>
      </c>
      <c r="H45" s="960"/>
      <c r="I45" s="996"/>
      <c r="J45" s="1201" t="s">
        <v>172</v>
      </c>
      <c r="K45" s="994">
        <f t="shared" si="33"/>
        <v>878641.13699999999</v>
      </c>
      <c r="L45" s="348">
        <f t="shared" si="10"/>
        <v>2.4067134165498345E-2</v>
      </c>
      <c r="M45" s="956">
        <f t="shared" si="35"/>
        <v>22565481.340718251</v>
      </c>
      <c r="N45" s="38"/>
      <c r="O45" s="1511"/>
      <c r="P45" s="1202">
        <f t="shared" si="36"/>
        <v>2256548.1340718251</v>
      </c>
      <c r="Q45" s="957"/>
      <c r="R45" s="954"/>
      <c r="S45" s="954"/>
      <c r="T45" s="954"/>
      <c r="U45" s="954"/>
      <c r="V45" s="955">
        <f t="shared" si="37"/>
        <v>2256548.1340718251</v>
      </c>
      <c r="W45" s="954"/>
      <c r="X45" s="954"/>
      <c r="Y45" s="954"/>
      <c r="Z45" s="954"/>
      <c r="AA45" s="954"/>
      <c r="AB45" s="955">
        <f t="shared" si="38"/>
        <v>2256548.1340718251</v>
      </c>
      <c r="AC45" s="954"/>
      <c r="AD45" s="954"/>
      <c r="AE45" s="954"/>
      <c r="AF45" s="954"/>
      <c r="AG45" s="954"/>
      <c r="AH45" s="955">
        <f t="shared" si="39"/>
        <v>2256548.1340718251</v>
      </c>
      <c r="AI45" s="954"/>
      <c r="AJ45" s="954"/>
      <c r="AK45" s="954"/>
      <c r="AL45" s="954"/>
      <c r="AM45" s="954"/>
      <c r="AN45" s="955">
        <f t="shared" si="40"/>
        <v>2256548.1340718251</v>
      </c>
      <c r="AO45" s="954"/>
      <c r="AP45" s="954"/>
      <c r="AQ45" s="954"/>
      <c r="AR45" s="954"/>
      <c r="AS45" s="954"/>
      <c r="AT45" s="955">
        <f t="shared" si="41"/>
        <v>2256548.1340718251</v>
      </c>
      <c r="AU45" s="954"/>
      <c r="AV45" s="954"/>
      <c r="AW45" s="954"/>
      <c r="AX45" s="954"/>
      <c r="AY45" s="954"/>
      <c r="AZ45" s="955">
        <f t="shared" si="42"/>
        <v>2256548.1340718251</v>
      </c>
      <c r="BA45" s="954"/>
      <c r="BB45" s="954"/>
      <c r="BC45" s="954"/>
      <c r="BD45" s="954"/>
      <c r="BE45" s="954"/>
      <c r="BF45" s="955">
        <f t="shared" si="43"/>
        <v>2256548.1340718251</v>
      </c>
      <c r="BG45" s="954"/>
      <c r="BH45" s="954"/>
      <c r="BI45" s="1202">
        <f t="shared" si="44"/>
        <v>4513096.2681436501</v>
      </c>
      <c r="BJ45" s="954"/>
      <c r="BK45" s="954"/>
      <c r="BL45" s="954"/>
      <c r="BM45" s="954"/>
      <c r="BN45" s="954"/>
      <c r="BO45" s="954"/>
      <c r="BP45" s="954"/>
      <c r="BQ45" s="354">
        <f t="shared" si="34"/>
        <v>22565481.340718251</v>
      </c>
      <c r="BR45" s="349">
        <f t="shared" si="45"/>
        <v>22565481.340718251</v>
      </c>
      <c r="BS45" s="1193">
        <f t="shared" si="12"/>
        <v>0</v>
      </c>
    </row>
    <row r="46" spans="1:71" ht="19.399999999999999" customHeight="1">
      <c r="A46" s="38"/>
      <c r="B46" s="1556"/>
      <c r="C46" s="1521"/>
      <c r="D46" s="958" t="s">
        <v>67</v>
      </c>
      <c r="E46" s="959">
        <f>건축개요!B69</f>
        <v>25.697375000000001</v>
      </c>
      <c r="F46" s="1194" t="s">
        <v>52</v>
      </c>
      <c r="G46" s="1195">
        <f>건축개요!C69</f>
        <v>149</v>
      </c>
      <c r="H46" s="960"/>
      <c r="I46" s="996"/>
      <c r="J46" s="1201" t="s">
        <v>172</v>
      </c>
      <c r="K46" s="994">
        <f t="shared" si="33"/>
        <v>879158.59350000008</v>
      </c>
      <c r="L46" s="348">
        <f t="shared" si="10"/>
        <v>2.409549013849235E-2</v>
      </c>
      <c r="M46" s="956">
        <f t="shared" si="35"/>
        <v>22592068.061642066</v>
      </c>
      <c r="N46" s="38"/>
      <c r="O46" s="1511"/>
      <c r="P46" s="1202">
        <f t="shared" si="36"/>
        <v>2259206.8061642065</v>
      </c>
      <c r="Q46" s="957"/>
      <c r="R46" s="954"/>
      <c r="S46" s="954"/>
      <c r="T46" s="954"/>
      <c r="U46" s="954"/>
      <c r="V46" s="955">
        <f t="shared" si="37"/>
        <v>2259206.8061642065</v>
      </c>
      <c r="W46" s="954"/>
      <c r="X46" s="954"/>
      <c r="Y46" s="954"/>
      <c r="Z46" s="954"/>
      <c r="AA46" s="954"/>
      <c r="AB46" s="955">
        <f t="shared" si="38"/>
        <v>2259206.8061642065</v>
      </c>
      <c r="AC46" s="954"/>
      <c r="AD46" s="954"/>
      <c r="AE46" s="954"/>
      <c r="AF46" s="954"/>
      <c r="AG46" s="954"/>
      <c r="AH46" s="955">
        <f t="shared" si="39"/>
        <v>2259206.8061642065</v>
      </c>
      <c r="AI46" s="954"/>
      <c r="AJ46" s="954"/>
      <c r="AK46" s="954"/>
      <c r="AL46" s="954"/>
      <c r="AM46" s="954"/>
      <c r="AN46" s="955">
        <f t="shared" si="40"/>
        <v>2259206.8061642065</v>
      </c>
      <c r="AO46" s="954"/>
      <c r="AP46" s="954"/>
      <c r="AQ46" s="954"/>
      <c r="AR46" s="954"/>
      <c r="AS46" s="954"/>
      <c r="AT46" s="955">
        <f t="shared" si="41"/>
        <v>2259206.8061642065</v>
      </c>
      <c r="AU46" s="954"/>
      <c r="AV46" s="954"/>
      <c r="AW46" s="954"/>
      <c r="AX46" s="954"/>
      <c r="AY46" s="954"/>
      <c r="AZ46" s="955">
        <f t="shared" si="42"/>
        <v>2259206.8061642065</v>
      </c>
      <c r="BA46" s="954"/>
      <c r="BB46" s="954"/>
      <c r="BC46" s="954"/>
      <c r="BD46" s="954"/>
      <c r="BE46" s="954"/>
      <c r="BF46" s="955">
        <f t="shared" si="43"/>
        <v>2259206.8061642065</v>
      </c>
      <c r="BG46" s="954"/>
      <c r="BH46" s="954"/>
      <c r="BI46" s="1202">
        <f t="shared" si="44"/>
        <v>4518413.6123284129</v>
      </c>
      <c r="BJ46" s="954"/>
      <c r="BK46" s="954"/>
      <c r="BL46" s="954"/>
      <c r="BM46" s="954"/>
      <c r="BN46" s="954"/>
      <c r="BO46" s="954"/>
      <c r="BP46" s="954"/>
      <c r="BQ46" s="354">
        <f t="shared" si="34"/>
        <v>22592068.061642066</v>
      </c>
      <c r="BR46" s="349">
        <f t="shared" si="45"/>
        <v>22592068.061642066</v>
      </c>
      <c r="BS46" s="1193">
        <f t="shared" si="12"/>
        <v>0</v>
      </c>
    </row>
    <row r="47" spans="1:71" ht="19.399999999999999" customHeight="1">
      <c r="A47" s="38"/>
      <c r="B47" s="1556"/>
      <c r="C47" s="1521"/>
      <c r="D47" s="958" t="s">
        <v>68</v>
      </c>
      <c r="E47" s="959">
        <f>건축개요!B70</f>
        <v>25.585449999999998</v>
      </c>
      <c r="F47" s="1194" t="s">
        <v>52</v>
      </c>
      <c r="G47" s="1195">
        <f>건축개요!C70</f>
        <v>27</v>
      </c>
      <c r="H47" s="960"/>
      <c r="I47" s="996"/>
      <c r="J47" s="1201" t="s">
        <v>172</v>
      </c>
      <c r="K47" s="994">
        <f t="shared" si="33"/>
        <v>875329.41539999994</v>
      </c>
      <c r="L47" s="348">
        <f t="shared" si="10"/>
        <v>2.3886051269181884E-2</v>
      </c>
      <c r="M47" s="956">
        <f t="shared" si="35"/>
        <v>22395696.991245925</v>
      </c>
      <c r="N47" s="38"/>
      <c r="O47" s="1511"/>
      <c r="P47" s="1202">
        <f t="shared" si="36"/>
        <v>2239569.6991245928</v>
      </c>
      <c r="Q47" s="957"/>
      <c r="R47" s="954"/>
      <c r="S47" s="954"/>
      <c r="T47" s="954"/>
      <c r="U47" s="954"/>
      <c r="V47" s="955">
        <f t="shared" si="37"/>
        <v>2239569.6991245928</v>
      </c>
      <c r="W47" s="954"/>
      <c r="X47" s="954"/>
      <c r="Y47" s="954"/>
      <c r="Z47" s="954"/>
      <c r="AA47" s="954"/>
      <c r="AB47" s="955">
        <f t="shared" si="38"/>
        <v>2239569.6991245928</v>
      </c>
      <c r="AC47" s="954"/>
      <c r="AD47" s="954"/>
      <c r="AE47" s="954"/>
      <c r="AF47" s="954"/>
      <c r="AG47" s="954"/>
      <c r="AH47" s="955">
        <f t="shared" si="39"/>
        <v>2239569.6991245928</v>
      </c>
      <c r="AI47" s="954"/>
      <c r="AJ47" s="954"/>
      <c r="AK47" s="954"/>
      <c r="AL47" s="954"/>
      <c r="AM47" s="954"/>
      <c r="AN47" s="955">
        <f t="shared" si="40"/>
        <v>2239569.6991245928</v>
      </c>
      <c r="AO47" s="954"/>
      <c r="AP47" s="954"/>
      <c r="AQ47" s="954"/>
      <c r="AR47" s="954"/>
      <c r="AS47" s="954"/>
      <c r="AT47" s="955">
        <f t="shared" si="41"/>
        <v>2239569.6991245928</v>
      </c>
      <c r="AU47" s="954"/>
      <c r="AV47" s="954"/>
      <c r="AW47" s="954"/>
      <c r="AX47" s="954"/>
      <c r="AY47" s="954"/>
      <c r="AZ47" s="955">
        <f t="shared" si="42"/>
        <v>2239569.6991245928</v>
      </c>
      <c r="BA47" s="954"/>
      <c r="BB47" s="954"/>
      <c r="BC47" s="954"/>
      <c r="BD47" s="954"/>
      <c r="BE47" s="954"/>
      <c r="BF47" s="955">
        <f t="shared" si="43"/>
        <v>2239569.6991245928</v>
      </c>
      <c r="BG47" s="954"/>
      <c r="BH47" s="954"/>
      <c r="BI47" s="1202">
        <f t="shared" si="44"/>
        <v>4479139.3982491856</v>
      </c>
      <c r="BJ47" s="954"/>
      <c r="BK47" s="954"/>
      <c r="BL47" s="954"/>
      <c r="BM47" s="954"/>
      <c r="BN47" s="954"/>
      <c r="BO47" s="954"/>
      <c r="BP47" s="954"/>
      <c r="BQ47" s="354">
        <f t="shared" si="34"/>
        <v>22395696.991245929</v>
      </c>
      <c r="BR47" s="349">
        <f t="shared" si="45"/>
        <v>22395696.991245925</v>
      </c>
      <c r="BS47" s="1193">
        <f t="shared" si="12"/>
        <v>0</v>
      </c>
    </row>
    <row r="48" spans="1:71" ht="19.399999999999999" customHeight="1">
      <c r="A48" s="38"/>
      <c r="B48" s="1556"/>
      <c r="C48" s="1522"/>
      <c r="D48" s="985" t="s">
        <v>69</v>
      </c>
      <c r="E48" s="959">
        <f>건축개요!B71</f>
        <v>35.080925000000001</v>
      </c>
      <c r="F48" s="967" t="s">
        <v>52</v>
      </c>
      <c r="G48" s="989">
        <f>건축개요!C71</f>
        <v>28</v>
      </c>
      <c r="H48" s="960"/>
      <c r="I48" s="997"/>
      <c r="J48" s="1201" t="s">
        <v>172</v>
      </c>
      <c r="K48" s="994">
        <f t="shared" si="33"/>
        <v>1200188.6061000002</v>
      </c>
      <c r="L48" s="953">
        <f t="shared" si="10"/>
        <v>4.4905580283264683E-2</v>
      </c>
      <c r="M48" s="956">
        <f t="shared" si="35"/>
        <v>42103726.476448648</v>
      </c>
      <c r="N48" s="38"/>
      <c r="O48" s="1512"/>
      <c r="P48" s="1202">
        <f t="shared" si="36"/>
        <v>4210372.6476448653</v>
      </c>
      <c r="Q48" s="957"/>
      <c r="R48" s="954"/>
      <c r="S48" s="954"/>
      <c r="T48" s="954"/>
      <c r="U48" s="954"/>
      <c r="V48" s="955">
        <f t="shared" si="37"/>
        <v>4210372.6476448653</v>
      </c>
      <c r="W48" s="954"/>
      <c r="X48" s="954"/>
      <c r="Y48" s="954"/>
      <c r="Z48" s="954"/>
      <c r="AA48" s="954"/>
      <c r="AB48" s="955">
        <f t="shared" si="38"/>
        <v>4210372.6476448653</v>
      </c>
      <c r="AC48" s="954"/>
      <c r="AD48" s="954"/>
      <c r="AE48" s="954"/>
      <c r="AF48" s="954"/>
      <c r="AG48" s="954"/>
      <c r="AH48" s="955">
        <f t="shared" si="39"/>
        <v>4210372.6476448653</v>
      </c>
      <c r="AI48" s="954"/>
      <c r="AJ48" s="954"/>
      <c r="AK48" s="954"/>
      <c r="AL48" s="954"/>
      <c r="AM48" s="954"/>
      <c r="AN48" s="955">
        <f t="shared" si="40"/>
        <v>4210372.6476448653</v>
      </c>
      <c r="AO48" s="954"/>
      <c r="AP48" s="954"/>
      <c r="AQ48" s="954"/>
      <c r="AR48" s="954"/>
      <c r="AS48" s="954"/>
      <c r="AT48" s="955">
        <f t="shared" si="41"/>
        <v>4210372.6476448653</v>
      </c>
      <c r="AU48" s="954"/>
      <c r="AV48" s="954"/>
      <c r="AW48" s="954"/>
      <c r="AX48" s="954"/>
      <c r="AY48" s="954"/>
      <c r="AZ48" s="955">
        <f t="shared" si="42"/>
        <v>4210372.6476448653</v>
      </c>
      <c r="BA48" s="954"/>
      <c r="BB48" s="954"/>
      <c r="BC48" s="954"/>
      <c r="BD48" s="954"/>
      <c r="BE48" s="954"/>
      <c r="BF48" s="955">
        <f t="shared" si="43"/>
        <v>4210372.6476448653</v>
      </c>
      <c r="BG48" s="954"/>
      <c r="BH48" s="954"/>
      <c r="BI48" s="1202">
        <f t="shared" si="44"/>
        <v>8420745.2952897307</v>
      </c>
      <c r="BJ48" s="954"/>
      <c r="BK48" s="954"/>
      <c r="BL48" s="954"/>
      <c r="BM48" s="954"/>
      <c r="BN48" s="954"/>
      <c r="BO48" s="954"/>
      <c r="BP48" s="954"/>
      <c r="BQ48" s="354">
        <f t="shared" si="34"/>
        <v>42103726.476448655</v>
      </c>
      <c r="BR48" s="349">
        <f t="shared" si="45"/>
        <v>42103726.476448648</v>
      </c>
      <c r="BS48" s="1193">
        <f t="shared" si="12"/>
        <v>0</v>
      </c>
    </row>
    <row r="49" spans="1:71" ht="30" customHeight="1">
      <c r="A49" s="38"/>
      <c r="B49" s="1556"/>
      <c r="C49" s="1513" t="s">
        <v>77</v>
      </c>
      <c r="D49" s="336" t="s">
        <v>168</v>
      </c>
      <c r="E49" s="337">
        <f>SUMPRODUCT(E50:E65,G50:G65)</f>
        <v>3826.1833500000002</v>
      </c>
      <c r="F49" s="990"/>
      <c r="G49" s="339">
        <f>SUM(G50:G53)</f>
        <v>266</v>
      </c>
      <c r="H49" s="340" t="s">
        <v>177</v>
      </c>
      <c r="I49" s="999" t="s">
        <v>178</v>
      </c>
      <c r="J49" s="969"/>
      <c r="K49" s="970"/>
      <c r="L49" s="971">
        <f t="shared" si="10"/>
        <v>3.0163641525605998E-2</v>
      </c>
      <c r="M49" s="972">
        <f>SUM(M50:M53)</f>
        <v>28281601.18</v>
      </c>
      <c r="N49" s="38"/>
      <c r="O49" s="346" t="s">
        <v>179</v>
      </c>
      <c r="P49" s="978">
        <f>SUM(P50:P53)</f>
        <v>0</v>
      </c>
      <c r="Q49" s="978">
        <f t="shared" ref="Q49:BP49" si="46">SUM(Q50:Q53)</f>
        <v>0</v>
      </c>
      <c r="R49" s="978">
        <f t="shared" si="46"/>
        <v>0</v>
      </c>
      <c r="S49" s="978">
        <f t="shared" si="46"/>
        <v>0</v>
      </c>
      <c r="T49" s="978">
        <f t="shared" si="46"/>
        <v>14140800.59</v>
      </c>
      <c r="U49" s="978">
        <f t="shared" si="46"/>
        <v>0</v>
      </c>
      <c r="V49" s="978">
        <f t="shared" si="46"/>
        <v>0</v>
      </c>
      <c r="W49" s="978">
        <f t="shared" si="46"/>
        <v>0</v>
      </c>
      <c r="X49" s="978">
        <f t="shared" si="46"/>
        <v>0</v>
      </c>
      <c r="Y49" s="978">
        <f t="shared" si="46"/>
        <v>0</v>
      </c>
      <c r="Z49" s="978">
        <f t="shared" si="46"/>
        <v>0</v>
      </c>
      <c r="AA49" s="978">
        <f t="shared" si="46"/>
        <v>0</v>
      </c>
      <c r="AB49" s="978">
        <f t="shared" si="46"/>
        <v>0</v>
      </c>
      <c r="AC49" s="978">
        <f t="shared" si="46"/>
        <v>0</v>
      </c>
      <c r="AD49" s="978">
        <f t="shared" si="46"/>
        <v>0</v>
      </c>
      <c r="AE49" s="978">
        <f t="shared" si="46"/>
        <v>0</v>
      </c>
      <c r="AF49" s="978">
        <f t="shared" si="46"/>
        <v>0</v>
      </c>
      <c r="AG49" s="978">
        <f t="shared" si="46"/>
        <v>0</v>
      </c>
      <c r="AH49" s="978">
        <f t="shared" si="46"/>
        <v>0</v>
      </c>
      <c r="AI49" s="978">
        <f t="shared" si="46"/>
        <v>0</v>
      </c>
      <c r="AJ49" s="978">
        <f t="shared" si="46"/>
        <v>0</v>
      </c>
      <c r="AK49" s="978">
        <f t="shared" si="46"/>
        <v>0</v>
      </c>
      <c r="AL49" s="978">
        <f t="shared" si="46"/>
        <v>0</v>
      </c>
      <c r="AM49" s="978">
        <f t="shared" si="46"/>
        <v>0</v>
      </c>
      <c r="AN49" s="978">
        <f t="shared" si="46"/>
        <v>0</v>
      </c>
      <c r="AO49" s="978">
        <f t="shared" si="46"/>
        <v>0</v>
      </c>
      <c r="AP49" s="978">
        <f t="shared" si="46"/>
        <v>0</v>
      </c>
      <c r="AQ49" s="978">
        <f t="shared" si="46"/>
        <v>0</v>
      </c>
      <c r="AR49" s="978">
        <f t="shared" si="46"/>
        <v>0</v>
      </c>
      <c r="AS49" s="978">
        <f t="shared" si="46"/>
        <v>0</v>
      </c>
      <c r="AT49" s="978">
        <f t="shared" si="46"/>
        <v>0</v>
      </c>
      <c r="AU49" s="978">
        <f t="shared" si="46"/>
        <v>0</v>
      </c>
      <c r="AV49" s="978">
        <f t="shared" si="46"/>
        <v>0</v>
      </c>
      <c r="AW49" s="978">
        <f t="shared" si="46"/>
        <v>0</v>
      </c>
      <c r="AX49" s="978">
        <f t="shared" si="46"/>
        <v>0</v>
      </c>
      <c r="AY49" s="978">
        <f t="shared" si="46"/>
        <v>0</v>
      </c>
      <c r="AZ49" s="978">
        <f t="shared" si="46"/>
        <v>0</v>
      </c>
      <c r="BA49" s="978">
        <f t="shared" si="46"/>
        <v>0</v>
      </c>
      <c r="BB49" s="978">
        <f t="shared" si="46"/>
        <v>0</v>
      </c>
      <c r="BC49" s="978">
        <f t="shared" si="46"/>
        <v>0</v>
      </c>
      <c r="BD49" s="978">
        <f t="shared" si="46"/>
        <v>0</v>
      </c>
      <c r="BE49" s="978">
        <f t="shared" si="46"/>
        <v>0</v>
      </c>
      <c r="BF49" s="978">
        <f t="shared" si="46"/>
        <v>8484480.3540000003</v>
      </c>
      <c r="BG49" s="978">
        <f t="shared" si="46"/>
        <v>0</v>
      </c>
      <c r="BH49" s="978">
        <f t="shared" si="46"/>
        <v>5656320.2360000005</v>
      </c>
      <c r="BI49" s="978">
        <f t="shared" si="46"/>
        <v>0</v>
      </c>
      <c r="BJ49" s="978">
        <f t="shared" si="46"/>
        <v>0</v>
      </c>
      <c r="BK49" s="978">
        <f t="shared" si="46"/>
        <v>0</v>
      </c>
      <c r="BL49" s="978">
        <f t="shared" si="46"/>
        <v>0</v>
      </c>
      <c r="BM49" s="978">
        <f t="shared" si="46"/>
        <v>0</v>
      </c>
      <c r="BN49" s="978">
        <f t="shared" si="46"/>
        <v>0</v>
      </c>
      <c r="BO49" s="978">
        <f t="shared" si="46"/>
        <v>0</v>
      </c>
      <c r="BP49" s="978">
        <f t="shared" si="46"/>
        <v>0</v>
      </c>
      <c r="BQ49" s="979">
        <f t="shared" ref="BQ49:BQ110" si="47">SUM(P49:BP49)</f>
        <v>28281601.18</v>
      </c>
      <c r="BR49" s="980">
        <f>+M49</f>
        <v>28281601.18</v>
      </c>
      <c r="BS49" s="1193">
        <f t="shared" si="12"/>
        <v>0</v>
      </c>
    </row>
    <row r="50" spans="1:71" ht="19.399999999999999" customHeight="1">
      <c r="A50" s="38"/>
      <c r="B50" s="1556"/>
      <c r="C50" s="1514"/>
      <c r="D50" s="986" t="s">
        <v>78</v>
      </c>
      <c r="E50" s="959">
        <f>건축개요!B77</f>
        <v>11.915475000000001</v>
      </c>
      <c r="F50" s="1194" t="s">
        <v>52</v>
      </c>
      <c r="G50" s="1195">
        <f>건축개요!C77</f>
        <v>90</v>
      </c>
      <c r="H50" s="998">
        <v>2091</v>
      </c>
      <c r="I50" s="996">
        <f>H50/0.3025</f>
        <v>6912.3966942148763</v>
      </c>
      <c r="J50" s="1201" t="s">
        <v>172</v>
      </c>
      <c r="K50" s="994">
        <f>E50*I50</f>
        <v>82364.490000000005</v>
      </c>
      <c r="L50" s="348">
        <f t="shared" si="10"/>
        <v>7.9060999463518491E-3</v>
      </c>
      <c r="M50" s="956">
        <f>E50*G50*I50</f>
        <v>7412804.1000000006</v>
      </c>
      <c r="N50" s="38"/>
      <c r="O50" s="984"/>
      <c r="P50" s="954"/>
      <c r="Q50" s="957"/>
      <c r="R50" s="954"/>
      <c r="S50" s="954"/>
      <c r="T50" s="955">
        <f>$M50*50%</f>
        <v>3706402.0500000003</v>
      </c>
      <c r="U50" s="954"/>
      <c r="V50" s="955"/>
      <c r="W50" s="954"/>
      <c r="X50" s="954"/>
      <c r="Y50" s="954"/>
      <c r="Z50" s="954"/>
      <c r="AA50" s="954"/>
      <c r="AB50" s="954"/>
      <c r="AC50" s="954"/>
      <c r="AD50" s="954"/>
      <c r="AE50" s="954"/>
      <c r="AF50" s="954"/>
      <c r="AG50" s="954"/>
      <c r="AH50" s="954"/>
      <c r="AI50" s="954"/>
      <c r="AJ50" s="954"/>
      <c r="AK50" s="954"/>
      <c r="AL50" s="954"/>
      <c r="AM50" s="954"/>
      <c r="AN50" s="954"/>
      <c r="AO50" s="954"/>
      <c r="AP50" s="954"/>
      <c r="AQ50" s="954"/>
      <c r="AR50" s="954"/>
      <c r="AS50" s="954"/>
      <c r="AT50" s="955"/>
      <c r="AU50" s="954"/>
      <c r="AV50" s="954"/>
      <c r="AW50" s="954"/>
      <c r="AX50" s="954"/>
      <c r="AY50" s="954"/>
      <c r="AZ50" s="954"/>
      <c r="BA50" s="954"/>
      <c r="BB50" s="954"/>
      <c r="BC50" s="954"/>
      <c r="BD50" s="954"/>
      <c r="BE50" s="954"/>
      <c r="BF50" s="955">
        <f>$M50*30%</f>
        <v>2223841.23</v>
      </c>
      <c r="BG50" s="954"/>
      <c r="BH50" s="955">
        <f>$M50*20%</f>
        <v>1482560.8200000003</v>
      </c>
      <c r="BI50" s="954"/>
      <c r="BJ50" s="954"/>
      <c r="BK50" s="954"/>
      <c r="BL50" s="954"/>
      <c r="BM50" s="954"/>
      <c r="BN50" s="954"/>
      <c r="BO50" s="954"/>
      <c r="BP50" s="954"/>
      <c r="BQ50" s="354">
        <f t="shared" si="47"/>
        <v>7412804.1000000006</v>
      </c>
      <c r="BR50" s="349">
        <f t="shared" ref="BR50:BR52" si="48">$M50</f>
        <v>7412804.1000000006</v>
      </c>
      <c r="BS50" s="1193">
        <f t="shared" si="12"/>
        <v>0</v>
      </c>
    </row>
    <row r="51" spans="1:71" ht="19.399999999999999" customHeight="1">
      <c r="A51" s="38"/>
      <c r="B51" s="1556"/>
      <c r="C51" s="1514"/>
      <c r="D51" s="987" t="s">
        <v>174</v>
      </c>
      <c r="E51" s="959">
        <f>건축개요!B78</f>
        <v>14.889049999999999</v>
      </c>
      <c r="F51" s="1194" t="s">
        <v>52</v>
      </c>
      <c r="G51" s="1195">
        <f>건축개요!C78</f>
        <v>106</v>
      </c>
      <c r="H51" s="998">
        <v>2251</v>
      </c>
      <c r="I51" s="996">
        <f>H51/0.3025</f>
        <v>7441.3223140495866</v>
      </c>
      <c r="J51" s="1201" t="s">
        <v>172</v>
      </c>
      <c r="K51" s="994">
        <f>E51*I51</f>
        <v>110794.21999999999</v>
      </c>
      <c r="L51" s="348">
        <f t="shared" si="10"/>
        <v>1.2525721371835262E-2</v>
      </c>
      <c r="M51" s="956">
        <f t="shared" ref="M51:M53" si="49">E51*G51*I51</f>
        <v>11744187.319999998</v>
      </c>
      <c r="N51" s="38"/>
      <c r="O51" s="984"/>
      <c r="P51" s="954"/>
      <c r="Q51" s="957"/>
      <c r="R51" s="954"/>
      <c r="S51" s="954"/>
      <c r="T51" s="955">
        <f t="shared" ref="T51:T53" si="50">$M51*50%</f>
        <v>5872093.6599999992</v>
      </c>
      <c r="U51" s="954"/>
      <c r="V51" s="955"/>
      <c r="W51" s="954"/>
      <c r="X51" s="954"/>
      <c r="Y51" s="954"/>
      <c r="Z51" s="954"/>
      <c r="AA51" s="954"/>
      <c r="AB51" s="954"/>
      <c r="AC51" s="954"/>
      <c r="AD51" s="954"/>
      <c r="AE51" s="954"/>
      <c r="AF51" s="954"/>
      <c r="AG51" s="954"/>
      <c r="AH51" s="954"/>
      <c r="AI51" s="954"/>
      <c r="AJ51" s="954"/>
      <c r="AK51" s="954"/>
      <c r="AL51" s="954"/>
      <c r="AM51" s="954"/>
      <c r="AN51" s="954"/>
      <c r="AO51" s="954"/>
      <c r="AP51" s="954"/>
      <c r="AQ51" s="954"/>
      <c r="AR51" s="954"/>
      <c r="AS51" s="954"/>
      <c r="AT51" s="955"/>
      <c r="AU51" s="954"/>
      <c r="AV51" s="954"/>
      <c r="AW51" s="954"/>
      <c r="AX51" s="954"/>
      <c r="AY51" s="954"/>
      <c r="AZ51" s="954"/>
      <c r="BA51" s="954"/>
      <c r="BB51" s="954"/>
      <c r="BC51" s="954"/>
      <c r="BD51" s="954"/>
      <c r="BE51" s="954"/>
      <c r="BF51" s="955">
        <f t="shared" ref="BF51:BF53" si="51">$M51*30%</f>
        <v>3523256.1959999995</v>
      </c>
      <c r="BG51" s="954"/>
      <c r="BH51" s="955">
        <f t="shared" ref="BH51:BH53" si="52">$M51*20%</f>
        <v>2348837.4639999997</v>
      </c>
      <c r="BI51" s="954"/>
      <c r="BJ51" s="954"/>
      <c r="BK51" s="954"/>
      <c r="BL51" s="954"/>
      <c r="BM51" s="954"/>
      <c r="BN51" s="954"/>
      <c r="BO51" s="954"/>
      <c r="BP51" s="954"/>
      <c r="BQ51" s="354">
        <f t="shared" si="47"/>
        <v>11744187.319999998</v>
      </c>
      <c r="BR51" s="349">
        <f t="shared" si="48"/>
        <v>11744187.319999998</v>
      </c>
      <c r="BS51" s="1193">
        <f t="shared" si="12"/>
        <v>0</v>
      </c>
    </row>
    <row r="52" spans="1:71" ht="19.399999999999999" customHeight="1">
      <c r="A52" s="38"/>
      <c r="B52" s="1556"/>
      <c r="C52" s="1514"/>
      <c r="D52" s="987" t="s">
        <v>175</v>
      </c>
      <c r="E52" s="959">
        <f>건축개요!B79</f>
        <v>16.4681</v>
      </c>
      <c r="F52" s="1194" t="s">
        <v>52</v>
      </c>
      <c r="G52" s="1195">
        <f>건축개요!C79</f>
        <v>56</v>
      </c>
      <c r="H52" s="998">
        <v>2348</v>
      </c>
      <c r="I52" s="996">
        <f>H52/0.3025</f>
        <v>7761.9834710743808</v>
      </c>
      <c r="J52" s="1201" t="s">
        <v>172</v>
      </c>
      <c r="K52" s="994">
        <f>E52*I52</f>
        <v>127825.12000000001</v>
      </c>
      <c r="L52" s="348">
        <f t="shared" si="10"/>
        <v>7.634560012852282E-3</v>
      </c>
      <c r="M52" s="956">
        <f t="shared" si="49"/>
        <v>7158206.7200000007</v>
      </c>
      <c r="N52" s="38"/>
      <c r="O52" s="984"/>
      <c r="P52" s="954"/>
      <c r="Q52" s="957"/>
      <c r="R52" s="954"/>
      <c r="S52" s="954"/>
      <c r="T52" s="955">
        <f t="shared" si="50"/>
        <v>3579103.3600000003</v>
      </c>
      <c r="U52" s="954"/>
      <c r="V52" s="955"/>
      <c r="W52" s="954"/>
      <c r="X52" s="954"/>
      <c r="Y52" s="954"/>
      <c r="Z52" s="954"/>
      <c r="AA52" s="954"/>
      <c r="AB52" s="954"/>
      <c r="AC52" s="954"/>
      <c r="AD52" s="954"/>
      <c r="AE52" s="954"/>
      <c r="AF52" s="954"/>
      <c r="AG52" s="954"/>
      <c r="AH52" s="954"/>
      <c r="AI52" s="954"/>
      <c r="AJ52" s="954"/>
      <c r="AK52" s="954"/>
      <c r="AL52" s="954"/>
      <c r="AM52" s="954"/>
      <c r="AN52" s="954"/>
      <c r="AO52" s="954"/>
      <c r="AP52" s="954"/>
      <c r="AQ52" s="954"/>
      <c r="AR52" s="954"/>
      <c r="AS52" s="954"/>
      <c r="AT52" s="955"/>
      <c r="AU52" s="954"/>
      <c r="AV52" s="954"/>
      <c r="AW52" s="954"/>
      <c r="AX52" s="954"/>
      <c r="AY52" s="954"/>
      <c r="AZ52" s="954"/>
      <c r="BA52" s="954"/>
      <c r="BB52" s="954"/>
      <c r="BC52" s="954"/>
      <c r="BD52" s="954"/>
      <c r="BE52" s="954"/>
      <c r="BF52" s="955">
        <f t="shared" si="51"/>
        <v>2147462.0160000003</v>
      </c>
      <c r="BG52" s="954"/>
      <c r="BH52" s="955">
        <f t="shared" si="52"/>
        <v>1431641.3440000003</v>
      </c>
      <c r="BI52" s="954"/>
      <c r="BJ52" s="954"/>
      <c r="BK52" s="954"/>
      <c r="BL52" s="954"/>
      <c r="BM52" s="954"/>
      <c r="BN52" s="954"/>
      <c r="BO52" s="954"/>
      <c r="BP52" s="954"/>
      <c r="BQ52" s="354">
        <f t="shared" si="47"/>
        <v>7158206.7200000007</v>
      </c>
      <c r="BR52" s="349">
        <f t="shared" si="48"/>
        <v>7158206.7200000007</v>
      </c>
      <c r="BS52" s="1193">
        <f t="shared" si="12"/>
        <v>0</v>
      </c>
    </row>
    <row r="53" spans="1:71" ht="19.399999999999999" customHeight="1">
      <c r="A53" s="38"/>
      <c r="B53" s="1556"/>
      <c r="C53" s="1515"/>
      <c r="D53" s="988" t="s">
        <v>176</v>
      </c>
      <c r="E53" s="959">
        <f>건축개요!B80</f>
        <v>18.095549999999999</v>
      </c>
      <c r="F53" s="1194" t="s">
        <v>52</v>
      </c>
      <c r="G53" s="1195">
        <f>건축개요!C80</f>
        <v>14</v>
      </c>
      <c r="H53" s="998">
        <v>2348</v>
      </c>
      <c r="I53" s="996">
        <f>H53/0.3025</f>
        <v>7761.9834710743808</v>
      </c>
      <c r="J53" s="1201" t="s">
        <v>172</v>
      </c>
      <c r="K53" s="994">
        <f>E53*I53</f>
        <v>140457.36000000002</v>
      </c>
      <c r="L53" s="348">
        <f t="shared" si="10"/>
        <v>2.0972601945666029E-3</v>
      </c>
      <c r="M53" s="956">
        <f t="shared" si="49"/>
        <v>1966403.04</v>
      </c>
      <c r="N53" s="38"/>
      <c r="O53" s="984"/>
      <c r="P53" s="954"/>
      <c r="Q53" s="957"/>
      <c r="R53" s="954"/>
      <c r="S53" s="954"/>
      <c r="T53" s="955">
        <f t="shared" si="50"/>
        <v>983201.52</v>
      </c>
      <c r="U53" s="954"/>
      <c r="V53" s="955"/>
      <c r="W53" s="954"/>
      <c r="X53" s="954"/>
      <c r="Y53" s="954"/>
      <c r="Z53" s="954"/>
      <c r="AA53" s="954"/>
      <c r="AB53" s="954"/>
      <c r="AC53" s="954"/>
      <c r="AD53" s="954"/>
      <c r="AE53" s="954"/>
      <c r="AF53" s="954"/>
      <c r="AG53" s="954"/>
      <c r="AH53" s="954"/>
      <c r="AI53" s="954"/>
      <c r="AJ53" s="954"/>
      <c r="AK53" s="954"/>
      <c r="AL53" s="954"/>
      <c r="AM53" s="954"/>
      <c r="AN53" s="954"/>
      <c r="AO53" s="954"/>
      <c r="AP53" s="954"/>
      <c r="AQ53" s="954"/>
      <c r="AR53" s="954"/>
      <c r="AS53" s="954"/>
      <c r="AT53" s="955"/>
      <c r="AU53" s="954"/>
      <c r="AV53" s="954"/>
      <c r="AW53" s="954"/>
      <c r="AX53" s="954"/>
      <c r="AY53" s="954"/>
      <c r="AZ53" s="954"/>
      <c r="BA53" s="954"/>
      <c r="BB53" s="954"/>
      <c r="BC53" s="954"/>
      <c r="BD53" s="954"/>
      <c r="BE53" s="954"/>
      <c r="BF53" s="955">
        <f t="shared" si="51"/>
        <v>589920.91200000001</v>
      </c>
      <c r="BG53" s="954"/>
      <c r="BH53" s="955">
        <f t="shared" si="52"/>
        <v>393280.60800000001</v>
      </c>
      <c r="BI53" s="954"/>
      <c r="BJ53" s="954"/>
      <c r="BK53" s="954"/>
      <c r="BL53" s="954"/>
      <c r="BM53" s="954"/>
      <c r="BN53" s="954"/>
      <c r="BO53" s="954"/>
      <c r="BP53" s="954"/>
      <c r="BQ53" s="354">
        <f t="shared" si="47"/>
        <v>1966403.04</v>
      </c>
      <c r="BR53" s="349">
        <f>$M53</f>
        <v>1966403.04</v>
      </c>
      <c r="BS53" s="1193">
        <f t="shared" si="12"/>
        <v>0</v>
      </c>
    </row>
    <row r="54" spans="1:71" ht="30" customHeight="1">
      <c r="A54" s="38"/>
      <c r="B54" s="1556"/>
      <c r="C54" s="1513" t="s">
        <v>180</v>
      </c>
      <c r="D54" s="336" t="s">
        <v>168</v>
      </c>
      <c r="E54" s="337">
        <f>SUM(E55:E56)</f>
        <v>934.3741</v>
      </c>
      <c r="F54" s="355">
        <f>E54/세금!E151</f>
        <v>18.687481999999999</v>
      </c>
      <c r="G54" s="356"/>
      <c r="H54" s="357" t="s">
        <v>169</v>
      </c>
      <c r="I54" s="341"/>
      <c r="J54" s="357" t="s">
        <v>170</v>
      </c>
      <c r="K54" s="358"/>
      <c r="L54" s="359">
        <f t="shared" si="10"/>
        <v>3.8283068247174638E-2</v>
      </c>
      <c r="M54" s="360">
        <f>SUM(M55:M57)</f>
        <v>35894421.673</v>
      </c>
      <c r="N54" s="38"/>
      <c r="O54" s="346" t="s">
        <v>180</v>
      </c>
      <c r="P54" s="981">
        <f>SUM(P55:P57)</f>
        <v>0</v>
      </c>
      <c r="Q54" s="981">
        <f t="shared" ref="Q54:BP54" si="53">SUM(Q55:Q57)</f>
        <v>0</v>
      </c>
      <c r="R54" s="981">
        <f t="shared" si="53"/>
        <v>0</v>
      </c>
      <c r="S54" s="981">
        <f t="shared" si="53"/>
        <v>0</v>
      </c>
      <c r="T54" s="981">
        <f t="shared" si="53"/>
        <v>0</v>
      </c>
      <c r="U54" s="981">
        <f t="shared" si="53"/>
        <v>0</v>
      </c>
      <c r="V54" s="981">
        <f t="shared" si="53"/>
        <v>0</v>
      </c>
      <c r="W54" s="981">
        <f t="shared" si="53"/>
        <v>0</v>
      </c>
      <c r="X54" s="981">
        <f t="shared" si="53"/>
        <v>0</v>
      </c>
      <c r="Y54" s="981">
        <f>SUM(Y55:Y57)</f>
        <v>1794721.0836499999</v>
      </c>
      <c r="Z54" s="981">
        <f>SUM(Z55:Z57)</f>
        <v>1794721.0836499999</v>
      </c>
      <c r="AA54" s="981">
        <f t="shared" si="53"/>
        <v>0</v>
      </c>
      <c r="AB54" s="981">
        <f t="shared" si="53"/>
        <v>0</v>
      </c>
      <c r="AC54" s="981">
        <f t="shared" si="53"/>
        <v>0</v>
      </c>
      <c r="AD54" s="981">
        <f t="shared" si="53"/>
        <v>0</v>
      </c>
      <c r="AE54" s="981">
        <f t="shared" si="53"/>
        <v>0</v>
      </c>
      <c r="AF54" s="981">
        <f t="shared" si="53"/>
        <v>0</v>
      </c>
      <c r="AG54" s="981">
        <f t="shared" si="53"/>
        <v>0</v>
      </c>
      <c r="AH54" s="981">
        <f t="shared" si="53"/>
        <v>0</v>
      </c>
      <c r="AI54" s="981">
        <f t="shared" si="53"/>
        <v>3589442.1672999999</v>
      </c>
      <c r="AJ54" s="981">
        <f t="shared" si="53"/>
        <v>3589442.1672999999</v>
      </c>
      <c r="AK54" s="981">
        <f t="shared" si="53"/>
        <v>0</v>
      </c>
      <c r="AL54" s="981">
        <f t="shared" si="53"/>
        <v>0</v>
      </c>
      <c r="AM54" s="981">
        <f t="shared" si="53"/>
        <v>0</v>
      </c>
      <c r="AN54" s="981">
        <f t="shared" si="53"/>
        <v>0</v>
      </c>
      <c r="AO54" s="981">
        <f t="shared" si="53"/>
        <v>0</v>
      </c>
      <c r="AP54" s="981">
        <f t="shared" si="53"/>
        <v>0</v>
      </c>
      <c r="AQ54" s="981">
        <f t="shared" si="53"/>
        <v>0</v>
      </c>
      <c r="AR54" s="981">
        <f t="shared" si="53"/>
        <v>0</v>
      </c>
      <c r="AS54" s="981">
        <f t="shared" si="53"/>
        <v>0</v>
      </c>
      <c r="AT54" s="981">
        <f t="shared" si="53"/>
        <v>0</v>
      </c>
      <c r="AU54" s="981">
        <f t="shared" si="53"/>
        <v>3589442.1672999999</v>
      </c>
      <c r="AV54" s="981">
        <f t="shared" si="53"/>
        <v>3589442.1672999999</v>
      </c>
      <c r="AW54" s="981">
        <f t="shared" si="53"/>
        <v>0</v>
      </c>
      <c r="AX54" s="981">
        <f t="shared" si="53"/>
        <v>0</v>
      </c>
      <c r="AY54" s="981">
        <f t="shared" si="53"/>
        <v>0</v>
      </c>
      <c r="AZ54" s="981">
        <f t="shared" si="53"/>
        <v>0</v>
      </c>
      <c r="BA54" s="981">
        <f t="shared" si="53"/>
        <v>0</v>
      </c>
      <c r="BB54" s="981">
        <f t="shared" si="53"/>
        <v>0</v>
      </c>
      <c r="BC54" s="981">
        <f t="shared" si="53"/>
        <v>0</v>
      </c>
      <c r="BD54" s="981">
        <f t="shared" si="53"/>
        <v>0</v>
      </c>
      <c r="BE54" s="981">
        <f t="shared" si="53"/>
        <v>0</v>
      </c>
      <c r="BF54" s="981">
        <f t="shared" si="53"/>
        <v>0</v>
      </c>
      <c r="BG54" s="981">
        <f t="shared" si="53"/>
        <v>0</v>
      </c>
      <c r="BH54" s="981">
        <f t="shared" si="53"/>
        <v>0</v>
      </c>
      <c r="BI54" s="981">
        <f>SUM(BI55:BI57)</f>
        <v>8973605.4182500001</v>
      </c>
      <c r="BJ54" s="981">
        <f t="shared" si="53"/>
        <v>8973605.4182500001</v>
      </c>
      <c r="BK54" s="981">
        <f t="shared" si="53"/>
        <v>0</v>
      </c>
      <c r="BL54" s="981">
        <f t="shared" si="53"/>
        <v>0</v>
      </c>
      <c r="BM54" s="981">
        <f t="shared" si="53"/>
        <v>0</v>
      </c>
      <c r="BN54" s="981">
        <f t="shared" si="53"/>
        <v>0</v>
      </c>
      <c r="BO54" s="981">
        <f t="shared" si="53"/>
        <v>0</v>
      </c>
      <c r="BP54" s="981">
        <f t="shared" si="53"/>
        <v>0</v>
      </c>
      <c r="BQ54" s="979">
        <f>SUM(P54:BP54)</f>
        <v>35894421.673</v>
      </c>
      <c r="BR54" s="980">
        <f>+M54</f>
        <v>35894421.673</v>
      </c>
      <c r="BS54" s="1193">
        <f>BQ54-BR54</f>
        <v>0</v>
      </c>
    </row>
    <row r="55" spans="1:71" ht="19.5" customHeight="1">
      <c r="A55" s="38"/>
      <c r="B55" s="1556"/>
      <c r="C55" s="1514"/>
      <c r="D55" s="362" t="str">
        <f>건축개요!A86</f>
        <v>1층</v>
      </c>
      <c r="E55" s="351">
        <f>건축개요!B86</f>
        <v>819.93835000000001</v>
      </c>
      <c r="F55" s="352" t="s">
        <v>52</v>
      </c>
      <c r="G55" s="1203"/>
      <c r="H55" s="1014">
        <v>36020</v>
      </c>
      <c r="I55" s="361">
        <v>36020</v>
      </c>
      <c r="K55" s="1013">
        <f>H55/(1-$I$15)</f>
        <v>40022.222222222219</v>
      </c>
      <c r="L55" s="1204">
        <f t="shared" si="10"/>
        <v>3.1499574352569844E-2</v>
      </c>
      <c r="M55" s="363">
        <f>E55*I55</f>
        <v>29534179.366999999</v>
      </c>
      <c r="N55" s="38"/>
      <c r="O55" s="364"/>
      <c r="P55" s="954"/>
      <c r="Q55" s="954"/>
      <c r="R55" s="954"/>
      <c r="S55" s="954"/>
      <c r="T55" s="954"/>
      <c r="U55" s="954"/>
      <c r="V55" s="954"/>
      <c r="W55" s="954"/>
      <c r="X55" s="954"/>
      <c r="Y55" s="955">
        <f t="shared" ref="Y55:Z57" si="54">$M55*$T$9*10%</f>
        <v>1476708.96835</v>
      </c>
      <c r="Z55" s="955">
        <f t="shared" si="54"/>
        <v>1476708.96835</v>
      </c>
      <c r="AA55" s="954"/>
      <c r="AB55" s="954"/>
      <c r="AC55" s="954"/>
      <c r="AD55" s="954"/>
      <c r="AE55" s="1198"/>
      <c r="AG55" s="1198"/>
      <c r="AH55" s="955"/>
      <c r="AI55" s="955">
        <f t="shared" ref="AI55:AJ57" si="55">$M55*20%*0.5</f>
        <v>2953417.9367</v>
      </c>
      <c r="AJ55" s="955">
        <f t="shared" si="55"/>
        <v>2953417.9367</v>
      </c>
      <c r="AK55" s="954"/>
      <c r="AL55" s="955"/>
      <c r="AM55" s="954"/>
      <c r="AN55" s="954"/>
      <c r="AO55" s="954"/>
      <c r="AP55" s="954"/>
      <c r="AQ55" s="954"/>
      <c r="AR55" s="954"/>
      <c r="AS55" s="954"/>
      <c r="AT55" s="955"/>
      <c r="AU55" s="955">
        <f t="shared" ref="AU55:AV57" si="56">$M55*20%*0.5</f>
        <v>2953417.9367</v>
      </c>
      <c r="AV55" s="955">
        <f t="shared" si="56"/>
        <v>2953417.9367</v>
      </c>
      <c r="AW55" s="1198"/>
      <c r="AX55" s="1198"/>
      <c r="AY55" s="1198"/>
      <c r="AZ55" s="1198"/>
      <c r="BA55" s="1198"/>
      <c r="BB55" s="1198"/>
      <c r="BC55" s="1198"/>
      <c r="BD55" s="1198"/>
      <c r="BE55" s="1198"/>
      <c r="BF55" s="1198"/>
      <c r="BG55" s="1198"/>
      <c r="BH55" s="1198"/>
      <c r="BI55" s="955">
        <f>$M55*50%*0.5</f>
        <v>7383544.8417499997</v>
      </c>
      <c r="BJ55" s="955">
        <f>$M55*50%*0.5</f>
        <v>7383544.8417499997</v>
      </c>
      <c r="BK55" s="1198"/>
      <c r="BL55" s="1198"/>
      <c r="BM55" s="1198"/>
      <c r="BN55" s="1198"/>
      <c r="BO55" s="1198"/>
      <c r="BP55" s="1198"/>
      <c r="BQ55" s="354">
        <f t="shared" si="47"/>
        <v>29534179.366999999</v>
      </c>
      <c r="BR55" s="349">
        <f>$M55</f>
        <v>29534179.366999999</v>
      </c>
      <c r="BS55" s="1193">
        <f t="shared" ref="BS55:BS75" si="57">BQ55-BR55</f>
        <v>0</v>
      </c>
    </row>
    <row r="56" spans="1:71" ht="19.399999999999999" customHeight="1">
      <c r="A56" s="38"/>
      <c r="B56" s="1556"/>
      <c r="C56" s="1514"/>
      <c r="D56" s="362" t="str">
        <f>건축개요!A87</f>
        <v>지하1층</v>
      </c>
      <c r="E56" s="351">
        <f>건축개요!B87</f>
        <v>114.43575</v>
      </c>
      <c r="F56" s="352" t="s">
        <v>52</v>
      </c>
      <c r="G56" s="1205"/>
      <c r="H56" s="1206">
        <v>36020</v>
      </c>
      <c r="I56" s="983">
        <v>36020</v>
      </c>
      <c r="J56" s="1207"/>
      <c r="K56" s="1013">
        <f>H56/(1-$I$15)</f>
        <v>40022.222222222219</v>
      </c>
      <c r="L56" s="1204">
        <f t="shared" si="10"/>
        <v>4.3962785930394578E-3</v>
      </c>
      <c r="M56" s="363">
        <f>E56*I56</f>
        <v>4121975.7149999999</v>
      </c>
      <c r="N56" s="38"/>
      <c r="O56" s="364"/>
      <c r="Q56" s="954"/>
      <c r="R56" s="954"/>
      <c r="S56" s="954"/>
      <c r="T56" s="954"/>
      <c r="U56" s="954"/>
      <c r="V56" s="954"/>
      <c r="W56" s="954"/>
      <c r="X56" s="954"/>
      <c r="Y56" s="954">
        <f t="shared" si="54"/>
        <v>206098.78575000001</v>
      </c>
      <c r="Z56" s="954">
        <f t="shared" si="54"/>
        <v>206098.78575000001</v>
      </c>
      <c r="AA56" s="955"/>
      <c r="AB56" s="954"/>
      <c r="AC56" s="954"/>
      <c r="AD56" s="954"/>
      <c r="AE56" s="954"/>
      <c r="AF56" s="954"/>
      <c r="AH56" s="955"/>
      <c r="AI56" s="955">
        <f t="shared" si="55"/>
        <v>412197.57150000002</v>
      </c>
      <c r="AJ56" s="955">
        <f t="shared" si="55"/>
        <v>412197.57150000002</v>
      </c>
      <c r="AK56" s="954"/>
      <c r="AL56" s="955"/>
      <c r="AM56" s="954"/>
      <c r="AN56" s="954"/>
      <c r="AO56" s="954"/>
      <c r="AP56" s="954"/>
      <c r="AQ56" s="954"/>
      <c r="AR56" s="954"/>
      <c r="AS56" s="954"/>
      <c r="AT56" s="955"/>
      <c r="AU56" s="955">
        <f t="shared" si="56"/>
        <v>412197.57150000002</v>
      </c>
      <c r="AV56" s="955">
        <f t="shared" si="56"/>
        <v>412197.57150000002</v>
      </c>
      <c r="AW56" s="954"/>
      <c r="AX56" s="954"/>
      <c r="AY56" s="954"/>
      <c r="AZ56" s="954"/>
      <c r="BA56" s="954"/>
      <c r="BB56" s="954"/>
      <c r="BC56" s="954"/>
      <c r="BD56" s="954"/>
      <c r="BE56" s="954"/>
      <c r="BF56" s="954"/>
      <c r="BG56" s="954"/>
      <c r="BH56" s="954"/>
      <c r="BI56" s="955">
        <f t="shared" ref="BI56:BJ57" si="58">$M56*50%*0.5</f>
        <v>1030493.92875</v>
      </c>
      <c r="BJ56" s="955">
        <f t="shared" si="58"/>
        <v>1030493.92875</v>
      </c>
      <c r="BK56" s="954"/>
      <c r="BL56" s="954"/>
      <c r="BM56" s="954"/>
      <c r="BN56" s="954"/>
      <c r="BO56" s="954"/>
      <c r="BP56" s="954"/>
      <c r="BQ56" s="354">
        <f t="shared" si="47"/>
        <v>4121975.7149999999</v>
      </c>
      <c r="BR56" s="349">
        <f>$M56</f>
        <v>4121975.7149999999</v>
      </c>
      <c r="BS56" s="1193">
        <f t="shared" si="57"/>
        <v>0</v>
      </c>
    </row>
    <row r="57" spans="1:71" ht="19.5" customHeight="1">
      <c r="A57" s="38"/>
      <c r="B57" s="1556"/>
      <c r="C57" s="1523"/>
      <c r="D57" s="362" t="str">
        <f>건축개요!A88</f>
        <v>지하2층</v>
      </c>
      <c r="E57" s="351">
        <f>건축개요!B88</f>
        <v>62.139549999999993</v>
      </c>
      <c r="F57" s="352" t="s">
        <v>52</v>
      </c>
      <c r="G57" s="1004"/>
      <c r="H57" s="1014">
        <v>36020</v>
      </c>
      <c r="I57" s="983">
        <v>36020</v>
      </c>
      <c r="J57" s="1005"/>
      <c r="K57" s="1013">
        <f>H57/(1-$I$15)</f>
        <v>40022.222222222219</v>
      </c>
      <c r="L57" s="1204">
        <f t="shared" si="10"/>
        <v>2.3872153015653324E-3</v>
      </c>
      <c r="M57" s="363">
        <f>E57*I57</f>
        <v>2238266.5909999995</v>
      </c>
      <c r="N57" s="38"/>
      <c r="O57" s="364"/>
      <c r="Q57" s="954"/>
      <c r="R57" s="954"/>
      <c r="S57" s="954"/>
      <c r="T57" s="954"/>
      <c r="U57" s="954"/>
      <c r="V57" s="954"/>
      <c r="W57" s="954"/>
      <c r="X57" s="954"/>
      <c r="Y57" s="954">
        <f t="shared" si="54"/>
        <v>111913.32954999998</v>
      </c>
      <c r="Z57" s="954">
        <f t="shared" si="54"/>
        <v>111913.32954999998</v>
      </c>
      <c r="AA57" s="955"/>
      <c r="AB57" s="954"/>
      <c r="AC57" s="954"/>
      <c r="AD57" s="954"/>
      <c r="AE57" s="954"/>
      <c r="AF57" s="954"/>
      <c r="AG57" s="954"/>
      <c r="AH57" s="955"/>
      <c r="AI57" s="955">
        <f t="shared" si="55"/>
        <v>223826.65909999996</v>
      </c>
      <c r="AJ57" s="955">
        <f t="shared" si="55"/>
        <v>223826.65909999996</v>
      </c>
      <c r="AK57" s="954"/>
      <c r="AL57" s="955"/>
      <c r="AM57" s="954"/>
      <c r="AN57" s="954"/>
      <c r="AO57" s="954"/>
      <c r="AP57" s="954"/>
      <c r="AQ57" s="954"/>
      <c r="AR57" s="954"/>
      <c r="AS57" s="954"/>
      <c r="AT57" s="955"/>
      <c r="AU57" s="955">
        <f t="shared" si="56"/>
        <v>223826.65909999996</v>
      </c>
      <c r="AV57" s="955">
        <f t="shared" si="56"/>
        <v>223826.65909999996</v>
      </c>
      <c r="AW57" s="954"/>
      <c r="AX57" s="954"/>
      <c r="AY57" s="954"/>
      <c r="AZ57" s="954"/>
      <c r="BA57" s="954"/>
      <c r="BB57" s="954"/>
      <c r="BC57" s="954"/>
      <c r="BD57" s="954"/>
      <c r="BE57" s="954"/>
      <c r="BF57" s="954"/>
      <c r="BG57" s="954"/>
      <c r="BH57" s="954"/>
      <c r="BI57" s="955">
        <f t="shared" si="58"/>
        <v>559566.64774999989</v>
      </c>
      <c r="BJ57" s="955">
        <f t="shared" si="58"/>
        <v>559566.64774999989</v>
      </c>
      <c r="BK57" s="954"/>
      <c r="BL57" s="954"/>
      <c r="BM57" s="954"/>
      <c r="BN57" s="954"/>
      <c r="BO57" s="954"/>
      <c r="BP57" s="954"/>
      <c r="BQ57" s="354">
        <f t="shared" si="47"/>
        <v>2238266.5909999995</v>
      </c>
      <c r="BR57" s="349">
        <f>$M57</f>
        <v>2238266.5909999995</v>
      </c>
      <c r="BS57" s="1193">
        <f t="shared" si="57"/>
        <v>0</v>
      </c>
    </row>
    <row r="58" spans="1:71" ht="19.5" customHeight="1">
      <c r="A58" s="38"/>
      <c r="B58" s="1556"/>
      <c r="C58" s="1557" t="s">
        <v>181</v>
      </c>
      <c r="D58" s="1557"/>
      <c r="E58" s="1557"/>
      <c r="F58" s="1558"/>
      <c r="G58" s="365">
        <f>건축개요!E29</f>
        <v>73723.309549999991</v>
      </c>
      <c r="H58" s="366" t="s">
        <v>182</v>
      </c>
      <c r="I58" s="367">
        <f>IF(G58=0,"",M58/G58)</f>
        <v>12911.069607974596</v>
      </c>
      <c r="J58" s="368" t="s">
        <v>183</v>
      </c>
      <c r="K58" s="368" t="s">
        <v>137</v>
      </c>
      <c r="L58" s="359">
        <f t="shared" si="10"/>
        <v>1.0151888118574091</v>
      </c>
      <c r="M58" s="360">
        <f>M22+M38+M49+M54</f>
        <v>951846781.3303082</v>
      </c>
      <c r="N58" s="38"/>
      <c r="O58" s="346"/>
      <c r="P58" s="982">
        <f>P22+P38+P49+P54</f>
        <v>21091527.495230831</v>
      </c>
      <c r="Q58" s="982">
        <f t="shared" ref="Q58:BP58" si="59">Q22+Q38+Q49+Q54</f>
        <v>0</v>
      </c>
      <c r="R58" s="982">
        <f t="shared" si="59"/>
        <v>0</v>
      </c>
      <c r="S58" s="982">
        <f t="shared" si="59"/>
        <v>0</v>
      </c>
      <c r="T58" s="982">
        <f t="shared" si="59"/>
        <v>14140800.59</v>
      </c>
      <c r="U58" s="982">
        <f t="shared" si="59"/>
        <v>0</v>
      </c>
      <c r="V58" s="982">
        <f t="shared" si="59"/>
        <v>68464411.341980815</v>
      </c>
      <c r="W58" s="982">
        <f t="shared" si="59"/>
        <v>6767554.8352500014</v>
      </c>
      <c r="X58" s="982">
        <f t="shared" si="59"/>
        <v>6767554.8352500014</v>
      </c>
      <c r="Y58" s="982">
        <f t="shared" si="59"/>
        <v>8562275.9189000018</v>
      </c>
      <c r="Z58" s="982">
        <f t="shared" si="59"/>
        <v>1794721.0836499999</v>
      </c>
      <c r="AA58" s="982">
        <f t="shared" si="59"/>
        <v>0</v>
      </c>
      <c r="AB58" s="982">
        <f t="shared" si="59"/>
        <v>88767075.847730815</v>
      </c>
      <c r="AC58" s="982">
        <f t="shared" si="59"/>
        <v>0</v>
      </c>
      <c r="AD58" s="982">
        <f t="shared" si="59"/>
        <v>0</v>
      </c>
      <c r="AE58" s="982">
        <f t="shared" si="59"/>
        <v>0</v>
      </c>
      <c r="AF58" s="982">
        <f t="shared" si="59"/>
        <v>0</v>
      </c>
      <c r="AG58" s="982">
        <f t="shared" si="59"/>
        <v>0</v>
      </c>
      <c r="AH58" s="982">
        <f t="shared" si="59"/>
        <v>88767075.847730815</v>
      </c>
      <c r="AI58" s="982">
        <f t="shared" si="59"/>
        <v>3589442.1672999999</v>
      </c>
      <c r="AJ58" s="982">
        <f t="shared" si="59"/>
        <v>3589442.1672999999</v>
      </c>
      <c r="AK58" s="982">
        <f t="shared" si="59"/>
        <v>0</v>
      </c>
      <c r="AL58" s="982">
        <f t="shared" si="59"/>
        <v>0</v>
      </c>
      <c r="AM58" s="982">
        <f t="shared" si="59"/>
        <v>0</v>
      </c>
      <c r="AN58" s="982">
        <f t="shared" si="59"/>
        <v>88767075.847730815</v>
      </c>
      <c r="AO58" s="982">
        <f t="shared" si="59"/>
        <v>0</v>
      </c>
      <c r="AP58" s="982">
        <f t="shared" si="59"/>
        <v>0</v>
      </c>
      <c r="AQ58" s="982">
        <f t="shared" si="59"/>
        <v>0</v>
      </c>
      <c r="AR58" s="982">
        <f t="shared" si="59"/>
        <v>0</v>
      </c>
      <c r="AS58" s="982">
        <f t="shared" si="59"/>
        <v>0</v>
      </c>
      <c r="AT58" s="982">
        <f t="shared" si="59"/>
        <v>88767075.847730815</v>
      </c>
      <c r="AU58" s="982">
        <f t="shared" si="59"/>
        <v>3589442.1672999999</v>
      </c>
      <c r="AV58" s="982">
        <f t="shared" si="59"/>
        <v>3589442.1672999999</v>
      </c>
      <c r="AW58" s="982">
        <f t="shared" si="59"/>
        <v>0</v>
      </c>
      <c r="AX58" s="982">
        <f t="shared" si="59"/>
        <v>0</v>
      </c>
      <c r="AY58" s="982">
        <f t="shared" si="59"/>
        <v>0</v>
      </c>
      <c r="AZ58" s="982">
        <f t="shared" si="59"/>
        <v>88767075.847730815</v>
      </c>
      <c r="BA58" s="982">
        <f t="shared" si="59"/>
        <v>0</v>
      </c>
      <c r="BB58" s="982">
        <f t="shared" si="59"/>
        <v>0</v>
      </c>
      <c r="BC58" s="982">
        <f t="shared" si="59"/>
        <v>0</v>
      </c>
      <c r="BD58" s="982">
        <f t="shared" si="59"/>
        <v>0</v>
      </c>
      <c r="BE58" s="982">
        <f t="shared" si="59"/>
        <v>0</v>
      </c>
      <c r="BF58" s="982">
        <f t="shared" si="59"/>
        <v>97251556.201730818</v>
      </c>
      <c r="BG58" s="982">
        <f t="shared" si="59"/>
        <v>0</v>
      </c>
      <c r="BH58" s="982">
        <f t="shared" si="59"/>
        <v>5656320.2360000005</v>
      </c>
      <c r="BI58" s="982">
        <f t="shared" si="59"/>
        <v>254183305.46621165</v>
      </c>
      <c r="BJ58" s="982">
        <f t="shared" si="59"/>
        <v>8973605.4182500001</v>
      </c>
      <c r="BK58" s="982">
        <f t="shared" si="59"/>
        <v>0</v>
      </c>
      <c r="BL58" s="982">
        <f t="shared" si="59"/>
        <v>0</v>
      </c>
      <c r="BM58" s="982">
        <f t="shared" si="59"/>
        <v>0</v>
      </c>
      <c r="BN58" s="982">
        <f t="shared" si="59"/>
        <v>0</v>
      </c>
      <c r="BO58" s="982">
        <f t="shared" si="59"/>
        <v>0</v>
      </c>
      <c r="BP58" s="982">
        <f t="shared" si="59"/>
        <v>0</v>
      </c>
      <c r="BQ58" s="979">
        <f t="shared" si="47"/>
        <v>951846781.33030808</v>
      </c>
      <c r="BR58" s="980">
        <f t="shared" ref="BR58:BR60" si="60">+M58</f>
        <v>951846781.3303082</v>
      </c>
      <c r="BS58" s="1193">
        <f t="shared" si="57"/>
        <v>0</v>
      </c>
    </row>
    <row r="59" spans="1:71" ht="19.5" customHeight="1">
      <c r="A59" s="38"/>
      <c r="B59" s="1556"/>
      <c r="C59" s="1559" t="s">
        <v>184</v>
      </c>
      <c r="D59" s="1559"/>
      <c r="E59" s="1559"/>
      <c r="F59" s="1560"/>
      <c r="G59" s="1208" t="s">
        <v>185</v>
      </c>
      <c r="H59" s="1209">
        <f>M22-SUMPRODUCT(E23:E37,G23:G37,H23:H37)</f>
        <v>10651673.879137516</v>
      </c>
      <c r="I59" s="1210" t="s">
        <v>186</v>
      </c>
      <c r="J59" s="1211" t="s">
        <v>187</v>
      </c>
      <c r="K59" s="1212">
        <f>M54*$I$15</f>
        <v>3589442.1673000003</v>
      </c>
      <c r="L59" s="369">
        <f t="shared" si="10"/>
        <v>1.5188811857409008E-2</v>
      </c>
      <c r="M59" s="370">
        <f>H59+K59</f>
        <v>14241116.046437517</v>
      </c>
      <c r="N59" s="38"/>
      <c r="O59" s="371"/>
      <c r="P59" s="372">
        <f t="shared" ref="P59:U59" si="61">IF($G$22=0,P54*$I$15,P22*$H$59/$M$22*$I$15+P54*$I$15)</f>
        <v>0</v>
      </c>
      <c r="Q59" s="372">
        <f t="shared" si="61"/>
        <v>0</v>
      </c>
      <c r="R59" s="372">
        <f t="shared" si="61"/>
        <v>0</v>
      </c>
      <c r="S59" s="372">
        <f t="shared" si="61"/>
        <v>0</v>
      </c>
      <c r="T59" s="372">
        <f t="shared" si="61"/>
        <v>0</v>
      </c>
      <c r="U59" s="372">
        <f t="shared" si="61"/>
        <v>0</v>
      </c>
      <c r="V59" s="372">
        <f>IF($G$22=0,V54*$I$15,V22*$H$59/$M$22+V54*$I$15)</f>
        <v>745617.17153962597</v>
      </c>
      <c r="W59" s="372">
        <f t="shared" ref="W59:BP59" si="62">IF($G$22=0,W54*$I$15,W22*$H$59/$M$22+W54*$I$15)</f>
        <v>106516.73879137519</v>
      </c>
      <c r="X59" s="372">
        <f t="shared" si="62"/>
        <v>106516.73879137519</v>
      </c>
      <c r="Y59" s="372">
        <f t="shared" si="62"/>
        <v>285988.84715637518</v>
      </c>
      <c r="Z59" s="372">
        <f t="shared" si="62"/>
        <v>179472.10836499999</v>
      </c>
      <c r="AA59" s="372">
        <f t="shared" si="62"/>
        <v>0</v>
      </c>
      <c r="AB59" s="372">
        <f t="shared" si="62"/>
        <v>1065167.3879137514</v>
      </c>
      <c r="AC59" s="372">
        <f t="shared" si="62"/>
        <v>0</v>
      </c>
      <c r="AD59" s="372">
        <f t="shared" si="62"/>
        <v>0</v>
      </c>
      <c r="AE59" s="372">
        <f t="shared" si="62"/>
        <v>0</v>
      </c>
      <c r="AF59" s="372">
        <f t="shared" si="62"/>
        <v>0</v>
      </c>
      <c r="AG59" s="372">
        <f t="shared" si="62"/>
        <v>0</v>
      </c>
      <c r="AH59" s="372">
        <f t="shared" si="62"/>
        <v>1065167.3879137514</v>
      </c>
      <c r="AI59" s="372">
        <f t="shared" si="62"/>
        <v>358944.21672999999</v>
      </c>
      <c r="AJ59" s="372">
        <f t="shared" si="62"/>
        <v>358944.21672999999</v>
      </c>
      <c r="AK59" s="372">
        <f t="shared" si="62"/>
        <v>0</v>
      </c>
      <c r="AL59" s="372">
        <f t="shared" si="62"/>
        <v>0</v>
      </c>
      <c r="AM59" s="372">
        <f t="shared" si="62"/>
        <v>0</v>
      </c>
      <c r="AN59" s="372">
        <f t="shared" si="62"/>
        <v>1065167.3879137514</v>
      </c>
      <c r="AO59" s="372">
        <f t="shared" si="62"/>
        <v>0</v>
      </c>
      <c r="AP59" s="372">
        <f t="shared" si="62"/>
        <v>0</v>
      </c>
      <c r="AQ59" s="372">
        <f t="shared" si="62"/>
        <v>0</v>
      </c>
      <c r="AR59" s="372">
        <f t="shared" si="62"/>
        <v>0</v>
      </c>
      <c r="AS59" s="372">
        <f t="shared" si="62"/>
        <v>0</v>
      </c>
      <c r="AT59" s="372">
        <f t="shared" si="62"/>
        <v>1065167.3879137514</v>
      </c>
      <c r="AU59" s="372">
        <f t="shared" si="62"/>
        <v>358944.21672999999</v>
      </c>
      <c r="AV59" s="372">
        <f t="shared" si="62"/>
        <v>358944.21672999999</v>
      </c>
      <c r="AW59" s="372">
        <f t="shared" si="62"/>
        <v>0</v>
      </c>
      <c r="AX59" s="372">
        <f t="shared" si="62"/>
        <v>0</v>
      </c>
      <c r="AY59" s="372">
        <f t="shared" si="62"/>
        <v>0</v>
      </c>
      <c r="AZ59" s="372">
        <f t="shared" si="62"/>
        <v>1065167.3879137514</v>
      </c>
      <c r="BA59" s="372">
        <f t="shared" si="62"/>
        <v>0</v>
      </c>
      <c r="BB59" s="372">
        <f t="shared" si="62"/>
        <v>0</v>
      </c>
      <c r="BC59" s="372">
        <f t="shared" si="62"/>
        <v>0</v>
      </c>
      <c r="BD59" s="372">
        <f t="shared" si="62"/>
        <v>0</v>
      </c>
      <c r="BE59" s="372">
        <f t="shared" si="62"/>
        <v>0</v>
      </c>
      <c r="BF59" s="372">
        <f t="shared" si="62"/>
        <v>1065167.3879137514</v>
      </c>
      <c r="BG59" s="372">
        <f t="shared" si="62"/>
        <v>0</v>
      </c>
      <c r="BH59" s="372">
        <f t="shared" si="62"/>
        <v>0</v>
      </c>
      <c r="BI59" s="372">
        <f t="shared" si="62"/>
        <v>4092862.7055662554</v>
      </c>
      <c r="BJ59" s="372">
        <f t="shared" si="62"/>
        <v>897360.54182500008</v>
      </c>
      <c r="BK59" s="372">
        <f t="shared" si="62"/>
        <v>0</v>
      </c>
      <c r="BL59" s="372">
        <f t="shared" si="62"/>
        <v>0</v>
      </c>
      <c r="BM59" s="372">
        <f t="shared" si="62"/>
        <v>0</v>
      </c>
      <c r="BN59" s="372">
        <f t="shared" si="62"/>
        <v>0</v>
      </c>
      <c r="BO59" s="372">
        <f t="shared" si="62"/>
        <v>0</v>
      </c>
      <c r="BP59" s="372">
        <f t="shared" si="62"/>
        <v>0</v>
      </c>
      <c r="BQ59" s="373">
        <f t="shared" si="47"/>
        <v>14241116.046437517</v>
      </c>
      <c r="BR59" s="374">
        <f t="shared" si="60"/>
        <v>14241116.046437517</v>
      </c>
      <c r="BS59" s="1193">
        <f t="shared" si="57"/>
        <v>0</v>
      </c>
    </row>
    <row r="60" spans="1:71" ht="31.5" customHeight="1">
      <c r="A60" s="38"/>
      <c r="B60" s="1556"/>
      <c r="C60" s="1561" t="s">
        <v>188</v>
      </c>
      <c r="D60" s="1561"/>
      <c r="E60" s="1561"/>
      <c r="F60" s="1562"/>
      <c r="G60" s="375">
        <f>G10</f>
        <v>73723.309550000005</v>
      </c>
      <c r="H60" s="376" t="s">
        <v>182</v>
      </c>
      <c r="I60" s="377">
        <f>IF(G60=0,"",M60/G60)</f>
        <v>12717.899820381444</v>
      </c>
      <c r="J60" s="376" t="s">
        <v>183</v>
      </c>
      <c r="K60" s="378"/>
      <c r="L60" s="379">
        <f t="shared" si="10"/>
        <v>1</v>
      </c>
      <c r="M60" s="1489">
        <f>M58-M59</f>
        <v>937605665.2838707</v>
      </c>
      <c r="N60" s="38"/>
      <c r="O60" s="380"/>
      <c r="P60" s="1213">
        <f t="shared" ref="P60:BP60" si="63">P58-P59</f>
        <v>21091527.495230831</v>
      </c>
      <c r="Q60" s="1213">
        <f t="shared" si="63"/>
        <v>0</v>
      </c>
      <c r="R60" s="1213">
        <f t="shared" si="63"/>
        <v>0</v>
      </c>
      <c r="S60" s="1213">
        <f t="shared" si="63"/>
        <v>0</v>
      </c>
      <c r="T60" s="1213">
        <f t="shared" si="63"/>
        <v>14140800.59</v>
      </c>
      <c r="U60" s="1213">
        <f t="shared" si="63"/>
        <v>0</v>
      </c>
      <c r="V60" s="1213">
        <f t="shared" si="63"/>
        <v>67718794.170441195</v>
      </c>
      <c r="W60" s="1213">
        <f t="shared" si="63"/>
        <v>6661038.096458626</v>
      </c>
      <c r="X60" s="1213">
        <f t="shared" si="63"/>
        <v>6661038.096458626</v>
      </c>
      <c r="Y60" s="1213">
        <f t="shared" si="63"/>
        <v>8276287.0717436261</v>
      </c>
      <c r="Z60" s="1213">
        <f t="shared" si="63"/>
        <v>1615248.9752849999</v>
      </c>
      <c r="AA60" s="1213">
        <f t="shared" si="63"/>
        <v>0</v>
      </c>
      <c r="AB60" s="1213">
        <f t="shared" si="63"/>
        <v>87701908.459817067</v>
      </c>
      <c r="AC60" s="1213">
        <f t="shared" si="63"/>
        <v>0</v>
      </c>
      <c r="AD60" s="1213">
        <f t="shared" si="63"/>
        <v>0</v>
      </c>
      <c r="AE60" s="1213">
        <f t="shared" si="63"/>
        <v>0</v>
      </c>
      <c r="AF60" s="1213">
        <f t="shared" si="63"/>
        <v>0</v>
      </c>
      <c r="AG60" s="1213">
        <f t="shared" si="63"/>
        <v>0</v>
      </c>
      <c r="AH60" s="1213">
        <f t="shared" si="63"/>
        <v>87701908.459817067</v>
      </c>
      <c r="AI60" s="1213">
        <f t="shared" si="63"/>
        <v>3230497.9505699999</v>
      </c>
      <c r="AJ60" s="1213">
        <f t="shared" si="63"/>
        <v>3230497.9505699999</v>
      </c>
      <c r="AK60" s="1213">
        <f t="shared" si="63"/>
        <v>0</v>
      </c>
      <c r="AL60" s="1213">
        <f t="shared" si="63"/>
        <v>0</v>
      </c>
      <c r="AM60" s="1213">
        <f t="shared" si="63"/>
        <v>0</v>
      </c>
      <c r="AN60" s="1213">
        <f t="shared" si="63"/>
        <v>87701908.459817067</v>
      </c>
      <c r="AO60" s="1213">
        <f t="shared" si="63"/>
        <v>0</v>
      </c>
      <c r="AP60" s="1213">
        <f t="shared" si="63"/>
        <v>0</v>
      </c>
      <c r="AQ60" s="1213">
        <f t="shared" si="63"/>
        <v>0</v>
      </c>
      <c r="AR60" s="1213">
        <f t="shared" si="63"/>
        <v>0</v>
      </c>
      <c r="AS60" s="1213">
        <f t="shared" si="63"/>
        <v>0</v>
      </c>
      <c r="AT60" s="1213">
        <f t="shared" si="63"/>
        <v>87701908.459817067</v>
      </c>
      <c r="AU60" s="1213">
        <f t="shared" si="63"/>
        <v>3230497.9505699999</v>
      </c>
      <c r="AV60" s="1213">
        <f t="shared" si="63"/>
        <v>3230497.9505699999</v>
      </c>
      <c r="AW60" s="1213">
        <f t="shared" si="63"/>
        <v>0</v>
      </c>
      <c r="AX60" s="1213">
        <f t="shared" si="63"/>
        <v>0</v>
      </c>
      <c r="AY60" s="1213">
        <f t="shared" si="63"/>
        <v>0</v>
      </c>
      <c r="AZ60" s="1213">
        <f t="shared" si="63"/>
        <v>87701908.459817067</v>
      </c>
      <c r="BA60" s="1213">
        <f t="shared" si="63"/>
        <v>0</v>
      </c>
      <c r="BB60" s="1213">
        <f t="shared" si="63"/>
        <v>0</v>
      </c>
      <c r="BC60" s="1213">
        <f t="shared" si="63"/>
        <v>0</v>
      </c>
      <c r="BD60" s="1213">
        <f t="shared" si="63"/>
        <v>0</v>
      </c>
      <c r="BE60" s="1213">
        <f t="shared" si="63"/>
        <v>0</v>
      </c>
      <c r="BF60" s="1213">
        <f t="shared" si="63"/>
        <v>96186388.813817069</v>
      </c>
      <c r="BG60" s="1213">
        <f t="shared" si="63"/>
        <v>0</v>
      </c>
      <c r="BH60" s="1213">
        <f t="shared" si="63"/>
        <v>5656320.2360000005</v>
      </c>
      <c r="BI60" s="1213">
        <f t="shared" si="63"/>
        <v>250090442.76064539</v>
      </c>
      <c r="BJ60" s="1213">
        <f t="shared" si="63"/>
        <v>8076244.8764249999</v>
      </c>
      <c r="BK60" s="1213">
        <f t="shared" si="63"/>
        <v>0</v>
      </c>
      <c r="BL60" s="1213">
        <f t="shared" si="63"/>
        <v>0</v>
      </c>
      <c r="BM60" s="1213">
        <f t="shared" si="63"/>
        <v>0</v>
      </c>
      <c r="BN60" s="1213">
        <f t="shared" si="63"/>
        <v>0</v>
      </c>
      <c r="BO60" s="1213">
        <f t="shared" si="63"/>
        <v>0</v>
      </c>
      <c r="BP60" s="1213">
        <f t="shared" si="63"/>
        <v>0</v>
      </c>
      <c r="BQ60" s="381">
        <f t="shared" si="47"/>
        <v>937605665.28387058</v>
      </c>
      <c r="BR60" s="382">
        <f t="shared" si="60"/>
        <v>937605665.2838707</v>
      </c>
      <c r="BS60" s="383">
        <f t="shared" si="57"/>
        <v>0</v>
      </c>
    </row>
    <row r="61" spans="1:71" ht="19.5" customHeight="1">
      <c r="A61" s="38"/>
      <c r="B61" s="1556"/>
      <c r="C61" s="1516" t="s">
        <v>189</v>
      </c>
      <c r="D61" s="1516"/>
      <c r="E61" s="1519" t="s">
        <v>190</v>
      </c>
      <c r="F61" s="384" t="s">
        <v>191</v>
      </c>
      <c r="G61" s="1214"/>
      <c r="H61" s="1215" t="s">
        <v>192</v>
      </c>
      <c r="I61" s="1216">
        <v>20000</v>
      </c>
      <c r="J61" s="1217" t="s">
        <v>193</v>
      </c>
      <c r="K61" s="1218"/>
      <c r="L61" s="385">
        <f t="shared" si="10"/>
        <v>0</v>
      </c>
      <c r="M61" s="386">
        <f t="shared" ref="M61:M63" si="64">SUM(P61:BP61)</f>
        <v>0</v>
      </c>
      <c r="N61" s="38"/>
      <c r="O61" s="1090"/>
      <c r="P61" s="1219"/>
      <c r="Q61" s="1219"/>
      <c r="R61" s="1219"/>
      <c r="S61" s="1219"/>
      <c r="T61" s="1219"/>
      <c r="U61" s="1219"/>
      <c r="V61" s="1219"/>
      <c r="W61" s="1219"/>
      <c r="X61" s="1219"/>
      <c r="Y61" s="1219"/>
      <c r="Z61" s="1219"/>
      <c r="AA61" s="1219">
        <f>$G61*$I61*10%</f>
        <v>0</v>
      </c>
      <c r="AB61" s="1219"/>
      <c r="AC61" s="1219"/>
      <c r="AD61" s="1219"/>
      <c r="AE61" s="1219"/>
      <c r="AF61" s="1219"/>
      <c r="AG61" s="1219"/>
      <c r="AH61" s="1219"/>
      <c r="AI61" s="1219"/>
      <c r="AJ61" s="1219"/>
      <c r="AK61" s="1219"/>
      <c r="AL61" s="1219"/>
      <c r="AM61" s="1219"/>
      <c r="AN61" s="1219"/>
      <c r="AO61" s="1219"/>
      <c r="AP61" s="1219"/>
      <c r="AQ61" s="1219"/>
      <c r="AR61" s="1219"/>
      <c r="AS61" s="1219"/>
      <c r="AT61" s="1219"/>
      <c r="AU61" s="1219"/>
      <c r="AV61" s="1219"/>
      <c r="AW61" s="1219"/>
      <c r="AX61" s="1219"/>
      <c r="AY61" s="1219"/>
      <c r="AZ61" s="1219"/>
      <c r="BA61" s="1219"/>
      <c r="BB61" s="1219"/>
      <c r="BC61" s="1219"/>
      <c r="BD61" s="1219"/>
      <c r="BE61" s="1219"/>
      <c r="BF61" s="1219">
        <f>$G61*$I61*90%</f>
        <v>0</v>
      </c>
      <c r="BG61" s="1219"/>
      <c r="BH61" s="1219"/>
      <c r="BI61" s="1219"/>
      <c r="BJ61" s="1219"/>
      <c r="BK61" s="1219"/>
      <c r="BL61" s="1219"/>
      <c r="BM61" s="1219"/>
      <c r="BN61" s="1219"/>
      <c r="BO61" s="1219"/>
      <c r="BP61" s="1219"/>
      <c r="BQ61" s="354">
        <f t="shared" si="47"/>
        <v>0</v>
      </c>
      <c r="BR61" s="349">
        <f t="shared" ref="BR61:BR68" si="65">M61</f>
        <v>0</v>
      </c>
      <c r="BS61" s="1193">
        <f t="shared" si="57"/>
        <v>0</v>
      </c>
    </row>
    <row r="62" spans="1:71" ht="19.5" customHeight="1">
      <c r="A62" s="38"/>
      <c r="B62" s="1556"/>
      <c r="C62" s="1517"/>
      <c r="D62" s="1517"/>
      <c r="E62" s="1520"/>
      <c r="F62" s="387"/>
      <c r="G62" s="1220"/>
      <c r="H62" s="1221"/>
      <c r="I62" s="1217"/>
      <c r="J62" s="1217"/>
      <c r="K62" s="1222"/>
      <c r="L62" s="353">
        <f t="shared" si="10"/>
        <v>0</v>
      </c>
      <c r="M62" s="363">
        <f t="shared" si="64"/>
        <v>0</v>
      </c>
      <c r="N62" s="38"/>
      <c r="O62" s="1090"/>
      <c r="P62" s="1219"/>
      <c r="Q62" s="1219"/>
      <c r="R62" s="1219"/>
      <c r="S62" s="1219"/>
      <c r="T62" s="1219"/>
      <c r="U62" s="1219"/>
      <c r="V62" s="1219"/>
      <c r="W62" s="1219"/>
      <c r="X62" s="1219"/>
      <c r="Y62" s="1219"/>
      <c r="Z62" s="1219"/>
      <c r="AA62" s="1219"/>
      <c r="AB62" s="1219"/>
      <c r="AC62" s="1219"/>
      <c r="AD62" s="1219"/>
      <c r="AE62" s="1219"/>
      <c r="AF62" s="1219"/>
      <c r="AG62" s="1219"/>
      <c r="AH62" s="1219"/>
      <c r="AI62" s="1219"/>
      <c r="AJ62" s="1219"/>
      <c r="AK62" s="1219"/>
      <c r="AL62" s="1219"/>
      <c r="AM62" s="1219"/>
      <c r="AN62" s="1219"/>
      <c r="AO62" s="1219"/>
      <c r="AP62" s="1219"/>
      <c r="AQ62" s="1219"/>
      <c r="AR62" s="1219"/>
      <c r="AS62" s="1219"/>
      <c r="AT62" s="1219"/>
      <c r="AU62" s="1219"/>
      <c r="AV62" s="1219"/>
      <c r="AW62" s="1219"/>
      <c r="AX62" s="1219"/>
      <c r="AY62" s="1219"/>
      <c r="AZ62" s="1219"/>
      <c r="BA62" s="1219"/>
      <c r="BB62" s="1219"/>
      <c r="BC62" s="1219"/>
      <c r="BD62" s="1219"/>
      <c r="BE62" s="1219"/>
      <c r="BF62" s="1219"/>
      <c r="BG62" s="1219"/>
      <c r="BH62" s="1219"/>
      <c r="BI62" s="1219"/>
      <c r="BJ62" s="1219"/>
      <c r="BK62" s="1219"/>
      <c r="BL62" s="1219"/>
      <c r="BM62" s="1219"/>
      <c r="BN62" s="1219"/>
      <c r="BO62" s="1219"/>
      <c r="BP62" s="1219"/>
      <c r="BQ62" s="354">
        <f t="shared" si="47"/>
        <v>0</v>
      </c>
      <c r="BR62" s="349">
        <f t="shared" si="65"/>
        <v>0</v>
      </c>
      <c r="BS62" s="1193">
        <f t="shared" si="57"/>
        <v>0</v>
      </c>
    </row>
    <row r="63" spans="1:71" ht="19.5" customHeight="1">
      <c r="A63" s="38"/>
      <c r="B63" s="1556"/>
      <c r="C63" s="1517"/>
      <c r="D63" s="1517"/>
      <c r="E63" s="1520"/>
      <c r="F63" s="388"/>
      <c r="G63" s="1223"/>
      <c r="H63" s="389"/>
      <c r="I63" s="390"/>
      <c r="J63" s="390"/>
      <c r="K63" s="391"/>
      <c r="L63" s="392">
        <f t="shared" si="10"/>
        <v>0</v>
      </c>
      <c r="M63" s="393">
        <f t="shared" si="64"/>
        <v>0</v>
      </c>
      <c r="N63" s="38"/>
      <c r="O63" s="1090"/>
      <c r="P63" s="1219"/>
      <c r="Q63" s="1219"/>
      <c r="R63" s="1219"/>
      <c r="S63" s="1219"/>
      <c r="T63" s="1219"/>
      <c r="U63" s="1219"/>
      <c r="V63" s="1219"/>
      <c r="W63" s="1219"/>
      <c r="X63" s="1219"/>
      <c r="Y63" s="1219"/>
      <c r="Z63" s="1219"/>
      <c r="AA63" s="1219"/>
      <c r="AB63" s="1219"/>
      <c r="AC63" s="1219"/>
      <c r="AD63" s="1219"/>
      <c r="AE63" s="1219"/>
      <c r="AF63" s="1219"/>
      <c r="AG63" s="1219"/>
      <c r="AH63" s="1219"/>
      <c r="AI63" s="1219"/>
      <c r="AJ63" s="1219"/>
      <c r="AK63" s="1219"/>
      <c r="AL63" s="1219"/>
      <c r="AM63" s="1219"/>
      <c r="AN63" s="1219"/>
      <c r="AO63" s="1219"/>
      <c r="AP63" s="1219"/>
      <c r="AQ63" s="1219"/>
      <c r="AR63" s="1219"/>
      <c r="AS63" s="1219"/>
      <c r="AT63" s="1219"/>
      <c r="AU63" s="1219"/>
      <c r="AV63" s="1219"/>
      <c r="AW63" s="1219"/>
      <c r="AX63" s="1219"/>
      <c r="AY63" s="1219"/>
      <c r="AZ63" s="1219"/>
      <c r="BA63" s="1219"/>
      <c r="BB63" s="1219"/>
      <c r="BC63" s="1219"/>
      <c r="BD63" s="1219"/>
      <c r="BE63" s="1219"/>
      <c r="BF63" s="1219"/>
      <c r="BG63" s="1219"/>
      <c r="BH63" s="1219"/>
      <c r="BI63" s="1219"/>
      <c r="BJ63" s="1219"/>
      <c r="BK63" s="1219"/>
      <c r="BL63" s="1219"/>
      <c r="BM63" s="1219"/>
      <c r="BN63" s="1219"/>
      <c r="BO63" s="1219"/>
      <c r="BP63" s="1219"/>
      <c r="BQ63" s="354">
        <f t="shared" si="47"/>
        <v>0</v>
      </c>
      <c r="BR63" s="349">
        <f t="shared" si="65"/>
        <v>0</v>
      </c>
      <c r="BS63" s="1193">
        <f t="shared" si="57"/>
        <v>0</v>
      </c>
    </row>
    <row r="64" spans="1:71" ht="30" customHeight="1">
      <c r="A64" s="335"/>
      <c r="B64" s="1556"/>
      <c r="C64" s="1517"/>
      <c r="D64" s="1517"/>
      <c r="E64" s="1500"/>
      <c r="F64" s="1094" t="s">
        <v>34</v>
      </c>
      <c r="G64" s="1224"/>
      <c r="H64" s="1209"/>
      <c r="I64" s="1211"/>
      <c r="J64" s="1211"/>
      <c r="K64" s="1225"/>
      <c r="L64" s="394">
        <f t="shared" si="10"/>
        <v>0</v>
      </c>
      <c r="M64" s="395">
        <f>SUM(M61:M63)</f>
        <v>0</v>
      </c>
      <c r="N64" s="38"/>
      <c r="O64" s="1090"/>
      <c r="P64" s="1219">
        <f t="shared" ref="P64:BP64" si="66">SUM(P61:P63)</f>
        <v>0</v>
      </c>
      <c r="Q64" s="1219">
        <f t="shared" si="66"/>
        <v>0</v>
      </c>
      <c r="R64" s="1219">
        <f t="shared" si="66"/>
        <v>0</v>
      </c>
      <c r="S64" s="1219">
        <f t="shared" si="66"/>
        <v>0</v>
      </c>
      <c r="T64" s="1219">
        <f t="shared" si="66"/>
        <v>0</v>
      </c>
      <c r="U64" s="1219">
        <f t="shared" si="66"/>
        <v>0</v>
      </c>
      <c r="V64" s="1219">
        <f t="shared" si="66"/>
        <v>0</v>
      </c>
      <c r="W64" s="1219">
        <f t="shared" si="66"/>
        <v>0</v>
      </c>
      <c r="X64" s="1219">
        <f t="shared" si="66"/>
        <v>0</v>
      </c>
      <c r="Y64" s="1219">
        <f t="shared" si="66"/>
        <v>0</v>
      </c>
      <c r="Z64" s="1219">
        <f t="shared" si="66"/>
        <v>0</v>
      </c>
      <c r="AA64" s="1219">
        <f t="shared" si="66"/>
        <v>0</v>
      </c>
      <c r="AB64" s="1219">
        <f t="shared" si="66"/>
        <v>0</v>
      </c>
      <c r="AC64" s="1219">
        <f t="shared" si="66"/>
        <v>0</v>
      </c>
      <c r="AD64" s="1219">
        <f t="shared" si="66"/>
        <v>0</v>
      </c>
      <c r="AE64" s="1219">
        <f t="shared" si="66"/>
        <v>0</v>
      </c>
      <c r="AF64" s="1219">
        <f t="shared" si="66"/>
        <v>0</v>
      </c>
      <c r="AG64" s="1219">
        <f t="shared" si="66"/>
        <v>0</v>
      </c>
      <c r="AH64" s="1219">
        <f t="shared" si="66"/>
        <v>0</v>
      </c>
      <c r="AI64" s="1219">
        <f t="shared" si="66"/>
        <v>0</v>
      </c>
      <c r="AJ64" s="1219">
        <f t="shared" si="66"/>
        <v>0</v>
      </c>
      <c r="AK64" s="1219">
        <f t="shared" si="66"/>
        <v>0</v>
      </c>
      <c r="AL64" s="1219">
        <f t="shared" si="66"/>
        <v>0</v>
      </c>
      <c r="AM64" s="1219">
        <f t="shared" si="66"/>
        <v>0</v>
      </c>
      <c r="AN64" s="1219">
        <f t="shared" si="66"/>
        <v>0</v>
      </c>
      <c r="AO64" s="1219">
        <f t="shared" si="66"/>
        <v>0</v>
      </c>
      <c r="AP64" s="1219">
        <f t="shared" si="66"/>
        <v>0</v>
      </c>
      <c r="AQ64" s="1219">
        <f t="shared" si="66"/>
        <v>0</v>
      </c>
      <c r="AR64" s="1219">
        <f t="shared" si="66"/>
        <v>0</v>
      </c>
      <c r="AS64" s="1219">
        <f t="shared" si="66"/>
        <v>0</v>
      </c>
      <c r="AT64" s="1219">
        <f t="shared" si="66"/>
        <v>0</v>
      </c>
      <c r="AU64" s="1219">
        <f t="shared" si="66"/>
        <v>0</v>
      </c>
      <c r="AV64" s="1219">
        <f t="shared" si="66"/>
        <v>0</v>
      </c>
      <c r="AW64" s="1219">
        <f t="shared" si="66"/>
        <v>0</v>
      </c>
      <c r="AX64" s="1219">
        <f t="shared" si="66"/>
        <v>0</v>
      </c>
      <c r="AY64" s="1219">
        <f t="shared" si="66"/>
        <v>0</v>
      </c>
      <c r="AZ64" s="1219">
        <f t="shared" si="66"/>
        <v>0</v>
      </c>
      <c r="BA64" s="1219">
        <f t="shared" si="66"/>
        <v>0</v>
      </c>
      <c r="BB64" s="1219">
        <f t="shared" si="66"/>
        <v>0</v>
      </c>
      <c r="BC64" s="1219">
        <f t="shared" si="66"/>
        <v>0</v>
      </c>
      <c r="BD64" s="1219">
        <f t="shared" si="66"/>
        <v>0</v>
      </c>
      <c r="BE64" s="1219">
        <f t="shared" si="66"/>
        <v>0</v>
      </c>
      <c r="BF64" s="1219">
        <f t="shared" si="66"/>
        <v>0</v>
      </c>
      <c r="BG64" s="1219">
        <f t="shared" si="66"/>
        <v>0</v>
      </c>
      <c r="BH64" s="1219">
        <f t="shared" si="66"/>
        <v>0</v>
      </c>
      <c r="BI64" s="1219">
        <f t="shared" si="66"/>
        <v>0</v>
      </c>
      <c r="BJ64" s="1219">
        <f t="shared" si="66"/>
        <v>0</v>
      </c>
      <c r="BK64" s="1219">
        <f t="shared" si="66"/>
        <v>0</v>
      </c>
      <c r="BL64" s="1219">
        <f t="shared" si="66"/>
        <v>0</v>
      </c>
      <c r="BM64" s="1219">
        <f t="shared" si="66"/>
        <v>0</v>
      </c>
      <c r="BN64" s="1219">
        <f t="shared" si="66"/>
        <v>0</v>
      </c>
      <c r="BO64" s="1219">
        <f t="shared" si="66"/>
        <v>0</v>
      </c>
      <c r="BP64" s="1219">
        <f t="shared" si="66"/>
        <v>0</v>
      </c>
      <c r="BQ64" s="354">
        <f t="shared" si="47"/>
        <v>0</v>
      </c>
      <c r="BR64" s="349">
        <f t="shared" si="65"/>
        <v>0</v>
      </c>
      <c r="BS64" s="1193">
        <f t="shared" si="57"/>
        <v>0</v>
      </c>
    </row>
    <row r="65" spans="1:71" ht="20.25" customHeight="1">
      <c r="A65" s="38"/>
      <c r="B65" s="1556"/>
      <c r="C65" s="1517"/>
      <c r="D65" s="1517"/>
      <c r="E65" s="1519" t="s">
        <v>194</v>
      </c>
      <c r="F65" s="384" t="s">
        <v>195</v>
      </c>
      <c r="G65" s="1226">
        <f>ROUNDDOWN(G66*I66,-3)</f>
        <v>0</v>
      </c>
      <c r="H65" s="1215" t="s">
        <v>196</v>
      </c>
      <c r="I65" s="1227">
        <v>0</v>
      </c>
      <c r="J65" s="1228" t="s">
        <v>197</v>
      </c>
      <c r="K65" s="1229"/>
      <c r="L65" s="385">
        <f t="shared" si="10"/>
        <v>0</v>
      </c>
      <c r="M65" s="386">
        <f>G65*I65</f>
        <v>0</v>
      </c>
      <c r="N65" s="38"/>
      <c r="O65" s="1090"/>
      <c r="P65" s="1219"/>
      <c r="Q65" s="1018">
        <f>$G65</f>
        <v>0</v>
      </c>
      <c r="R65" s="1219">
        <f t="shared" ref="R65:S65" si="67">Q65</f>
        <v>0</v>
      </c>
      <c r="S65" s="1219">
        <f t="shared" si="67"/>
        <v>0</v>
      </c>
      <c r="T65" s="1219"/>
      <c r="U65" s="1219"/>
      <c r="V65" s="1219"/>
      <c r="W65" s="1219"/>
      <c r="X65" s="1219"/>
      <c r="Y65" s="1219"/>
      <c r="Z65" s="1219"/>
      <c r="AA65" s="1219"/>
      <c r="AB65" s="1219"/>
      <c r="AC65" s="1219"/>
      <c r="AD65" s="1219"/>
      <c r="AE65" s="1219"/>
      <c r="AF65" s="1219"/>
      <c r="AG65" s="1219"/>
      <c r="AH65" s="1219"/>
      <c r="AI65" s="1219"/>
      <c r="AJ65" s="1219"/>
      <c r="AK65" s="1219"/>
      <c r="AL65" s="1219"/>
      <c r="AM65" s="1219"/>
      <c r="AN65" s="1219"/>
      <c r="AO65" s="1219"/>
      <c r="AP65" s="1219"/>
      <c r="AQ65" s="1219"/>
      <c r="AR65" s="1219"/>
      <c r="AS65" s="1219"/>
      <c r="AT65" s="1219"/>
      <c r="AU65" s="1219"/>
      <c r="AV65" s="1219"/>
      <c r="AW65" s="1219"/>
      <c r="AX65" s="1219"/>
      <c r="AY65" s="1219"/>
      <c r="AZ65" s="1219"/>
      <c r="BA65" s="1219"/>
      <c r="BB65" s="1219"/>
      <c r="BC65" s="1219"/>
      <c r="BD65" s="1219"/>
      <c r="BE65" s="1219"/>
      <c r="BF65" s="1219"/>
      <c r="BG65" s="1219"/>
      <c r="BH65" s="1219"/>
      <c r="BI65" s="1219"/>
      <c r="BJ65" s="1219"/>
      <c r="BK65" s="1219"/>
      <c r="BL65" s="1219"/>
      <c r="BM65" s="1219"/>
      <c r="BN65" s="1219"/>
      <c r="BO65" s="1219"/>
      <c r="BP65" s="1219"/>
      <c r="BQ65" s="354">
        <f t="shared" si="47"/>
        <v>0</v>
      </c>
      <c r="BR65" s="349">
        <f t="shared" si="65"/>
        <v>0</v>
      </c>
      <c r="BS65" s="1193">
        <f t="shared" si="57"/>
        <v>0</v>
      </c>
    </row>
    <row r="66" spans="1:71" ht="20.25" customHeight="1">
      <c r="A66" s="38"/>
      <c r="B66" s="1556"/>
      <c r="C66" s="1517"/>
      <c r="D66" s="1517"/>
      <c r="E66" s="1520"/>
      <c r="F66" s="388"/>
      <c r="G66" s="1230">
        <v>0</v>
      </c>
      <c r="H66" s="396" t="s">
        <v>182</v>
      </c>
      <c r="I66" s="397">
        <v>0</v>
      </c>
      <c r="J66" s="390" t="s">
        <v>183</v>
      </c>
      <c r="K66" s="1231"/>
      <c r="L66" s="392">
        <f t="shared" si="10"/>
        <v>0</v>
      </c>
      <c r="M66" s="393">
        <v>0</v>
      </c>
      <c r="N66" s="38"/>
      <c r="O66" s="1090"/>
      <c r="P66" s="1219"/>
      <c r="Q66" s="1219"/>
      <c r="R66" s="1219"/>
      <c r="S66" s="1219"/>
      <c r="T66" s="1219"/>
      <c r="U66" s="1219"/>
      <c r="V66" s="1219"/>
      <c r="W66" s="1219"/>
      <c r="X66" s="1219"/>
      <c r="Y66" s="1219"/>
      <c r="Z66" s="1219"/>
      <c r="AA66" s="1219"/>
      <c r="AB66" s="1219"/>
      <c r="AC66" s="1219"/>
      <c r="AD66" s="1219"/>
      <c r="AE66" s="1219"/>
      <c r="AF66" s="1219"/>
      <c r="AG66" s="1219"/>
      <c r="AH66" s="1219"/>
      <c r="AI66" s="1219"/>
      <c r="AJ66" s="1219"/>
      <c r="AK66" s="1219"/>
      <c r="AL66" s="1219"/>
      <c r="AM66" s="1219"/>
      <c r="AN66" s="1219"/>
      <c r="AO66" s="1219"/>
      <c r="AP66" s="1219"/>
      <c r="AQ66" s="1219"/>
      <c r="AR66" s="1219"/>
      <c r="AS66" s="1219"/>
      <c r="AT66" s="1219"/>
      <c r="AU66" s="1219"/>
      <c r="AV66" s="1219"/>
      <c r="AW66" s="1219"/>
      <c r="AX66" s="1219"/>
      <c r="AY66" s="1219"/>
      <c r="AZ66" s="1219"/>
      <c r="BA66" s="1219"/>
      <c r="BB66" s="1219"/>
      <c r="BC66" s="1219"/>
      <c r="BD66" s="1219"/>
      <c r="BE66" s="1219"/>
      <c r="BF66" s="1219"/>
      <c r="BG66" s="1219"/>
      <c r="BH66" s="1219"/>
      <c r="BI66" s="1219"/>
      <c r="BJ66" s="1219"/>
      <c r="BK66" s="1219"/>
      <c r="BL66" s="1219"/>
      <c r="BM66" s="1219"/>
      <c r="BN66" s="1219"/>
      <c r="BO66" s="1219"/>
      <c r="BP66" s="1219"/>
      <c r="BQ66" s="354">
        <f t="shared" si="47"/>
        <v>0</v>
      </c>
      <c r="BR66" s="349">
        <f t="shared" si="65"/>
        <v>0</v>
      </c>
      <c r="BS66" s="1193">
        <f t="shared" si="57"/>
        <v>0</v>
      </c>
    </row>
    <row r="67" spans="1:71" ht="20.25" customHeight="1">
      <c r="A67" s="38"/>
      <c r="B67" s="1556"/>
      <c r="C67" s="1517"/>
      <c r="D67" s="1517"/>
      <c r="E67" s="1500"/>
      <c r="F67" s="1094" t="s">
        <v>34</v>
      </c>
      <c r="G67" s="1232"/>
      <c r="H67" s="1233"/>
      <c r="I67" s="1234"/>
      <c r="J67" s="1235"/>
      <c r="K67" s="1236"/>
      <c r="L67" s="1237"/>
      <c r="M67" s="395">
        <f>SUM(M65:M66)</f>
        <v>0</v>
      </c>
      <c r="N67" s="38"/>
      <c r="O67" s="1090"/>
      <c r="P67" s="1219"/>
      <c r="Q67" s="1219">
        <f t="shared" ref="Q67:BP67" si="68">SUM(Q65:Q66)</f>
        <v>0</v>
      </c>
      <c r="R67" s="1219">
        <f t="shared" si="68"/>
        <v>0</v>
      </c>
      <c r="S67" s="1219">
        <f t="shared" si="68"/>
        <v>0</v>
      </c>
      <c r="T67" s="1219">
        <f t="shared" si="68"/>
        <v>0</v>
      </c>
      <c r="U67" s="1219">
        <f t="shared" si="68"/>
        <v>0</v>
      </c>
      <c r="V67" s="1219">
        <f t="shared" si="68"/>
        <v>0</v>
      </c>
      <c r="W67" s="1219">
        <f t="shared" si="68"/>
        <v>0</v>
      </c>
      <c r="X67" s="1219">
        <f t="shared" si="68"/>
        <v>0</v>
      </c>
      <c r="Y67" s="1219">
        <f t="shared" si="68"/>
        <v>0</v>
      </c>
      <c r="Z67" s="1219">
        <f t="shared" si="68"/>
        <v>0</v>
      </c>
      <c r="AA67" s="1219">
        <f t="shared" si="68"/>
        <v>0</v>
      </c>
      <c r="AB67" s="1219">
        <f t="shared" si="68"/>
        <v>0</v>
      </c>
      <c r="AC67" s="1219">
        <f t="shared" si="68"/>
        <v>0</v>
      </c>
      <c r="AD67" s="1219">
        <f t="shared" si="68"/>
        <v>0</v>
      </c>
      <c r="AE67" s="1219">
        <f t="shared" si="68"/>
        <v>0</v>
      </c>
      <c r="AF67" s="1219">
        <f t="shared" si="68"/>
        <v>0</v>
      </c>
      <c r="AG67" s="1219">
        <f t="shared" si="68"/>
        <v>0</v>
      </c>
      <c r="AH67" s="1219">
        <f t="shared" si="68"/>
        <v>0</v>
      </c>
      <c r="AI67" s="1219">
        <f t="shared" si="68"/>
        <v>0</v>
      </c>
      <c r="AJ67" s="1219">
        <f t="shared" si="68"/>
        <v>0</v>
      </c>
      <c r="AK67" s="1219">
        <f t="shared" si="68"/>
        <v>0</v>
      </c>
      <c r="AL67" s="1219">
        <f t="shared" si="68"/>
        <v>0</v>
      </c>
      <c r="AM67" s="1219">
        <f t="shared" si="68"/>
        <v>0</v>
      </c>
      <c r="AN67" s="1219">
        <f t="shared" si="68"/>
        <v>0</v>
      </c>
      <c r="AO67" s="1219">
        <f t="shared" si="68"/>
        <v>0</v>
      </c>
      <c r="AP67" s="1219">
        <f t="shared" si="68"/>
        <v>0</v>
      </c>
      <c r="AQ67" s="1219">
        <f t="shared" si="68"/>
        <v>0</v>
      </c>
      <c r="AR67" s="1219">
        <f t="shared" si="68"/>
        <v>0</v>
      </c>
      <c r="AS67" s="1219">
        <f t="shared" si="68"/>
        <v>0</v>
      </c>
      <c r="AT67" s="1219">
        <f t="shared" si="68"/>
        <v>0</v>
      </c>
      <c r="AU67" s="1219">
        <f t="shared" si="68"/>
        <v>0</v>
      </c>
      <c r="AV67" s="1219">
        <f t="shared" si="68"/>
        <v>0</v>
      </c>
      <c r="AW67" s="1219">
        <f t="shared" si="68"/>
        <v>0</v>
      </c>
      <c r="AX67" s="1219">
        <f t="shared" si="68"/>
        <v>0</v>
      </c>
      <c r="AY67" s="1219">
        <f t="shared" si="68"/>
        <v>0</v>
      </c>
      <c r="AZ67" s="1219">
        <f t="shared" si="68"/>
        <v>0</v>
      </c>
      <c r="BA67" s="1219">
        <f t="shared" si="68"/>
        <v>0</v>
      </c>
      <c r="BB67" s="1219">
        <f t="shared" si="68"/>
        <v>0</v>
      </c>
      <c r="BC67" s="1219">
        <f t="shared" si="68"/>
        <v>0</v>
      </c>
      <c r="BD67" s="1219">
        <f t="shared" si="68"/>
        <v>0</v>
      </c>
      <c r="BE67" s="1219">
        <f t="shared" si="68"/>
        <v>0</v>
      </c>
      <c r="BF67" s="1219">
        <f t="shared" si="68"/>
        <v>0</v>
      </c>
      <c r="BG67" s="1219">
        <f t="shared" si="68"/>
        <v>0</v>
      </c>
      <c r="BH67" s="1219">
        <f t="shared" si="68"/>
        <v>0</v>
      </c>
      <c r="BI67" s="1219">
        <f t="shared" si="68"/>
        <v>0</v>
      </c>
      <c r="BJ67" s="1219">
        <f t="shared" si="68"/>
        <v>0</v>
      </c>
      <c r="BK67" s="1219">
        <f t="shared" si="68"/>
        <v>0</v>
      </c>
      <c r="BL67" s="1219">
        <f t="shared" si="68"/>
        <v>0</v>
      </c>
      <c r="BM67" s="1219">
        <f t="shared" si="68"/>
        <v>0</v>
      </c>
      <c r="BN67" s="1219">
        <f t="shared" si="68"/>
        <v>0</v>
      </c>
      <c r="BO67" s="1219">
        <f t="shared" si="68"/>
        <v>0</v>
      </c>
      <c r="BP67" s="1219">
        <f t="shared" si="68"/>
        <v>0</v>
      </c>
      <c r="BQ67" s="354">
        <f t="shared" si="47"/>
        <v>0</v>
      </c>
      <c r="BR67" s="349">
        <f t="shared" si="65"/>
        <v>0</v>
      </c>
      <c r="BS67" s="1193">
        <f t="shared" si="57"/>
        <v>0</v>
      </c>
    </row>
    <row r="68" spans="1:71" ht="22.5" customHeight="1">
      <c r="A68" s="38"/>
      <c r="B68" s="1556"/>
      <c r="C68" s="1518"/>
      <c r="D68" s="1518"/>
      <c r="E68" s="336"/>
      <c r="F68" s="398"/>
      <c r="G68" s="399"/>
      <c r="H68" s="341"/>
      <c r="I68" s="400"/>
      <c r="J68" s="400"/>
      <c r="K68" s="401"/>
      <c r="L68" s="402">
        <f t="shared" ref="L68:L69" si="69">M68/M$69</f>
        <v>0</v>
      </c>
      <c r="M68" s="403">
        <f>SUM(M64:M66)</f>
        <v>0</v>
      </c>
      <c r="N68" s="38"/>
      <c r="O68" s="371"/>
      <c r="P68" s="372">
        <f t="shared" ref="P68:BP68" si="70">P64+P67</f>
        <v>0</v>
      </c>
      <c r="Q68" s="372">
        <f t="shared" si="70"/>
        <v>0</v>
      </c>
      <c r="R68" s="372">
        <f t="shared" si="70"/>
        <v>0</v>
      </c>
      <c r="S68" s="372">
        <f t="shared" si="70"/>
        <v>0</v>
      </c>
      <c r="T68" s="372">
        <f t="shared" si="70"/>
        <v>0</v>
      </c>
      <c r="U68" s="372">
        <f t="shared" si="70"/>
        <v>0</v>
      </c>
      <c r="V68" s="372">
        <f t="shared" si="70"/>
        <v>0</v>
      </c>
      <c r="W68" s="372">
        <f t="shared" si="70"/>
        <v>0</v>
      </c>
      <c r="X68" s="372">
        <f t="shared" si="70"/>
        <v>0</v>
      </c>
      <c r="Y68" s="372">
        <f t="shared" si="70"/>
        <v>0</v>
      </c>
      <c r="Z68" s="372">
        <f t="shared" si="70"/>
        <v>0</v>
      </c>
      <c r="AA68" s="372">
        <f t="shared" si="70"/>
        <v>0</v>
      </c>
      <c r="AB68" s="372">
        <f t="shared" si="70"/>
        <v>0</v>
      </c>
      <c r="AC68" s="372">
        <f t="shared" si="70"/>
        <v>0</v>
      </c>
      <c r="AD68" s="372">
        <f t="shared" si="70"/>
        <v>0</v>
      </c>
      <c r="AE68" s="372">
        <f t="shared" si="70"/>
        <v>0</v>
      </c>
      <c r="AF68" s="372">
        <f t="shared" si="70"/>
        <v>0</v>
      </c>
      <c r="AG68" s="372">
        <f t="shared" si="70"/>
        <v>0</v>
      </c>
      <c r="AH68" s="372">
        <f t="shared" si="70"/>
        <v>0</v>
      </c>
      <c r="AI68" s="372">
        <f t="shared" si="70"/>
        <v>0</v>
      </c>
      <c r="AJ68" s="372">
        <f t="shared" si="70"/>
        <v>0</v>
      </c>
      <c r="AK68" s="372">
        <f t="shared" si="70"/>
        <v>0</v>
      </c>
      <c r="AL68" s="372">
        <f t="shared" si="70"/>
        <v>0</v>
      </c>
      <c r="AM68" s="372">
        <f t="shared" si="70"/>
        <v>0</v>
      </c>
      <c r="AN68" s="372">
        <f t="shared" si="70"/>
        <v>0</v>
      </c>
      <c r="AO68" s="372">
        <f t="shared" si="70"/>
        <v>0</v>
      </c>
      <c r="AP68" s="372">
        <f t="shared" si="70"/>
        <v>0</v>
      </c>
      <c r="AQ68" s="372">
        <f t="shared" si="70"/>
        <v>0</v>
      </c>
      <c r="AR68" s="372">
        <f t="shared" si="70"/>
        <v>0</v>
      </c>
      <c r="AS68" s="372">
        <f t="shared" si="70"/>
        <v>0</v>
      </c>
      <c r="AT68" s="372">
        <f t="shared" si="70"/>
        <v>0</v>
      </c>
      <c r="AU68" s="372">
        <f t="shared" si="70"/>
        <v>0</v>
      </c>
      <c r="AV68" s="372">
        <f t="shared" si="70"/>
        <v>0</v>
      </c>
      <c r="AW68" s="372">
        <f t="shared" si="70"/>
        <v>0</v>
      </c>
      <c r="AX68" s="372">
        <f t="shared" si="70"/>
        <v>0</v>
      </c>
      <c r="AY68" s="372">
        <f t="shared" si="70"/>
        <v>0</v>
      </c>
      <c r="AZ68" s="372">
        <f t="shared" si="70"/>
        <v>0</v>
      </c>
      <c r="BA68" s="372">
        <f t="shared" si="70"/>
        <v>0</v>
      </c>
      <c r="BB68" s="372">
        <f t="shared" si="70"/>
        <v>0</v>
      </c>
      <c r="BC68" s="372">
        <f t="shared" si="70"/>
        <v>0</v>
      </c>
      <c r="BD68" s="372">
        <f t="shared" si="70"/>
        <v>0</v>
      </c>
      <c r="BE68" s="372">
        <f t="shared" si="70"/>
        <v>0</v>
      </c>
      <c r="BF68" s="372">
        <f t="shared" si="70"/>
        <v>0</v>
      </c>
      <c r="BG68" s="372">
        <f t="shared" si="70"/>
        <v>0</v>
      </c>
      <c r="BH68" s="372">
        <f t="shared" si="70"/>
        <v>0</v>
      </c>
      <c r="BI68" s="372">
        <f t="shared" si="70"/>
        <v>0</v>
      </c>
      <c r="BJ68" s="372">
        <f t="shared" si="70"/>
        <v>0</v>
      </c>
      <c r="BK68" s="372">
        <f t="shared" si="70"/>
        <v>0</v>
      </c>
      <c r="BL68" s="372">
        <f t="shared" si="70"/>
        <v>0</v>
      </c>
      <c r="BM68" s="372">
        <f t="shared" si="70"/>
        <v>0</v>
      </c>
      <c r="BN68" s="372">
        <f t="shared" si="70"/>
        <v>0</v>
      </c>
      <c r="BO68" s="372">
        <f t="shared" si="70"/>
        <v>0</v>
      </c>
      <c r="BP68" s="372">
        <f t="shared" si="70"/>
        <v>0</v>
      </c>
      <c r="BQ68" s="404">
        <f t="shared" si="47"/>
        <v>0</v>
      </c>
      <c r="BR68" s="405">
        <f t="shared" si="65"/>
        <v>0</v>
      </c>
      <c r="BS68" s="1193">
        <f t="shared" si="57"/>
        <v>0</v>
      </c>
    </row>
    <row r="69" spans="1:71" ht="31.5" customHeight="1">
      <c r="A69" s="38"/>
      <c r="B69" s="1556"/>
      <c r="C69" s="1563" t="s">
        <v>198</v>
      </c>
      <c r="D69" s="1563"/>
      <c r="E69" s="1563"/>
      <c r="F69" s="1564"/>
      <c r="G69" s="406">
        <f>G58</f>
        <v>73723.309549999991</v>
      </c>
      <c r="H69" s="407" t="s">
        <v>199</v>
      </c>
      <c r="I69" s="408"/>
      <c r="J69" s="409" t="s">
        <v>183</v>
      </c>
      <c r="K69" s="409"/>
      <c r="L69" s="410">
        <f t="shared" si="69"/>
        <v>1</v>
      </c>
      <c r="M69" s="411">
        <f>M60+M68</f>
        <v>937605665.2838707</v>
      </c>
      <c r="N69" s="38"/>
      <c r="O69" s="412"/>
      <c r="P69" s="413">
        <f t="shared" ref="P69:BP69" si="71">P60+P68</f>
        <v>21091527.495230831</v>
      </c>
      <c r="Q69" s="413">
        <f t="shared" si="71"/>
        <v>0</v>
      </c>
      <c r="R69" s="413">
        <f t="shared" si="71"/>
        <v>0</v>
      </c>
      <c r="S69" s="413">
        <f t="shared" si="71"/>
        <v>0</v>
      </c>
      <c r="T69" s="413">
        <f t="shared" si="71"/>
        <v>14140800.59</v>
      </c>
      <c r="U69" s="413">
        <f t="shared" si="71"/>
        <v>0</v>
      </c>
      <c r="V69" s="413">
        <f t="shared" si="71"/>
        <v>67718794.170441195</v>
      </c>
      <c r="W69" s="413">
        <f t="shared" si="71"/>
        <v>6661038.096458626</v>
      </c>
      <c r="X69" s="413">
        <f t="shared" si="71"/>
        <v>6661038.096458626</v>
      </c>
      <c r="Y69" s="413">
        <f t="shared" si="71"/>
        <v>8276287.0717436261</v>
      </c>
      <c r="Z69" s="413">
        <f t="shared" si="71"/>
        <v>1615248.9752849999</v>
      </c>
      <c r="AA69" s="413">
        <f t="shared" si="71"/>
        <v>0</v>
      </c>
      <c r="AB69" s="413">
        <f t="shared" si="71"/>
        <v>87701908.459817067</v>
      </c>
      <c r="AC69" s="413">
        <f t="shared" si="71"/>
        <v>0</v>
      </c>
      <c r="AD69" s="413">
        <f t="shared" si="71"/>
        <v>0</v>
      </c>
      <c r="AE69" s="413">
        <f t="shared" si="71"/>
        <v>0</v>
      </c>
      <c r="AF69" s="413">
        <f t="shared" si="71"/>
        <v>0</v>
      </c>
      <c r="AG69" s="413">
        <f t="shared" si="71"/>
        <v>0</v>
      </c>
      <c r="AH69" s="413">
        <f t="shared" si="71"/>
        <v>87701908.459817067</v>
      </c>
      <c r="AI69" s="413">
        <f t="shared" si="71"/>
        <v>3230497.9505699999</v>
      </c>
      <c r="AJ69" s="413">
        <f t="shared" si="71"/>
        <v>3230497.9505699999</v>
      </c>
      <c r="AK69" s="413">
        <f t="shared" si="71"/>
        <v>0</v>
      </c>
      <c r="AL69" s="413">
        <f t="shared" si="71"/>
        <v>0</v>
      </c>
      <c r="AM69" s="413">
        <f t="shared" si="71"/>
        <v>0</v>
      </c>
      <c r="AN69" s="413">
        <f t="shared" si="71"/>
        <v>87701908.459817067</v>
      </c>
      <c r="AO69" s="413">
        <f t="shared" si="71"/>
        <v>0</v>
      </c>
      <c r="AP69" s="413">
        <f t="shared" si="71"/>
        <v>0</v>
      </c>
      <c r="AQ69" s="413">
        <f t="shared" si="71"/>
        <v>0</v>
      </c>
      <c r="AR69" s="413">
        <f t="shared" si="71"/>
        <v>0</v>
      </c>
      <c r="AS69" s="413">
        <f t="shared" si="71"/>
        <v>0</v>
      </c>
      <c r="AT69" s="413">
        <f t="shared" si="71"/>
        <v>87701908.459817067</v>
      </c>
      <c r="AU69" s="413">
        <f t="shared" si="71"/>
        <v>3230497.9505699999</v>
      </c>
      <c r="AV69" s="413">
        <f t="shared" si="71"/>
        <v>3230497.9505699999</v>
      </c>
      <c r="AW69" s="413">
        <f t="shared" si="71"/>
        <v>0</v>
      </c>
      <c r="AX69" s="413">
        <f t="shared" si="71"/>
        <v>0</v>
      </c>
      <c r="AY69" s="413">
        <f t="shared" si="71"/>
        <v>0</v>
      </c>
      <c r="AZ69" s="413">
        <f t="shared" si="71"/>
        <v>87701908.459817067</v>
      </c>
      <c r="BA69" s="413">
        <f t="shared" si="71"/>
        <v>0</v>
      </c>
      <c r="BB69" s="413">
        <f t="shared" si="71"/>
        <v>0</v>
      </c>
      <c r="BC69" s="413">
        <f t="shared" si="71"/>
        <v>0</v>
      </c>
      <c r="BD69" s="413">
        <f t="shared" si="71"/>
        <v>0</v>
      </c>
      <c r="BE69" s="413">
        <f t="shared" si="71"/>
        <v>0</v>
      </c>
      <c r="BF69" s="413">
        <f t="shared" si="71"/>
        <v>96186388.813817069</v>
      </c>
      <c r="BG69" s="413">
        <f t="shared" si="71"/>
        <v>0</v>
      </c>
      <c r="BH69" s="413">
        <f t="shared" si="71"/>
        <v>5656320.2360000005</v>
      </c>
      <c r="BI69" s="413">
        <f t="shared" si="71"/>
        <v>250090442.76064539</v>
      </c>
      <c r="BJ69" s="413">
        <f t="shared" si="71"/>
        <v>8076244.8764249999</v>
      </c>
      <c r="BK69" s="413">
        <f t="shared" si="71"/>
        <v>0</v>
      </c>
      <c r="BL69" s="413">
        <f t="shared" si="71"/>
        <v>0</v>
      </c>
      <c r="BM69" s="413">
        <f t="shared" si="71"/>
        <v>0</v>
      </c>
      <c r="BN69" s="413">
        <f t="shared" si="71"/>
        <v>0</v>
      </c>
      <c r="BO69" s="413">
        <f t="shared" si="71"/>
        <v>0</v>
      </c>
      <c r="BP69" s="413">
        <f t="shared" si="71"/>
        <v>0</v>
      </c>
      <c r="BQ69" s="414">
        <f t="shared" si="47"/>
        <v>937605665.28387058</v>
      </c>
      <c r="BR69" s="415">
        <f>+M69</f>
        <v>937605665.2838707</v>
      </c>
      <c r="BS69" s="1193">
        <f t="shared" si="57"/>
        <v>0</v>
      </c>
    </row>
    <row r="70" spans="1:71" ht="19.5" customHeight="1">
      <c r="A70" s="38"/>
      <c r="B70" s="416" t="s">
        <v>200</v>
      </c>
      <c r="C70" s="1573" t="s">
        <v>201</v>
      </c>
      <c r="D70" s="1516"/>
      <c r="E70" s="417" t="s">
        <v>202</v>
      </c>
      <c r="F70" s="418"/>
      <c r="G70" s="1238">
        <f>G6</f>
        <v>18350.799500000001</v>
      </c>
      <c r="H70" s="1239" t="s">
        <v>182</v>
      </c>
      <c r="I70" s="1240">
        <f>I4</f>
        <v>0</v>
      </c>
      <c r="J70" s="1241" t="s">
        <v>183</v>
      </c>
      <c r="K70" s="1242"/>
      <c r="L70" s="1009">
        <f t="shared" ref="L70:L75" si="72">M70/$M$69</f>
        <v>0</v>
      </c>
      <c r="M70" s="1010">
        <f>$G70*I70</f>
        <v>0</v>
      </c>
      <c r="N70" s="38"/>
      <c r="O70" s="419"/>
      <c r="P70" s="420">
        <f>$M70*10%</f>
        <v>0</v>
      </c>
      <c r="Q70" s="420"/>
      <c r="R70" s="420"/>
      <c r="S70" s="420">
        <f>$M$70-SUM($P70:R70)</f>
        <v>0</v>
      </c>
      <c r="T70" s="420"/>
      <c r="U70" s="420"/>
      <c r="V70" s="420"/>
      <c r="W70" s="420"/>
      <c r="X70" s="420"/>
      <c r="Y70" s="420"/>
      <c r="Z70" s="420"/>
      <c r="AA70" s="420"/>
      <c r="AB70" s="420"/>
      <c r="AC70" s="420"/>
      <c r="AD70" s="420"/>
      <c r="AE70" s="420"/>
      <c r="AF70" s="420"/>
      <c r="AG70" s="420"/>
      <c r="AH70" s="420"/>
      <c r="AI70" s="420"/>
      <c r="AJ70" s="420"/>
      <c r="AK70" s="420"/>
      <c r="AL70" s="420"/>
      <c r="AM70" s="420"/>
      <c r="AN70" s="420"/>
      <c r="AO70" s="420"/>
      <c r="AP70" s="420"/>
      <c r="AQ70" s="420"/>
      <c r="AR70" s="420"/>
      <c r="AS70" s="420"/>
      <c r="AT70" s="420"/>
      <c r="AU70" s="420"/>
      <c r="AV70" s="420"/>
      <c r="AW70" s="420"/>
      <c r="AX70" s="420"/>
      <c r="AY70" s="420"/>
      <c r="AZ70" s="420"/>
      <c r="BA70" s="420"/>
      <c r="BB70" s="420"/>
      <c r="BC70" s="420"/>
      <c r="BD70" s="420"/>
      <c r="BE70" s="420"/>
      <c r="BF70" s="420"/>
      <c r="BG70" s="420"/>
      <c r="BH70" s="420"/>
      <c r="BI70" s="420"/>
      <c r="BJ70" s="420"/>
      <c r="BK70" s="420"/>
      <c r="BL70" s="420"/>
      <c r="BM70" s="420"/>
      <c r="BN70" s="420"/>
      <c r="BO70" s="420"/>
      <c r="BP70" s="420"/>
      <c r="BQ70" s="421">
        <f t="shared" si="47"/>
        <v>0</v>
      </c>
      <c r="BR70" s="422">
        <f t="shared" ref="BR70:BR73" si="73">M70</f>
        <v>0</v>
      </c>
      <c r="BS70" s="1193">
        <f t="shared" si="57"/>
        <v>0</v>
      </c>
    </row>
    <row r="71" spans="1:71" ht="19.5" customHeight="1">
      <c r="A71" s="38"/>
      <c r="B71" s="416"/>
      <c r="C71" s="1574"/>
      <c r="D71" s="1517"/>
      <c r="E71" s="423" t="s">
        <v>203</v>
      </c>
      <c r="F71" s="1243"/>
      <c r="G71" s="1217">
        <f>M70</f>
        <v>0</v>
      </c>
      <c r="H71" s="1215" t="s">
        <v>204</v>
      </c>
      <c r="I71" s="1244">
        <f>4.6%</f>
        <v>4.5999999999999999E-2</v>
      </c>
      <c r="J71" s="1245">
        <v>1</v>
      </c>
      <c r="K71" s="1246"/>
      <c r="L71" s="353">
        <f t="shared" si="72"/>
        <v>0</v>
      </c>
      <c r="M71" s="1247">
        <f>G71*I71*J71</f>
        <v>0</v>
      </c>
      <c r="N71" s="38"/>
      <c r="O71" s="1248"/>
      <c r="P71" s="1018"/>
      <c r="Q71" s="1018"/>
      <c r="R71" s="1018"/>
      <c r="S71" s="1018">
        <f>$M71</f>
        <v>0</v>
      </c>
      <c r="T71" s="1018"/>
      <c r="U71" s="1018"/>
      <c r="V71" s="1018"/>
      <c r="W71" s="1018"/>
      <c r="X71" s="1018"/>
      <c r="Y71" s="1018"/>
      <c r="Z71" s="1018"/>
      <c r="AA71" s="1018"/>
      <c r="AB71" s="1018"/>
      <c r="AC71" s="1018"/>
      <c r="AD71" s="1018"/>
      <c r="AE71" s="1018"/>
      <c r="AF71" s="1018"/>
      <c r="AG71" s="1018"/>
      <c r="AH71" s="1018"/>
      <c r="AI71" s="1018"/>
      <c r="AJ71" s="1018"/>
      <c r="AK71" s="1018"/>
      <c r="AL71" s="1018"/>
      <c r="AM71" s="1018"/>
      <c r="AN71" s="1018"/>
      <c r="AO71" s="1018"/>
      <c r="AP71" s="1018"/>
      <c r="AQ71" s="1018"/>
      <c r="AR71" s="1018"/>
      <c r="AS71" s="1018"/>
      <c r="AT71" s="1018"/>
      <c r="AU71" s="1018"/>
      <c r="AV71" s="1018"/>
      <c r="AW71" s="1018"/>
      <c r="AX71" s="1018"/>
      <c r="AY71" s="1018"/>
      <c r="AZ71" s="1018"/>
      <c r="BA71" s="1018"/>
      <c r="BB71" s="1018"/>
      <c r="BC71" s="1018"/>
      <c r="BD71" s="1018"/>
      <c r="BE71" s="1018"/>
      <c r="BF71" s="1018"/>
      <c r="BG71" s="1018"/>
      <c r="BH71" s="1018"/>
      <c r="BI71" s="1018"/>
      <c r="BJ71" s="1018"/>
      <c r="BK71" s="1018"/>
      <c r="BL71" s="1018"/>
      <c r="BM71" s="1018"/>
      <c r="BN71" s="1018"/>
      <c r="BO71" s="1018"/>
      <c r="BP71" s="1018"/>
      <c r="BQ71" s="424">
        <f t="shared" si="47"/>
        <v>0</v>
      </c>
      <c r="BR71" s="425">
        <f t="shared" si="73"/>
        <v>0</v>
      </c>
      <c r="BS71" s="1193">
        <f t="shared" si="57"/>
        <v>0</v>
      </c>
    </row>
    <row r="72" spans="1:71" ht="19.5" customHeight="1">
      <c r="A72" s="38"/>
      <c r="B72" s="416"/>
      <c r="C72" s="1574"/>
      <c r="D72" s="1517"/>
      <c r="E72" s="1249" t="s">
        <v>205</v>
      </c>
      <c r="F72" s="1243"/>
      <c r="G72" s="1250">
        <f>토지조서!G661</f>
        <v>313411218.75</v>
      </c>
      <c r="H72" s="1251" t="s">
        <v>204</v>
      </c>
      <c r="I72" s="1252">
        <v>0.11</v>
      </c>
      <c r="J72" s="1246" t="s">
        <v>206</v>
      </c>
      <c r="K72" s="1253">
        <v>3.1E-2</v>
      </c>
      <c r="L72" s="353">
        <f>M72/$M$69</f>
        <v>0</v>
      </c>
      <c r="M72" s="426">
        <f>0</f>
        <v>0</v>
      </c>
      <c r="N72" s="38"/>
      <c r="O72" s="1248"/>
      <c r="P72" s="1018"/>
      <c r="Q72" s="1018"/>
      <c r="R72" s="1018"/>
      <c r="S72" s="1018">
        <f>$M$72</f>
        <v>0</v>
      </c>
      <c r="T72" s="1018"/>
      <c r="U72" s="1018"/>
      <c r="V72" s="1018"/>
      <c r="W72" s="1018"/>
      <c r="X72" s="1018"/>
      <c r="Y72" s="1018"/>
      <c r="Z72" s="1018"/>
      <c r="AA72" s="1018"/>
      <c r="AB72" s="1018"/>
      <c r="AC72" s="1018"/>
      <c r="AD72" s="1018"/>
      <c r="AE72" s="1018"/>
      <c r="AF72" s="1018"/>
      <c r="AG72" s="1018"/>
      <c r="AH72" s="1018"/>
      <c r="AI72" s="1018"/>
      <c r="AJ72" s="1018"/>
      <c r="AK72" s="1018"/>
      <c r="AL72" s="1018"/>
      <c r="AM72" s="1018"/>
      <c r="AN72" s="1018"/>
      <c r="AO72" s="1018"/>
      <c r="AP72" s="1018"/>
      <c r="AQ72" s="1018"/>
      <c r="AR72" s="1018"/>
      <c r="AS72" s="1018"/>
      <c r="AT72" s="1018"/>
      <c r="AU72" s="1018"/>
      <c r="AV72" s="1018"/>
      <c r="AW72" s="1018"/>
      <c r="AX72" s="1018"/>
      <c r="AY72" s="1018"/>
      <c r="AZ72" s="1018"/>
      <c r="BA72" s="1018"/>
      <c r="BB72" s="1018"/>
      <c r="BC72" s="1018"/>
      <c r="BD72" s="1018"/>
      <c r="BE72" s="1018"/>
      <c r="BF72" s="1018"/>
      <c r="BG72" s="1018"/>
      <c r="BH72" s="1018"/>
      <c r="BI72" s="1018"/>
      <c r="BJ72" s="1018"/>
      <c r="BK72" s="1018"/>
      <c r="BL72" s="1018"/>
      <c r="BM72" s="1018"/>
      <c r="BN72" s="1018"/>
      <c r="BO72" s="1018"/>
      <c r="BP72" s="1018"/>
      <c r="BQ72" s="424">
        <f t="shared" si="47"/>
        <v>0</v>
      </c>
      <c r="BR72" s="425">
        <f t="shared" si="73"/>
        <v>0</v>
      </c>
      <c r="BS72" s="1193">
        <f t="shared" si="57"/>
        <v>0</v>
      </c>
    </row>
    <row r="73" spans="1:71" ht="19.5" customHeight="1">
      <c r="A73" s="38"/>
      <c r="B73" s="416"/>
      <c r="C73" s="1574"/>
      <c r="D73" s="1517"/>
      <c r="E73" s="1254" t="s">
        <v>207</v>
      </c>
      <c r="F73" s="1255"/>
      <c r="G73" s="1206" t="s">
        <v>208</v>
      </c>
      <c r="H73" s="427"/>
      <c r="I73" s="292"/>
      <c r="J73" s="293"/>
      <c r="K73" s="292"/>
      <c r="L73" s="428">
        <f t="shared" si="72"/>
        <v>0</v>
      </c>
      <c r="M73" s="1256">
        <f>ROUNDDOWN(토지조서!H38,-3)</f>
        <v>0</v>
      </c>
      <c r="N73" s="38"/>
      <c r="O73" s="1248"/>
      <c r="P73" s="1018"/>
      <c r="Q73" s="1018"/>
      <c r="R73" s="1018"/>
      <c r="S73" s="1018">
        <f>$M$73</f>
        <v>0</v>
      </c>
      <c r="T73" s="1018"/>
      <c r="U73" s="1018"/>
      <c r="V73" s="1018"/>
      <c r="W73" s="1018"/>
      <c r="X73" s="1018"/>
      <c r="Y73" s="1018"/>
      <c r="Z73" s="1018"/>
      <c r="AA73" s="1018"/>
      <c r="AB73" s="1018"/>
      <c r="AC73" s="1018"/>
      <c r="AD73" s="1018"/>
      <c r="AE73" s="1018"/>
      <c r="AF73" s="1018"/>
      <c r="AG73" s="1018"/>
      <c r="AH73" s="1018"/>
      <c r="AI73" s="1018"/>
      <c r="AJ73" s="1018"/>
      <c r="AK73" s="1018"/>
      <c r="AL73" s="1018"/>
      <c r="AM73" s="1018"/>
      <c r="AN73" s="1018"/>
      <c r="AO73" s="1018"/>
      <c r="AP73" s="1018"/>
      <c r="AQ73" s="1018"/>
      <c r="AR73" s="1018"/>
      <c r="AS73" s="1018"/>
      <c r="AT73" s="1018"/>
      <c r="AU73" s="1018"/>
      <c r="AV73" s="1018"/>
      <c r="AW73" s="1018"/>
      <c r="AX73" s="1018"/>
      <c r="AY73" s="1018"/>
      <c r="AZ73" s="1018"/>
      <c r="BA73" s="1018"/>
      <c r="BB73" s="1018"/>
      <c r="BC73" s="1018"/>
      <c r="BD73" s="1018"/>
      <c r="BE73" s="1018"/>
      <c r="BF73" s="1018"/>
      <c r="BG73" s="1018"/>
      <c r="BH73" s="1018"/>
      <c r="BI73" s="1018"/>
      <c r="BJ73" s="1018"/>
      <c r="BK73" s="1018"/>
      <c r="BL73" s="1018"/>
      <c r="BM73" s="1018"/>
      <c r="BN73" s="1018"/>
      <c r="BO73" s="1018"/>
      <c r="BP73" s="1018"/>
      <c r="BQ73" s="424">
        <f t="shared" si="47"/>
        <v>0</v>
      </c>
      <c r="BR73" s="425">
        <f t="shared" si="73"/>
        <v>0</v>
      </c>
      <c r="BS73" s="1193">
        <f t="shared" si="57"/>
        <v>0</v>
      </c>
    </row>
    <row r="74" spans="1:71" ht="19.5" customHeight="1">
      <c r="A74" s="38"/>
      <c r="B74" s="416"/>
      <c r="C74" s="1575"/>
      <c r="D74" s="1518"/>
      <c r="E74" s="1257" t="s">
        <v>209</v>
      </c>
      <c r="F74" s="1258"/>
      <c r="G74" s="400"/>
      <c r="H74" s="341"/>
      <c r="I74" s="400"/>
      <c r="J74" s="1259"/>
      <c r="K74" s="1259"/>
      <c r="L74" s="402">
        <f t="shared" si="72"/>
        <v>0</v>
      </c>
      <c r="M74" s="429">
        <f>SUM(M70:M73)</f>
        <v>0</v>
      </c>
      <c r="N74" s="38"/>
      <c r="O74" s="430"/>
      <c r="P74" s="431">
        <f t="shared" ref="P74:BP74" si="74">SUM(P70:P73)</f>
        <v>0</v>
      </c>
      <c r="Q74" s="431">
        <f t="shared" si="74"/>
        <v>0</v>
      </c>
      <c r="R74" s="431">
        <f t="shared" si="74"/>
        <v>0</v>
      </c>
      <c r="S74" s="431">
        <f t="shared" si="74"/>
        <v>0</v>
      </c>
      <c r="T74" s="431">
        <f t="shared" si="74"/>
        <v>0</v>
      </c>
      <c r="U74" s="431">
        <f t="shared" si="74"/>
        <v>0</v>
      </c>
      <c r="V74" s="431">
        <f t="shared" si="74"/>
        <v>0</v>
      </c>
      <c r="W74" s="431">
        <f t="shared" si="74"/>
        <v>0</v>
      </c>
      <c r="X74" s="431">
        <f t="shared" si="74"/>
        <v>0</v>
      </c>
      <c r="Y74" s="431">
        <f t="shared" si="74"/>
        <v>0</v>
      </c>
      <c r="Z74" s="431">
        <f t="shared" si="74"/>
        <v>0</v>
      </c>
      <c r="AA74" s="431">
        <f t="shared" si="74"/>
        <v>0</v>
      </c>
      <c r="AB74" s="431">
        <f t="shared" si="74"/>
        <v>0</v>
      </c>
      <c r="AC74" s="431">
        <f t="shared" si="74"/>
        <v>0</v>
      </c>
      <c r="AD74" s="431">
        <f t="shared" si="74"/>
        <v>0</v>
      </c>
      <c r="AE74" s="431">
        <f t="shared" si="74"/>
        <v>0</v>
      </c>
      <c r="AF74" s="431">
        <f t="shared" si="74"/>
        <v>0</v>
      </c>
      <c r="AG74" s="431">
        <f t="shared" si="74"/>
        <v>0</v>
      </c>
      <c r="AH74" s="431">
        <f t="shared" si="74"/>
        <v>0</v>
      </c>
      <c r="AI74" s="431">
        <f t="shared" si="74"/>
        <v>0</v>
      </c>
      <c r="AJ74" s="431">
        <f t="shared" si="74"/>
        <v>0</v>
      </c>
      <c r="AK74" s="431">
        <f t="shared" si="74"/>
        <v>0</v>
      </c>
      <c r="AL74" s="431">
        <f t="shared" si="74"/>
        <v>0</v>
      </c>
      <c r="AM74" s="431">
        <f t="shared" si="74"/>
        <v>0</v>
      </c>
      <c r="AN74" s="431">
        <f t="shared" si="74"/>
        <v>0</v>
      </c>
      <c r="AO74" s="431">
        <f t="shared" si="74"/>
        <v>0</v>
      </c>
      <c r="AP74" s="431">
        <f t="shared" si="74"/>
        <v>0</v>
      </c>
      <c r="AQ74" s="431">
        <f t="shared" si="74"/>
        <v>0</v>
      </c>
      <c r="AR74" s="431">
        <f t="shared" si="74"/>
        <v>0</v>
      </c>
      <c r="AS74" s="431">
        <f t="shared" si="74"/>
        <v>0</v>
      </c>
      <c r="AT74" s="431">
        <f t="shared" si="74"/>
        <v>0</v>
      </c>
      <c r="AU74" s="431">
        <f t="shared" si="74"/>
        <v>0</v>
      </c>
      <c r="AV74" s="431">
        <f t="shared" si="74"/>
        <v>0</v>
      </c>
      <c r="AW74" s="431">
        <f t="shared" si="74"/>
        <v>0</v>
      </c>
      <c r="AX74" s="431">
        <f t="shared" si="74"/>
        <v>0</v>
      </c>
      <c r="AY74" s="431">
        <f t="shared" si="74"/>
        <v>0</v>
      </c>
      <c r="AZ74" s="431">
        <f t="shared" si="74"/>
        <v>0</v>
      </c>
      <c r="BA74" s="431">
        <f t="shared" si="74"/>
        <v>0</v>
      </c>
      <c r="BB74" s="431">
        <f t="shared" si="74"/>
        <v>0</v>
      </c>
      <c r="BC74" s="431">
        <f t="shared" si="74"/>
        <v>0</v>
      </c>
      <c r="BD74" s="431">
        <f t="shared" si="74"/>
        <v>0</v>
      </c>
      <c r="BE74" s="431">
        <f t="shared" si="74"/>
        <v>0</v>
      </c>
      <c r="BF74" s="431">
        <f t="shared" si="74"/>
        <v>0</v>
      </c>
      <c r="BG74" s="431">
        <f t="shared" si="74"/>
        <v>0</v>
      </c>
      <c r="BH74" s="431">
        <f t="shared" si="74"/>
        <v>0</v>
      </c>
      <c r="BI74" s="431">
        <f t="shared" si="74"/>
        <v>0</v>
      </c>
      <c r="BJ74" s="431">
        <f t="shared" si="74"/>
        <v>0</v>
      </c>
      <c r="BK74" s="431">
        <f t="shared" si="74"/>
        <v>0</v>
      </c>
      <c r="BL74" s="431">
        <f t="shared" si="74"/>
        <v>0</v>
      </c>
      <c r="BM74" s="431">
        <f t="shared" si="74"/>
        <v>0</v>
      </c>
      <c r="BN74" s="431">
        <f t="shared" si="74"/>
        <v>0</v>
      </c>
      <c r="BO74" s="431">
        <f t="shared" si="74"/>
        <v>0</v>
      </c>
      <c r="BP74" s="431">
        <f t="shared" si="74"/>
        <v>0</v>
      </c>
      <c r="BQ74" s="432">
        <f t="shared" si="47"/>
        <v>0</v>
      </c>
      <c r="BR74" s="433">
        <f>SUM(BR70:BR73)</f>
        <v>0</v>
      </c>
      <c r="BS74" s="1193">
        <f t="shared" si="57"/>
        <v>0</v>
      </c>
    </row>
    <row r="75" spans="1:71" ht="19.5" customHeight="1">
      <c r="A75" s="38"/>
      <c r="B75" s="416"/>
      <c r="C75" s="1573" t="s">
        <v>210</v>
      </c>
      <c r="D75" s="1516"/>
      <c r="E75" s="434" t="s">
        <v>211</v>
      </c>
      <c r="F75" s="435"/>
      <c r="G75" s="1260">
        <f>$G$10</f>
        <v>73723.309550000005</v>
      </c>
      <c r="H75" s="1261" t="s">
        <v>182</v>
      </c>
      <c r="I75" s="1240">
        <f>$L$9</f>
        <v>7000</v>
      </c>
      <c r="J75" s="1262" t="s">
        <v>183</v>
      </c>
      <c r="K75" s="1263"/>
      <c r="L75" s="1009">
        <f t="shared" si="72"/>
        <v>0.55040534198751467</v>
      </c>
      <c r="M75" s="1010">
        <f>G75*I75</f>
        <v>516063166.85000002</v>
      </c>
      <c r="N75" s="38"/>
      <c r="O75" s="436"/>
      <c r="P75" s="437"/>
      <c r="Q75" s="437"/>
      <c r="R75" s="437"/>
      <c r="S75" s="437"/>
      <c r="T75" s="437"/>
      <c r="U75" s="437"/>
      <c r="V75" s="437"/>
      <c r="W75" s="437">
        <f>$M75/20</f>
        <v>25803158.342500001</v>
      </c>
      <c r="X75" s="437"/>
      <c r="Y75" s="437">
        <f>$M75/20</f>
        <v>25803158.342500001</v>
      </c>
      <c r="Z75" s="437"/>
      <c r="AA75" s="437">
        <f>$M75/20</f>
        <v>25803158.342500001</v>
      </c>
      <c r="AB75" s="437"/>
      <c r="AC75" s="437">
        <f>$M75/20</f>
        <v>25803158.342500001</v>
      </c>
      <c r="AD75" s="437"/>
      <c r="AE75" s="437">
        <f>$M75/20</f>
        <v>25803158.342500001</v>
      </c>
      <c r="AF75" s="437"/>
      <c r="AG75" s="437">
        <f>$M75/20</f>
        <v>25803158.342500001</v>
      </c>
      <c r="AH75" s="437"/>
      <c r="AI75" s="437">
        <f t="shared" ref="AI75:AM75" si="75">$M75/20</f>
        <v>25803158.342500001</v>
      </c>
      <c r="AJ75" s="437"/>
      <c r="AK75" s="437">
        <f t="shared" si="75"/>
        <v>25803158.342500001</v>
      </c>
      <c r="AL75" s="437"/>
      <c r="AM75" s="437">
        <f t="shared" si="75"/>
        <v>25803158.342500001</v>
      </c>
      <c r="AN75" s="437"/>
      <c r="AO75" s="437">
        <f>$M75/20</f>
        <v>25803158.342500001</v>
      </c>
      <c r="AP75" s="437"/>
      <c r="AQ75" s="437">
        <f>$M75/20</f>
        <v>25803158.342500001</v>
      </c>
      <c r="AR75" s="437"/>
      <c r="AS75" s="437">
        <f>$M75/20</f>
        <v>25803158.342500001</v>
      </c>
      <c r="AT75" s="437"/>
      <c r="AU75" s="437">
        <f>$M75/20</f>
        <v>25803158.342500001</v>
      </c>
      <c r="AV75" s="437"/>
      <c r="AW75" s="437">
        <f>$M75/20</f>
        <v>25803158.342500001</v>
      </c>
      <c r="AX75" s="437"/>
      <c r="AY75" s="437">
        <f>$M75/20</f>
        <v>25803158.342500001</v>
      </c>
      <c r="AZ75" s="437"/>
      <c r="BA75" s="437">
        <f>$M75/20</f>
        <v>25803158.342500001</v>
      </c>
      <c r="BB75" s="437"/>
      <c r="BC75" s="437">
        <f>$M75/20</f>
        <v>25803158.342500001</v>
      </c>
      <c r="BD75" s="437"/>
      <c r="BE75" s="437">
        <f>$M75/20</f>
        <v>25803158.342500001</v>
      </c>
      <c r="BF75" s="437"/>
      <c r="BG75" s="437">
        <f>$M75/20</f>
        <v>25803158.342500001</v>
      </c>
      <c r="BH75" s="437"/>
      <c r="BI75" s="437">
        <f>$M75/20</f>
        <v>25803158.342500001</v>
      </c>
      <c r="BJ75" s="437"/>
      <c r="BK75" s="437"/>
      <c r="BL75" s="437"/>
      <c r="BM75" s="437"/>
      <c r="BN75" s="437"/>
      <c r="BO75" s="437"/>
      <c r="BP75" s="437"/>
      <c r="BQ75" s="424">
        <f t="shared" si="47"/>
        <v>516063166.84999979</v>
      </c>
      <c r="BR75" s="425">
        <f>M75</f>
        <v>516063166.85000002</v>
      </c>
      <c r="BS75" s="1193">
        <f t="shared" si="57"/>
        <v>0</v>
      </c>
    </row>
    <row r="76" spans="1:71" ht="19.399999999999999" customHeight="1">
      <c r="A76" s="38"/>
      <c r="B76" s="416"/>
      <c r="C76" s="1574"/>
      <c r="D76" s="1517"/>
      <c r="E76" s="1264" t="s">
        <v>212</v>
      </c>
      <c r="F76" s="438"/>
      <c r="G76" s="1265">
        <f t="shared" ref="G76:G78" si="76">$G$75</f>
        <v>73723.309550000005</v>
      </c>
      <c r="H76" s="1266" t="s">
        <v>182</v>
      </c>
      <c r="I76" s="1267">
        <v>800</v>
      </c>
      <c r="J76" s="1268" t="s">
        <v>183</v>
      </c>
      <c r="K76" s="439">
        <v>0</v>
      </c>
      <c r="L76" s="428">
        <f t="shared" ref="L76:L142" si="77">M76/$M$69</f>
        <v>6.2903467655715958E-2</v>
      </c>
      <c r="M76" s="1256">
        <f t="shared" ref="M76:M79" si="78">G76*I76</f>
        <v>58978647.640000001</v>
      </c>
      <c r="N76" s="38"/>
      <c r="O76" s="1248"/>
      <c r="P76" s="1018"/>
      <c r="Q76" s="1018"/>
      <c r="R76" s="1018"/>
      <c r="S76" s="1018"/>
      <c r="T76" s="1018"/>
      <c r="U76" s="1018"/>
      <c r="V76" s="1018"/>
      <c r="W76" s="1018"/>
      <c r="X76" s="1018"/>
      <c r="Y76" s="1018"/>
      <c r="Z76" s="1018"/>
      <c r="AA76" s="1018"/>
      <c r="AB76" s="1018"/>
      <c r="AC76" s="1018"/>
      <c r="AD76" s="1018"/>
      <c r="AE76" s="1018"/>
      <c r="AF76" s="1018"/>
      <c r="AG76" s="1018"/>
      <c r="AH76" s="1018"/>
      <c r="AI76" s="1018"/>
      <c r="AJ76" s="1018"/>
      <c r="AK76" s="1018"/>
      <c r="AL76" s="1018"/>
      <c r="AM76" s="1018"/>
      <c r="AN76" s="1018"/>
      <c r="AO76" s="1018"/>
      <c r="AP76" s="1018">
        <f>$M76*30%</f>
        <v>17693594.291999999</v>
      </c>
      <c r="AQ76" s="1018"/>
      <c r="AR76" s="1018"/>
      <c r="AS76" s="1018">
        <f>$M76*70%</f>
        <v>41285053.347999997</v>
      </c>
      <c r="AT76" s="1018"/>
      <c r="AU76" s="1018"/>
      <c r="AV76" s="1018"/>
      <c r="AW76" s="1018"/>
      <c r="AX76" s="1018"/>
      <c r="AY76" s="1018"/>
      <c r="AZ76" s="1018"/>
      <c r="BA76" s="1018"/>
      <c r="BB76" s="1018"/>
      <c r="BC76" s="1018"/>
      <c r="BD76" s="1018"/>
      <c r="BE76" s="1018"/>
      <c r="BF76" s="1018"/>
      <c r="BG76" s="1018"/>
      <c r="BH76" s="1018"/>
      <c r="BI76" s="1018"/>
      <c r="BJ76" s="1018"/>
      <c r="BK76" s="1018"/>
      <c r="BL76" s="1018"/>
      <c r="BM76" s="1018"/>
      <c r="BN76" s="1018"/>
      <c r="BO76" s="1018"/>
      <c r="BP76" s="1018"/>
      <c r="BQ76" s="424">
        <f t="shared" si="47"/>
        <v>58978647.640000001</v>
      </c>
      <c r="BR76" s="425">
        <f t="shared" ref="BR76:BR110" si="79">M76</f>
        <v>58978647.640000001</v>
      </c>
      <c r="BS76" s="1193">
        <f t="shared" ref="BS76:BS109" si="80">BQ76-BR76</f>
        <v>0</v>
      </c>
    </row>
    <row r="77" spans="1:71" ht="19.399999999999999" customHeight="1">
      <c r="A77" s="38"/>
      <c r="B77" s="416"/>
      <c r="C77" s="1574"/>
      <c r="D77" s="1517"/>
      <c r="E77" s="440" t="s">
        <v>213</v>
      </c>
      <c r="F77" s="441"/>
      <c r="G77" s="1214">
        <f t="shared" si="76"/>
        <v>73723.309550000005</v>
      </c>
      <c r="H77" s="1215" t="s">
        <v>182</v>
      </c>
      <c r="I77" s="1269">
        <v>30</v>
      </c>
      <c r="J77" s="1217" t="s">
        <v>183</v>
      </c>
      <c r="K77" s="1270"/>
      <c r="L77" s="353">
        <f t="shared" si="77"/>
        <v>2.3588800370893488E-3</v>
      </c>
      <c r="M77" s="426">
        <f t="shared" si="78"/>
        <v>2211699.2865000004</v>
      </c>
      <c r="N77" s="38"/>
      <c r="O77" s="1248"/>
      <c r="P77" s="1018"/>
      <c r="Q77" s="1018"/>
      <c r="R77" s="1018"/>
      <c r="S77" s="1018"/>
      <c r="T77" s="1018"/>
      <c r="U77" s="1018"/>
      <c r="V77" s="1018"/>
      <c r="W77" s="1018"/>
      <c r="X77" s="1018"/>
      <c r="Y77" s="1018"/>
      <c r="Z77" s="1018"/>
      <c r="AA77" s="1018"/>
      <c r="AB77" s="1018"/>
      <c r="AC77" s="1018"/>
      <c r="AD77" s="1018">
        <f>$M77</f>
        <v>2211699.2865000004</v>
      </c>
      <c r="AE77" s="1018"/>
      <c r="AF77" s="1018"/>
      <c r="AG77" s="1018"/>
      <c r="AH77" s="1018"/>
      <c r="AI77" s="1018"/>
      <c r="AJ77" s="1018"/>
      <c r="AK77" s="1018"/>
      <c r="AL77" s="1018"/>
      <c r="AM77" s="1018"/>
      <c r="AN77" s="1018"/>
      <c r="AO77" s="1018"/>
      <c r="AP77" s="1018"/>
      <c r="AQ77" s="1018"/>
      <c r="AR77" s="1018"/>
      <c r="AS77" s="1018"/>
      <c r="AT77" s="1018"/>
      <c r="AU77" s="1018"/>
      <c r="AV77" s="1018"/>
      <c r="AW77" s="1018"/>
      <c r="AX77" s="1018"/>
      <c r="AY77" s="1018"/>
      <c r="AZ77" s="1018"/>
      <c r="BA77" s="1018"/>
      <c r="BB77" s="1018"/>
      <c r="BC77" s="1018"/>
      <c r="BD77" s="1018"/>
      <c r="BE77" s="1018"/>
      <c r="BF77" s="1018" t="s">
        <v>214</v>
      </c>
      <c r="BG77" s="1018"/>
      <c r="BH77" s="1018"/>
      <c r="BI77" s="1018"/>
      <c r="BJ77" s="1018"/>
      <c r="BK77" s="1018"/>
      <c r="BL77" s="1018"/>
      <c r="BM77" s="1018"/>
      <c r="BN77" s="1018"/>
      <c r="BO77" s="1018"/>
      <c r="BP77" s="1018"/>
      <c r="BQ77" s="424">
        <f t="shared" si="47"/>
        <v>2211699.2865000004</v>
      </c>
      <c r="BR77" s="425">
        <f t="shared" si="79"/>
        <v>2211699.2865000004</v>
      </c>
      <c r="BS77" s="1193">
        <f t="shared" si="80"/>
        <v>0</v>
      </c>
    </row>
    <row r="78" spans="1:71" ht="24.75" customHeight="1">
      <c r="A78" s="38"/>
      <c r="B78" s="416"/>
      <c r="C78" s="1574"/>
      <c r="D78" s="1517"/>
      <c r="E78" s="442" t="s">
        <v>215</v>
      </c>
      <c r="F78" s="441"/>
      <c r="G78" s="1214">
        <f t="shared" si="76"/>
        <v>73723.309550000005</v>
      </c>
      <c r="H78" s="1215" t="s">
        <v>182</v>
      </c>
      <c r="I78" s="1269">
        <v>300</v>
      </c>
      <c r="J78" s="1217" t="s">
        <v>183</v>
      </c>
      <c r="K78" s="1270"/>
      <c r="L78" s="353">
        <f t="shared" si="77"/>
        <v>2.3588800370893486E-2</v>
      </c>
      <c r="M78" s="426">
        <f t="shared" si="78"/>
        <v>22116992.865000002</v>
      </c>
      <c r="N78" s="38"/>
      <c r="O78" s="1248"/>
      <c r="P78" s="1018"/>
      <c r="Q78" s="1018"/>
      <c r="R78" s="1018"/>
      <c r="S78" s="1018"/>
      <c r="T78" s="1018"/>
      <c r="U78" s="1018">
        <f>$M78*20%</f>
        <v>4423398.5730000008</v>
      </c>
      <c r="V78" s="1018">
        <f>$M78*80%</f>
        <v>17693594.292000003</v>
      </c>
      <c r="W78" s="1018"/>
      <c r="X78" s="1018"/>
      <c r="Y78" s="1018"/>
      <c r="Z78" s="1018"/>
      <c r="AA78" s="1018"/>
      <c r="AB78" s="1018"/>
      <c r="AC78" s="1018"/>
      <c r="AD78" s="1018"/>
      <c r="AE78" s="1018"/>
      <c r="AF78" s="1018"/>
      <c r="AG78" s="1018"/>
      <c r="AH78" s="1018"/>
      <c r="AI78" s="1018"/>
      <c r="AJ78" s="1018"/>
      <c r="AK78" s="1018"/>
      <c r="AL78" s="1018"/>
      <c r="AM78" s="1018"/>
      <c r="AN78" s="1018"/>
      <c r="AO78" s="1018"/>
      <c r="AP78" s="1018"/>
      <c r="AQ78" s="1018"/>
      <c r="AR78" s="1018"/>
      <c r="AS78" s="1018"/>
      <c r="AT78" s="1018"/>
      <c r="AU78" s="1018"/>
      <c r="AV78" s="1018"/>
      <c r="AW78" s="1018"/>
      <c r="AX78" s="1018"/>
      <c r="AY78" s="1018"/>
      <c r="AZ78" s="1018"/>
      <c r="BA78" s="1018"/>
      <c r="BB78" s="1018"/>
      <c r="BC78" s="1018"/>
      <c r="BD78" s="1018"/>
      <c r="BE78" s="1018"/>
      <c r="BF78" s="1018"/>
      <c r="BG78" s="1018"/>
      <c r="BH78" s="1018"/>
      <c r="BI78" s="1018"/>
      <c r="BJ78" s="1018"/>
      <c r="BK78" s="1018"/>
      <c r="BL78" s="1018"/>
      <c r="BM78" s="1018"/>
      <c r="BN78" s="1018"/>
      <c r="BO78" s="1018"/>
      <c r="BP78" s="1018"/>
      <c r="BQ78" s="424">
        <f t="shared" si="47"/>
        <v>22116992.865000002</v>
      </c>
      <c r="BR78" s="425">
        <f t="shared" si="79"/>
        <v>22116992.865000002</v>
      </c>
      <c r="BS78" s="1193">
        <f t="shared" si="80"/>
        <v>0</v>
      </c>
    </row>
    <row r="79" spans="1:71" ht="19.5" customHeight="1">
      <c r="A79" s="38"/>
      <c r="B79" s="416"/>
      <c r="C79" s="1574"/>
      <c r="D79" s="1517"/>
      <c r="E79" s="442" t="s">
        <v>216</v>
      </c>
      <c r="F79" s="443"/>
      <c r="G79" s="1214">
        <f>E11</f>
        <v>155753.45000000001</v>
      </c>
      <c r="H79" s="1215" t="s">
        <v>217</v>
      </c>
      <c r="I79" s="1269">
        <v>3</v>
      </c>
      <c r="J79" s="1217" t="s">
        <v>218</v>
      </c>
      <c r="K79" s="1271"/>
      <c r="L79" s="428">
        <f t="shared" si="77"/>
        <v>4.9835487060387134E-4</v>
      </c>
      <c r="M79" s="426">
        <f t="shared" si="78"/>
        <v>467260.35000000003</v>
      </c>
      <c r="O79" s="1248"/>
      <c r="P79" s="1018"/>
      <c r="Q79" s="1018"/>
      <c r="R79" s="1018"/>
      <c r="S79" s="1018"/>
      <c r="T79" s="1018">
        <f>$M$79*10%</f>
        <v>46726.035000000003</v>
      </c>
      <c r="U79" s="1018"/>
      <c r="V79" s="1018"/>
      <c r="W79" s="1018"/>
      <c r="X79" s="1018"/>
      <c r="Y79" s="1018"/>
      <c r="Z79" s="1018"/>
      <c r="AA79" s="1018"/>
      <c r="AB79" s="1018"/>
      <c r="AC79" s="1018"/>
      <c r="AD79" s="1018"/>
      <c r="AE79" s="1018"/>
      <c r="AF79" s="1018"/>
      <c r="AG79" s="1018"/>
      <c r="AH79" s="1018"/>
      <c r="AI79" s="1018"/>
      <c r="AJ79" s="1018"/>
      <c r="AK79" s="1018"/>
      <c r="AL79" s="1018"/>
      <c r="AM79" s="1018"/>
      <c r="AN79" s="1018"/>
      <c r="AO79" s="1018"/>
      <c r="AP79" s="1018"/>
      <c r="AQ79" s="1018">
        <f>+$M$79*30%</f>
        <v>140178.10500000001</v>
      </c>
      <c r="AR79" s="1018"/>
      <c r="AS79" s="1018"/>
      <c r="AT79" s="1018"/>
      <c r="AU79" s="1018"/>
      <c r="AV79" s="1018"/>
      <c r="AW79" s="1018"/>
      <c r="AX79" s="1018"/>
      <c r="AY79" s="1018"/>
      <c r="AZ79" s="1018"/>
      <c r="BA79" s="1018"/>
      <c r="BB79" s="1018"/>
      <c r="BC79" s="1018"/>
      <c r="BD79" s="1018"/>
      <c r="BE79" s="1018"/>
      <c r="BF79" s="1018">
        <f>$M$79*60%</f>
        <v>280356.21000000002</v>
      </c>
      <c r="BG79" s="1018"/>
      <c r="BH79" s="1018"/>
      <c r="BI79" s="1018"/>
      <c r="BJ79" s="1018"/>
      <c r="BK79" s="1018"/>
      <c r="BL79" s="1018"/>
      <c r="BM79" s="1018"/>
      <c r="BN79" s="1018"/>
      <c r="BO79" s="1018"/>
      <c r="BP79" s="1018"/>
      <c r="BQ79" s="424">
        <f t="shared" si="47"/>
        <v>467260.35000000003</v>
      </c>
      <c r="BR79" s="425">
        <f t="shared" si="79"/>
        <v>467260.35000000003</v>
      </c>
      <c r="BS79" s="1193">
        <f t="shared" si="80"/>
        <v>0</v>
      </c>
    </row>
    <row r="80" spans="1:71" ht="19.399999999999999" customHeight="1">
      <c r="A80" s="38"/>
      <c r="B80" s="416"/>
      <c r="C80" s="1574"/>
      <c r="D80" s="1517"/>
      <c r="E80" s="444" t="s">
        <v>219</v>
      </c>
      <c r="F80" s="38"/>
      <c r="G80" s="1272">
        <f>G6</f>
        <v>18350.799500000001</v>
      </c>
      <c r="H80" s="1273" t="s">
        <v>182</v>
      </c>
      <c r="I80" s="445">
        <v>1000</v>
      </c>
      <c r="J80" s="293" t="s">
        <v>183</v>
      </c>
      <c r="K80" s="446"/>
      <c r="L80" s="392">
        <f t="shared" si="77"/>
        <v>1.9571980182568637E-2</v>
      </c>
      <c r="M80" s="447">
        <f>G80*I80</f>
        <v>18350799.5</v>
      </c>
      <c r="N80" s="38"/>
      <c r="O80" s="1248"/>
      <c r="P80" s="1018"/>
      <c r="Q80" s="1018"/>
      <c r="R80" s="1018"/>
      <c r="S80" s="1018"/>
      <c r="T80" s="1018">
        <f>$M$80/2</f>
        <v>9175399.75</v>
      </c>
      <c r="U80" s="1018"/>
      <c r="V80" s="1018">
        <f>$M$80/2</f>
        <v>9175399.75</v>
      </c>
      <c r="W80" s="1018"/>
      <c r="X80" s="1018"/>
      <c r="Y80" s="1018"/>
      <c r="Z80" s="1018"/>
      <c r="AA80" s="1018"/>
      <c r="AB80" s="1018"/>
      <c r="AC80" s="1018"/>
      <c r="AD80" s="1018"/>
      <c r="AE80" s="1018"/>
      <c r="AF80" s="1018"/>
      <c r="AG80" s="1018"/>
      <c r="AH80" s="1018"/>
      <c r="AI80" s="1018"/>
      <c r="AJ80" s="1018"/>
      <c r="AK80" s="1018"/>
      <c r="AL80" s="1018"/>
      <c r="AM80" s="1018"/>
      <c r="AN80" s="1018"/>
      <c r="AO80" s="1018"/>
      <c r="AP80" s="1018"/>
      <c r="AQ80" s="1018"/>
      <c r="AR80" s="1018"/>
      <c r="AS80" s="1018"/>
      <c r="AT80" s="1018"/>
      <c r="AU80" s="1018"/>
      <c r="AV80" s="1018"/>
      <c r="AW80" s="1018"/>
      <c r="AX80" s="1018"/>
      <c r="AY80" s="1018"/>
      <c r="AZ80" s="1018"/>
      <c r="BA80" s="1018"/>
      <c r="BB80" s="1018"/>
      <c r="BC80" s="1018"/>
      <c r="BD80" s="1018"/>
      <c r="BE80" s="1018"/>
      <c r="BF80" s="1018"/>
      <c r="BG80" s="1018"/>
      <c r="BH80" s="1018"/>
      <c r="BI80" s="1018"/>
      <c r="BJ80" s="1018"/>
      <c r="BK80" s="1018"/>
      <c r="BL80" s="1018"/>
      <c r="BM80" s="1018"/>
      <c r="BN80" s="1018"/>
      <c r="BO80" s="1018"/>
      <c r="BP80" s="1018"/>
      <c r="BQ80" s="424">
        <f t="shared" si="47"/>
        <v>18350799.5</v>
      </c>
      <c r="BR80" s="425">
        <f t="shared" si="79"/>
        <v>18350799.5</v>
      </c>
      <c r="BS80" s="1193">
        <f t="shared" si="80"/>
        <v>0</v>
      </c>
    </row>
    <row r="81" spans="1:71" ht="19.5" customHeight="1">
      <c r="A81" s="38"/>
      <c r="B81" s="416"/>
      <c r="C81" s="1575"/>
      <c r="D81" s="1518"/>
      <c r="E81" s="1257" t="s">
        <v>209</v>
      </c>
      <c r="F81" s="448"/>
      <c r="G81" s="1259"/>
      <c r="H81" s="1274"/>
      <c r="I81" s="1259"/>
      <c r="J81" s="400"/>
      <c r="K81" s="1259"/>
      <c r="L81" s="449">
        <f t="shared" si="77"/>
        <v>0.65932682510438589</v>
      </c>
      <c r="M81" s="429">
        <f>SUM(M75:M80)</f>
        <v>618188566.49150002</v>
      </c>
      <c r="N81" s="38"/>
      <c r="O81" s="430"/>
      <c r="P81" s="431"/>
      <c r="Q81" s="431">
        <f t="shared" ref="Q81:AV81" si="81">SUM(Q75:Q80)</f>
        <v>0</v>
      </c>
      <c r="R81" s="431">
        <f t="shared" si="81"/>
        <v>0</v>
      </c>
      <c r="S81" s="431">
        <f t="shared" si="81"/>
        <v>0</v>
      </c>
      <c r="T81" s="431">
        <f t="shared" si="81"/>
        <v>9222125.7850000001</v>
      </c>
      <c r="U81" s="431">
        <f t="shared" si="81"/>
        <v>4423398.5730000008</v>
      </c>
      <c r="V81" s="431">
        <f t="shared" si="81"/>
        <v>26868994.042000003</v>
      </c>
      <c r="W81" s="431">
        <f t="shared" si="81"/>
        <v>25803158.342500001</v>
      </c>
      <c r="X81" s="431">
        <f t="shared" si="81"/>
        <v>0</v>
      </c>
      <c r="Y81" s="431">
        <f t="shared" si="81"/>
        <v>25803158.342500001</v>
      </c>
      <c r="Z81" s="431">
        <f t="shared" si="81"/>
        <v>0</v>
      </c>
      <c r="AA81" s="431">
        <f t="shared" si="81"/>
        <v>25803158.342500001</v>
      </c>
      <c r="AB81" s="431">
        <f t="shared" si="81"/>
        <v>0</v>
      </c>
      <c r="AC81" s="431">
        <f t="shared" si="81"/>
        <v>25803158.342500001</v>
      </c>
      <c r="AD81" s="431">
        <f t="shared" si="81"/>
        <v>2211699.2865000004</v>
      </c>
      <c r="AE81" s="431">
        <f t="shared" si="81"/>
        <v>25803158.342500001</v>
      </c>
      <c r="AF81" s="431">
        <f t="shared" si="81"/>
        <v>0</v>
      </c>
      <c r="AG81" s="431">
        <f t="shared" si="81"/>
        <v>25803158.342500001</v>
      </c>
      <c r="AH81" s="431">
        <f t="shared" si="81"/>
        <v>0</v>
      </c>
      <c r="AI81" s="431">
        <f t="shared" si="81"/>
        <v>25803158.342500001</v>
      </c>
      <c r="AJ81" s="431">
        <f t="shared" si="81"/>
        <v>0</v>
      </c>
      <c r="AK81" s="431">
        <f t="shared" si="81"/>
        <v>25803158.342500001</v>
      </c>
      <c r="AL81" s="431">
        <f t="shared" si="81"/>
        <v>0</v>
      </c>
      <c r="AM81" s="431">
        <f t="shared" si="81"/>
        <v>25803158.342500001</v>
      </c>
      <c r="AN81" s="431">
        <f t="shared" si="81"/>
        <v>0</v>
      </c>
      <c r="AO81" s="431">
        <f t="shared" si="81"/>
        <v>25803158.342500001</v>
      </c>
      <c r="AP81" s="431">
        <f t="shared" si="81"/>
        <v>17693594.291999999</v>
      </c>
      <c r="AQ81" s="431">
        <f t="shared" si="81"/>
        <v>25943336.447500002</v>
      </c>
      <c r="AR81" s="431">
        <f t="shared" si="81"/>
        <v>0</v>
      </c>
      <c r="AS81" s="431">
        <f t="shared" si="81"/>
        <v>67088211.690499999</v>
      </c>
      <c r="AT81" s="431">
        <f t="shared" si="81"/>
        <v>0</v>
      </c>
      <c r="AU81" s="431">
        <f t="shared" si="81"/>
        <v>25803158.342500001</v>
      </c>
      <c r="AV81" s="431">
        <f t="shared" si="81"/>
        <v>0</v>
      </c>
      <c r="AW81" s="431">
        <f t="shared" ref="AW81:BP81" si="82">SUM(AW75:AW80)</f>
        <v>25803158.342500001</v>
      </c>
      <c r="AX81" s="431">
        <f t="shared" si="82"/>
        <v>0</v>
      </c>
      <c r="AY81" s="431">
        <f t="shared" si="82"/>
        <v>25803158.342500001</v>
      </c>
      <c r="AZ81" s="431">
        <f t="shared" si="82"/>
        <v>0</v>
      </c>
      <c r="BA81" s="431">
        <f t="shared" si="82"/>
        <v>25803158.342500001</v>
      </c>
      <c r="BB81" s="431">
        <f t="shared" si="82"/>
        <v>0</v>
      </c>
      <c r="BC81" s="431">
        <f t="shared" si="82"/>
        <v>25803158.342500001</v>
      </c>
      <c r="BD81" s="431">
        <f t="shared" si="82"/>
        <v>0</v>
      </c>
      <c r="BE81" s="431">
        <f t="shared" si="82"/>
        <v>25803158.342500001</v>
      </c>
      <c r="BF81" s="431">
        <f t="shared" si="82"/>
        <v>280356.21000000002</v>
      </c>
      <c r="BG81" s="431">
        <f t="shared" si="82"/>
        <v>25803158.342500001</v>
      </c>
      <c r="BH81" s="431">
        <f t="shared" si="82"/>
        <v>0</v>
      </c>
      <c r="BI81" s="431">
        <f t="shared" si="82"/>
        <v>25803158.342500001</v>
      </c>
      <c r="BJ81" s="431">
        <f t="shared" si="82"/>
        <v>0</v>
      </c>
      <c r="BK81" s="431">
        <f t="shared" si="82"/>
        <v>0</v>
      </c>
      <c r="BL81" s="431">
        <f t="shared" si="82"/>
        <v>0</v>
      </c>
      <c r="BM81" s="431">
        <f t="shared" si="82"/>
        <v>0</v>
      </c>
      <c r="BN81" s="431">
        <f t="shared" si="82"/>
        <v>0</v>
      </c>
      <c r="BO81" s="431">
        <f t="shared" si="82"/>
        <v>0</v>
      </c>
      <c r="BP81" s="431">
        <f t="shared" si="82"/>
        <v>0</v>
      </c>
      <c r="BQ81" s="450">
        <f t="shared" si="47"/>
        <v>618188566.4914999</v>
      </c>
      <c r="BR81" s="451">
        <f t="shared" si="79"/>
        <v>618188566.49150002</v>
      </c>
      <c r="BS81" s="1193">
        <f t="shared" si="80"/>
        <v>0</v>
      </c>
    </row>
    <row r="82" spans="1:71" ht="19.5" customHeight="1">
      <c r="A82" s="38"/>
      <c r="B82" s="416"/>
      <c r="C82" s="1573" t="s">
        <v>220</v>
      </c>
      <c r="D82" s="1516"/>
      <c r="E82" s="1275" t="s">
        <v>221</v>
      </c>
      <c r="F82" s="1276"/>
      <c r="G82" s="1277">
        <f>+G75</f>
        <v>73723.309550000005</v>
      </c>
      <c r="H82" s="1239" t="s">
        <v>182</v>
      </c>
      <c r="I82" s="1278">
        <v>100</v>
      </c>
      <c r="J82" s="1277" t="s">
        <v>183</v>
      </c>
      <c r="K82" s="1277"/>
      <c r="L82" s="385">
        <f t="shared" si="77"/>
        <v>7.8629334569644948E-3</v>
      </c>
      <c r="M82" s="452">
        <f>G82*I82</f>
        <v>7372330.9550000001</v>
      </c>
      <c r="N82" s="38"/>
      <c r="O82" s="1248"/>
      <c r="P82" s="1018">
        <f>$M82*20%</f>
        <v>1474466.1910000001</v>
      </c>
      <c r="Q82" s="1018"/>
      <c r="R82" s="1018">
        <f>$M82*20%</f>
        <v>1474466.1910000001</v>
      </c>
      <c r="S82" s="1018"/>
      <c r="T82" s="1018">
        <f>$M82*20%</f>
        <v>1474466.1910000001</v>
      </c>
      <c r="U82" s="1018"/>
      <c r="V82" s="1018">
        <f>$M82*10%</f>
        <v>737233.09550000005</v>
      </c>
      <c r="W82" s="1018"/>
      <c r="X82" s="1018"/>
      <c r="Y82" s="1018"/>
      <c r="Z82" s="1018"/>
      <c r="AA82" s="1018"/>
      <c r="AB82" s="1018"/>
      <c r="AC82" s="1018"/>
      <c r="AD82" s="1018"/>
      <c r="AE82" s="1018"/>
      <c r="AF82" s="1018"/>
      <c r="AG82" s="1018"/>
      <c r="AH82" s="1018">
        <f>$M82*10%</f>
        <v>737233.09550000005</v>
      </c>
      <c r="AI82" s="1018"/>
      <c r="AJ82" s="1018"/>
      <c r="AK82" s="1018"/>
      <c r="AL82" s="1018"/>
      <c r="AM82" s="1018"/>
      <c r="AN82" s="1018"/>
      <c r="AO82" s="1018"/>
      <c r="AP82" s="1018"/>
      <c r="AQ82" s="1018"/>
      <c r="AR82" s="1018"/>
      <c r="AS82" s="1018"/>
      <c r="AT82" s="1018">
        <f>$M82*10%</f>
        <v>737233.09550000005</v>
      </c>
      <c r="AU82" s="1018"/>
      <c r="AV82" s="1018"/>
      <c r="AW82" s="1018"/>
      <c r="AX82" s="1018"/>
      <c r="AY82" s="1018"/>
      <c r="AZ82" s="1018"/>
      <c r="BA82" s="1018"/>
      <c r="BB82" s="1018"/>
      <c r="BC82" s="1018"/>
      <c r="BD82" s="1018"/>
      <c r="BE82" s="1018"/>
      <c r="BF82" s="1018"/>
      <c r="BG82" s="1018"/>
      <c r="BH82" s="1018">
        <f>$M82*10%</f>
        <v>737233.09550000005</v>
      </c>
      <c r="BI82" s="1018"/>
      <c r="BJ82" s="1018"/>
      <c r="BK82" s="1018"/>
      <c r="BL82" s="1018"/>
      <c r="BM82" s="1018"/>
      <c r="BN82" s="1018"/>
      <c r="BO82" s="1018"/>
      <c r="BP82" s="1018"/>
      <c r="BQ82" s="424">
        <f t="shared" si="47"/>
        <v>7372330.9550000001</v>
      </c>
      <c r="BR82" s="425">
        <f t="shared" si="79"/>
        <v>7372330.9550000001</v>
      </c>
      <c r="BS82" s="1193">
        <f t="shared" si="80"/>
        <v>0</v>
      </c>
    </row>
    <row r="83" spans="1:71" ht="19.5" customHeight="1">
      <c r="A83" s="38"/>
      <c r="B83" s="416"/>
      <c r="C83" s="1574"/>
      <c r="D83" s="1517"/>
      <c r="E83" s="1279" t="s">
        <v>222</v>
      </c>
      <c r="F83" s="453"/>
      <c r="G83" s="1214">
        <f t="shared" ref="G83:G85" si="83">$G$82</f>
        <v>73723.309550000005</v>
      </c>
      <c r="H83" s="1215" t="s">
        <v>182</v>
      </c>
      <c r="I83" s="1269">
        <v>25</v>
      </c>
      <c r="J83" s="1217" t="s">
        <v>183</v>
      </c>
      <c r="K83" s="1280"/>
      <c r="L83" s="353">
        <f t="shared" si="77"/>
        <v>1.9657333642411237E-3</v>
      </c>
      <c r="M83" s="426">
        <f t="shared" ref="M83" si="84">G83*I83</f>
        <v>1843082.73875</v>
      </c>
      <c r="N83" s="38"/>
      <c r="O83" s="1248"/>
      <c r="P83" s="1018">
        <f>$M83*10%</f>
        <v>184308.27387500001</v>
      </c>
      <c r="Q83" s="1018"/>
      <c r="R83" s="1018">
        <f>$M83*50%</f>
        <v>921541.36937500001</v>
      </c>
      <c r="S83" s="1018">
        <f>$M83*40%</f>
        <v>737233.09550000005</v>
      </c>
      <c r="T83" s="1018"/>
      <c r="U83" s="1018"/>
      <c r="V83" s="1018"/>
      <c r="W83" s="1018"/>
      <c r="X83" s="1018"/>
      <c r="Y83" s="1018"/>
      <c r="Z83" s="1018"/>
      <c r="AA83" s="1018"/>
      <c r="AB83" s="1018"/>
      <c r="AC83" s="1018"/>
      <c r="AD83" s="1018"/>
      <c r="AE83" s="1018"/>
      <c r="AF83" s="1018"/>
      <c r="AG83" s="1018"/>
      <c r="AH83" s="1018"/>
      <c r="AI83" s="1018"/>
      <c r="AJ83" s="1018"/>
      <c r="AK83" s="1018"/>
      <c r="AL83" s="1018"/>
      <c r="AM83" s="1018"/>
      <c r="AN83" s="1018"/>
      <c r="AO83" s="1018"/>
      <c r="AP83" s="1018"/>
      <c r="AQ83" s="1018"/>
      <c r="AR83" s="1018"/>
      <c r="AS83" s="1018"/>
      <c r="AT83" s="1018"/>
      <c r="AU83" s="1018"/>
      <c r="AV83" s="1018"/>
      <c r="AW83" s="1018"/>
      <c r="AX83" s="1018"/>
      <c r="AY83" s="1018"/>
      <c r="AZ83" s="1018"/>
      <c r="BA83" s="1018"/>
      <c r="BB83" s="1018"/>
      <c r="BC83" s="1018"/>
      <c r="BD83" s="1018"/>
      <c r="BE83" s="1018"/>
      <c r="BF83" s="1018"/>
      <c r="BG83" s="1018"/>
      <c r="BH83" s="1018"/>
      <c r="BI83" s="1018"/>
      <c r="BJ83" s="1018"/>
      <c r="BK83" s="1018"/>
      <c r="BL83" s="1018"/>
      <c r="BM83" s="1018"/>
      <c r="BN83" s="1018"/>
      <c r="BO83" s="1018"/>
      <c r="BP83" s="1018"/>
      <c r="BQ83" s="424">
        <f t="shared" si="47"/>
        <v>1843082.73875</v>
      </c>
      <c r="BR83" s="425">
        <f t="shared" si="79"/>
        <v>1843082.73875</v>
      </c>
      <c r="BS83" s="1193">
        <f t="shared" si="80"/>
        <v>0</v>
      </c>
    </row>
    <row r="84" spans="1:71" ht="19.5" customHeight="1">
      <c r="A84" s="38"/>
      <c r="B84" s="416"/>
      <c r="C84" s="1574"/>
      <c r="D84" s="1517"/>
      <c r="E84" s="1249" t="s">
        <v>223</v>
      </c>
      <c r="F84" s="1243"/>
      <c r="G84" s="1214">
        <f t="shared" si="83"/>
        <v>73723.309550000005</v>
      </c>
      <c r="H84" s="1215" t="s">
        <v>182</v>
      </c>
      <c r="I84" s="1217">
        <f>30</f>
        <v>30</v>
      </c>
      <c r="J84" s="1217" t="s">
        <v>183</v>
      </c>
      <c r="K84" s="1281"/>
      <c r="L84" s="353">
        <f t="shared" si="77"/>
        <v>5.8715940547705912E-4</v>
      </c>
      <c r="M84" s="454">
        <f>G6*I84</f>
        <v>550523.98499999999</v>
      </c>
      <c r="N84" s="38"/>
      <c r="O84" s="1248"/>
      <c r="P84" s="1018"/>
      <c r="Q84" s="1018">
        <f t="shared" ref="Q84:R84" si="85">$M84*20%</f>
        <v>110104.79700000001</v>
      </c>
      <c r="R84" s="1018">
        <f t="shared" si="85"/>
        <v>110104.79700000001</v>
      </c>
      <c r="S84" s="1018">
        <f>$M84-SUM($P84:R84)</f>
        <v>330314.39099999995</v>
      </c>
      <c r="T84" s="1018"/>
      <c r="U84" s="1018"/>
      <c r="V84" s="1018"/>
      <c r="W84" s="1018"/>
      <c r="X84" s="1018"/>
      <c r="Y84" s="1018"/>
      <c r="Z84" s="1018"/>
      <c r="AA84" s="1018"/>
      <c r="AB84" s="1018"/>
      <c r="AC84" s="1018"/>
      <c r="AD84" s="1018"/>
      <c r="AE84" s="1018"/>
      <c r="AF84" s="1018"/>
      <c r="AG84" s="1018"/>
      <c r="AH84" s="1018"/>
      <c r="AI84" s="1018"/>
      <c r="AJ84" s="1018"/>
      <c r="AK84" s="1018"/>
      <c r="AL84" s="1018"/>
      <c r="AM84" s="1018"/>
      <c r="AN84" s="1018"/>
      <c r="AO84" s="1018"/>
      <c r="AP84" s="1018"/>
      <c r="AQ84" s="1018"/>
      <c r="AR84" s="1018"/>
      <c r="AS84" s="1018"/>
      <c r="AT84" s="1018"/>
      <c r="AU84" s="1018"/>
      <c r="AV84" s="1018"/>
      <c r="AW84" s="1018"/>
      <c r="AX84" s="1018"/>
      <c r="AY84" s="1018"/>
      <c r="AZ84" s="1018"/>
      <c r="BA84" s="1018"/>
      <c r="BB84" s="1018"/>
      <c r="BC84" s="1018"/>
      <c r="BD84" s="1018"/>
      <c r="BE84" s="1018"/>
      <c r="BF84" s="1018"/>
      <c r="BG84" s="1018"/>
      <c r="BH84" s="1018"/>
      <c r="BI84" s="1018"/>
      <c r="BJ84" s="1018"/>
      <c r="BK84" s="1018"/>
      <c r="BL84" s="1018"/>
      <c r="BM84" s="1018"/>
      <c r="BN84" s="1018"/>
      <c r="BO84" s="1018"/>
      <c r="BP84" s="1018"/>
      <c r="BQ84" s="424">
        <f t="shared" si="47"/>
        <v>550523.98499999999</v>
      </c>
      <c r="BR84" s="425">
        <f t="shared" si="79"/>
        <v>550523.98499999999</v>
      </c>
      <c r="BS84" s="1193">
        <f t="shared" si="80"/>
        <v>0</v>
      </c>
    </row>
    <row r="85" spans="1:71" ht="19.5" customHeight="1">
      <c r="A85" s="38"/>
      <c r="B85" s="416"/>
      <c r="C85" s="1574"/>
      <c r="D85" s="1517"/>
      <c r="E85" s="1264" t="s">
        <v>224</v>
      </c>
      <c r="F85" s="455"/>
      <c r="G85" s="1214">
        <f t="shared" si="83"/>
        <v>73723.309550000005</v>
      </c>
      <c r="H85" s="1215" t="s">
        <v>182</v>
      </c>
      <c r="I85" s="1217">
        <f>5</f>
        <v>5</v>
      </c>
      <c r="J85" s="1217" t="s">
        <v>183</v>
      </c>
      <c r="K85" s="1270"/>
      <c r="L85" s="428">
        <f t="shared" si="77"/>
        <v>9.7859900912843187E-5</v>
      </c>
      <c r="M85" s="454">
        <f>G6*I85</f>
        <v>91753.997499999998</v>
      </c>
      <c r="N85" s="38"/>
      <c r="O85" s="1248"/>
      <c r="P85" s="1018"/>
      <c r="Q85" s="1018">
        <f>$M85*10%</f>
        <v>9175.3997500000005</v>
      </c>
      <c r="R85" s="1018"/>
      <c r="S85" s="1018"/>
      <c r="T85" s="1018">
        <f>$M85*90%</f>
        <v>82578.597750000001</v>
      </c>
      <c r="U85" s="1018"/>
      <c r="V85" s="1018"/>
      <c r="W85" s="1018"/>
      <c r="X85" s="1018"/>
      <c r="Y85" s="1018"/>
      <c r="Z85" s="1018"/>
      <c r="AA85" s="1018"/>
      <c r="AB85" s="1018"/>
      <c r="AC85" s="1018"/>
      <c r="AD85" s="1018"/>
      <c r="AE85" s="1018"/>
      <c r="AF85" s="1018"/>
      <c r="AG85" s="1018"/>
      <c r="AH85" s="1018"/>
      <c r="AI85" s="1018"/>
      <c r="AJ85" s="1018"/>
      <c r="AK85" s="1018"/>
      <c r="AL85" s="1018"/>
      <c r="AM85" s="1018"/>
      <c r="AN85" s="1018"/>
      <c r="AO85" s="1018"/>
      <c r="AP85" s="1018"/>
      <c r="AQ85" s="1018"/>
      <c r="AR85" s="1018"/>
      <c r="AS85" s="1018"/>
      <c r="AT85" s="1018"/>
      <c r="AU85" s="1018"/>
      <c r="AV85" s="1018"/>
      <c r="AW85" s="1018"/>
      <c r="AX85" s="1018"/>
      <c r="AY85" s="1018"/>
      <c r="AZ85" s="1018"/>
      <c r="BA85" s="1018"/>
      <c r="BB85" s="1018"/>
      <c r="BC85" s="1018"/>
      <c r="BD85" s="1018"/>
      <c r="BE85" s="1018"/>
      <c r="BF85" s="1018"/>
      <c r="BG85" s="1018"/>
      <c r="BH85" s="1018"/>
      <c r="BI85" s="1018"/>
      <c r="BJ85" s="1018"/>
      <c r="BK85" s="1018"/>
      <c r="BL85" s="1018"/>
      <c r="BM85" s="1018"/>
      <c r="BN85" s="1018"/>
      <c r="BO85" s="1018"/>
      <c r="BP85" s="1018"/>
      <c r="BQ85" s="424">
        <f t="shared" si="47"/>
        <v>91753.997499999998</v>
      </c>
      <c r="BR85" s="425">
        <f t="shared" si="79"/>
        <v>91753.997499999998</v>
      </c>
      <c r="BS85" s="1193">
        <f t="shared" si="80"/>
        <v>0</v>
      </c>
    </row>
    <row r="86" spans="1:71" ht="19.5" customHeight="1">
      <c r="A86" s="38"/>
      <c r="B86" s="416"/>
      <c r="C86" s="1574"/>
      <c r="D86" s="1517"/>
      <c r="E86" s="442" t="s">
        <v>225</v>
      </c>
      <c r="F86" s="443" t="s">
        <v>226</v>
      </c>
      <c r="G86" s="1214">
        <f>M81</f>
        <v>618188566.49150002</v>
      </c>
      <c r="H86" s="1215" t="s">
        <v>227</v>
      </c>
      <c r="I86" s="1269"/>
      <c r="J86" s="1269" t="s">
        <v>228</v>
      </c>
      <c r="K86" s="1270"/>
      <c r="L86" s="428">
        <f t="shared" si="77"/>
        <v>6.5932682510438587E-3</v>
      </c>
      <c r="M86" s="426">
        <f>M81*1%</f>
        <v>6181885.6649150001</v>
      </c>
      <c r="N86" s="38"/>
      <c r="O86" s="1248"/>
      <c r="P86" s="1018"/>
      <c r="Q86" s="1018"/>
      <c r="R86" s="1018"/>
      <c r="S86" s="1018"/>
      <c r="T86" s="1018"/>
      <c r="U86" s="1018">
        <f>$M$86*10%</f>
        <v>618188.56649150001</v>
      </c>
      <c r="V86" s="1018"/>
      <c r="W86" s="1018"/>
      <c r="X86" s="1018"/>
      <c r="Y86" s="1018">
        <f>$M$86*10%</f>
        <v>618188.56649150001</v>
      </c>
      <c r="Z86" s="1018"/>
      <c r="AA86" s="1018"/>
      <c r="AB86" s="1018"/>
      <c r="AC86" s="1018">
        <f>$M$86*10%</f>
        <v>618188.56649150001</v>
      </c>
      <c r="AD86" s="1018"/>
      <c r="AE86" s="1018"/>
      <c r="AF86" s="1018"/>
      <c r="AG86" s="1018">
        <f>$M$86*10%</f>
        <v>618188.56649150001</v>
      </c>
      <c r="AH86" s="1018"/>
      <c r="AI86" s="1018"/>
      <c r="AJ86" s="1018"/>
      <c r="AK86" s="1018">
        <f>$M$86*10%</f>
        <v>618188.56649150001</v>
      </c>
      <c r="AL86" s="1018"/>
      <c r="AM86" s="1018"/>
      <c r="AN86" s="1018"/>
      <c r="AO86" s="1018">
        <f>$M$86*10%</f>
        <v>618188.56649150001</v>
      </c>
      <c r="AP86" s="1018"/>
      <c r="AQ86" s="1018"/>
      <c r="AR86" s="1018"/>
      <c r="AS86" s="1018">
        <f>$M$86*10%</f>
        <v>618188.56649150001</v>
      </c>
      <c r="AT86" s="1018"/>
      <c r="AU86" s="1018"/>
      <c r="AV86" s="1018"/>
      <c r="AW86" s="1018">
        <f>$M$86*10%</f>
        <v>618188.56649150001</v>
      </c>
      <c r="AX86" s="1018"/>
      <c r="AY86" s="1018"/>
      <c r="AZ86" s="1018"/>
      <c r="BA86" s="1018">
        <f>$M$86*10%</f>
        <v>618188.56649150001</v>
      </c>
      <c r="BB86" s="1018"/>
      <c r="BC86" s="1018"/>
      <c r="BD86" s="1018"/>
      <c r="BE86" s="1018">
        <f>$M$86*10%</f>
        <v>618188.56649150001</v>
      </c>
      <c r="BF86" s="1018"/>
      <c r="BG86" s="1018"/>
      <c r="BH86" s="1018"/>
      <c r="BI86" s="1018"/>
      <c r="BJ86" s="1018"/>
      <c r="BK86" s="1018"/>
      <c r="BL86" s="1018"/>
      <c r="BM86" s="1018"/>
      <c r="BN86" s="1018"/>
      <c r="BO86" s="1018"/>
      <c r="BP86" s="1018"/>
      <c r="BQ86" s="424">
        <f t="shared" si="47"/>
        <v>6181885.6649149992</v>
      </c>
      <c r="BR86" s="425">
        <f t="shared" si="79"/>
        <v>6181885.6649150001</v>
      </c>
      <c r="BS86" s="1193">
        <f t="shared" si="80"/>
        <v>0</v>
      </c>
    </row>
    <row r="87" spans="1:71" ht="19.5" customHeight="1">
      <c r="A87" s="38"/>
      <c r="B87" s="416"/>
      <c r="C87" s="1574"/>
      <c r="D87" s="1517"/>
      <c r="E87" s="1606" t="s">
        <v>229</v>
      </c>
      <c r="F87" s="456" t="s">
        <v>230</v>
      </c>
      <c r="G87" s="1214">
        <f>M81</f>
        <v>618188566.49150002</v>
      </c>
      <c r="H87" s="1215" t="s">
        <v>227</v>
      </c>
      <c r="I87" s="1269"/>
      <c r="J87" s="1282">
        <v>0.03</v>
      </c>
      <c r="K87" s="1271"/>
      <c r="L87" s="428">
        <f t="shared" si="77"/>
        <v>1.9779804753131579E-2</v>
      </c>
      <c r="M87" s="426">
        <f>M81*J87</f>
        <v>18545656.994745001</v>
      </c>
      <c r="N87" s="38"/>
      <c r="O87" s="1248"/>
      <c r="P87" s="1018"/>
      <c r="Q87" s="1018"/>
      <c r="R87" s="1018"/>
      <c r="S87" s="1018">
        <f>M87/($L$8-4)</f>
        <v>421492.20442602277</v>
      </c>
      <c r="T87" s="1018">
        <f t="shared" ref="T87:BJ87" si="86">S87</f>
        <v>421492.20442602277</v>
      </c>
      <c r="U87" s="1018">
        <f t="shared" si="86"/>
        <v>421492.20442602277</v>
      </c>
      <c r="V87" s="1018">
        <f t="shared" si="86"/>
        <v>421492.20442602277</v>
      </c>
      <c r="W87" s="1018">
        <f t="shared" si="86"/>
        <v>421492.20442602277</v>
      </c>
      <c r="X87" s="1018">
        <f t="shared" si="86"/>
        <v>421492.20442602277</v>
      </c>
      <c r="Y87" s="1018">
        <f t="shared" si="86"/>
        <v>421492.20442602277</v>
      </c>
      <c r="Z87" s="1018">
        <f t="shared" si="86"/>
        <v>421492.20442602277</v>
      </c>
      <c r="AA87" s="1018">
        <f t="shared" si="86"/>
        <v>421492.20442602277</v>
      </c>
      <c r="AB87" s="1018">
        <f t="shared" si="86"/>
        <v>421492.20442602277</v>
      </c>
      <c r="AC87" s="1018">
        <f t="shared" si="86"/>
        <v>421492.20442602277</v>
      </c>
      <c r="AD87" s="1018">
        <f t="shared" si="86"/>
        <v>421492.20442602277</v>
      </c>
      <c r="AE87" s="1018">
        <f t="shared" si="86"/>
        <v>421492.20442602277</v>
      </c>
      <c r="AF87" s="1018">
        <f t="shared" si="86"/>
        <v>421492.20442602277</v>
      </c>
      <c r="AG87" s="1018">
        <f t="shared" si="86"/>
        <v>421492.20442602277</v>
      </c>
      <c r="AH87" s="1018">
        <f t="shared" si="86"/>
        <v>421492.20442602277</v>
      </c>
      <c r="AI87" s="1018">
        <f t="shared" si="86"/>
        <v>421492.20442602277</v>
      </c>
      <c r="AJ87" s="1018">
        <f t="shared" si="86"/>
        <v>421492.20442602277</v>
      </c>
      <c r="AK87" s="1018">
        <f t="shared" si="86"/>
        <v>421492.20442602277</v>
      </c>
      <c r="AL87" s="1018">
        <f t="shared" si="86"/>
        <v>421492.20442602277</v>
      </c>
      <c r="AM87" s="1018">
        <f t="shared" si="86"/>
        <v>421492.20442602277</v>
      </c>
      <c r="AN87" s="1018">
        <f t="shared" si="86"/>
        <v>421492.20442602277</v>
      </c>
      <c r="AO87" s="1018">
        <f t="shared" si="86"/>
        <v>421492.20442602277</v>
      </c>
      <c r="AP87" s="1018">
        <f t="shared" si="86"/>
        <v>421492.20442602277</v>
      </c>
      <c r="AQ87" s="1018">
        <f t="shared" si="86"/>
        <v>421492.20442602277</v>
      </c>
      <c r="AR87" s="1018">
        <f t="shared" si="86"/>
        <v>421492.20442602277</v>
      </c>
      <c r="AS87" s="1018">
        <f t="shared" si="86"/>
        <v>421492.20442602277</v>
      </c>
      <c r="AT87" s="1018">
        <f t="shared" si="86"/>
        <v>421492.20442602277</v>
      </c>
      <c r="AU87" s="1018">
        <f t="shared" si="86"/>
        <v>421492.20442602277</v>
      </c>
      <c r="AV87" s="1018">
        <f t="shared" si="86"/>
        <v>421492.20442602277</v>
      </c>
      <c r="AW87" s="1018">
        <f t="shared" si="86"/>
        <v>421492.20442602277</v>
      </c>
      <c r="AX87" s="1018">
        <f t="shared" si="86"/>
        <v>421492.20442602277</v>
      </c>
      <c r="AY87" s="1018">
        <f t="shared" si="86"/>
        <v>421492.20442602277</v>
      </c>
      <c r="AZ87" s="1018">
        <f t="shared" si="86"/>
        <v>421492.20442602277</v>
      </c>
      <c r="BA87" s="1018">
        <f t="shared" si="86"/>
        <v>421492.20442602277</v>
      </c>
      <c r="BB87" s="1018">
        <f t="shared" si="86"/>
        <v>421492.20442602277</v>
      </c>
      <c r="BC87" s="1018">
        <f t="shared" si="86"/>
        <v>421492.20442602277</v>
      </c>
      <c r="BD87" s="1018">
        <f t="shared" si="86"/>
        <v>421492.20442602277</v>
      </c>
      <c r="BE87" s="1018">
        <f t="shared" si="86"/>
        <v>421492.20442602277</v>
      </c>
      <c r="BF87" s="1018">
        <f t="shared" si="86"/>
        <v>421492.20442602277</v>
      </c>
      <c r="BG87" s="1018">
        <f t="shared" si="86"/>
        <v>421492.20442602277</v>
      </c>
      <c r="BH87" s="1018">
        <f t="shared" si="86"/>
        <v>421492.20442602277</v>
      </c>
      <c r="BI87" s="1018">
        <f t="shared" si="86"/>
        <v>421492.20442602277</v>
      </c>
      <c r="BJ87" s="1018">
        <f t="shared" si="86"/>
        <v>421492.20442602277</v>
      </c>
      <c r="BK87" s="1018"/>
      <c r="BL87" s="1018"/>
      <c r="BM87" s="1018"/>
      <c r="BN87" s="1018"/>
      <c r="BO87" s="1018"/>
      <c r="BP87" s="1018"/>
      <c r="BQ87" s="424">
        <f t="shared" si="47"/>
        <v>18545656.994745001</v>
      </c>
      <c r="BR87" s="425">
        <f t="shared" si="79"/>
        <v>18545656.994745001</v>
      </c>
      <c r="BS87" s="1193">
        <f t="shared" si="80"/>
        <v>0</v>
      </c>
    </row>
    <row r="88" spans="1:71" ht="19.5" customHeight="1">
      <c r="A88" s="38"/>
      <c r="B88" s="416"/>
      <c r="C88" s="1574"/>
      <c r="D88" s="1517"/>
      <c r="E88" s="1607"/>
      <c r="F88" s="456" t="s">
        <v>231</v>
      </c>
      <c r="G88" s="1214"/>
      <c r="H88" s="1215" t="s">
        <v>232</v>
      </c>
      <c r="I88" s="1269">
        <v>0</v>
      </c>
      <c r="J88" s="1217" t="s">
        <v>183</v>
      </c>
      <c r="K88" s="1271"/>
      <c r="L88" s="428">
        <f>M88/$M$69</f>
        <v>0</v>
      </c>
      <c r="M88" s="426">
        <f>($M$75+$M$80)*K88</f>
        <v>0</v>
      </c>
      <c r="N88" s="38"/>
      <c r="O88" s="1248"/>
      <c r="P88" s="1018"/>
      <c r="Q88" s="1018"/>
      <c r="R88" s="1018"/>
      <c r="S88" s="1018"/>
      <c r="T88" s="1018"/>
      <c r="U88" s="1018"/>
      <c r="V88" s="1018"/>
      <c r="W88" s="1018"/>
      <c r="X88" s="1018"/>
      <c r="Y88" s="1018"/>
      <c r="Z88" s="1018"/>
      <c r="AA88" s="1018"/>
      <c r="AB88" s="1018"/>
      <c r="AC88" s="1018"/>
      <c r="AD88" s="1018"/>
      <c r="AE88" s="1018"/>
      <c r="AF88" s="1018"/>
      <c r="AG88" s="1018"/>
      <c r="AH88" s="1018"/>
      <c r="AI88" s="1018"/>
      <c r="AJ88" s="1018"/>
      <c r="AK88" s="1018"/>
      <c r="AL88" s="1018"/>
      <c r="AM88" s="1018"/>
      <c r="AN88" s="1018"/>
      <c r="AO88" s="1018"/>
      <c r="AP88" s="1018"/>
      <c r="AQ88" s="1018"/>
      <c r="AR88" s="1018"/>
      <c r="AS88" s="1018"/>
      <c r="AT88" s="1018"/>
      <c r="AU88" s="1018"/>
      <c r="AV88" s="1018"/>
      <c r="AW88" s="1018"/>
      <c r="AX88" s="1018"/>
      <c r="AY88" s="1018"/>
      <c r="AZ88" s="1018"/>
      <c r="BA88" s="1018"/>
      <c r="BB88" s="1018"/>
      <c r="BC88" s="1018"/>
      <c r="BD88" s="1018"/>
      <c r="BE88" s="1018"/>
      <c r="BF88" s="1018"/>
      <c r="BG88" s="1018"/>
      <c r="BH88" s="1018"/>
      <c r="BI88" s="1018"/>
      <c r="BJ88" s="1018"/>
      <c r="BK88" s="1018"/>
      <c r="BL88" s="1018"/>
      <c r="BM88" s="1018"/>
      <c r="BN88" s="1018"/>
      <c r="BO88" s="1018"/>
      <c r="BP88" s="1018"/>
      <c r="BQ88" s="424">
        <f t="shared" si="47"/>
        <v>0</v>
      </c>
      <c r="BR88" s="425">
        <f t="shared" si="79"/>
        <v>0</v>
      </c>
      <c r="BS88" s="1193">
        <f t="shared" si="80"/>
        <v>0</v>
      </c>
    </row>
    <row r="89" spans="1:71" ht="19.5" customHeight="1">
      <c r="A89" s="38"/>
      <c r="B89" s="416"/>
      <c r="C89" s="1574"/>
      <c r="D89" s="1517"/>
      <c r="E89" s="1608"/>
      <c r="F89" s="457" t="s">
        <v>233</v>
      </c>
      <c r="G89" s="1214"/>
      <c r="H89" s="1215" t="s">
        <v>232</v>
      </c>
      <c r="I89" s="1269">
        <v>0</v>
      </c>
      <c r="J89" s="1217" t="s">
        <v>183</v>
      </c>
      <c r="K89" s="1271"/>
      <c r="L89" s="392">
        <f t="shared" si="77"/>
        <v>0</v>
      </c>
      <c r="M89" s="426">
        <f>($M$75+$M$80)*K89</f>
        <v>0</v>
      </c>
      <c r="N89" s="38"/>
      <c r="O89" s="1248"/>
      <c r="P89" s="1018"/>
      <c r="Q89" s="1018"/>
      <c r="R89" s="1018"/>
      <c r="S89" s="1018"/>
      <c r="T89" s="1018"/>
      <c r="U89" s="1018"/>
      <c r="V89" s="1018"/>
      <c r="W89" s="1018"/>
      <c r="X89" s="1018"/>
      <c r="Y89" s="1018"/>
      <c r="Z89" s="1018"/>
      <c r="AA89" s="1018"/>
      <c r="AB89" s="1018"/>
      <c r="AC89" s="1018"/>
      <c r="AD89" s="1018"/>
      <c r="AE89" s="1018"/>
      <c r="AF89" s="1018"/>
      <c r="AG89" s="1018"/>
      <c r="AH89" s="1018"/>
      <c r="AI89" s="1018"/>
      <c r="AJ89" s="1018"/>
      <c r="AK89" s="1018"/>
      <c r="AL89" s="1018"/>
      <c r="AM89" s="1018"/>
      <c r="AN89" s="1018"/>
      <c r="AO89" s="1018"/>
      <c r="AP89" s="1018"/>
      <c r="AQ89" s="1018"/>
      <c r="AR89" s="1018"/>
      <c r="AS89" s="1018"/>
      <c r="AT89" s="1018"/>
      <c r="AU89" s="1018"/>
      <c r="AV89" s="1018"/>
      <c r="AW89" s="1018"/>
      <c r="AX89" s="1018"/>
      <c r="AY89" s="1018"/>
      <c r="AZ89" s="1018"/>
      <c r="BA89" s="1018"/>
      <c r="BB89" s="1018"/>
      <c r="BC89" s="1018"/>
      <c r="BD89" s="1018"/>
      <c r="BE89" s="1018"/>
      <c r="BF89" s="1018"/>
      <c r="BG89" s="1018"/>
      <c r="BH89" s="1018"/>
      <c r="BI89" s="1018"/>
      <c r="BJ89" s="1018"/>
      <c r="BK89" s="1018"/>
      <c r="BL89" s="1018"/>
      <c r="BM89" s="1018"/>
      <c r="BN89" s="1018"/>
      <c r="BO89" s="1018"/>
      <c r="BP89" s="1018"/>
      <c r="BQ89" s="424">
        <f t="shared" si="47"/>
        <v>0</v>
      </c>
      <c r="BR89" s="425">
        <f t="shared" si="79"/>
        <v>0</v>
      </c>
      <c r="BS89" s="1193">
        <f t="shared" si="80"/>
        <v>0</v>
      </c>
    </row>
    <row r="90" spans="1:71" ht="19.5" customHeight="1">
      <c r="A90" s="38"/>
      <c r="B90" s="416"/>
      <c r="C90" s="1575"/>
      <c r="D90" s="1518"/>
      <c r="E90" s="458" t="s">
        <v>209</v>
      </c>
      <c r="F90" s="459"/>
      <c r="G90" s="400"/>
      <c r="H90" s="341"/>
      <c r="I90" s="400"/>
      <c r="J90" s="400"/>
      <c r="K90" s="460"/>
      <c r="L90" s="449">
        <f t="shared" si="77"/>
        <v>3.6886759131770953E-2</v>
      </c>
      <c r="M90" s="429">
        <f>SUM(M82:M89)</f>
        <v>34585234.33591</v>
      </c>
      <c r="N90" s="38"/>
      <c r="O90" s="430"/>
      <c r="P90" s="431">
        <f t="shared" ref="P90:BP90" si="87">SUM(P82:P89)</f>
        <v>1658774.4648750001</v>
      </c>
      <c r="Q90" s="431">
        <f t="shared" si="87"/>
        <v>119280.19675</v>
      </c>
      <c r="R90" s="431">
        <f t="shared" si="87"/>
        <v>2506112.3573750001</v>
      </c>
      <c r="S90" s="431">
        <f t="shared" si="87"/>
        <v>1489039.6909260228</v>
      </c>
      <c r="T90" s="431">
        <f t="shared" si="87"/>
        <v>1978536.9931760228</v>
      </c>
      <c r="U90" s="431">
        <f t="shared" si="87"/>
        <v>1039680.7709175227</v>
      </c>
      <c r="V90" s="431">
        <f t="shared" si="87"/>
        <v>1158725.2999260228</v>
      </c>
      <c r="W90" s="431">
        <f t="shared" si="87"/>
        <v>421492.20442602277</v>
      </c>
      <c r="X90" s="431">
        <f t="shared" si="87"/>
        <v>421492.20442602277</v>
      </c>
      <c r="Y90" s="431">
        <f t="shared" si="87"/>
        <v>1039680.7709175227</v>
      </c>
      <c r="Z90" s="431">
        <f t="shared" si="87"/>
        <v>421492.20442602277</v>
      </c>
      <c r="AA90" s="431">
        <f t="shared" si="87"/>
        <v>421492.20442602277</v>
      </c>
      <c r="AB90" s="431">
        <f t="shared" si="87"/>
        <v>421492.20442602277</v>
      </c>
      <c r="AC90" s="431">
        <f t="shared" si="87"/>
        <v>1039680.7709175227</v>
      </c>
      <c r="AD90" s="431">
        <f t="shared" si="87"/>
        <v>421492.20442602277</v>
      </c>
      <c r="AE90" s="431">
        <f t="shared" si="87"/>
        <v>421492.20442602277</v>
      </c>
      <c r="AF90" s="431">
        <f t="shared" si="87"/>
        <v>421492.20442602277</v>
      </c>
      <c r="AG90" s="431">
        <f t="shared" si="87"/>
        <v>1039680.7709175227</v>
      </c>
      <c r="AH90" s="431">
        <f t="shared" si="87"/>
        <v>1158725.2999260228</v>
      </c>
      <c r="AI90" s="431">
        <f t="shared" si="87"/>
        <v>421492.20442602277</v>
      </c>
      <c r="AJ90" s="431">
        <f t="shared" si="87"/>
        <v>421492.20442602277</v>
      </c>
      <c r="AK90" s="431">
        <f t="shared" si="87"/>
        <v>1039680.7709175227</v>
      </c>
      <c r="AL90" s="431">
        <f t="shared" si="87"/>
        <v>421492.20442602277</v>
      </c>
      <c r="AM90" s="431">
        <f t="shared" si="87"/>
        <v>421492.20442602277</v>
      </c>
      <c r="AN90" s="431">
        <f t="shared" si="87"/>
        <v>421492.20442602277</v>
      </c>
      <c r="AO90" s="431">
        <f t="shared" si="87"/>
        <v>1039680.7709175227</v>
      </c>
      <c r="AP90" s="431">
        <f t="shared" si="87"/>
        <v>421492.20442602277</v>
      </c>
      <c r="AQ90" s="431">
        <f t="shared" si="87"/>
        <v>421492.20442602277</v>
      </c>
      <c r="AR90" s="431">
        <f t="shared" si="87"/>
        <v>421492.20442602277</v>
      </c>
      <c r="AS90" s="431">
        <f t="shared" si="87"/>
        <v>1039680.7709175227</v>
      </c>
      <c r="AT90" s="431">
        <f t="shared" si="87"/>
        <v>1158725.2999260228</v>
      </c>
      <c r="AU90" s="431">
        <f t="shared" si="87"/>
        <v>421492.20442602277</v>
      </c>
      <c r="AV90" s="431">
        <f t="shared" si="87"/>
        <v>421492.20442602277</v>
      </c>
      <c r="AW90" s="431">
        <f t="shared" si="87"/>
        <v>1039680.7709175227</v>
      </c>
      <c r="AX90" s="431">
        <f t="shared" si="87"/>
        <v>421492.20442602277</v>
      </c>
      <c r="AY90" s="431">
        <f t="shared" si="87"/>
        <v>421492.20442602277</v>
      </c>
      <c r="AZ90" s="431">
        <f t="shared" si="87"/>
        <v>421492.20442602277</v>
      </c>
      <c r="BA90" s="431">
        <f t="shared" si="87"/>
        <v>1039680.7709175227</v>
      </c>
      <c r="BB90" s="431">
        <f t="shared" si="87"/>
        <v>421492.20442602277</v>
      </c>
      <c r="BC90" s="431">
        <f t="shared" si="87"/>
        <v>421492.20442602277</v>
      </c>
      <c r="BD90" s="431">
        <f t="shared" si="87"/>
        <v>421492.20442602277</v>
      </c>
      <c r="BE90" s="431">
        <f t="shared" si="87"/>
        <v>1039680.7709175227</v>
      </c>
      <c r="BF90" s="431">
        <f t="shared" si="87"/>
        <v>421492.20442602277</v>
      </c>
      <c r="BG90" s="431">
        <f t="shared" si="87"/>
        <v>421492.20442602277</v>
      </c>
      <c r="BH90" s="431">
        <f t="shared" si="87"/>
        <v>1158725.2999260228</v>
      </c>
      <c r="BI90" s="431">
        <f t="shared" si="87"/>
        <v>421492.20442602277</v>
      </c>
      <c r="BJ90" s="431">
        <f t="shared" si="87"/>
        <v>421492.20442602277</v>
      </c>
      <c r="BK90" s="431">
        <f t="shared" si="87"/>
        <v>0</v>
      </c>
      <c r="BL90" s="431">
        <f t="shared" si="87"/>
        <v>0</v>
      </c>
      <c r="BM90" s="431">
        <f t="shared" si="87"/>
        <v>0</v>
      </c>
      <c r="BN90" s="431">
        <f t="shared" si="87"/>
        <v>0</v>
      </c>
      <c r="BO90" s="431">
        <f t="shared" si="87"/>
        <v>0</v>
      </c>
      <c r="BP90" s="431">
        <f t="shared" si="87"/>
        <v>0</v>
      </c>
      <c r="BQ90" s="450">
        <f t="shared" si="47"/>
        <v>34585234.335910022</v>
      </c>
      <c r="BR90" s="433">
        <f t="shared" si="79"/>
        <v>34585234.33591</v>
      </c>
      <c r="BS90" s="1193">
        <f t="shared" si="80"/>
        <v>0</v>
      </c>
    </row>
    <row r="91" spans="1:71" ht="19.5" customHeight="1">
      <c r="A91" s="38"/>
      <c r="B91" s="416"/>
      <c r="C91" s="1573" t="s">
        <v>234</v>
      </c>
      <c r="D91" s="1617" t="s">
        <v>235</v>
      </c>
      <c r="E91" s="1283" t="s">
        <v>236</v>
      </c>
      <c r="F91" s="1284"/>
      <c r="G91" s="1285">
        <v>150000</v>
      </c>
      <c r="H91" s="1215" t="s">
        <v>196</v>
      </c>
      <c r="I91" s="1269">
        <v>12</v>
      </c>
      <c r="J91" s="1228" t="s">
        <v>197</v>
      </c>
      <c r="K91" s="1286"/>
      <c r="L91" s="385">
        <f t="shared" si="77"/>
        <v>1.9197836218865312E-3</v>
      </c>
      <c r="M91" s="452">
        <f>G91*I91</f>
        <v>1800000</v>
      </c>
      <c r="N91" s="38"/>
      <c r="O91" s="1248"/>
      <c r="P91" s="1018"/>
      <c r="Q91" s="1018"/>
      <c r="R91" s="1018"/>
      <c r="S91" s="1018"/>
      <c r="T91" s="1018">
        <f>$G91</f>
        <v>150000</v>
      </c>
      <c r="U91" s="1018">
        <f t="shared" ref="U91:AE91" si="88">T91</f>
        <v>150000</v>
      </c>
      <c r="V91" s="1018">
        <f t="shared" si="88"/>
        <v>150000</v>
      </c>
      <c r="W91" s="1018">
        <f t="shared" si="88"/>
        <v>150000</v>
      </c>
      <c r="X91" s="1018">
        <f t="shared" si="88"/>
        <v>150000</v>
      </c>
      <c r="Y91" s="1018">
        <f t="shared" si="88"/>
        <v>150000</v>
      </c>
      <c r="Z91" s="1018">
        <f t="shared" si="88"/>
        <v>150000</v>
      </c>
      <c r="AA91" s="1018">
        <f t="shared" si="88"/>
        <v>150000</v>
      </c>
      <c r="AB91" s="1018">
        <f t="shared" si="88"/>
        <v>150000</v>
      </c>
      <c r="AC91" s="1018">
        <f t="shared" si="88"/>
        <v>150000</v>
      </c>
      <c r="AD91" s="1018">
        <f t="shared" si="88"/>
        <v>150000</v>
      </c>
      <c r="AE91" s="1018">
        <f t="shared" si="88"/>
        <v>150000</v>
      </c>
      <c r="AF91" s="1018"/>
      <c r="AG91" s="1018"/>
      <c r="AH91" s="1018"/>
      <c r="AI91" s="1018"/>
      <c r="AJ91" s="1018"/>
      <c r="AK91" s="1018"/>
      <c r="AL91" s="1018"/>
      <c r="AM91" s="1018"/>
      <c r="AN91" s="1018"/>
      <c r="AO91" s="1018"/>
      <c r="AP91" s="1018"/>
      <c r="AQ91" s="1018"/>
      <c r="AR91" s="1018"/>
      <c r="AS91" s="1018"/>
      <c r="AT91" s="1018"/>
      <c r="AU91" s="1018"/>
      <c r="AV91" s="1018"/>
      <c r="AW91" s="1018"/>
      <c r="AX91" s="1018"/>
      <c r="AY91" s="1018"/>
      <c r="AZ91" s="1018"/>
      <c r="BA91" s="1018"/>
      <c r="BB91" s="1018"/>
      <c r="BC91" s="1018"/>
      <c r="BD91" s="1018"/>
      <c r="BE91" s="1018"/>
      <c r="BF91" s="1018"/>
      <c r="BG91" s="1018"/>
      <c r="BH91" s="1018"/>
      <c r="BI91" s="1018"/>
      <c r="BJ91" s="1018"/>
      <c r="BK91" s="1018"/>
      <c r="BL91" s="1018"/>
      <c r="BM91" s="1018"/>
      <c r="BN91" s="1018"/>
      <c r="BO91" s="1018"/>
      <c r="BP91" s="1018"/>
      <c r="BQ91" s="424">
        <f t="shared" si="47"/>
        <v>1800000</v>
      </c>
      <c r="BR91" s="425">
        <f t="shared" si="79"/>
        <v>1800000</v>
      </c>
      <c r="BS91" s="1193">
        <f t="shared" si="80"/>
        <v>0</v>
      </c>
    </row>
    <row r="92" spans="1:71" ht="19.5" customHeight="1">
      <c r="A92" s="38"/>
      <c r="B92" s="416"/>
      <c r="C92" s="1520"/>
      <c r="D92" s="1532"/>
      <c r="E92" s="1287" t="s">
        <v>237</v>
      </c>
      <c r="F92" s="461"/>
      <c r="G92" s="1214"/>
      <c r="H92" s="1221"/>
      <c r="I92" s="1217"/>
      <c r="J92" s="1217"/>
      <c r="K92" s="1270"/>
      <c r="L92" s="353">
        <f t="shared" si="77"/>
        <v>1.5998196849054426E-4</v>
      </c>
      <c r="M92" s="426">
        <f>G91</f>
        <v>150000</v>
      </c>
      <c r="N92" s="38"/>
      <c r="O92" s="1248"/>
      <c r="P92" s="1018"/>
      <c r="Q92" s="1018"/>
      <c r="R92" s="1018"/>
      <c r="S92" s="1018"/>
      <c r="T92" s="1018">
        <f>$M92*100%</f>
        <v>150000</v>
      </c>
      <c r="U92" s="1018"/>
      <c r="V92" s="1018"/>
      <c r="W92" s="1018"/>
      <c r="X92" s="1018"/>
      <c r="Y92" s="1018"/>
      <c r="Z92" s="1018"/>
      <c r="AA92" s="1018"/>
      <c r="AB92" s="1018"/>
      <c r="AC92" s="1018"/>
      <c r="AD92" s="1018"/>
      <c r="AE92" s="1018"/>
      <c r="AF92" s="1018"/>
      <c r="AG92" s="1018"/>
      <c r="AH92" s="1018"/>
      <c r="AI92" s="1018"/>
      <c r="AJ92" s="1018"/>
      <c r="AK92" s="1018"/>
      <c r="AL92" s="1018"/>
      <c r="AM92" s="1018"/>
      <c r="AN92" s="1018"/>
      <c r="AO92" s="1018"/>
      <c r="AP92" s="1018"/>
      <c r="AQ92" s="1018"/>
      <c r="AR92" s="1018"/>
      <c r="AS92" s="1018"/>
      <c r="AT92" s="1018"/>
      <c r="AU92" s="1018"/>
      <c r="AV92" s="1018"/>
      <c r="AW92" s="1018"/>
      <c r="AX92" s="1018"/>
      <c r="AY92" s="1018"/>
      <c r="AZ92" s="1018"/>
      <c r="BA92" s="1018"/>
      <c r="BB92" s="1018"/>
      <c r="BC92" s="1018"/>
      <c r="BD92" s="1018"/>
      <c r="BE92" s="1018"/>
      <c r="BF92" s="1018"/>
      <c r="BG92" s="1018"/>
      <c r="BH92" s="1018"/>
      <c r="BI92" s="1018"/>
      <c r="BJ92" s="1018"/>
      <c r="BK92" s="1018"/>
      <c r="BL92" s="1018"/>
      <c r="BM92" s="1018"/>
      <c r="BN92" s="1018"/>
      <c r="BO92" s="1018"/>
      <c r="BP92" s="1018"/>
      <c r="BQ92" s="424">
        <f t="shared" si="47"/>
        <v>150000</v>
      </c>
      <c r="BR92" s="425">
        <f t="shared" si="79"/>
        <v>150000</v>
      </c>
      <c r="BS92" s="1193">
        <f t="shared" si="80"/>
        <v>0</v>
      </c>
    </row>
    <row r="93" spans="1:71" ht="19.5" customHeight="1">
      <c r="A93" s="38"/>
      <c r="B93" s="416"/>
      <c r="C93" s="1520"/>
      <c r="D93" s="1532"/>
      <c r="E93" s="1287" t="s">
        <v>238</v>
      </c>
      <c r="F93" s="461"/>
      <c r="G93" s="1285">
        <v>50</v>
      </c>
      <c r="H93" s="1215" t="s">
        <v>182</v>
      </c>
      <c r="I93" s="1269">
        <v>4500</v>
      </c>
      <c r="J93" s="1217" t="s">
        <v>183</v>
      </c>
      <c r="K93" s="1270"/>
      <c r="L93" s="353">
        <f t="shared" si="77"/>
        <v>2.399729527358164E-4</v>
      </c>
      <c r="M93" s="426">
        <f>G93*I93</f>
        <v>225000</v>
      </c>
      <c r="N93" s="38"/>
      <c r="O93" s="1248"/>
      <c r="P93" s="1018"/>
      <c r="Q93" s="1018"/>
      <c r="R93" s="1018"/>
      <c r="S93" s="1018"/>
      <c r="T93" s="1018">
        <f t="shared" ref="T93:U93" si="89">$M93*30%</f>
        <v>67500</v>
      </c>
      <c r="U93" s="1018">
        <f t="shared" si="89"/>
        <v>67500</v>
      </c>
      <c r="V93" s="1018">
        <f>$M93*40%</f>
        <v>90000</v>
      </c>
      <c r="W93" s="1018"/>
      <c r="X93" s="1018"/>
      <c r="Y93" s="1018"/>
      <c r="Z93" s="1018"/>
      <c r="AA93" s="1018"/>
      <c r="AB93" s="1018"/>
      <c r="AC93" s="1018"/>
      <c r="AD93" s="1018"/>
      <c r="AE93" s="1018"/>
      <c r="AF93" s="1018"/>
      <c r="AG93" s="1018"/>
      <c r="AH93" s="1018"/>
      <c r="AI93" s="1018"/>
      <c r="AJ93" s="1018"/>
      <c r="AK93" s="1018"/>
      <c r="AL93" s="1018"/>
      <c r="AM93" s="1018"/>
      <c r="AN93" s="1018"/>
      <c r="AO93" s="1018"/>
      <c r="AP93" s="1018"/>
      <c r="AQ93" s="1018"/>
      <c r="AR93" s="1018"/>
      <c r="AS93" s="1018"/>
      <c r="AT93" s="1018"/>
      <c r="AU93" s="1018"/>
      <c r="AV93" s="1018"/>
      <c r="AW93" s="1018"/>
      <c r="AX93" s="1018"/>
      <c r="AY93" s="1018"/>
      <c r="AZ93" s="1018"/>
      <c r="BA93" s="1018"/>
      <c r="BB93" s="1018"/>
      <c r="BC93" s="1018"/>
      <c r="BD93" s="1018"/>
      <c r="BE93" s="1018"/>
      <c r="BF93" s="1018"/>
      <c r="BG93" s="1018"/>
      <c r="BH93" s="1018"/>
      <c r="BI93" s="1018"/>
      <c r="BJ93" s="1018"/>
      <c r="BK93" s="1018"/>
      <c r="BL93" s="1018"/>
      <c r="BM93" s="1018"/>
      <c r="BN93" s="1018"/>
      <c r="BO93" s="1018"/>
      <c r="BP93" s="1018"/>
      <c r="BQ93" s="424">
        <f t="shared" si="47"/>
        <v>225000</v>
      </c>
      <c r="BR93" s="425">
        <f t="shared" si="79"/>
        <v>225000</v>
      </c>
      <c r="BS93" s="1193">
        <f t="shared" si="80"/>
        <v>0</v>
      </c>
    </row>
    <row r="94" spans="1:71" ht="19.5" customHeight="1">
      <c r="A94" s="38"/>
      <c r="B94" s="416"/>
      <c r="C94" s="1520"/>
      <c r="D94" s="1532"/>
      <c r="E94" s="462" t="s">
        <v>239</v>
      </c>
      <c r="F94" s="1288"/>
      <c r="G94" s="463"/>
      <c r="H94" s="464"/>
      <c r="I94" s="463"/>
      <c r="J94" s="465">
        <v>0</v>
      </c>
      <c r="K94" s="466">
        <f>I94*J94</f>
        <v>0</v>
      </c>
      <c r="L94" s="392">
        <f t="shared" si="77"/>
        <v>0</v>
      </c>
      <c r="M94" s="467">
        <v>0</v>
      </c>
      <c r="N94" s="38"/>
      <c r="O94" s="1248"/>
      <c r="P94" s="1018"/>
      <c r="Q94" s="1018"/>
      <c r="R94" s="1018"/>
      <c r="S94" s="1018"/>
      <c r="T94" s="1018"/>
      <c r="U94" s="1018"/>
      <c r="V94" s="1018"/>
      <c r="W94" s="1018"/>
      <c r="X94" s="1018"/>
      <c r="Y94" s="1018"/>
      <c r="Z94" s="1018"/>
      <c r="AA94" s="1018"/>
      <c r="AB94" s="1018"/>
      <c r="AC94" s="1018"/>
      <c r="AD94" s="1018"/>
      <c r="AE94" s="1018"/>
      <c r="AF94" s="1018"/>
      <c r="AG94" s="1018">
        <f>$M94*30%</f>
        <v>0</v>
      </c>
      <c r="AH94" s="1018"/>
      <c r="AI94" s="1018">
        <f>$M94*30%</f>
        <v>0</v>
      </c>
      <c r="AJ94" s="1018"/>
      <c r="AK94" s="1018">
        <f>$M94*40%</f>
        <v>0</v>
      </c>
      <c r="AL94" s="1018"/>
      <c r="AM94" s="1018"/>
      <c r="AN94" s="1018"/>
      <c r="AO94" s="1018"/>
      <c r="AP94" s="1018"/>
      <c r="AQ94" s="1018"/>
      <c r="AR94" s="1018"/>
      <c r="AS94" s="1018"/>
      <c r="AT94" s="1018"/>
      <c r="AU94" s="1018"/>
      <c r="AV94" s="1018"/>
      <c r="AW94" s="1018"/>
      <c r="AX94" s="1018"/>
      <c r="AY94" s="1018"/>
      <c r="AZ94" s="1018"/>
      <c r="BA94" s="1018"/>
      <c r="BB94" s="1018"/>
      <c r="BC94" s="1018"/>
      <c r="BD94" s="1018"/>
      <c r="BE94" s="1018"/>
      <c r="BF94" s="1018"/>
      <c r="BG94" s="1018"/>
      <c r="BH94" s="1018"/>
      <c r="BI94" s="1018"/>
      <c r="BJ94" s="1018"/>
      <c r="BK94" s="1018"/>
      <c r="BL94" s="1018"/>
      <c r="BM94" s="1018"/>
      <c r="BN94" s="1018"/>
      <c r="BO94" s="1018"/>
      <c r="BP94" s="1018"/>
      <c r="BQ94" s="424">
        <f t="shared" si="47"/>
        <v>0</v>
      </c>
      <c r="BR94" s="425">
        <f t="shared" si="79"/>
        <v>0</v>
      </c>
      <c r="BS94" s="1193">
        <f t="shared" si="80"/>
        <v>0</v>
      </c>
    </row>
    <row r="95" spans="1:71" ht="19.5" customHeight="1">
      <c r="A95" s="38"/>
      <c r="B95" s="416"/>
      <c r="C95" s="1520"/>
      <c r="D95" s="1508"/>
      <c r="E95" s="468" t="s">
        <v>209</v>
      </c>
      <c r="F95" s="469"/>
      <c r="G95" s="1211"/>
      <c r="H95" s="1209"/>
      <c r="I95" s="1209"/>
      <c r="J95" s="1211"/>
      <c r="K95" s="1211"/>
      <c r="L95" s="394">
        <f t="shared" si="77"/>
        <v>2.3197385431128919E-3</v>
      </c>
      <c r="M95" s="470">
        <f>SUM(M91:M94)</f>
        <v>2175000</v>
      </c>
      <c r="N95" s="38"/>
      <c r="O95" s="430"/>
      <c r="P95" s="471"/>
      <c r="Q95" s="471">
        <f t="shared" ref="Q95:BP95" si="90">SUM(Q91:Q94)</f>
        <v>0</v>
      </c>
      <c r="R95" s="471">
        <f t="shared" si="90"/>
        <v>0</v>
      </c>
      <c r="S95" s="471">
        <f t="shared" si="90"/>
        <v>0</v>
      </c>
      <c r="T95" s="471">
        <f t="shared" si="90"/>
        <v>367500</v>
      </c>
      <c r="U95" s="471">
        <f t="shared" si="90"/>
        <v>217500</v>
      </c>
      <c r="V95" s="471">
        <f t="shared" si="90"/>
        <v>240000</v>
      </c>
      <c r="W95" s="471">
        <f t="shared" si="90"/>
        <v>150000</v>
      </c>
      <c r="X95" s="471">
        <f t="shared" si="90"/>
        <v>150000</v>
      </c>
      <c r="Y95" s="471">
        <f t="shared" si="90"/>
        <v>150000</v>
      </c>
      <c r="Z95" s="471">
        <f t="shared" si="90"/>
        <v>150000</v>
      </c>
      <c r="AA95" s="471">
        <f t="shared" si="90"/>
        <v>150000</v>
      </c>
      <c r="AB95" s="471">
        <f t="shared" si="90"/>
        <v>150000</v>
      </c>
      <c r="AC95" s="471">
        <f t="shared" si="90"/>
        <v>150000</v>
      </c>
      <c r="AD95" s="471">
        <f t="shared" si="90"/>
        <v>150000</v>
      </c>
      <c r="AE95" s="471">
        <f t="shared" si="90"/>
        <v>150000</v>
      </c>
      <c r="AF95" s="471">
        <f t="shared" si="90"/>
        <v>0</v>
      </c>
      <c r="AG95" s="471">
        <f t="shared" si="90"/>
        <v>0</v>
      </c>
      <c r="AH95" s="471">
        <f t="shared" si="90"/>
        <v>0</v>
      </c>
      <c r="AI95" s="471">
        <f t="shared" si="90"/>
        <v>0</v>
      </c>
      <c r="AJ95" s="471">
        <f t="shared" si="90"/>
        <v>0</v>
      </c>
      <c r="AK95" s="471">
        <f t="shared" si="90"/>
        <v>0</v>
      </c>
      <c r="AL95" s="471">
        <f t="shared" si="90"/>
        <v>0</v>
      </c>
      <c r="AM95" s="471">
        <f t="shared" si="90"/>
        <v>0</v>
      </c>
      <c r="AN95" s="471">
        <f t="shared" si="90"/>
        <v>0</v>
      </c>
      <c r="AO95" s="471">
        <f t="shared" si="90"/>
        <v>0</v>
      </c>
      <c r="AP95" s="471">
        <f t="shared" si="90"/>
        <v>0</v>
      </c>
      <c r="AQ95" s="471">
        <f t="shared" si="90"/>
        <v>0</v>
      </c>
      <c r="AR95" s="471">
        <f t="shared" si="90"/>
        <v>0</v>
      </c>
      <c r="AS95" s="471">
        <f t="shared" si="90"/>
        <v>0</v>
      </c>
      <c r="AT95" s="471">
        <f t="shared" si="90"/>
        <v>0</v>
      </c>
      <c r="AU95" s="471">
        <f t="shared" si="90"/>
        <v>0</v>
      </c>
      <c r="AV95" s="471">
        <f t="shared" si="90"/>
        <v>0</v>
      </c>
      <c r="AW95" s="471">
        <f t="shared" si="90"/>
        <v>0</v>
      </c>
      <c r="AX95" s="471">
        <f t="shared" si="90"/>
        <v>0</v>
      </c>
      <c r="AY95" s="471">
        <f t="shared" si="90"/>
        <v>0</v>
      </c>
      <c r="AZ95" s="471">
        <f t="shared" si="90"/>
        <v>0</v>
      </c>
      <c r="BA95" s="471">
        <f t="shared" si="90"/>
        <v>0</v>
      </c>
      <c r="BB95" s="471">
        <f t="shared" si="90"/>
        <v>0</v>
      </c>
      <c r="BC95" s="471">
        <f t="shared" si="90"/>
        <v>0</v>
      </c>
      <c r="BD95" s="471">
        <f t="shared" si="90"/>
        <v>0</v>
      </c>
      <c r="BE95" s="471">
        <f t="shared" si="90"/>
        <v>0</v>
      </c>
      <c r="BF95" s="471">
        <f t="shared" si="90"/>
        <v>0</v>
      </c>
      <c r="BG95" s="471">
        <f t="shared" si="90"/>
        <v>0</v>
      </c>
      <c r="BH95" s="471">
        <f t="shared" si="90"/>
        <v>0</v>
      </c>
      <c r="BI95" s="471">
        <f t="shared" si="90"/>
        <v>0</v>
      </c>
      <c r="BJ95" s="471">
        <f t="shared" si="90"/>
        <v>0</v>
      </c>
      <c r="BK95" s="471">
        <f t="shared" si="90"/>
        <v>0</v>
      </c>
      <c r="BL95" s="471">
        <f t="shared" si="90"/>
        <v>0</v>
      </c>
      <c r="BM95" s="471">
        <f t="shared" si="90"/>
        <v>0</v>
      </c>
      <c r="BN95" s="471">
        <f t="shared" si="90"/>
        <v>0</v>
      </c>
      <c r="BO95" s="471">
        <f t="shared" si="90"/>
        <v>0</v>
      </c>
      <c r="BP95" s="471">
        <f t="shared" si="90"/>
        <v>0</v>
      </c>
      <c r="BQ95" s="450">
        <f t="shared" si="47"/>
        <v>2175000</v>
      </c>
      <c r="BR95" s="451">
        <f t="shared" si="79"/>
        <v>2175000</v>
      </c>
      <c r="BS95" s="1193">
        <f t="shared" si="80"/>
        <v>0</v>
      </c>
    </row>
    <row r="96" spans="1:71" ht="19.5" customHeight="1">
      <c r="A96" s="38"/>
      <c r="B96" s="416"/>
      <c r="C96" s="1520"/>
      <c r="D96" s="1531" t="s">
        <v>240</v>
      </c>
      <c r="E96" s="1283" t="s">
        <v>241</v>
      </c>
      <c r="F96" s="1288"/>
      <c r="G96" s="1289" t="s">
        <v>242</v>
      </c>
      <c r="H96" s="472"/>
      <c r="I96" s="1290"/>
      <c r="J96" s="1291"/>
      <c r="K96" s="1292"/>
      <c r="L96" s="953">
        <f t="shared" si="77"/>
        <v>6.3992787396217705E-3</v>
      </c>
      <c r="M96" s="1247">
        <f>6000000</f>
        <v>6000000</v>
      </c>
      <c r="N96" s="38"/>
      <c r="O96" s="1248"/>
      <c r="P96" s="1018"/>
      <c r="Q96" s="1018"/>
      <c r="R96" s="1018"/>
      <c r="S96" s="1018"/>
      <c r="T96" s="1018">
        <f t="shared" ref="T96:T97" si="91">$M96*10%</f>
        <v>600000</v>
      </c>
      <c r="U96" s="1018">
        <f t="shared" ref="U96:U97" si="92">$M96*50%</f>
        <v>3000000</v>
      </c>
      <c r="V96" s="1018">
        <f t="shared" ref="V96:V97" si="93">$M96*40%</f>
        <v>2400000</v>
      </c>
      <c r="W96" s="1018"/>
      <c r="X96" s="1018"/>
      <c r="Y96" s="1018"/>
      <c r="Z96" s="1018"/>
      <c r="AA96" s="1018"/>
      <c r="AB96" s="1018"/>
      <c r="AC96" s="1018"/>
      <c r="AD96" s="1018"/>
      <c r="AE96" s="1018"/>
      <c r="AF96" s="1018"/>
      <c r="AG96" s="1018"/>
      <c r="AH96" s="1018"/>
      <c r="AI96" s="1018"/>
      <c r="AJ96" s="1018"/>
      <c r="AK96" s="1018"/>
      <c r="AL96" s="1018"/>
      <c r="AM96" s="1018"/>
      <c r="AN96" s="1018"/>
      <c r="AO96" s="1018"/>
      <c r="AP96" s="1018"/>
      <c r="AQ96" s="1018"/>
      <c r="AR96" s="1018"/>
      <c r="AS96" s="1018"/>
      <c r="AT96" s="1018"/>
      <c r="AU96" s="1018"/>
      <c r="AV96" s="1018"/>
      <c r="AW96" s="1018"/>
      <c r="AX96" s="1018"/>
      <c r="AY96" s="1018"/>
      <c r="AZ96" s="1018"/>
      <c r="BA96" s="1018"/>
      <c r="BB96" s="1018"/>
      <c r="BC96" s="1018"/>
      <c r="BD96" s="1018"/>
      <c r="BE96" s="1018"/>
      <c r="BF96" s="1018"/>
      <c r="BG96" s="1018"/>
      <c r="BH96" s="1018"/>
      <c r="BI96" s="1018"/>
      <c r="BJ96" s="1018"/>
      <c r="BK96" s="1018"/>
      <c r="BL96" s="1018"/>
      <c r="BM96" s="1018"/>
      <c r="BN96" s="1018"/>
      <c r="BO96" s="1018"/>
      <c r="BP96" s="1018"/>
      <c r="BQ96" s="424">
        <f t="shared" si="47"/>
        <v>6000000</v>
      </c>
      <c r="BR96" s="425">
        <f t="shared" si="79"/>
        <v>6000000</v>
      </c>
      <c r="BS96" s="1193">
        <f t="shared" si="80"/>
        <v>0</v>
      </c>
    </row>
    <row r="97" spans="1:71" ht="19.5" customHeight="1">
      <c r="A97" s="38"/>
      <c r="B97" s="416"/>
      <c r="C97" s="1520"/>
      <c r="D97" s="1532"/>
      <c r="E97" s="1293" t="s">
        <v>243</v>
      </c>
      <c r="F97" s="461"/>
      <c r="G97" s="1294" t="s">
        <v>244</v>
      </c>
      <c r="H97" s="472"/>
      <c r="I97" s="1214"/>
      <c r="J97" s="1206"/>
      <c r="K97" s="1271"/>
      <c r="L97" s="353">
        <f t="shared" si="77"/>
        <v>1.0665464566036284E-3</v>
      </c>
      <c r="M97" s="1247">
        <f>1000000</f>
        <v>1000000</v>
      </c>
      <c r="N97" s="38"/>
      <c r="O97" s="1248"/>
      <c r="P97" s="1018"/>
      <c r="Q97" s="1018"/>
      <c r="R97" s="1018"/>
      <c r="S97" s="1018"/>
      <c r="T97" s="1018">
        <f t="shared" si="91"/>
        <v>100000</v>
      </c>
      <c r="U97" s="1018">
        <f t="shared" si="92"/>
        <v>500000</v>
      </c>
      <c r="V97" s="1018">
        <f t="shared" si="93"/>
        <v>400000</v>
      </c>
      <c r="W97" s="1018"/>
      <c r="X97" s="1018"/>
      <c r="Y97" s="1018"/>
      <c r="Z97" s="1018"/>
      <c r="AA97" s="1018"/>
      <c r="AB97" s="1018"/>
      <c r="AC97" s="1018"/>
      <c r="AD97" s="1018"/>
      <c r="AE97" s="1018"/>
      <c r="AF97" s="1018"/>
      <c r="AG97" s="1018"/>
      <c r="AH97" s="1018"/>
      <c r="AI97" s="1018"/>
      <c r="AJ97" s="1018"/>
      <c r="AK97" s="1018"/>
      <c r="AL97" s="1018"/>
      <c r="AM97" s="1018"/>
      <c r="AN97" s="1018"/>
      <c r="AO97" s="1018"/>
      <c r="AP97" s="1018"/>
      <c r="AQ97" s="1018"/>
      <c r="AR97" s="1018"/>
      <c r="AS97" s="1018"/>
      <c r="AT97" s="1018"/>
      <c r="AU97" s="1018"/>
      <c r="AV97" s="1018"/>
      <c r="AW97" s="1018"/>
      <c r="AX97" s="1018"/>
      <c r="AY97" s="1018"/>
      <c r="AZ97" s="1018"/>
      <c r="BA97" s="1018"/>
      <c r="BB97" s="1018"/>
      <c r="BC97" s="1018"/>
      <c r="BD97" s="1018"/>
      <c r="BE97" s="1018"/>
      <c r="BF97" s="1018"/>
      <c r="BG97" s="1018"/>
      <c r="BH97" s="1018"/>
      <c r="BI97" s="1018"/>
      <c r="BJ97" s="1018"/>
      <c r="BK97" s="1018"/>
      <c r="BL97" s="1018"/>
      <c r="BM97" s="1018"/>
      <c r="BN97" s="1018"/>
      <c r="BO97" s="1018"/>
      <c r="BP97" s="1018"/>
      <c r="BQ97" s="424">
        <f t="shared" si="47"/>
        <v>1000000</v>
      </c>
      <c r="BR97" s="425">
        <f t="shared" si="79"/>
        <v>1000000</v>
      </c>
      <c r="BS97" s="1193">
        <f t="shared" si="80"/>
        <v>0</v>
      </c>
    </row>
    <row r="98" spans="1:71" ht="19.5" customHeight="1">
      <c r="A98" s="38"/>
      <c r="B98" s="416"/>
      <c r="C98" s="1520"/>
      <c r="D98" s="1532"/>
      <c r="E98" s="473" t="s">
        <v>245</v>
      </c>
      <c r="F98" s="474"/>
      <c r="G98" s="1295" t="s">
        <v>246</v>
      </c>
      <c r="H98" s="475"/>
      <c r="I98" s="1295"/>
      <c r="J98" s="389"/>
      <c r="K98" s="1296"/>
      <c r="L98" s="953">
        <f t="shared" si="77"/>
        <v>8.5323716528290283E-5</v>
      </c>
      <c r="M98" s="1297">
        <v>80000</v>
      </c>
      <c r="N98" s="38"/>
      <c r="O98" s="1248"/>
      <c r="P98" s="1018"/>
      <c r="Q98" s="1018"/>
      <c r="R98" s="1018"/>
      <c r="S98" s="1018"/>
      <c r="T98" s="1018">
        <f t="shared" ref="T98:U98" si="94">$M$98*50%</f>
        <v>40000</v>
      </c>
      <c r="U98" s="1018">
        <f t="shared" si="94"/>
        <v>40000</v>
      </c>
      <c r="V98" s="1018"/>
      <c r="W98" s="1018"/>
      <c r="X98" s="1018"/>
      <c r="Y98" s="1018"/>
      <c r="Z98" s="1018"/>
      <c r="AA98" s="1018"/>
      <c r="AB98" s="1018"/>
      <c r="AC98" s="1018"/>
      <c r="AD98" s="1018"/>
      <c r="AE98" s="1018"/>
      <c r="AF98" s="1018"/>
      <c r="AG98" s="1018"/>
      <c r="AH98" s="1018"/>
      <c r="AI98" s="1018"/>
      <c r="AJ98" s="1018"/>
      <c r="AK98" s="1018"/>
      <c r="AL98" s="1018"/>
      <c r="AM98" s="1018"/>
      <c r="AN98" s="1018"/>
      <c r="AO98" s="1018"/>
      <c r="AP98" s="1018"/>
      <c r="AQ98" s="1018"/>
      <c r="AR98" s="1018"/>
      <c r="AS98" s="1018"/>
      <c r="AT98" s="1018"/>
      <c r="AU98" s="1018"/>
      <c r="AV98" s="1018"/>
      <c r="AW98" s="1018"/>
      <c r="AX98" s="1018"/>
      <c r="AY98" s="1018"/>
      <c r="AZ98" s="1018"/>
      <c r="BA98" s="1018"/>
      <c r="BB98" s="1018"/>
      <c r="BC98" s="1018"/>
      <c r="BD98" s="1018"/>
      <c r="BE98" s="1018"/>
      <c r="BF98" s="1018"/>
      <c r="BG98" s="1018"/>
      <c r="BH98" s="1018"/>
      <c r="BI98" s="1018"/>
      <c r="BJ98" s="1018"/>
      <c r="BK98" s="1018"/>
      <c r="BL98" s="1018"/>
      <c r="BM98" s="1018"/>
      <c r="BN98" s="1018"/>
      <c r="BO98" s="1018"/>
      <c r="BP98" s="1018"/>
      <c r="BQ98" s="424">
        <f t="shared" si="47"/>
        <v>80000</v>
      </c>
      <c r="BR98" s="425">
        <f t="shared" si="79"/>
        <v>80000</v>
      </c>
      <c r="BS98" s="1193">
        <f t="shared" si="80"/>
        <v>0</v>
      </c>
    </row>
    <row r="99" spans="1:71" ht="19.5" customHeight="1">
      <c r="A99" s="38"/>
      <c r="B99" s="416"/>
      <c r="C99" s="1520"/>
      <c r="D99" s="1508"/>
      <c r="E99" s="468" t="s">
        <v>209</v>
      </c>
      <c r="F99" s="469"/>
      <c r="G99" s="1211"/>
      <c r="H99" s="1209"/>
      <c r="I99" s="1211"/>
      <c r="J99" s="1211"/>
      <c r="K99" s="1210"/>
      <c r="L99" s="394">
        <f t="shared" si="77"/>
        <v>7.5511489127536892E-3</v>
      </c>
      <c r="M99" s="470">
        <f>SUM(M96:M98)</f>
        <v>7080000</v>
      </c>
      <c r="N99" s="38"/>
      <c r="O99" s="430"/>
      <c r="P99" s="471"/>
      <c r="Q99" s="471">
        <f t="shared" ref="Q99:BP99" si="95">SUM(Q96:Q98)</f>
        <v>0</v>
      </c>
      <c r="R99" s="471">
        <f t="shared" si="95"/>
        <v>0</v>
      </c>
      <c r="S99" s="471">
        <f t="shared" si="95"/>
        <v>0</v>
      </c>
      <c r="T99" s="471">
        <f t="shared" si="95"/>
        <v>740000</v>
      </c>
      <c r="U99" s="471">
        <f t="shared" si="95"/>
        <v>3540000</v>
      </c>
      <c r="V99" s="471">
        <f t="shared" si="95"/>
        <v>2800000</v>
      </c>
      <c r="W99" s="471">
        <f t="shared" si="95"/>
        <v>0</v>
      </c>
      <c r="X99" s="471">
        <f t="shared" si="95"/>
        <v>0</v>
      </c>
      <c r="Y99" s="471">
        <f t="shared" si="95"/>
        <v>0</v>
      </c>
      <c r="Z99" s="471">
        <f t="shared" si="95"/>
        <v>0</v>
      </c>
      <c r="AA99" s="471">
        <f t="shared" si="95"/>
        <v>0</v>
      </c>
      <c r="AB99" s="471">
        <f t="shared" si="95"/>
        <v>0</v>
      </c>
      <c r="AC99" s="471">
        <f t="shared" si="95"/>
        <v>0</v>
      </c>
      <c r="AD99" s="471">
        <f t="shared" si="95"/>
        <v>0</v>
      </c>
      <c r="AE99" s="471">
        <f t="shared" si="95"/>
        <v>0</v>
      </c>
      <c r="AF99" s="471">
        <f t="shared" si="95"/>
        <v>0</v>
      </c>
      <c r="AG99" s="471">
        <f t="shared" si="95"/>
        <v>0</v>
      </c>
      <c r="AH99" s="471">
        <f t="shared" si="95"/>
        <v>0</v>
      </c>
      <c r="AI99" s="471">
        <f t="shared" si="95"/>
        <v>0</v>
      </c>
      <c r="AJ99" s="471">
        <f t="shared" si="95"/>
        <v>0</v>
      </c>
      <c r="AK99" s="471">
        <f t="shared" si="95"/>
        <v>0</v>
      </c>
      <c r="AL99" s="471">
        <f t="shared" si="95"/>
        <v>0</v>
      </c>
      <c r="AM99" s="471">
        <f t="shared" si="95"/>
        <v>0</v>
      </c>
      <c r="AN99" s="471">
        <f t="shared" si="95"/>
        <v>0</v>
      </c>
      <c r="AO99" s="471">
        <f t="shared" si="95"/>
        <v>0</v>
      </c>
      <c r="AP99" s="471">
        <f t="shared" si="95"/>
        <v>0</v>
      </c>
      <c r="AQ99" s="471">
        <f t="shared" si="95"/>
        <v>0</v>
      </c>
      <c r="AR99" s="471">
        <f t="shared" si="95"/>
        <v>0</v>
      </c>
      <c r="AS99" s="471">
        <f t="shared" si="95"/>
        <v>0</v>
      </c>
      <c r="AT99" s="471">
        <f t="shared" si="95"/>
        <v>0</v>
      </c>
      <c r="AU99" s="471">
        <f t="shared" si="95"/>
        <v>0</v>
      </c>
      <c r="AV99" s="471">
        <f t="shared" si="95"/>
        <v>0</v>
      </c>
      <c r="AW99" s="471">
        <f t="shared" si="95"/>
        <v>0</v>
      </c>
      <c r="AX99" s="471">
        <f t="shared" si="95"/>
        <v>0</v>
      </c>
      <c r="AY99" s="471">
        <f t="shared" si="95"/>
        <v>0</v>
      </c>
      <c r="AZ99" s="471">
        <f t="shared" si="95"/>
        <v>0</v>
      </c>
      <c r="BA99" s="471">
        <f t="shared" si="95"/>
        <v>0</v>
      </c>
      <c r="BB99" s="471">
        <f t="shared" si="95"/>
        <v>0</v>
      </c>
      <c r="BC99" s="471">
        <f t="shared" si="95"/>
        <v>0</v>
      </c>
      <c r="BD99" s="471">
        <f t="shared" si="95"/>
        <v>0</v>
      </c>
      <c r="BE99" s="471">
        <f t="shared" si="95"/>
        <v>0</v>
      </c>
      <c r="BF99" s="471">
        <f t="shared" si="95"/>
        <v>0</v>
      </c>
      <c r="BG99" s="471">
        <f t="shared" si="95"/>
        <v>0</v>
      </c>
      <c r="BH99" s="471">
        <f t="shared" si="95"/>
        <v>0</v>
      </c>
      <c r="BI99" s="471">
        <f t="shared" si="95"/>
        <v>0</v>
      </c>
      <c r="BJ99" s="471">
        <f t="shared" si="95"/>
        <v>0</v>
      </c>
      <c r="BK99" s="471">
        <f t="shared" si="95"/>
        <v>0</v>
      </c>
      <c r="BL99" s="471">
        <f t="shared" si="95"/>
        <v>0</v>
      </c>
      <c r="BM99" s="471">
        <f t="shared" si="95"/>
        <v>0</v>
      </c>
      <c r="BN99" s="471">
        <f t="shared" si="95"/>
        <v>0</v>
      </c>
      <c r="BO99" s="471">
        <f t="shared" si="95"/>
        <v>0</v>
      </c>
      <c r="BP99" s="471">
        <f t="shared" si="95"/>
        <v>0</v>
      </c>
      <c r="BQ99" s="450">
        <f t="shared" si="47"/>
        <v>7080000</v>
      </c>
      <c r="BR99" s="451">
        <f t="shared" si="79"/>
        <v>7080000</v>
      </c>
      <c r="BS99" s="1193">
        <f t="shared" si="80"/>
        <v>0</v>
      </c>
    </row>
    <row r="100" spans="1:71" ht="19.5" customHeight="1">
      <c r="A100" s="38"/>
      <c r="B100" s="416"/>
      <c r="C100" s="1520"/>
      <c r="D100" s="1609" t="s">
        <v>247</v>
      </c>
      <c r="E100" s="476" t="s">
        <v>248</v>
      </c>
      <c r="F100" s="461"/>
      <c r="G100" s="1214">
        <f>G93</f>
        <v>50</v>
      </c>
      <c r="H100" s="1215" t="s">
        <v>182</v>
      </c>
      <c r="I100" s="1217">
        <f>M100/G100</f>
        <v>0</v>
      </c>
      <c r="J100" s="1217" t="s">
        <v>183</v>
      </c>
      <c r="K100" s="1218"/>
      <c r="L100" s="353">
        <f t="shared" si="77"/>
        <v>0</v>
      </c>
      <c r="M100" s="454">
        <v>0</v>
      </c>
      <c r="N100" s="38"/>
      <c r="O100" s="1248"/>
      <c r="P100" s="1018"/>
      <c r="Q100" s="1018"/>
      <c r="R100" s="1018"/>
      <c r="S100" s="1018"/>
      <c r="T100" s="1018"/>
      <c r="U100" s="1018"/>
      <c r="V100" s="1018">
        <f t="shared" ref="V100:W100" si="96">$M100*50%</f>
        <v>0</v>
      </c>
      <c r="W100" s="1018">
        <f t="shared" si="96"/>
        <v>0</v>
      </c>
      <c r="X100" s="1018"/>
      <c r="Y100" s="1018"/>
      <c r="Z100" s="1018"/>
      <c r="AA100" s="1018"/>
      <c r="AB100" s="1018"/>
      <c r="AC100" s="1018"/>
      <c r="AD100" s="1018"/>
      <c r="AE100" s="1018"/>
      <c r="AF100" s="1018"/>
      <c r="AG100" s="1018"/>
      <c r="AH100" s="1018"/>
      <c r="AI100" s="1018"/>
      <c r="AJ100" s="1018"/>
      <c r="AK100" s="1018"/>
      <c r="AL100" s="1018"/>
      <c r="AM100" s="1018"/>
      <c r="AN100" s="1018"/>
      <c r="AO100" s="1018"/>
      <c r="AP100" s="1018"/>
      <c r="AQ100" s="1018"/>
      <c r="AR100" s="1018"/>
      <c r="AS100" s="1018"/>
      <c r="AT100" s="1018"/>
      <c r="AU100" s="1018"/>
      <c r="AV100" s="1018"/>
      <c r="AW100" s="1018"/>
      <c r="AX100" s="1018"/>
      <c r="AY100" s="1018"/>
      <c r="AZ100" s="1018"/>
      <c r="BA100" s="1018"/>
      <c r="BB100" s="1018"/>
      <c r="BC100" s="1018"/>
      <c r="BD100" s="1018"/>
      <c r="BE100" s="1018"/>
      <c r="BF100" s="1018"/>
      <c r="BG100" s="1018"/>
      <c r="BH100" s="1018"/>
      <c r="BI100" s="1018"/>
      <c r="BJ100" s="1018"/>
      <c r="BK100" s="1018"/>
      <c r="BL100" s="1018"/>
      <c r="BM100" s="1018"/>
      <c r="BN100" s="1018"/>
      <c r="BO100" s="1018"/>
      <c r="BP100" s="1018"/>
      <c r="BQ100" s="424">
        <f t="shared" si="47"/>
        <v>0</v>
      </c>
      <c r="BR100" s="425">
        <f t="shared" si="79"/>
        <v>0</v>
      </c>
      <c r="BS100" s="1193">
        <f t="shared" si="80"/>
        <v>0</v>
      </c>
    </row>
    <row r="101" spans="1:71" ht="19.5" customHeight="1">
      <c r="A101" s="38"/>
      <c r="B101" s="416"/>
      <c r="C101" s="1520"/>
      <c r="D101" s="1610"/>
      <c r="E101" s="1298" t="s">
        <v>249</v>
      </c>
      <c r="F101" s="461"/>
      <c r="G101" s="1214">
        <v>12</v>
      </c>
      <c r="H101" s="1215" t="s">
        <v>250</v>
      </c>
      <c r="I101" s="1216">
        <v>20000</v>
      </c>
      <c r="J101" s="1217" t="s">
        <v>251</v>
      </c>
      <c r="K101" s="1218"/>
      <c r="L101" s="353">
        <f t="shared" si="77"/>
        <v>2.5597114958487082E-4</v>
      </c>
      <c r="M101" s="426">
        <f t="shared" ref="M101:M102" si="97">G101*I101</f>
        <v>240000</v>
      </c>
      <c r="N101" s="38"/>
      <c r="O101" s="1248"/>
      <c r="P101" s="1018"/>
      <c r="Q101" s="1018"/>
      <c r="R101" s="1018"/>
      <c r="S101" s="1018"/>
      <c r="T101" s="1018">
        <f>$I101</f>
        <v>20000</v>
      </c>
      <c r="U101" s="1018">
        <f t="shared" ref="U101:AE101" si="98">T101</f>
        <v>20000</v>
      </c>
      <c r="V101" s="1018">
        <f t="shared" si="98"/>
        <v>20000</v>
      </c>
      <c r="W101" s="1018">
        <f t="shared" si="98"/>
        <v>20000</v>
      </c>
      <c r="X101" s="1018">
        <f t="shared" si="98"/>
        <v>20000</v>
      </c>
      <c r="Y101" s="1018">
        <f t="shared" si="98"/>
        <v>20000</v>
      </c>
      <c r="Z101" s="1018">
        <f t="shared" si="98"/>
        <v>20000</v>
      </c>
      <c r="AA101" s="1018">
        <f t="shared" si="98"/>
        <v>20000</v>
      </c>
      <c r="AB101" s="1018">
        <f t="shared" si="98"/>
        <v>20000</v>
      </c>
      <c r="AC101" s="1018">
        <f t="shared" si="98"/>
        <v>20000</v>
      </c>
      <c r="AD101" s="1018">
        <f t="shared" si="98"/>
        <v>20000</v>
      </c>
      <c r="AE101" s="1018">
        <f t="shared" si="98"/>
        <v>20000</v>
      </c>
      <c r="AF101" s="1018"/>
      <c r="AG101" s="1018"/>
      <c r="AH101" s="1018"/>
      <c r="AI101" s="1018"/>
      <c r="AJ101" s="1018"/>
      <c r="AK101" s="1018"/>
      <c r="AL101" s="1018"/>
      <c r="AM101" s="1018"/>
      <c r="AN101" s="1018"/>
      <c r="AO101" s="1018"/>
      <c r="AP101" s="1018"/>
      <c r="AQ101" s="1018"/>
      <c r="AR101" s="1018"/>
      <c r="AS101" s="1018"/>
      <c r="AT101" s="1018"/>
      <c r="AU101" s="1018"/>
      <c r="AV101" s="1018"/>
      <c r="AW101" s="1018"/>
      <c r="AX101" s="1018"/>
      <c r="AY101" s="1018"/>
      <c r="AZ101" s="1018"/>
      <c r="BA101" s="1018"/>
      <c r="BB101" s="1018"/>
      <c r="BC101" s="1018"/>
      <c r="BD101" s="1018"/>
      <c r="BE101" s="1018"/>
      <c r="BF101" s="1018"/>
      <c r="BG101" s="1018"/>
      <c r="BH101" s="1018"/>
      <c r="BI101" s="1018"/>
      <c r="BJ101" s="1018"/>
      <c r="BK101" s="1018"/>
      <c r="BL101" s="1018"/>
      <c r="BM101" s="1018"/>
      <c r="BN101" s="1018"/>
      <c r="BO101" s="1018"/>
      <c r="BP101" s="1018"/>
      <c r="BQ101" s="424">
        <f t="shared" si="47"/>
        <v>240000</v>
      </c>
      <c r="BR101" s="425">
        <f t="shared" si="79"/>
        <v>240000</v>
      </c>
      <c r="BS101" s="1193">
        <f t="shared" si="80"/>
        <v>0</v>
      </c>
    </row>
    <row r="102" spans="1:71" ht="19.5" customHeight="1">
      <c r="A102" s="38"/>
      <c r="B102" s="416"/>
      <c r="C102" s="1520"/>
      <c r="D102" s="1610"/>
      <c r="E102" s="1536" t="s">
        <v>252</v>
      </c>
      <c r="F102" s="477" t="str">
        <f>C22</f>
        <v>일반분양</v>
      </c>
      <c r="G102" s="1214">
        <f>G22</f>
        <v>644</v>
      </c>
      <c r="H102" s="1215" t="s">
        <v>192</v>
      </c>
      <c r="I102" s="1216">
        <v>10000</v>
      </c>
      <c r="J102" s="1217" t="s">
        <v>193</v>
      </c>
      <c r="K102" s="1204">
        <v>0.01</v>
      </c>
      <c r="L102" s="353">
        <f t="shared" si="77"/>
        <v>6.8685591805273671E-3</v>
      </c>
      <c r="M102" s="426">
        <f t="shared" si="97"/>
        <v>6440000</v>
      </c>
      <c r="N102" s="38"/>
      <c r="O102" s="1248"/>
      <c r="P102" s="1018">
        <f t="shared" ref="P102:T102" si="99">P22*$K$102</f>
        <v>0</v>
      </c>
      <c r="Q102" s="1018">
        <f t="shared" si="99"/>
        <v>0</v>
      </c>
      <c r="R102" s="1018">
        <f t="shared" si="99"/>
        <v>0</v>
      </c>
      <c r="S102" s="1018">
        <f t="shared" si="99"/>
        <v>0</v>
      </c>
      <c r="T102" s="1018">
        <f t="shared" si="99"/>
        <v>0</v>
      </c>
      <c r="U102" s="1018">
        <f>U22*$K$102</f>
        <v>0</v>
      </c>
      <c r="V102" s="1019">
        <f>$M$102*$S$5</f>
        <v>4508000</v>
      </c>
      <c r="W102" s="1019">
        <f>$M$102*$S$6</f>
        <v>644000</v>
      </c>
      <c r="X102" s="1019">
        <f>$M$102*$S$7</f>
        <v>644000</v>
      </c>
      <c r="Y102" s="1019">
        <f>$M$102*$S$8</f>
        <v>644000</v>
      </c>
      <c r="Z102" s="1019">
        <f>$M$102*$S$9</f>
        <v>0</v>
      </c>
      <c r="AA102" s="1018"/>
      <c r="AB102" s="1018"/>
      <c r="AC102" s="1018"/>
      <c r="AD102" s="1018"/>
      <c r="AE102" s="1018"/>
      <c r="AF102" s="1018"/>
      <c r="AG102" s="1018"/>
      <c r="AH102" s="1018"/>
      <c r="AI102" s="1018"/>
      <c r="AJ102" s="1018"/>
      <c r="AK102" s="1018"/>
      <c r="AL102" s="1018"/>
      <c r="AM102" s="1018"/>
      <c r="AN102" s="1018"/>
      <c r="AO102" s="1018"/>
      <c r="AP102" s="1018"/>
      <c r="AQ102" s="1018"/>
      <c r="AR102" s="1018"/>
      <c r="AS102" s="1018"/>
      <c r="AT102" s="1018"/>
      <c r="AU102" s="1018"/>
      <c r="AV102" s="1018"/>
      <c r="AW102" s="1018"/>
      <c r="AX102" s="1018"/>
      <c r="AY102" s="1018"/>
      <c r="AZ102" s="1018"/>
      <c r="BA102" s="1018"/>
      <c r="BB102" s="1018"/>
      <c r="BC102" s="1018"/>
      <c r="BD102" s="1018"/>
      <c r="BE102" s="1018"/>
      <c r="BF102" s="1018"/>
      <c r="BG102" s="1018"/>
      <c r="BH102" s="1018"/>
      <c r="BI102" s="1018"/>
      <c r="BJ102" s="1018"/>
      <c r="BK102" s="1018"/>
      <c r="BL102" s="1018"/>
      <c r="BM102" s="1018"/>
      <c r="BN102" s="1018"/>
      <c r="BO102" s="1018"/>
      <c r="BP102" s="1018"/>
      <c r="BQ102" s="424">
        <f t="shared" si="47"/>
        <v>6440000</v>
      </c>
      <c r="BR102" s="425">
        <f t="shared" si="79"/>
        <v>6440000</v>
      </c>
      <c r="BS102" s="1193">
        <f t="shared" si="80"/>
        <v>0</v>
      </c>
    </row>
    <row r="103" spans="1:71" ht="19.5" customHeight="1">
      <c r="A103" s="38"/>
      <c r="B103" s="416"/>
      <c r="C103" s="1520"/>
      <c r="D103" s="1610"/>
      <c r="E103" s="1520"/>
      <c r="F103" s="478" t="str">
        <f>C54</f>
        <v>근생시설</v>
      </c>
      <c r="G103" s="1214">
        <f>E54</f>
        <v>934.3741</v>
      </c>
      <c r="H103" s="1215" t="s">
        <v>182</v>
      </c>
      <c r="I103" s="1217">
        <f>IF(G103=0,0,M103/G103)</f>
        <v>2304.9282941168854</v>
      </c>
      <c r="J103" s="1217" t="s">
        <v>183</v>
      </c>
      <c r="K103" s="1218">
        <v>0.06</v>
      </c>
      <c r="L103" s="353">
        <f t="shared" si="77"/>
        <v>2.2969840948304779E-3</v>
      </c>
      <c r="M103" s="426">
        <f>M54*K103</f>
        <v>2153665.3003799999</v>
      </c>
      <c r="N103" s="38"/>
      <c r="O103" s="1248"/>
      <c r="P103" s="1018"/>
      <c r="Q103" s="1018"/>
      <c r="R103" s="1018"/>
      <c r="S103" s="1018"/>
      <c r="T103" s="1018"/>
      <c r="U103" s="1018"/>
      <c r="V103" s="1018">
        <f t="shared" ref="V103:BP103" si="100">V54*$K$103</f>
        <v>0</v>
      </c>
      <c r="W103" s="1018">
        <f t="shared" si="100"/>
        <v>0</v>
      </c>
      <c r="X103" s="1018">
        <f t="shared" si="100"/>
        <v>0</v>
      </c>
      <c r="Y103" s="1018">
        <f t="shared" si="100"/>
        <v>107683.265019</v>
      </c>
      <c r="Z103" s="1018">
        <f t="shared" si="100"/>
        <v>107683.265019</v>
      </c>
      <c r="AA103" s="1018">
        <f t="shared" si="100"/>
        <v>0</v>
      </c>
      <c r="AB103" s="1018">
        <f t="shared" si="100"/>
        <v>0</v>
      </c>
      <c r="AC103" s="1018">
        <f t="shared" si="100"/>
        <v>0</v>
      </c>
      <c r="AD103" s="1018">
        <f t="shared" si="100"/>
        <v>0</v>
      </c>
      <c r="AE103" s="1018">
        <f t="shared" si="100"/>
        <v>0</v>
      </c>
      <c r="AF103" s="1018">
        <f t="shared" si="100"/>
        <v>0</v>
      </c>
      <c r="AG103" s="1018">
        <f t="shared" si="100"/>
        <v>0</v>
      </c>
      <c r="AH103" s="1018">
        <f t="shared" si="100"/>
        <v>0</v>
      </c>
      <c r="AI103" s="1018">
        <f t="shared" si="100"/>
        <v>215366.530038</v>
      </c>
      <c r="AJ103" s="1018">
        <f t="shared" si="100"/>
        <v>215366.530038</v>
      </c>
      <c r="AK103" s="1018">
        <f t="shared" si="100"/>
        <v>0</v>
      </c>
      <c r="AL103" s="1018">
        <f t="shared" si="100"/>
        <v>0</v>
      </c>
      <c r="AM103" s="1018">
        <f t="shared" si="100"/>
        <v>0</v>
      </c>
      <c r="AN103" s="1018">
        <f t="shared" si="100"/>
        <v>0</v>
      </c>
      <c r="AO103" s="1018">
        <f t="shared" si="100"/>
        <v>0</v>
      </c>
      <c r="AP103" s="1018">
        <f t="shared" si="100"/>
        <v>0</v>
      </c>
      <c r="AQ103" s="1018">
        <f t="shared" si="100"/>
        <v>0</v>
      </c>
      <c r="AR103" s="1018">
        <f t="shared" si="100"/>
        <v>0</v>
      </c>
      <c r="AS103" s="1018">
        <f t="shared" si="100"/>
        <v>0</v>
      </c>
      <c r="AT103" s="1018">
        <f t="shared" si="100"/>
        <v>0</v>
      </c>
      <c r="AU103" s="1018">
        <f t="shared" si="100"/>
        <v>215366.530038</v>
      </c>
      <c r="AV103" s="1018">
        <f t="shared" si="100"/>
        <v>215366.530038</v>
      </c>
      <c r="AW103" s="1018">
        <f t="shared" si="100"/>
        <v>0</v>
      </c>
      <c r="AX103" s="1018">
        <f t="shared" si="100"/>
        <v>0</v>
      </c>
      <c r="AY103" s="1018">
        <f t="shared" si="100"/>
        <v>0</v>
      </c>
      <c r="AZ103" s="1018">
        <f t="shared" si="100"/>
        <v>0</v>
      </c>
      <c r="BA103" s="1018">
        <f t="shared" si="100"/>
        <v>0</v>
      </c>
      <c r="BB103" s="1018">
        <f t="shared" si="100"/>
        <v>0</v>
      </c>
      <c r="BC103" s="1018">
        <f t="shared" si="100"/>
        <v>0</v>
      </c>
      <c r="BD103" s="1018">
        <f t="shared" si="100"/>
        <v>0</v>
      </c>
      <c r="BE103" s="1018">
        <f t="shared" si="100"/>
        <v>0</v>
      </c>
      <c r="BF103" s="1018">
        <f t="shared" si="100"/>
        <v>0</v>
      </c>
      <c r="BG103" s="1018">
        <f t="shared" si="100"/>
        <v>0</v>
      </c>
      <c r="BH103" s="1018">
        <f t="shared" si="100"/>
        <v>0</v>
      </c>
      <c r="BI103" s="1018">
        <f t="shared" si="100"/>
        <v>538416.32509499998</v>
      </c>
      <c r="BJ103" s="1018">
        <f t="shared" si="100"/>
        <v>538416.32509499998</v>
      </c>
      <c r="BK103" s="1018">
        <f t="shared" si="100"/>
        <v>0</v>
      </c>
      <c r="BL103" s="1018">
        <f t="shared" si="100"/>
        <v>0</v>
      </c>
      <c r="BM103" s="1018">
        <f t="shared" si="100"/>
        <v>0</v>
      </c>
      <c r="BN103" s="1018">
        <f t="shared" si="100"/>
        <v>0</v>
      </c>
      <c r="BO103" s="1018">
        <f t="shared" si="100"/>
        <v>0</v>
      </c>
      <c r="BP103" s="1018">
        <f t="shared" si="100"/>
        <v>0</v>
      </c>
      <c r="BQ103" s="424">
        <f t="shared" si="47"/>
        <v>2153665.3003799999</v>
      </c>
      <c r="BR103" s="425">
        <f t="shared" si="79"/>
        <v>2153665.3003799999</v>
      </c>
      <c r="BS103" s="1193">
        <f t="shared" si="80"/>
        <v>0</v>
      </c>
    </row>
    <row r="104" spans="1:71" ht="19.5" customHeight="1">
      <c r="A104" s="38"/>
      <c r="B104" s="416"/>
      <c r="C104" s="1520"/>
      <c r="D104" s="1610"/>
      <c r="E104" s="1537"/>
      <c r="F104" s="1243" t="s">
        <v>253</v>
      </c>
      <c r="G104" s="1214"/>
      <c r="H104" s="1221"/>
      <c r="I104" s="1217"/>
      <c r="J104" s="1217"/>
      <c r="K104" s="1299"/>
      <c r="L104" s="353">
        <f t="shared" si="77"/>
        <v>9.1655432753578441E-3</v>
      </c>
      <c r="M104" s="479">
        <f>SUM(M102:M103)</f>
        <v>8593665.300379999</v>
      </c>
      <c r="N104" s="38"/>
      <c r="O104" s="1248"/>
      <c r="P104" s="1018"/>
      <c r="Q104" s="1018"/>
      <c r="R104" s="1018"/>
      <c r="S104" s="1018"/>
      <c r="T104" s="1018"/>
      <c r="U104" s="1018">
        <f t="shared" ref="U104:BP104" si="101">SUM(U102:U103)</f>
        <v>0</v>
      </c>
      <c r="V104" s="1018">
        <f t="shared" si="101"/>
        <v>4508000</v>
      </c>
      <c r="W104" s="1018">
        <f t="shared" si="101"/>
        <v>644000</v>
      </c>
      <c r="X104" s="1018">
        <f t="shared" si="101"/>
        <v>644000</v>
      </c>
      <c r="Y104" s="1018">
        <f t="shared" si="101"/>
        <v>751683.26501900004</v>
      </c>
      <c r="Z104" s="1018">
        <f t="shared" si="101"/>
        <v>107683.265019</v>
      </c>
      <c r="AA104" s="1018">
        <f t="shared" si="101"/>
        <v>0</v>
      </c>
      <c r="AB104" s="1018">
        <f t="shared" si="101"/>
        <v>0</v>
      </c>
      <c r="AC104" s="1018">
        <f t="shared" si="101"/>
        <v>0</v>
      </c>
      <c r="AD104" s="1018">
        <f t="shared" si="101"/>
        <v>0</v>
      </c>
      <c r="AE104" s="1018">
        <f t="shared" si="101"/>
        <v>0</v>
      </c>
      <c r="AF104" s="1018">
        <f t="shared" si="101"/>
        <v>0</v>
      </c>
      <c r="AG104" s="1018">
        <f t="shared" si="101"/>
        <v>0</v>
      </c>
      <c r="AH104" s="1018">
        <f t="shared" si="101"/>
        <v>0</v>
      </c>
      <c r="AI104" s="1018">
        <f t="shared" si="101"/>
        <v>215366.530038</v>
      </c>
      <c r="AJ104" s="1018">
        <f t="shared" si="101"/>
        <v>215366.530038</v>
      </c>
      <c r="AK104" s="1018">
        <f t="shared" si="101"/>
        <v>0</v>
      </c>
      <c r="AL104" s="1018">
        <f t="shared" si="101"/>
        <v>0</v>
      </c>
      <c r="AM104" s="1018">
        <f t="shared" si="101"/>
        <v>0</v>
      </c>
      <c r="AN104" s="1018">
        <f t="shared" si="101"/>
        <v>0</v>
      </c>
      <c r="AO104" s="1018">
        <f t="shared" si="101"/>
        <v>0</v>
      </c>
      <c r="AP104" s="1018">
        <f t="shared" si="101"/>
        <v>0</v>
      </c>
      <c r="AQ104" s="1018">
        <f t="shared" si="101"/>
        <v>0</v>
      </c>
      <c r="AR104" s="1018">
        <f t="shared" si="101"/>
        <v>0</v>
      </c>
      <c r="AS104" s="1018">
        <f t="shared" si="101"/>
        <v>0</v>
      </c>
      <c r="AT104" s="1018">
        <f t="shared" si="101"/>
        <v>0</v>
      </c>
      <c r="AU104" s="1018">
        <f t="shared" si="101"/>
        <v>215366.530038</v>
      </c>
      <c r="AV104" s="1018">
        <f t="shared" si="101"/>
        <v>215366.530038</v>
      </c>
      <c r="AW104" s="1018">
        <f t="shared" si="101"/>
        <v>0</v>
      </c>
      <c r="AX104" s="1018">
        <f t="shared" si="101"/>
        <v>0</v>
      </c>
      <c r="AY104" s="1018">
        <f t="shared" si="101"/>
        <v>0</v>
      </c>
      <c r="AZ104" s="1018">
        <f t="shared" si="101"/>
        <v>0</v>
      </c>
      <c r="BA104" s="1018">
        <f t="shared" si="101"/>
        <v>0</v>
      </c>
      <c r="BB104" s="1018">
        <f t="shared" si="101"/>
        <v>0</v>
      </c>
      <c r="BC104" s="1018">
        <f t="shared" si="101"/>
        <v>0</v>
      </c>
      <c r="BD104" s="1018">
        <f t="shared" si="101"/>
        <v>0</v>
      </c>
      <c r="BE104" s="1018">
        <f t="shared" si="101"/>
        <v>0</v>
      </c>
      <c r="BF104" s="1018">
        <f t="shared" si="101"/>
        <v>0</v>
      </c>
      <c r="BG104" s="1018">
        <f t="shared" si="101"/>
        <v>0</v>
      </c>
      <c r="BH104" s="1018">
        <f t="shared" si="101"/>
        <v>0</v>
      </c>
      <c r="BI104" s="1018">
        <f t="shared" si="101"/>
        <v>538416.32509499998</v>
      </c>
      <c r="BJ104" s="1018">
        <f t="shared" si="101"/>
        <v>538416.32509499998</v>
      </c>
      <c r="BK104" s="1018">
        <f t="shared" si="101"/>
        <v>0</v>
      </c>
      <c r="BL104" s="1018">
        <f t="shared" si="101"/>
        <v>0</v>
      </c>
      <c r="BM104" s="1018">
        <f t="shared" si="101"/>
        <v>0</v>
      </c>
      <c r="BN104" s="1018">
        <f t="shared" si="101"/>
        <v>0</v>
      </c>
      <c r="BO104" s="1018">
        <f t="shared" si="101"/>
        <v>0</v>
      </c>
      <c r="BP104" s="1018">
        <f t="shared" si="101"/>
        <v>0</v>
      </c>
      <c r="BQ104" s="424">
        <f t="shared" si="47"/>
        <v>8593665.300379999</v>
      </c>
      <c r="BR104" s="425">
        <f t="shared" si="79"/>
        <v>8593665.300379999</v>
      </c>
      <c r="BS104" s="1193">
        <f t="shared" si="80"/>
        <v>0</v>
      </c>
    </row>
    <row r="105" spans="1:71" ht="19.5" customHeight="1">
      <c r="A105" s="38"/>
      <c r="B105" s="416"/>
      <c r="C105" s="1520"/>
      <c r="D105" s="1610"/>
      <c r="E105" s="1300" t="s">
        <v>239</v>
      </c>
      <c r="F105" s="1288"/>
      <c r="G105" s="1232"/>
      <c r="H105" s="1233"/>
      <c r="I105" s="1235"/>
      <c r="J105" s="1235"/>
      <c r="K105" s="1301"/>
      <c r="L105" s="353">
        <f t="shared" si="77"/>
        <v>0</v>
      </c>
      <c r="M105" s="1302">
        <v>0</v>
      </c>
      <c r="N105" s="38"/>
      <c r="O105" s="480"/>
      <c r="P105" s="481"/>
      <c r="Q105" s="1018"/>
      <c r="R105" s="1018"/>
      <c r="S105" s="1018"/>
      <c r="T105" s="1018"/>
      <c r="U105" s="1018">
        <f t="shared" ref="U105:X105" si="102">$M105*10%</f>
        <v>0</v>
      </c>
      <c r="V105" s="1018">
        <f t="shared" si="102"/>
        <v>0</v>
      </c>
      <c r="W105" s="1018">
        <f t="shared" si="102"/>
        <v>0</v>
      </c>
      <c r="X105" s="1018">
        <f t="shared" si="102"/>
        <v>0</v>
      </c>
      <c r="Y105" s="1018"/>
      <c r="Z105" s="1018">
        <f>$M105*10%</f>
        <v>0</v>
      </c>
      <c r="AA105" s="481">
        <f>$M$105*10%</f>
        <v>0</v>
      </c>
      <c r="AB105" s="481"/>
      <c r="AC105" s="481"/>
      <c r="AD105" s="481">
        <f>$M$105*10%</f>
        <v>0</v>
      </c>
      <c r="AE105" s="1018"/>
      <c r="AF105" s="1018"/>
      <c r="AG105" s="1018">
        <f>$M105*10%</f>
        <v>0</v>
      </c>
      <c r="AH105" s="1018"/>
      <c r="AI105" s="481">
        <f>$M$105*10%</f>
        <v>0</v>
      </c>
      <c r="AJ105" s="1018"/>
      <c r="AK105" s="481">
        <f>$M$105*10%</f>
        <v>0</v>
      </c>
      <c r="AL105" s="1018"/>
      <c r="AM105" s="1018"/>
      <c r="AN105" s="1018"/>
      <c r="AO105" s="1018"/>
      <c r="AP105" s="1018"/>
      <c r="AQ105" s="1018"/>
      <c r="AR105" s="1018"/>
      <c r="AS105" s="1018"/>
      <c r="AT105" s="1018"/>
      <c r="AU105" s="1018"/>
      <c r="AV105" s="1018"/>
      <c r="AW105" s="1018"/>
      <c r="AX105" s="1018"/>
      <c r="AY105" s="1018"/>
      <c r="AZ105" s="1018"/>
      <c r="BA105" s="1018"/>
      <c r="BB105" s="481"/>
      <c r="BC105" s="481"/>
      <c r="BD105" s="481"/>
      <c r="BE105" s="481"/>
      <c r="BF105" s="481"/>
      <c r="BG105" s="481"/>
      <c r="BH105" s="481"/>
      <c r="BI105" s="481"/>
      <c r="BJ105" s="481"/>
      <c r="BK105" s="481"/>
      <c r="BL105" s="481"/>
      <c r="BM105" s="481"/>
      <c r="BN105" s="481"/>
      <c r="BO105" s="481"/>
      <c r="BP105" s="481"/>
      <c r="BQ105" s="424">
        <f t="shared" si="47"/>
        <v>0</v>
      </c>
      <c r="BR105" s="425">
        <f t="shared" si="79"/>
        <v>0</v>
      </c>
      <c r="BS105" s="1193">
        <f t="shared" si="80"/>
        <v>0</v>
      </c>
    </row>
    <row r="106" spans="1:71" ht="19.5" customHeight="1">
      <c r="A106" s="38"/>
      <c r="B106" s="416"/>
      <c r="C106" s="1520"/>
      <c r="D106" s="1611"/>
      <c r="E106" s="468" t="s">
        <v>209</v>
      </c>
      <c r="F106" s="469"/>
      <c r="G106" s="1235"/>
      <c r="H106" s="1233"/>
      <c r="I106" s="1235"/>
      <c r="J106" s="1235"/>
      <c r="K106" s="1235"/>
      <c r="L106" s="394">
        <f t="shared" si="77"/>
        <v>9.4215144249427153E-3</v>
      </c>
      <c r="M106" s="470">
        <f>SUM(M100:M101)+SUM(M104:M105)</f>
        <v>8833665.300379999</v>
      </c>
      <c r="N106" s="38"/>
      <c r="O106" s="430"/>
      <c r="P106" s="471"/>
      <c r="Q106" s="471">
        <f t="shared" ref="Q106:AV106" si="103">SUM(Q100:Q101)+SUM(Q104:Q105)</f>
        <v>0</v>
      </c>
      <c r="R106" s="471">
        <f t="shared" si="103"/>
        <v>0</v>
      </c>
      <c r="S106" s="471">
        <f t="shared" si="103"/>
        <v>0</v>
      </c>
      <c r="T106" s="471">
        <f t="shared" si="103"/>
        <v>20000</v>
      </c>
      <c r="U106" s="471">
        <f t="shared" si="103"/>
        <v>20000</v>
      </c>
      <c r="V106" s="471">
        <f t="shared" si="103"/>
        <v>4528000</v>
      </c>
      <c r="W106" s="471">
        <f t="shared" si="103"/>
        <v>664000</v>
      </c>
      <c r="X106" s="471">
        <f t="shared" si="103"/>
        <v>664000</v>
      </c>
      <c r="Y106" s="471">
        <f t="shared" si="103"/>
        <v>771683.26501900004</v>
      </c>
      <c r="Z106" s="471">
        <f t="shared" si="103"/>
        <v>127683.265019</v>
      </c>
      <c r="AA106" s="471">
        <f t="shared" si="103"/>
        <v>20000</v>
      </c>
      <c r="AB106" s="471">
        <f t="shared" si="103"/>
        <v>20000</v>
      </c>
      <c r="AC106" s="471">
        <f t="shared" si="103"/>
        <v>20000</v>
      </c>
      <c r="AD106" s="471">
        <f t="shared" si="103"/>
        <v>20000</v>
      </c>
      <c r="AE106" s="471">
        <f t="shared" si="103"/>
        <v>20000</v>
      </c>
      <c r="AF106" s="471">
        <f t="shared" si="103"/>
        <v>0</v>
      </c>
      <c r="AG106" s="471">
        <f t="shared" si="103"/>
        <v>0</v>
      </c>
      <c r="AH106" s="471">
        <f t="shared" si="103"/>
        <v>0</v>
      </c>
      <c r="AI106" s="471">
        <f t="shared" si="103"/>
        <v>215366.530038</v>
      </c>
      <c r="AJ106" s="471">
        <f t="shared" si="103"/>
        <v>215366.530038</v>
      </c>
      <c r="AK106" s="471">
        <f t="shared" si="103"/>
        <v>0</v>
      </c>
      <c r="AL106" s="471">
        <f t="shared" si="103"/>
        <v>0</v>
      </c>
      <c r="AM106" s="471">
        <f t="shared" si="103"/>
        <v>0</v>
      </c>
      <c r="AN106" s="471">
        <f t="shared" si="103"/>
        <v>0</v>
      </c>
      <c r="AO106" s="471">
        <f t="shared" si="103"/>
        <v>0</v>
      </c>
      <c r="AP106" s="471">
        <f t="shared" si="103"/>
        <v>0</v>
      </c>
      <c r="AQ106" s="471">
        <f t="shared" si="103"/>
        <v>0</v>
      </c>
      <c r="AR106" s="471">
        <f t="shared" si="103"/>
        <v>0</v>
      </c>
      <c r="AS106" s="471">
        <f t="shared" si="103"/>
        <v>0</v>
      </c>
      <c r="AT106" s="471">
        <f t="shared" si="103"/>
        <v>0</v>
      </c>
      <c r="AU106" s="471">
        <f t="shared" si="103"/>
        <v>215366.530038</v>
      </c>
      <c r="AV106" s="471">
        <f t="shared" si="103"/>
        <v>215366.530038</v>
      </c>
      <c r="AW106" s="471">
        <f t="shared" ref="AW106:BP106" si="104">SUM(AW100:AW101)+SUM(AW104:AW105)</f>
        <v>0</v>
      </c>
      <c r="AX106" s="471">
        <f t="shared" si="104"/>
        <v>0</v>
      </c>
      <c r="AY106" s="471">
        <f t="shared" si="104"/>
        <v>0</v>
      </c>
      <c r="AZ106" s="471">
        <f t="shared" si="104"/>
        <v>0</v>
      </c>
      <c r="BA106" s="471">
        <f t="shared" si="104"/>
        <v>0</v>
      </c>
      <c r="BB106" s="471">
        <f t="shared" si="104"/>
        <v>0</v>
      </c>
      <c r="BC106" s="471">
        <f t="shared" si="104"/>
        <v>0</v>
      </c>
      <c r="BD106" s="471">
        <f t="shared" si="104"/>
        <v>0</v>
      </c>
      <c r="BE106" s="471">
        <f t="shared" si="104"/>
        <v>0</v>
      </c>
      <c r="BF106" s="471">
        <f t="shared" si="104"/>
        <v>0</v>
      </c>
      <c r="BG106" s="471">
        <f t="shared" si="104"/>
        <v>0</v>
      </c>
      <c r="BH106" s="471">
        <f t="shared" si="104"/>
        <v>0</v>
      </c>
      <c r="BI106" s="471">
        <f t="shared" si="104"/>
        <v>538416.32509499998</v>
      </c>
      <c r="BJ106" s="471">
        <f t="shared" si="104"/>
        <v>538416.32509499998</v>
      </c>
      <c r="BK106" s="471">
        <f t="shared" si="104"/>
        <v>0</v>
      </c>
      <c r="BL106" s="471">
        <f t="shared" si="104"/>
        <v>0</v>
      </c>
      <c r="BM106" s="471">
        <f t="shared" si="104"/>
        <v>0</v>
      </c>
      <c r="BN106" s="471">
        <f t="shared" si="104"/>
        <v>0</v>
      </c>
      <c r="BO106" s="471">
        <f t="shared" si="104"/>
        <v>0</v>
      </c>
      <c r="BP106" s="471">
        <f t="shared" si="104"/>
        <v>0</v>
      </c>
      <c r="BQ106" s="450">
        <f t="shared" si="47"/>
        <v>8833665.300379999</v>
      </c>
      <c r="BR106" s="451">
        <f t="shared" si="79"/>
        <v>8833665.300379999</v>
      </c>
      <c r="BS106" s="1193">
        <f t="shared" si="80"/>
        <v>0</v>
      </c>
    </row>
    <row r="107" spans="1:71" ht="19.5" customHeight="1">
      <c r="A107" s="38"/>
      <c r="B107" s="416"/>
      <c r="C107" s="1500"/>
      <c r="D107" s="336"/>
      <c r="E107" s="1257" t="s">
        <v>209</v>
      </c>
      <c r="F107" s="1258"/>
      <c r="G107" s="482"/>
      <c r="H107" s="483"/>
      <c r="I107" s="482"/>
      <c r="J107" s="482"/>
      <c r="K107" s="482"/>
      <c r="L107" s="449">
        <f t="shared" si="77"/>
        <v>1.9292401880809298E-2</v>
      </c>
      <c r="M107" s="429">
        <f>M95+M99+M106</f>
        <v>18088665.300379999</v>
      </c>
      <c r="N107" s="38"/>
      <c r="O107" s="436"/>
      <c r="P107" s="431"/>
      <c r="Q107" s="431">
        <f t="shared" ref="Q107:AV107" si="105">Q95+Q99+Q106</f>
        <v>0</v>
      </c>
      <c r="R107" s="431">
        <f t="shared" si="105"/>
        <v>0</v>
      </c>
      <c r="S107" s="431">
        <f t="shared" si="105"/>
        <v>0</v>
      </c>
      <c r="T107" s="431">
        <f t="shared" si="105"/>
        <v>1127500</v>
      </c>
      <c r="U107" s="431">
        <f t="shared" si="105"/>
        <v>3777500</v>
      </c>
      <c r="V107" s="431">
        <f t="shared" si="105"/>
        <v>7568000</v>
      </c>
      <c r="W107" s="431">
        <f t="shared" si="105"/>
        <v>814000</v>
      </c>
      <c r="X107" s="431">
        <f t="shared" si="105"/>
        <v>814000</v>
      </c>
      <c r="Y107" s="431">
        <f t="shared" si="105"/>
        <v>921683.26501900004</v>
      </c>
      <c r="Z107" s="431">
        <f t="shared" si="105"/>
        <v>277683.26501899998</v>
      </c>
      <c r="AA107" s="431">
        <f t="shared" si="105"/>
        <v>170000</v>
      </c>
      <c r="AB107" s="431">
        <f t="shared" si="105"/>
        <v>170000</v>
      </c>
      <c r="AC107" s="431">
        <f t="shared" si="105"/>
        <v>170000</v>
      </c>
      <c r="AD107" s="431">
        <f t="shared" si="105"/>
        <v>170000</v>
      </c>
      <c r="AE107" s="431">
        <f t="shared" si="105"/>
        <v>170000</v>
      </c>
      <c r="AF107" s="431">
        <f t="shared" si="105"/>
        <v>0</v>
      </c>
      <c r="AG107" s="431">
        <f t="shared" si="105"/>
        <v>0</v>
      </c>
      <c r="AH107" s="431">
        <f t="shared" si="105"/>
        <v>0</v>
      </c>
      <c r="AI107" s="431">
        <f t="shared" si="105"/>
        <v>215366.530038</v>
      </c>
      <c r="AJ107" s="431">
        <f t="shared" si="105"/>
        <v>215366.530038</v>
      </c>
      <c r="AK107" s="431">
        <f t="shared" si="105"/>
        <v>0</v>
      </c>
      <c r="AL107" s="431">
        <f t="shared" si="105"/>
        <v>0</v>
      </c>
      <c r="AM107" s="431">
        <f t="shared" si="105"/>
        <v>0</v>
      </c>
      <c r="AN107" s="431">
        <f t="shared" si="105"/>
        <v>0</v>
      </c>
      <c r="AO107" s="431">
        <f t="shared" si="105"/>
        <v>0</v>
      </c>
      <c r="AP107" s="431">
        <f t="shared" si="105"/>
        <v>0</v>
      </c>
      <c r="AQ107" s="431">
        <f t="shared" si="105"/>
        <v>0</v>
      </c>
      <c r="AR107" s="431">
        <f t="shared" si="105"/>
        <v>0</v>
      </c>
      <c r="AS107" s="431">
        <f t="shared" si="105"/>
        <v>0</v>
      </c>
      <c r="AT107" s="431">
        <f t="shared" si="105"/>
        <v>0</v>
      </c>
      <c r="AU107" s="431">
        <f t="shared" si="105"/>
        <v>215366.530038</v>
      </c>
      <c r="AV107" s="431">
        <f t="shared" si="105"/>
        <v>215366.530038</v>
      </c>
      <c r="AW107" s="431">
        <f t="shared" ref="AW107:BP107" si="106">AW95+AW99+AW106</f>
        <v>0</v>
      </c>
      <c r="AX107" s="431">
        <f t="shared" si="106"/>
        <v>0</v>
      </c>
      <c r="AY107" s="431">
        <f t="shared" si="106"/>
        <v>0</v>
      </c>
      <c r="AZ107" s="431">
        <f t="shared" si="106"/>
        <v>0</v>
      </c>
      <c r="BA107" s="431">
        <f t="shared" si="106"/>
        <v>0</v>
      </c>
      <c r="BB107" s="431">
        <f t="shared" si="106"/>
        <v>0</v>
      </c>
      <c r="BC107" s="431">
        <f t="shared" si="106"/>
        <v>0</v>
      </c>
      <c r="BD107" s="431">
        <f t="shared" si="106"/>
        <v>0</v>
      </c>
      <c r="BE107" s="431">
        <f t="shared" si="106"/>
        <v>0</v>
      </c>
      <c r="BF107" s="431">
        <f t="shared" si="106"/>
        <v>0</v>
      </c>
      <c r="BG107" s="431">
        <f t="shared" si="106"/>
        <v>0</v>
      </c>
      <c r="BH107" s="431">
        <f t="shared" si="106"/>
        <v>0</v>
      </c>
      <c r="BI107" s="431">
        <f t="shared" si="106"/>
        <v>538416.32509499998</v>
      </c>
      <c r="BJ107" s="431">
        <f t="shared" si="106"/>
        <v>538416.32509499998</v>
      </c>
      <c r="BK107" s="431">
        <f t="shared" si="106"/>
        <v>0</v>
      </c>
      <c r="BL107" s="431">
        <f t="shared" si="106"/>
        <v>0</v>
      </c>
      <c r="BM107" s="431">
        <f t="shared" si="106"/>
        <v>0</v>
      </c>
      <c r="BN107" s="431">
        <f t="shared" si="106"/>
        <v>0</v>
      </c>
      <c r="BO107" s="431">
        <f t="shared" si="106"/>
        <v>0</v>
      </c>
      <c r="BP107" s="431">
        <f t="shared" si="106"/>
        <v>0</v>
      </c>
      <c r="BQ107" s="450">
        <f t="shared" si="47"/>
        <v>18088665.300379999</v>
      </c>
      <c r="BR107" s="451">
        <f t="shared" si="79"/>
        <v>18088665.300379999</v>
      </c>
      <c r="BS107" s="1193">
        <f t="shared" si="80"/>
        <v>0</v>
      </c>
    </row>
    <row r="108" spans="1:71" ht="19.5" customHeight="1">
      <c r="A108" s="38"/>
      <c r="B108" s="416"/>
      <c r="C108" s="1573" t="s">
        <v>254</v>
      </c>
      <c r="D108" s="1516"/>
      <c r="E108" s="1275" t="s">
        <v>255</v>
      </c>
      <c r="F108" s="484"/>
      <c r="G108" s="1303">
        <f>M81+M90</f>
        <v>652773800.82740998</v>
      </c>
      <c r="H108" s="1241" t="s">
        <v>256</v>
      </c>
      <c r="I108" s="1304">
        <v>2.8000000000000001E-2</v>
      </c>
      <c r="J108" s="1305">
        <v>0.5</v>
      </c>
      <c r="K108" s="1252" t="s">
        <v>257</v>
      </c>
      <c r="L108" s="385">
        <f t="shared" si="77"/>
        <v>9.7469901793061954E-3</v>
      </c>
      <c r="M108" s="1247">
        <f>G108*I108*J108</f>
        <v>9138833.2115837391</v>
      </c>
      <c r="N108" s="38"/>
      <c r="O108" s="436"/>
      <c r="P108" s="437"/>
      <c r="Q108" s="437"/>
      <c r="R108" s="437"/>
      <c r="S108" s="437"/>
      <c r="T108" s="437"/>
      <c r="U108" s="437"/>
      <c r="V108" s="437"/>
      <c r="W108" s="437"/>
      <c r="X108" s="437"/>
      <c r="Y108" s="437"/>
      <c r="Z108" s="437"/>
      <c r="AA108" s="437"/>
      <c r="AB108" s="437"/>
      <c r="AC108" s="437"/>
      <c r="AD108" s="437"/>
      <c r="AE108" s="437"/>
      <c r="AF108" s="437"/>
      <c r="AG108" s="437"/>
      <c r="AH108" s="437"/>
      <c r="AI108" s="437"/>
      <c r="AJ108" s="437"/>
      <c r="AK108" s="437"/>
      <c r="AL108" s="437"/>
      <c r="AM108" s="437"/>
      <c r="AN108" s="437"/>
      <c r="AO108" s="437"/>
      <c r="AP108" s="437"/>
      <c r="AQ108" s="437"/>
      <c r="AR108" s="437"/>
      <c r="AS108" s="437">
        <f t="shared" ref="AS108:AS110" si="107">$M108</f>
        <v>9138833.2115837391</v>
      </c>
      <c r="AT108" s="437"/>
      <c r="AU108" s="437"/>
      <c r="AV108" s="437"/>
      <c r="AW108" s="437"/>
      <c r="AX108" s="437"/>
      <c r="AY108" s="437"/>
      <c r="AZ108" s="437"/>
      <c r="BA108" s="437"/>
      <c r="BB108" s="437"/>
      <c r="BC108" s="1018"/>
      <c r="BD108" s="1018"/>
      <c r="BE108" s="1018"/>
      <c r="BF108" s="1018"/>
      <c r="BG108" s="1018"/>
      <c r="BH108" s="1018"/>
      <c r="BI108" s="437"/>
      <c r="BJ108" s="437"/>
      <c r="BK108" s="437"/>
      <c r="BL108" s="437"/>
      <c r="BM108" s="437"/>
      <c r="BN108" s="437"/>
      <c r="BO108" s="437"/>
      <c r="BP108" s="437"/>
      <c r="BQ108" s="424">
        <f t="shared" si="47"/>
        <v>9138833.2115837391</v>
      </c>
      <c r="BR108" s="425">
        <f t="shared" si="79"/>
        <v>9138833.2115837391</v>
      </c>
      <c r="BS108" s="1193">
        <f t="shared" si="80"/>
        <v>0</v>
      </c>
    </row>
    <row r="109" spans="1:71" ht="19.5" customHeight="1">
      <c r="A109" s="38"/>
      <c r="B109" s="416"/>
      <c r="C109" s="1574"/>
      <c r="D109" s="1517"/>
      <c r="E109" s="1249" t="s">
        <v>258</v>
      </c>
      <c r="F109" s="1306"/>
      <c r="G109" s="1307">
        <f>토지조서!H58</f>
        <v>89.4</v>
      </c>
      <c r="H109" s="1308" t="s">
        <v>259</v>
      </c>
      <c r="I109" s="1217" t="s">
        <v>260</v>
      </c>
      <c r="J109" s="1309">
        <f>G22+G38+G49</f>
        <v>1497</v>
      </c>
      <c r="K109" s="1310" t="s">
        <v>261</v>
      </c>
      <c r="L109" s="353">
        <f t="shared" si="77"/>
        <v>5.2178426420416398E-3</v>
      </c>
      <c r="M109" s="479">
        <f>M75*3.16%*30%</f>
        <v>4892278.821738001</v>
      </c>
      <c r="N109" s="38"/>
      <c r="O109" s="1248"/>
      <c r="P109" s="1018"/>
      <c r="Q109" s="1018"/>
      <c r="R109" s="1018"/>
      <c r="S109" s="1018"/>
      <c r="T109" s="1018"/>
      <c r="U109" s="1018"/>
      <c r="V109" s="1018"/>
      <c r="W109" s="1018"/>
      <c r="X109" s="1018"/>
      <c r="Y109" s="1018"/>
      <c r="Z109" s="1018"/>
      <c r="AA109" s="1018"/>
      <c r="AB109" s="1018"/>
      <c r="AC109" s="1018"/>
      <c r="AD109" s="1018"/>
      <c r="AE109" s="1018"/>
      <c r="AF109" s="1018"/>
      <c r="AG109" s="1018"/>
      <c r="AH109" s="1018"/>
      <c r="AI109" s="1018"/>
      <c r="AJ109" s="1018"/>
      <c r="AK109" s="1018"/>
      <c r="AL109" s="1018"/>
      <c r="AM109" s="1018"/>
      <c r="AN109" s="1018"/>
      <c r="AO109" s="1018"/>
      <c r="AP109" s="1018"/>
      <c r="AQ109" s="1018"/>
      <c r="AR109" s="1018"/>
      <c r="AS109" s="1018">
        <f t="shared" si="107"/>
        <v>4892278.821738001</v>
      </c>
      <c r="AT109" s="1018"/>
      <c r="AU109" s="1018"/>
      <c r="AV109" s="1018"/>
      <c r="AW109" s="1018"/>
      <c r="AX109" s="1018"/>
      <c r="AY109" s="1018"/>
      <c r="AZ109" s="1018"/>
      <c r="BA109" s="1018"/>
      <c r="BB109" s="1018"/>
      <c r="BC109" s="1018"/>
      <c r="BD109" s="1018"/>
      <c r="BE109" s="1018"/>
      <c r="BF109" s="1018"/>
      <c r="BG109" s="1018"/>
      <c r="BH109" s="1018"/>
      <c r="BI109" s="1018"/>
      <c r="BJ109" s="1018"/>
      <c r="BK109" s="1018"/>
      <c r="BL109" s="1018"/>
      <c r="BM109" s="1018"/>
      <c r="BN109" s="1018"/>
      <c r="BO109" s="1018"/>
      <c r="BP109" s="1018"/>
      <c r="BQ109" s="424">
        <f t="shared" si="47"/>
        <v>4892278.821738001</v>
      </c>
      <c r="BR109" s="425">
        <f t="shared" si="79"/>
        <v>4892278.821738001</v>
      </c>
      <c r="BS109" s="1193">
        <f t="shared" si="80"/>
        <v>0</v>
      </c>
    </row>
    <row r="110" spans="1:71" ht="19.5" customHeight="1">
      <c r="A110" s="38"/>
      <c r="B110" s="416"/>
      <c r="C110" s="1574"/>
      <c r="D110" s="1517"/>
      <c r="E110" s="1249" t="s">
        <v>205</v>
      </c>
      <c r="F110" s="1243"/>
      <c r="G110" s="1269">
        <f>G108</f>
        <v>652773800.82740998</v>
      </c>
      <c r="H110" s="1251" t="s">
        <v>256</v>
      </c>
      <c r="I110" s="1252">
        <v>0.11</v>
      </c>
      <c r="J110" s="1246" t="s">
        <v>206</v>
      </c>
      <c r="K110" s="1253">
        <v>3.1E-2</v>
      </c>
      <c r="L110" s="353">
        <f t="shared" si="77"/>
        <v>2.374088322245295E-3</v>
      </c>
      <c r="M110" s="426">
        <f>G110*I110*K110</f>
        <v>2225958.6608214681</v>
      </c>
      <c r="N110" s="38"/>
      <c r="O110" s="1248"/>
      <c r="P110" s="1018"/>
      <c r="Q110" s="1018"/>
      <c r="R110" s="1018"/>
      <c r="S110" s="1018"/>
      <c r="T110" s="1018"/>
      <c r="U110" s="1018"/>
      <c r="V110" s="1018"/>
      <c r="W110" s="1018"/>
      <c r="X110" s="1018"/>
      <c r="Y110" s="1018"/>
      <c r="Z110" s="1018"/>
      <c r="AA110" s="1018"/>
      <c r="AB110" s="1018"/>
      <c r="AC110" s="1018"/>
      <c r="AD110" s="1018"/>
      <c r="AE110" s="1018"/>
      <c r="AF110" s="1018"/>
      <c r="AG110" s="1018"/>
      <c r="AH110" s="1018"/>
      <c r="AI110" s="1018"/>
      <c r="AJ110" s="1018"/>
      <c r="AK110" s="1018"/>
      <c r="AL110" s="1018"/>
      <c r="AM110" s="1018"/>
      <c r="AN110" s="1018"/>
      <c r="AO110" s="1018"/>
      <c r="AP110" s="1018"/>
      <c r="AQ110" s="1018"/>
      <c r="AR110" s="1018"/>
      <c r="AS110" s="1018">
        <f t="shared" si="107"/>
        <v>2225958.6608214681</v>
      </c>
      <c r="AT110" s="1018"/>
      <c r="AU110" s="1018"/>
      <c r="AV110" s="1018"/>
      <c r="AW110" s="1018"/>
      <c r="AX110" s="1018"/>
      <c r="AY110" s="1018"/>
      <c r="AZ110" s="1018"/>
      <c r="BA110" s="1018"/>
      <c r="BB110" s="1018"/>
      <c r="BC110" s="1018"/>
      <c r="BD110" s="1018"/>
      <c r="BE110" s="1018"/>
      <c r="BF110" s="1018"/>
      <c r="BG110" s="1018"/>
      <c r="BH110" s="1018"/>
      <c r="BI110" s="1018"/>
      <c r="BJ110" s="1018"/>
      <c r="BK110" s="1018"/>
      <c r="BL110" s="1018"/>
      <c r="BM110" s="1018"/>
      <c r="BN110" s="1018"/>
      <c r="BO110" s="1018"/>
      <c r="BP110" s="1018"/>
      <c r="BQ110" s="424">
        <f t="shared" si="47"/>
        <v>2225958.6608214681</v>
      </c>
      <c r="BR110" s="425">
        <f t="shared" si="79"/>
        <v>2225958.6608214681</v>
      </c>
      <c r="BS110" s="1193"/>
    </row>
    <row r="111" spans="1:71" ht="19.5" customHeight="1">
      <c r="A111" s="38"/>
      <c r="B111" s="416"/>
      <c r="C111" s="1574"/>
      <c r="D111" s="1517"/>
      <c r="E111" s="1311" t="s">
        <v>262</v>
      </c>
      <c r="F111" s="1306"/>
      <c r="G111" s="1214">
        <f>G22+G38</f>
        <v>1231</v>
      </c>
      <c r="H111" s="1215" t="s">
        <v>192</v>
      </c>
      <c r="I111" s="1216">
        <v>1000</v>
      </c>
      <c r="J111" s="1217" t="s">
        <v>263</v>
      </c>
      <c r="K111" s="1204"/>
      <c r="L111" s="353">
        <f t="shared" si="77"/>
        <v>1.3129186880790668E-3</v>
      </c>
      <c r="M111" s="479">
        <f>G111*I111</f>
        <v>1231000</v>
      </c>
      <c r="N111" s="38"/>
      <c r="O111" s="1248"/>
      <c r="P111" s="1018"/>
      <c r="Q111" s="1018"/>
      <c r="R111" s="1018"/>
      <c r="S111" s="1018"/>
      <c r="T111" s="1018"/>
      <c r="U111" s="1018"/>
      <c r="V111" s="1018"/>
      <c r="W111" s="1018"/>
      <c r="X111" s="1018"/>
      <c r="Y111" s="1018"/>
      <c r="Z111" s="1018"/>
      <c r="AA111" s="1018"/>
      <c r="AB111" s="1018"/>
      <c r="AC111" s="1018"/>
      <c r="AD111" s="1018"/>
      <c r="AE111" s="1018"/>
      <c r="AF111" s="1018"/>
      <c r="AG111" s="1018"/>
      <c r="AH111" s="1018"/>
      <c r="AI111" s="1018"/>
      <c r="AJ111" s="1018"/>
      <c r="AK111" s="1018"/>
      <c r="AL111" s="1018"/>
      <c r="AM111" s="1018"/>
      <c r="AN111" s="1018"/>
      <c r="AO111" s="1018"/>
      <c r="AP111" s="1018"/>
      <c r="AQ111" s="1018"/>
      <c r="AR111" s="1018"/>
      <c r="AS111" s="1018"/>
      <c r="AT111" s="1018">
        <f>$M111</f>
        <v>1231000</v>
      </c>
      <c r="AU111" s="1018"/>
      <c r="AV111" s="1018"/>
      <c r="AW111" s="1018"/>
      <c r="AX111" s="1018"/>
      <c r="AY111" s="1018"/>
      <c r="AZ111" s="1018"/>
      <c r="BA111" s="1018"/>
      <c r="BB111" s="1018"/>
      <c r="BC111" s="1018"/>
      <c r="BD111" s="1018"/>
      <c r="BE111" s="1018"/>
      <c r="BF111" s="1018"/>
      <c r="BG111" s="1018"/>
      <c r="BH111" s="1018"/>
      <c r="BI111" s="1018"/>
      <c r="BJ111" s="1018"/>
      <c r="BK111" s="1018"/>
      <c r="BL111" s="1018"/>
      <c r="BM111" s="1018"/>
      <c r="BN111" s="1018"/>
      <c r="BO111" s="1018"/>
      <c r="BP111" s="1018"/>
      <c r="BQ111" s="424">
        <f t="shared" ref="BQ111:BQ140" si="108">SUM(P111:BP111)</f>
        <v>1231000</v>
      </c>
      <c r="BR111" s="425">
        <f t="shared" ref="BR111:BR140" si="109">M111</f>
        <v>1231000</v>
      </c>
      <c r="BS111" s="1193">
        <f t="shared" ref="BS111:BS140" si="110">BQ111-BR111</f>
        <v>0</v>
      </c>
    </row>
    <row r="112" spans="1:71" ht="19.5" customHeight="1">
      <c r="A112" s="38"/>
      <c r="B112" s="416"/>
      <c r="C112" s="1574"/>
      <c r="D112" s="1517"/>
      <c r="E112" s="1311" t="s">
        <v>264</v>
      </c>
      <c r="F112" s="1312"/>
      <c r="G112" s="1313"/>
      <c r="H112" s="38"/>
      <c r="I112" s="1314"/>
      <c r="J112" s="1315"/>
      <c r="K112" s="1316"/>
      <c r="L112" s="353">
        <f t="shared" si="77"/>
        <v>2.1330929132072568E-3</v>
      </c>
      <c r="M112" s="454">
        <v>2000000</v>
      </c>
      <c r="N112" s="38"/>
      <c r="O112" s="1248"/>
      <c r="P112" s="1018"/>
      <c r="Q112" s="1018"/>
      <c r="R112" s="1018"/>
      <c r="S112" s="1018"/>
      <c r="T112" s="1018"/>
      <c r="U112" s="1018"/>
      <c r="V112" s="1018"/>
      <c r="W112" s="1018"/>
      <c r="X112" s="1018"/>
      <c r="Y112" s="1018"/>
      <c r="Z112" s="1018"/>
      <c r="AA112" s="1018"/>
      <c r="AB112" s="1018"/>
      <c r="AC112" s="1018"/>
      <c r="AD112" s="1018"/>
      <c r="AE112" s="1018"/>
      <c r="AF112" s="1018"/>
      <c r="AG112" s="1018"/>
      <c r="AH112" s="1018"/>
      <c r="AI112" s="1018"/>
      <c r="AJ112" s="1018"/>
      <c r="AK112" s="1018"/>
      <c r="AL112" s="1018"/>
      <c r="AM112" s="1018"/>
      <c r="AN112" s="1018"/>
      <c r="AO112" s="1018"/>
      <c r="AP112" s="1018"/>
      <c r="AQ112" s="1018"/>
      <c r="AR112" s="1018"/>
      <c r="AS112" s="1018"/>
      <c r="AT112" s="1018">
        <f>$M$112</f>
        <v>2000000</v>
      </c>
      <c r="AU112" s="1018"/>
      <c r="AV112" s="1018"/>
      <c r="AW112" s="1018"/>
      <c r="AY112" s="1018"/>
      <c r="AZ112" s="1018"/>
      <c r="BA112" s="1018"/>
      <c r="BB112" s="1018"/>
      <c r="BC112" s="1018"/>
      <c r="BD112" s="1018"/>
      <c r="BE112" s="1018"/>
      <c r="BF112" s="1018"/>
      <c r="BG112" s="1018"/>
      <c r="BH112" s="1018"/>
      <c r="BI112" s="1018"/>
      <c r="BJ112" s="1018"/>
      <c r="BK112" s="1018"/>
      <c r="BL112" s="1018"/>
      <c r="BM112" s="1018"/>
      <c r="BN112" s="1018"/>
      <c r="BO112" s="1018"/>
      <c r="BP112" s="1018"/>
      <c r="BQ112" s="424">
        <f t="shared" si="108"/>
        <v>2000000</v>
      </c>
      <c r="BR112" s="425">
        <f t="shared" si="109"/>
        <v>2000000</v>
      </c>
      <c r="BS112" s="1193">
        <f t="shared" si="110"/>
        <v>0</v>
      </c>
    </row>
    <row r="113" spans="1:71" ht="19.5" customHeight="1">
      <c r="A113" s="38"/>
      <c r="B113" s="416"/>
      <c r="C113" s="1574"/>
      <c r="D113" s="1517"/>
      <c r="E113" s="1536" t="s">
        <v>265</v>
      </c>
      <c r="F113" s="461" t="s">
        <v>266</v>
      </c>
      <c r="G113" s="1317">
        <f>토지조서!$G$38</f>
        <v>704005</v>
      </c>
      <c r="H113" s="1215" t="s">
        <v>267</v>
      </c>
      <c r="I113" s="1318"/>
      <c r="J113" s="1319" t="s">
        <v>206</v>
      </c>
      <c r="K113" s="1320">
        <v>3</v>
      </c>
      <c r="L113" s="353">
        <f t="shared" si="77"/>
        <v>0</v>
      </c>
      <c r="M113" s="426">
        <f>0</f>
        <v>0</v>
      </c>
      <c r="N113" s="38"/>
      <c r="O113" s="1248"/>
      <c r="P113" s="1018"/>
      <c r="Q113" s="1018"/>
      <c r="R113" s="1018"/>
      <c r="S113" s="1018"/>
      <c r="T113" s="1018"/>
      <c r="V113" s="1018"/>
      <c r="W113" s="1018"/>
      <c r="X113" s="1018"/>
      <c r="Y113" s="1018">
        <f t="shared" ref="Y113:Y117" si="111">$M113/$K113</f>
        <v>0</v>
      </c>
      <c r="Z113" s="1018"/>
      <c r="AA113" s="1018"/>
      <c r="AB113" s="1018"/>
      <c r="AC113" s="1018"/>
      <c r="AD113" s="1018"/>
      <c r="AE113" s="1018"/>
      <c r="AF113" s="1018"/>
      <c r="AH113" s="1018"/>
      <c r="AI113" s="1018"/>
      <c r="AJ113" s="1018"/>
      <c r="AK113" s="1018"/>
      <c r="AL113" s="1018">
        <f t="shared" ref="AL113:AL117" si="112">$M113/$K113</f>
        <v>0</v>
      </c>
      <c r="AM113" s="1018"/>
      <c r="AN113" s="1018"/>
      <c r="AO113" s="1018"/>
      <c r="AP113" s="1018"/>
      <c r="AQ113" s="1018"/>
      <c r="AR113" s="1018"/>
      <c r="AS113" s="1018"/>
      <c r="AT113" s="1018"/>
      <c r="AU113" s="1018"/>
      <c r="AV113" s="1018"/>
      <c r="AW113" s="1018"/>
      <c r="AX113" s="1018">
        <f t="shared" ref="AX113:AX117" si="113">$M113/$K113</f>
        <v>0</v>
      </c>
      <c r="AY113" s="1018"/>
      <c r="AZ113" s="1018"/>
      <c r="BA113" s="1018"/>
      <c r="BB113" s="1018"/>
      <c r="BC113" s="1018"/>
      <c r="BD113" s="1018"/>
      <c r="BE113" s="1018"/>
      <c r="BF113" s="1018"/>
      <c r="BG113" s="1018"/>
      <c r="BH113" s="1018"/>
      <c r="BI113" s="1018"/>
      <c r="BJ113" s="1018"/>
      <c r="BK113" s="1018"/>
      <c r="BL113" s="1018"/>
      <c r="BM113" s="1018"/>
      <c r="BN113" s="1018"/>
      <c r="BO113" s="1018"/>
      <c r="BP113" s="1018"/>
      <c r="BQ113" s="424">
        <f t="shared" si="108"/>
        <v>0</v>
      </c>
      <c r="BR113" s="425">
        <f t="shared" si="109"/>
        <v>0</v>
      </c>
      <c r="BS113" s="1193">
        <f t="shared" si="110"/>
        <v>0</v>
      </c>
    </row>
    <row r="114" spans="1:71" ht="19.5" customHeight="1">
      <c r="A114" s="38"/>
      <c r="B114" s="416"/>
      <c r="C114" s="1574"/>
      <c r="D114" s="1517"/>
      <c r="E114" s="1520"/>
      <c r="F114" s="461" t="s">
        <v>268</v>
      </c>
      <c r="G114" s="1317">
        <f>토지조서!$G$38</f>
        <v>704005</v>
      </c>
      <c r="H114" s="1215" t="s">
        <v>269</v>
      </c>
      <c r="I114" s="1321">
        <v>1.4E-3</v>
      </c>
      <c r="J114" s="1319" t="s">
        <v>206</v>
      </c>
      <c r="K114" s="1320">
        <v>3</v>
      </c>
      <c r="L114" s="353">
        <f t="shared" si="77"/>
        <v>0</v>
      </c>
      <c r="M114" s="426">
        <f>0</f>
        <v>0</v>
      </c>
      <c r="N114" s="38"/>
      <c r="O114" s="1248"/>
      <c r="P114" s="1018"/>
      <c r="Q114" s="1018"/>
      <c r="R114" s="1018"/>
      <c r="S114" s="1018"/>
      <c r="T114" s="1018"/>
      <c r="V114" s="1018"/>
      <c r="W114" s="1018"/>
      <c r="X114" s="1018"/>
      <c r="Y114" s="1018">
        <f t="shared" si="111"/>
        <v>0</v>
      </c>
      <c r="Z114" s="1018"/>
      <c r="AA114" s="1018"/>
      <c r="AB114" s="1018"/>
      <c r="AC114" s="1018"/>
      <c r="AD114" s="1018"/>
      <c r="AE114" s="1018"/>
      <c r="AF114" s="1018"/>
      <c r="AH114" s="1018"/>
      <c r="AI114" s="1018"/>
      <c r="AJ114" s="1018"/>
      <c r="AK114" s="1018"/>
      <c r="AL114" s="1018">
        <f t="shared" si="112"/>
        <v>0</v>
      </c>
      <c r="AM114" s="1018"/>
      <c r="AN114" s="1018"/>
      <c r="AO114" s="1018"/>
      <c r="AP114" s="1018"/>
      <c r="AQ114" s="1018"/>
      <c r="AR114" s="1018"/>
      <c r="AS114" s="1018"/>
      <c r="AT114" s="1018"/>
      <c r="AU114" s="1018"/>
      <c r="AV114" s="1018"/>
      <c r="AW114" s="1018"/>
      <c r="AX114" s="1018">
        <f t="shared" si="113"/>
        <v>0</v>
      </c>
      <c r="AY114" s="1018"/>
      <c r="AZ114" s="1018"/>
      <c r="BA114" s="1018"/>
      <c r="BB114" s="1018"/>
      <c r="BC114" s="1018"/>
      <c r="BD114" s="1018"/>
      <c r="BE114" s="1018"/>
      <c r="BF114" s="1018"/>
      <c r="BG114" s="1018"/>
      <c r="BH114" s="1018"/>
      <c r="BI114" s="1018"/>
      <c r="BJ114" s="1018"/>
      <c r="BK114" s="1018"/>
      <c r="BL114" s="1018"/>
      <c r="BM114" s="1018"/>
      <c r="BN114" s="1018"/>
      <c r="BO114" s="1018"/>
      <c r="BP114" s="1018"/>
      <c r="BQ114" s="424">
        <f t="shared" si="108"/>
        <v>0</v>
      </c>
      <c r="BR114" s="425">
        <f t="shared" si="109"/>
        <v>0</v>
      </c>
      <c r="BS114" s="1193">
        <f t="shared" si="110"/>
        <v>0</v>
      </c>
    </row>
    <row r="115" spans="1:71" ht="19.5" customHeight="1">
      <c r="A115" s="38"/>
      <c r="B115" s="416"/>
      <c r="C115" s="1574"/>
      <c r="D115" s="1517"/>
      <c r="E115" s="1520"/>
      <c r="F115" s="461" t="s">
        <v>270</v>
      </c>
      <c r="G115" s="1206" t="s">
        <v>271</v>
      </c>
      <c r="H115" s="1322">
        <v>0.2</v>
      </c>
      <c r="I115" s="1318"/>
      <c r="J115" s="1319" t="s">
        <v>206</v>
      </c>
      <c r="K115" s="1320">
        <v>3</v>
      </c>
      <c r="L115" s="353">
        <f t="shared" si="77"/>
        <v>0</v>
      </c>
      <c r="M115" s="426">
        <f>M113*H115</f>
        <v>0</v>
      </c>
      <c r="N115" s="38"/>
      <c r="O115" s="1248"/>
      <c r="P115" s="1018"/>
      <c r="Q115" s="1018"/>
      <c r="R115" s="1018"/>
      <c r="S115" s="1018"/>
      <c r="T115" s="1018"/>
      <c r="V115" s="1018"/>
      <c r="W115" s="1018"/>
      <c r="X115" s="1018"/>
      <c r="Y115" s="1018">
        <f t="shared" si="111"/>
        <v>0</v>
      </c>
      <c r="Z115" s="1018"/>
      <c r="AA115" s="1018"/>
      <c r="AB115" s="1018"/>
      <c r="AC115" s="1018"/>
      <c r="AD115" s="1018"/>
      <c r="AE115" s="1018"/>
      <c r="AF115" s="1018"/>
      <c r="AH115" s="1018"/>
      <c r="AI115" s="1018"/>
      <c r="AJ115" s="1018"/>
      <c r="AK115" s="1018"/>
      <c r="AL115" s="1018">
        <f t="shared" si="112"/>
        <v>0</v>
      </c>
      <c r="AM115" s="1018"/>
      <c r="AN115" s="1018"/>
      <c r="AO115" s="1018"/>
      <c r="AP115" s="1018"/>
      <c r="AQ115" s="1018"/>
      <c r="AR115" s="1018"/>
      <c r="AS115" s="1018"/>
      <c r="AT115" s="1018"/>
      <c r="AU115" s="1018"/>
      <c r="AV115" s="1018"/>
      <c r="AW115" s="1018"/>
      <c r="AX115" s="1018">
        <f t="shared" si="113"/>
        <v>0</v>
      </c>
      <c r="AY115" s="1018"/>
      <c r="AZ115" s="1018"/>
      <c r="BA115" s="1018"/>
      <c r="BB115" s="1018"/>
      <c r="BC115" s="1018"/>
      <c r="BD115" s="1018"/>
      <c r="BE115" s="1018"/>
      <c r="BF115" s="1018"/>
      <c r="BG115" s="1018"/>
      <c r="BH115" s="1018"/>
      <c r="BI115" s="1018"/>
      <c r="BJ115" s="1018"/>
      <c r="BK115" s="1018"/>
      <c r="BL115" s="1018"/>
      <c r="BM115" s="1018"/>
      <c r="BN115" s="1018"/>
      <c r="BO115" s="1018"/>
      <c r="BP115" s="1018"/>
      <c r="BQ115" s="424">
        <f t="shared" si="108"/>
        <v>0</v>
      </c>
      <c r="BR115" s="425">
        <f t="shared" si="109"/>
        <v>0</v>
      </c>
      <c r="BS115" s="1193">
        <f t="shared" si="110"/>
        <v>0</v>
      </c>
    </row>
    <row r="116" spans="1:71" ht="19.5" customHeight="1">
      <c r="A116" s="38"/>
      <c r="B116" s="416"/>
      <c r="C116" s="1574"/>
      <c r="D116" s="1517"/>
      <c r="E116" s="1520"/>
      <c r="F116" s="461" t="s">
        <v>272</v>
      </c>
      <c r="G116" s="1317">
        <f>토지조서!$G$38</f>
        <v>704005</v>
      </c>
      <c r="H116" s="1215" t="s">
        <v>267</v>
      </c>
      <c r="I116" s="1318"/>
      <c r="J116" s="1319" t="s">
        <v>206</v>
      </c>
      <c r="K116" s="1320">
        <v>3</v>
      </c>
      <c r="L116" s="353">
        <f t="shared" si="77"/>
        <v>0</v>
      </c>
      <c r="M116" s="426">
        <f>세금!C50*K116</f>
        <v>0</v>
      </c>
      <c r="N116" s="38"/>
      <c r="O116" s="1248"/>
      <c r="P116" s="1018"/>
      <c r="Q116" s="1018"/>
      <c r="R116" s="1018"/>
      <c r="S116" s="1018"/>
      <c r="T116" s="1018"/>
      <c r="V116" s="1018"/>
      <c r="W116" s="1018"/>
      <c r="X116" s="1018"/>
      <c r="Y116" s="1018">
        <f t="shared" si="111"/>
        <v>0</v>
      </c>
      <c r="Z116" s="1018"/>
      <c r="AA116" s="1018"/>
      <c r="AB116" s="1018"/>
      <c r="AC116" s="1018"/>
      <c r="AD116" s="1018"/>
      <c r="AE116" s="1018"/>
      <c r="AF116" s="1018"/>
      <c r="AH116" s="1018"/>
      <c r="AI116" s="1018"/>
      <c r="AJ116" s="1018"/>
      <c r="AK116" s="1018"/>
      <c r="AL116" s="1018">
        <f t="shared" si="112"/>
        <v>0</v>
      </c>
      <c r="AM116" s="1018"/>
      <c r="AN116" s="1018"/>
      <c r="AO116" s="1018"/>
      <c r="AP116" s="1018"/>
      <c r="AQ116" s="1018"/>
      <c r="AR116" s="1018"/>
      <c r="AS116" s="1018"/>
      <c r="AT116" s="1018"/>
      <c r="AU116" s="1018"/>
      <c r="AV116" s="1018"/>
      <c r="AW116" s="1018"/>
      <c r="AX116" s="1018">
        <f t="shared" si="113"/>
        <v>0</v>
      </c>
      <c r="AY116" s="1018"/>
      <c r="AZ116" s="1018"/>
      <c r="BA116" s="1018"/>
      <c r="BB116" s="1018"/>
      <c r="BC116" s="1018"/>
      <c r="BD116" s="1018"/>
      <c r="BE116" s="1018"/>
      <c r="BF116" s="1018"/>
      <c r="BG116" s="1018"/>
      <c r="BH116" s="1018"/>
      <c r="BI116" s="1018"/>
      <c r="BJ116" s="1018"/>
      <c r="BK116" s="1018"/>
      <c r="BL116" s="1018"/>
      <c r="BM116" s="1018"/>
      <c r="BN116" s="1018"/>
      <c r="BO116" s="1018"/>
      <c r="BP116" s="1018"/>
      <c r="BQ116" s="424">
        <f t="shared" si="108"/>
        <v>0</v>
      </c>
      <c r="BR116" s="425">
        <f t="shared" si="109"/>
        <v>0</v>
      </c>
      <c r="BS116" s="1193">
        <f t="shared" si="110"/>
        <v>0</v>
      </c>
    </row>
    <row r="117" spans="1:71" ht="19.5" customHeight="1">
      <c r="A117" s="38"/>
      <c r="B117" s="416"/>
      <c r="C117" s="1574"/>
      <c r="D117" s="1517"/>
      <c r="E117" s="1537"/>
      <c r="F117" s="461" t="s">
        <v>273</v>
      </c>
      <c r="G117" s="1206" t="s">
        <v>274</v>
      </c>
      <c r="H117" s="1322">
        <v>0.2</v>
      </c>
      <c r="I117" s="1318"/>
      <c r="J117" s="1319" t="s">
        <v>206</v>
      </c>
      <c r="K117" s="1320">
        <v>3</v>
      </c>
      <c r="L117" s="353">
        <f t="shared" si="77"/>
        <v>0</v>
      </c>
      <c r="M117" s="426">
        <f>M116*H117</f>
        <v>0</v>
      </c>
      <c r="N117" s="38"/>
      <c r="O117" s="1248"/>
      <c r="P117" s="1018"/>
      <c r="Q117" s="1018"/>
      <c r="R117" s="1018"/>
      <c r="S117" s="1018"/>
      <c r="T117" s="1018"/>
      <c r="V117" s="1018"/>
      <c r="W117" s="1018"/>
      <c r="X117" s="1018"/>
      <c r="Y117" s="1018">
        <f t="shared" si="111"/>
        <v>0</v>
      </c>
      <c r="Z117" s="1018"/>
      <c r="AA117" s="1018"/>
      <c r="AB117" s="1018"/>
      <c r="AC117" s="1018"/>
      <c r="AD117" s="1018"/>
      <c r="AE117" s="1018"/>
      <c r="AF117" s="1018"/>
      <c r="AH117" s="1018"/>
      <c r="AI117" s="1018"/>
      <c r="AJ117" s="1018"/>
      <c r="AK117" s="1018"/>
      <c r="AL117" s="1018">
        <f t="shared" si="112"/>
        <v>0</v>
      </c>
      <c r="AM117" s="1018"/>
      <c r="AN117" s="1018"/>
      <c r="AO117" s="1018"/>
      <c r="AP117" s="1018"/>
      <c r="AQ117" s="1018"/>
      <c r="AR117" s="1018"/>
      <c r="AS117" s="1018"/>
      <c r="AT117" s="1018"/>
      <c r="AU117" s="1018"/>
      <c r="AV117" s="1018"/>
      <c r="AW117" s="1018"/>
      <c r="AX117" s="1018">
        <f t="shared" si="113"/>
        <v>0</v>
      </c>
      <c r="AY117" s="1018"/>
      <c r="AZ117" s="1018"/>
      <c r="BA117" s="1018"/>
      <c r="BB117" s="1018"/>
      <c r="BC117" s="1018"/>
      <c r="BD117" s="1018"/>
      <c r="BE117" s="1018"/>
      <c r="BF117" s="1018"/>
      <c r="BG117" s="1018"/>
      <c r="BH117" s="1018"/>
      <c r="BI117" s="1018"/>
      <c r="BJ117" s="1018"/>
      <c r="BK117" s="1018"/>
      <c r="BL117" s="1018"/>
      <c r="BM117" s="1018"/>
      <c r="BN117" s="1018"/>
      <c r="BO117" s="1018"/>
      <c r="BP117" s="1018"/>
      <c r="BQ117" s="424">
        <f t="shared" si="108"/>
        <v>0</v>
      </c>
      <c r="BR117" s="425">
        <f t="shared" si="109"/>
        <v>0</v>
      </c>
      <c r="BS117" s="1193">
        <f t="shared" si="110"/>
        <v>0</v>
      </c>
    </row>
    <row r="118" spans="1:71" ht="19.5" customHeight="1">
      <c r="A118" s="38"/>
      <c r="B118" s="416"/>
      <c r="C118" s="1574"/>
      <c r="D118" s="1517"/>
      <c r="E118" s="1311" t="s">
        <v>275</v>
      </c>
      <c r="F118" s="1306"/>
      <c r="G118" s="1614" t="s">
        <v>276</v>
      </c>
      <c r="H118" s="1585"/>
      <c r="I118" s="1323"/>
      <c r="J118" s="1318"/>
      <c r="K118" s="1324"/>
      <c r="L118" s="353">
        <f t="shared" si="77"/>
        <v>0</v>
      </c>
      <c r="M118" s="485">
        <v>0</v>
      </c>
      <c r="N118" s="38"/>
      <c r="O118" s="1248"/>
      <c r="P118" s="1018"/>
      <c r="Q118" s="1018"/>
      <c r="R118" s="1018"/>
      <c r="S118" s="1018"/>
      <c r="T118" s="1018"/>
      <c r="U118" s="1018"/>
      <c r="V118" s="1018"/>
      <c r="W118" s="1018"/>
      <c r="X118" s="1018"/>
      <c r="Y118" s="1018"/>
      <c r="Z118" s="1018"/>
      <c r="AA118" s="1018"/>
      <c r="AB118" s="1018"/>
      <c r="AC118" s="1018"/>
      <c r="AD118" s="1018"/>
      <c r="AE118" s="1018"/>
      <c r="AF118" s="1018"/>
      <c r="AG118" s="1018"/>
      <c r="AH118" s="1018"/>
      <c r="AI118" s="1018"/>
      <c r="AJ118" s="1018"/>
      <c r="AK118" s="1018"/>
      <c r="AL118" s="1018"/>
      <c r="AM118" s="1018"/>
      <c r="AN118" s="1018"/>
      <c r="AO118" s="1018"/>
      <c r="AP118" s="1018"/>
      <c r="AQ118" s="1018"/>
      <c r="AR118" s="1018"/>
      <c r="AS118" s="1018"/>
      <c r="AT118" s="1018"/>
      <c r="AU118" s="1018">
        <f>$M118</f>
        <v>0</v>
      </c>
      <c r="AV118" s="1018"/>
      <c r="AW118" s="1018"/>
      <c r="AX118" s="1018"/>
      <c r="AY118" s="1018"/>
      <c r="AZ118" s="1018"/>
      <c r="BA118" s="1018"/>
      <c r="BB118" s="1018"/>
      <c r="BC118" s="1018"/>
      <c r="BD118" s="1018"/>
      <c r="BE118" s="1018"/>
      <c r="BF118" s="1018"/>
      <c r="BG118" s="1018"/>
      <c r="BH118" s="1018"/>
      <c r="BI118" s="1018"/>
      <c r="BJ118" s="1018"/>
      <c r="BK118" s="1018"/>
      <c r="BL118" s="1018"/>
      <c r="BM118" s="1018"/>
      <c r="BN118" s="1018"/>
      <c r="BO118" s="1018"/>
      <c r="BP118" s="1018"/>
      <c r="BQ118" s="424">
        <f t="shared" si="108"/>
        <v>0</v>
      </c>
      <c r="BR118" s="425">
        <f t="shared" si="109"/>
        <v>0</v>
      </c>
      <c r="BS118" s="1193">
        <f t="shared" si="110"/>
        <v>0</v>
      </c>
    </row>
    <row r="119" spans="1:71" ht="19.5" customHeight="1">
      <c r="A119" s="38"/>
      <c r="B119" s="416"/>
      <c r="C119" s="1574"/>
      <c r="D119" s="1517"/>
      <c r="E119" s="442" t="s">
        <v>277</v>
      </c>
      <c r="F119" s="461"/>
      <c r="G119" s="1614" t="s">
        <v>276</v>
      </c>
      <c r="H119" s="1585"/>
      <c r="I119" s="1323"/>
      <c r="J119" s="1318"/>
      <c r="K119" s="1324"/>
      <c r="L119" s="353">
        <f t="shared" si="77"/>
        <v>0</v>
      </c>
      <c r="M119" s="479">
        <v>0</v>
      </c>
      <c r="N119" s="38"/>
      <c r="O119" s="1248"/>
      <c r="P119" s="293"/>
      <c r="Q119" s="1018"/>
      <c r="R119" s="1018"/>
      <c r="S119" s="1018"/>
      <c r="T119" s="1018"/>
      <c r="U119" s="1018"/>
      <c r="V119" s="1018"/>
      <c r="W119" s="1018"/>
      <c r="X119" s="1018"/>
      <c r="Y119" s="1018"/>
      <c r="Z119" s="1018"/>
      <c r="AA119" s="1018"/>
      <c r="AB119" s="1018"/>
      <c r="AC119" s="1018"/>
      <c r="AD119" s="1018"/>
      <c r="AE119" s="1018"/>
      <c r="AF119" s="1018"/>
      <c r="AG119" s="1018">
        <f>$M119</f>
        <v>0</v>
      </c>
      <c r="AH119" s="1018"/>
      <c r="AI119" s="1018"/>
      <c r="AJ119" s="1018"/>
      <c r="AK119" s="1018"/>
      <c r="AL119" s="1018"/>
      <c r="AM119" s="1018"/>
      <c r="AN119" s="1018"/>
      <c r="AO119" s="1018"/>
      <c r="AP119" s="1018"/>
      <c r="AQ119" s="1018"/>
      <c r="AR119" s="1018"/>
      <c r="AS119" s="1018"/>
      <c r="AT119" s="1018"/>
      <c r="AU119" s="1018"/>
      <c r="AV119" s="1018"/>
      <c r="AW119" s="1018"/>
      <c r="AX119" s="1018"/>
      <c r="AY119" s="1018"/>
      <c r="AZ119" s="1018"/>
      <c r="BA119" s="1018"/>
      <c r="BB119" s="1018"/>
      <c r="BC119" s="1018"/>
      <c r="BD119" s="1018"/>
      <c r="BE119" s="1018"/>
      <c r="BF119" s="1018"/>
      <c r="BG119" s="1018"/>
      <c r="BH119" s="1018"/>
      <c r="BI119" s="1018"/>
      <c r="BJ119" s="1018"/>
      <c r="BK119" s="1018"/>
      <c r="BL119" s="1018"/>
      <c r="BM119" s="1018"/>
      <c r="BN119" s="1018"/>
      <c r="BO119" s="1018"/>
      <c r="BP119" s="1018"/>
      <c r="BQ119" s="424">
        <f t="shared" si="108"/>
        <v>0</v>
      </c>
      <c r="BR119" s="425">
        <f t="shared" si="109"/>
        <v>0</v>
      </c>
      <c r="BS119" s="1193">
        <f t="shared" si="110"/>
        <v>0</v>
      </c>
    </row>
    <row r="120" spans="1:71" ht="19.5" customHeight="1">
      <c r="A120" s="38"/>
      <c r="B120" s="416"/>
      <c r="C120" s="1574"/>
      <c r="D120" s="1517"/>
      <c r="E120" s="442" t="s">
        <v>278</v>
      </c>
      <c r="F120" s="38"/>
      <c r="G120" s="1614" t="s">
        <v>276</v>
      </c>
      <c r="H120" s="1585"/>
      <c r="I120" s="1325"/>
      <c r="J120" s="1326"/>
      <c r="K120" s="486"/>
      <c r="L120" s="353">
        <f t="shared" si="77"/>
        <v>0</v>
      </c>
      <c r="M120" s="479">
        <v>0</v>
      </c>
      <c r="N120" s="38"/>
      <c r="O120" s="1248"/>
      <c r="P120" s="293"/>
      <c r="Q120" s="1018"/>
      <c r="R120" s="1018"/>
      <c r="S120" s="1018"/>
      <c r="T120" s="1018"/>
      <c r="U120" s="1018"/>
      <c r="V120" s="1018"/>
      <c r="W120" s="1018"/>
      <c r="X120" s="1018"/>
      <c r="Y120" s="1018"/>
      <c r="Z120" s="1018"/>
      <c r="AA120" s="1018"/>
      <c r="AB120" s="1018"/>
      <c r="AC120" s="1018"/>
      <c r="AD120" s="1018"/>
      <c r="AE120" s="1018"/>
      <c r="AF120" s="1018"/>
      <c r="AG120" s="1018"/>
      <c r="AH120" s="1018"/>
      <c r="AI120" s="1018">
        <f>$M120</f>
        <v>0</v>
      </c>
      <c r="AJ120" s="1018"/>
      <c r="AK120" s="1018"/>
      <c r="AL120" s="1018"/>
      <c r="AM120" s="1018"/>
      <c r="AN120" s="1018"/>
      <c r="AO120" s="1018"/>
      <c r="AP120" s="1018"/>
      <c r="AQ120" s="1018"/>
      <c r="AR120" s="1018"/>
      <c r="AS120" s="1018"/>
      <c r="AT120" s="1018"/>
      <c r="AU120" s="1018"/>
      <c r="AV120" s="1018"/>
      <c r="AW120" s="1018"/>
      <c r="AX120" s="1018"/>
      <c r="AY120" s="1018"/>
      <c r="AZ120" s="1018"/>
      <c r="BA120" s="1018"/>
      <c r="BB120" s="1018"/>
      <c r="BC120" s="1018"/>
      <c r="BD120" s="1018"/>
      <c r="BE120" s="1018"/>
      <c r="BF120" s="1018"/>
      <c r="BG120" s="1018"/>
      <c r="BH120" s="1018"/>
      <c r="BI120" s="1018"/>
      <c r="BJ120" s="1018"/>
      <c r="BK120" s="1018"/>
      <c r="BL120" s="1018"/>
      <c r="BM120" s="1018"/>
      <c r="BN120" s="1018"/>
      <c r="BO120" s="1018"/>
      <c r="BP120" s="1018"/>
      <c r="BQ120" s="424">
        <f t="shared" si="108"/>
        <v>0</v>
      </c>
      <c r="BR120" s="425">
        <f t="shared" si="109"/>
        <v>0</v>
      </c>
      <c r="BS120" s="1193">
        <f t="shared" si="110"/>
        <v>0</v>
      </c>
    </row>
    <row r="121" spans="1:71" ht="19.5" customHeight="1">
      <c r="A121" s="38"/>
      <c r="B121" s="416"/>
      <c r="C121" s="1574"/>
      <c r="D121" s="1517"/>
      <c r="E121" s="442" t="s">
        <v>279</v>
      </c>
      <c r="F121" s="461"/>
      <c r="G121" s="1317" t="s">
        <v>280</v>
      </c>
      <c r="H121" s="1319"/>
      <c r="I121" s="1323"/>
      <c r="J121" s="1318" t="s">
        <v>281</v>
      </c>
      <c r="K121" s="1327"/>
      <c r="L121" s="353">
        <f t="shared" si="77"/>
        <v>5.7743293035253124E-3</v>
      </c>
      <c r="M121" s="426">
        <f>IF(G22&lt;100,0,M22*0.8%)</f>
        <v>5414043.8682000004</v>
      </c>
      <c r="N121" s="38"/>
      <c r="O121" s="1248"/>
      <c r="P121" s="293"/>
      <c r="Q121" s="1018"/>
      <c r="R121" s="1018"/>
      <c r="S121" s="1018"/>
      <c r="T121" s="1018"/>
      <c r="U121" s="1018"/>
      <c r="V121" s="1018"/>
      <c r="W121" s="1018"/>
      <c r="X121" s="1018"/>
      <c r="Y121" s="1018"/>
      <c r="Z121" s="1018"/>
      <c r="AA121" s="1018"/>
      <c r="AB121" s="1018">
        <f>$M121</f>
        <v>5414043.8682000004</v>
      </c>
      <c r="AC121" s="1018"/>
      <c r="AD121" s="1018"/>
      <c r="AE121" s="1018"/>
      <c r="AF121" s="1018"/>
      <c r="AG121" s="1018"/>
      <c r="AH121" s="1018"/>
      <c r="AI121" s="1018"/>
      <c r="AJ121" s="1018"/>
      <c r="AK121" s="1018"/>
      <c r="AL121" s="1018"/>
      <c r="AM121" s="1018"/>
      <c r="AN121" s="1018"/>
      <c r="AO121" s="1018"/>
      <c r="AP121" s="1018"/>
      <c r="AQ121" s="1018"/>
      <c r="AR121" s="1018"/>
      <c r="AS121" s="1018"/>
      <c r="AT121" s="1018"/>
      <c r="AU121" s="1018"/>
      <c r="AV121" s="1018"/>
      <c r="AW121" s="1018"/>
      <c r="AX121" s="1018"/>
      <c r="AY121" s="1018"/>
      <c r="AZ121" s="1018"/>
      <c r="BA121" s="1018"/>
      <c r="BB121" s="1018"/>
      <c r="BC121" s="1018"/>
      <c r="BD121" s="1018"/>
      <c r="BE121" s="1018"/>
      <c r="BF121" s="1018"/>
      <c r="BG121" s="1018"/>
      <c r="BH121" s="1018"/>
      <c r="BI121" s="1018"/>
      <c r="BJ121" s="1018"/>
      <c r="BK121" s="1018"/>
      <c r="BL121" s="1018"/>
      <c r="BM121" s="1018"/>
      <c r="BN121" s="1018"/>
      <c r="BO121" s="1018"/>
      <c r="BP121" s="1018"/>
      <c r="BQ121" s="424">
        <f t="shared" si="108"/>
        <v>5414043.8682000004</v>
      </c>
      <c r="BR121" s="425">
        <f t="shared" si="109"/>
        <v>5414043.8682000004</v>
      </c>
      <c r="BS121" s="1193">
        <f t="shared" si="110"/>
        <v>0</v>
      </c>
    </row>
    <row r="122" spans="1:71" ht="19.5" customHeight="1">
      <c r="A122" s="38"/>
      <c r="B122" s="416"/>
      <c r="C122" s="1574"/>
      <c r="D122" s="1517"/>
      <c r="E122" s="442" t="s">
        <v>282</v>
      </c>
      <c r="F122" s="443" t="s">
        <v>283</v>
      </c>
      <c r="G122" s="1317"/>
      <c r="H122" s="1217" t="s">
        <v>284</v>
      </c>
      <c r="I122" s="1323"/>
      <c r="J122" s="1318"/>
      <c r="K122" s="1324"/>
      <c r="L122" s="353">
        <f t="shared" si="77"/>
        <v>2.6663661415090714E-7</v>
      </c>
      <c r="M122" s="487">
        <f>IF(I38&lt;50000,250,IF(I38&lt;500000,(I38-50000)*0.11%+250,IF(I38&lt;1000000,(I38-500000*0.09%)+745,IF(I38&lt;5000000,(I38-1000000)*0.08%+1195,IF(I38&lt;10000000,(I38-5000000)*0.07%+4395,IF(I38&lt;50000000,(I38-10000000)*0.06%+7895,IF(I38&lt;100000000,(I38-50000000)*0.05%+31895,IF(I38&lt;300000000,(I38-100000000)*0.04%+56895,IF(I38&lt;600000000,(I38-300000000)*0.03%+136895,IF(I38&lt;1000000000,(I38-600000000)*0.02%+226895,(I38-1000000000)*0.01%+306895))))))))))</f>
        <v>250</v>
      </c>
      <c r="N122" s="38"/>
      <c r="O122" s="1248"/>
      <c r="P122" s="293"/>
      <c r="Q122" s="1018"/>
      <c r="R122" s="1018"/>
      <c r="S122" s="1018"/>
      <c r="T122" s="1018">
        <f>$M$122*50%</f>
        <v>125</v>
      </c>
      <c r="U122" s="1018"/>
      <c r="V122" s="1018">
        <f>$M$122*50%</f>
        <v>125</v>
      </c>
      <c r="W122" s="1018"/>
      <c r="X122" s="1018"/>
      <c r="Y122" s="1018"/>
      <c r="Z122" s="1018"/>
      <c r="AA122" s="1018"/>
      <c r="AB122" s="1018"/>
      <c r="AC122" s="1018"/>
      <c r="AD122" s="1018"/>
      <c r="AE122" s="1018"/>
      <c r="AF122" s="1018"/>
      <c r="AG122" s="1018"/>
      <c r="AH122" s="1018"/>
      <c r="AI122" s="1018"/>
      <c r="AJ122" s="1018"/>
      <c r="AK122" s="1018"/>
      <c r="AL122" s="1018"/>
      <c r="AM122" s="1018"/>
      <c r="AN122" s="1018"/>
      <c r="AO122" s="1018"/>
      <c r="AP122" s="1018"/>
      <c r="AQ122" s="1018"/>
      <c r="AR122" s="1018"/>
      <c r="AS122" s="1018"/>
      <c r="AT122" s="1018"/>
      <c r="AU122" s="1018"/>
      <c r="AV122" s="1018"/>
      <c r="AW122" s="1018"/>
      <c r="AX122" s="1018"/>
      <c r="AY122" s="1018"/>
      <c r="AZ122" s="1018"/>
      <c r="BA122" s="1018"/>
      <c r="BB122" s="1018"/>
      <c r="BC122" s="1018"/>
      <c r="BD122" s="1018"/>
      <c r="BE122" s="1018"/>
      <c r="BF122" s="1018"/>
      <c r="BG122" s="1018"/>
      <c r="BH122" s="1018"/>
      <c r="BI122" s="1018"/>
      <c r="BJ122" s="1018"/>
      <c r="BK122" s="1018"/>
      <c r="BL122" s="1018"/>
      <c r="BM122" s="1018"/>
      <c r="BN122" s="1018"/>
      <c r="BO122" s="1018"/>
      <c r="BP122" s="1018"/>
      <c r="BQ122" s="424">
        <f t="shared" si="108"/>
        <v>250</v>
      </c>
      <c r="BR122" s="425">
        <f t="shared" si="109"/>
        <v>250</v>
      </c>
      <c r="BS122" s="1193">
        <f t="shared" si="110"/>
        <v>0</v>
      </c>
    </row>
    <row r="123" spans="1:71" ht="19.5" customHeight="1">
      <c r="A123" s="38"/>
      <c r="B123" s="416"/>
      <c r="C123" s="1574"/>
      <c r="D123" s="1517"/>
      <c r="E123" s="1264" t="s">
        <v>285</v>
      </c>
      <c r="F123" s="1306"/>
      <c r="G123" s="1317">
        <f>M22+M38+M49</f>
        <v>915952359.65730822</v>
      </c>
      <c r="H123" s="1217" t="s">
        <v>204</v>
      </c>
      <c r="I123" s="1328">
        <v>2.5000000000000001E-3</v>
      </c>
      <c r="J123" s="1318" t="s">
        <v>286</v>
      </c>
      <c r="K123" s="1329">
        <f>($L$12+3)/12</f>
        <v>3.5833333333333335</v>
      </c>
      <c r="L123" s="353">
        <f t="shared" si="77"/>
        <v>8.7546469258781619E-3</v>
      </c>
      <c r="M123" s="426">
        <f>IF(G22&gt;0,(((G123*I123*K123))+3000),0)*1</f>
        <v>8208406.555263387</v>
      </c>
      <c r="N123" s="38"/>
      <c r="O123" s="1248"/>
      <c r="P123" s="293"/>
      <c r="Q123" s="1018"/>
      <c r="R123" s="1018"/>
      <c r="S123" s="1018"/>
      <c r="T123" s="1018"/>
      <c r="U123" s="1018">
        <f>$M123</f>
        <v>8208406.555263387</v>
      </c>
      <c r="V123" s="1018"/>
      <c r="W123" s="1018"/>
      <c r="X123" s="1018"/>
      <c r="Y123" s="1018"/>
      <c r="Z123" s="1018"/>
      <c r="AA123" s="1018"/>
      <c r="AB123" s="1018"/>
      <c r="AC123" s="1018"/>
      <c r="AD123" s="1018"/>
      <c r="AE123" s="1018"/>
      <c r="AF123" s="1018"/>
      <c r="AG123" s="1018"/>
      <c r="AH123" s="1018"/>
      <c r="AI123" s="1018"/>
      <c r="AJ123" s="1018"/>
      <c r="AK123" s="1018"/>
      <c r="AL123" s="1018"/>
      <c r="AM123" s="1018"/>
      <c r="AN123" s="1018"/>
      <c r="AO123" s="1018"/>
      <c r="AP123" s="1018"/>
      <c r="AQ123" s="1018"/>
      <c r="AR123" s="1018"/>
      <c r="AS123" s="1018"/>
      <c r="AT123" s="1018"/>
      <c r="AU123" s="1018"/>
      <c r="AV123" s="1018"/>
      <c r="AW123" s="1018"/>
      <c r="AX123" s="1018"/>
      <c r="AY123" s="1018"/>
      <c r="AZ123" s="1018"/>
      <c r="BA123" s="1018"/>
      <c r="BB123" s="1018"/>
      <c r="BC123" s="1018"/>
      <c r="BD123" s="1018"/>
      <c r="BE123" s="1018"/>
      <c r="BF123" s="1018"/>
      <c r="BG123" s="1018"/>
      <c r="BH123" s="1018"/>
      <c r="BI123" s="1018"/>
      <c r="BJ123" s="1018"/>
      <c r="BK123" s="1018"/>
      <c r="BL123" s="1018"/>
      <c r="BM123" s="1018"/>
      <c r="BN123" s="1018"/>
      <c r="BO123" s="1018"/>
      <c r="BP123" s="1018"/>
      <c r="BQ123" s="424">
        <f t="shared" si="108"/>
        <v>8208406.555263387</v>
      </c>
      <c r="BR123" s="425">
        <f t="shared" si="109"/>
        <v>8208406.555263387</v>
      </c>
      <c r="BS123" s="1193">
        <f t="shared" si="110"/>
        <v>0</v>
      </c>
    </row>
    <row r="124" spans="1:71" ht="19.5" customHeight="1">
      <c r="A124" s="38"/>
      <c r="B124" s="416"/>
      <c r="C124" s="1574"/>
      <c r="D124" s="1517"/>
      <c r="E124" s="1330" t="s">
        <v>287</v>
      </c>
      <c r="F124" s="461"/>
      <c r="G124" s="1317"/>
      <c r="H124" s="1217"/>
      <c r="I124" s="1323"/>
      <c r="J124" s="1318" t="s">
        <v>288</v>
      </c>
      <c r="K124" s="1304">
        <v>2.5000000000000001E-2</v>
      </c>
      <c r="L124" s="353">
        <f t="shared" si="77"/>
        <v>2.5000000000000001E-2</v>
      </c>
      <c r="M124" s="454">
        <f>M60*K124</f>
        <v>23440141.632096767</v>
      </c>
      <c r="N124" s="38"/>
      <c r="O124" s="1248"/>
      <c r="P124" s="1018"/>
      <c r="Q124" s="1018"/>
      <c r="R124" s="1018"/>
      <c r="S124" s="1018">
        <f>M124/($L$8-4)</f>
        <v>532730.49163856287</v>
      </c>
      <c r="T124" s="1018">
        <f t="shared" ref="T124:AJ124" si="114">S124</f>
        <v>532730.49163856287</v>
      </c>
      <c r="U124" s="1018">
        <f t="shared" si="114"/>
        <v>532730.49163856287</v>
      </c>
      <c r="V124" s="1018">
        <f t="shared" si="114"/>
        <v>532730.49163856287</v>
      </c>
      <c r="W124" s="1018">
        <f t="shared" si="114"/>
        <v>532730.49163856287</v>
      </c>
      <c r="X124" s="1018">
        <f t="shared" si="114"/>
        <v>532730.49163856287</v>
      </c>
      <c r="Y124" s="1018">
        <f t="shared" si="114"/>
        <v>532730.49163856287</v>
      </c>
      <c r="Z124" s="1018">
        <f t="shared" si="114"/>
        <v>532730.49163856287</v>
      </c>
      <c r="AA124" s="1018">
        <f t="shared" si="114"/>
        <v>532730.49163856287</v>
      </c>
      <c r="AB124" s="1018">
        <f t="shared" si="114"/>
        <v>532730.49163856287</v>
      </c>
      <c r="AC124" s="1018">
        <f t="shared" si="114"/>
        <v>532730.49163856287</v>
      </c>
      <c r="AD124" s="1018">
        <f t="shared" si="114"/>
        <v>532730.49163856287</v>
      </c>
      <c r="AE124" s="1018">
        <f t="shared" si="114"/>
        <v>532730.49163856287</v>
      </c>
      <c r="AF124" s="1018">
        <f t="shared" si="114"/>
        <v>532730.49163856287</v>
      </c>
      <c r="AG124" s="1018">
        <f t="shared" si="114"/>
        <v>532730.49163856287</v>
      </c>
      <c r="AH124" s="1018">
        <f t="shared" si="114"/>
        <v>532730.49163856287</v>
      </c>
      <c r="AI124" s="1018">
        <f t="shared" si="114"/>
        <v>532730.49163856287</v>
      </c>
      <c r="AJ124" s="1018">
        <f t="shared" si="114"/>
        <v>532730.49163856287</v>
      </c>
      <c r="AK124" s="1018">
        <f t="shared" ref="AK124" si="115">AJ124</f>
        <v>532730.49163856287</v>
      </c>
      <c r="AL124" s="1018">
        <f t="shared" ref="AL124" si="116">AK124</f>
        <v>532730.49163856287</v>
      </c>
      <c r="AM124" s="1018">
        <f t="shared" ref="AM124" si="117">AL124</f>
        <v>532730.49163856287</v>
      </c>
      <c r="AN124" s="1018">
        <f t="shared" ref="AN124" si="118">AM124</f>
        <v>532730.49163856287</v>
      </c>
      <c r="AO124" s="1018">
        <f t="shared" ref="AO124" si="119">AN124</f>
        <v>532730.49163856287</v>
      </c>
      <c r="AP124" s="1018">
        <f t="shared" ref="AP124" si="120">AO124</f>
        <v>532730.49163856287</v>
      </c>
      <c r="AQ124" s="1018">
        <f t="shared" ref="AQ124" si="121">AP124</f>
        <v>532730.49163856287</v>
      </c>
      <c r="AR124" s="1018">
        <f t="shared" ref="AR124" si="122">AQ124</f>
        <v>532730.49163856287</v>
      </c>
      <c r="AS124" s="1018">
        <f t="shared" ref="AS124" si="123">AR124</f>
        <v>532730.49163856287</v>
      </c>
      <c r="AT124" s="1018">
        <f t="shared" ref="AT124" si="124">AS124</f>
        <v>532730.49163856287</v>
      </c>
      <c r="AU124" s="1018">
        <f t="shared" ref="AU124" si="125">AT124</f>
        <v>532730.49163856287</v>
      </c>
      <c r="AV124" s="1018">
        <f>AT124</f>
        <v>532730.49163856287</v>
      </c>
      <c r="AW124" s="1018">
        <f>AT124</f>
        <v>532730.49163856287</v>
      </c>
      <c r="AX124" s="1018">
        <f>AU124</f>
        <v>532730.49163856287</v>
      </c>
      <c r="AY124" s="1018">
        <f t="shared" ref="AY124" si="126">AX124</f>
        <v>532730.49163856287</v>
      </c>
      <c r="AZ124" s="1018">
        <f t="shared" ref="AZ124" si="127">AY124</f>
        <v>532730.49163856287</v>
      </c>
      <c r="BA124" s="1018">
        <f t="shared" ref="BA124" si="128">AZ124</f>
        <v>532730.49163856287</v>
      </c>
      <c r="BB124" s="1018">
        <f t="shared" ref="BB124" si="129">BA124</f>
        <v>532730.49163856287</v>
      </c>
      <c r="BC124" s="1018">
        <f t="shared" ref="BC124:BD124" si="130">BB124</f>
        <v>532730.49163856287</v>
      </c>
      <c r="BD124" s="1018">
        <f t="shared" si="130"/>
        <v>532730.49163856287</v>
      </c>
      <c r="BE124" s="1018">
        <f t="shared" ref="BE124" si="131">BD124</f>
        <v>532730.49163856287</v>
      </c>
      <c r="BF124" s="1018">
        <f t="shared" ref="BF124" si="132">BE124</f>
        <v>532730.49163856287</v>
      </c>
      <c r="BG124" s="1018">
        <f t="shared" ref="BG124" si="133">BF124</f>
        <v>532730.49163856287</v>
      </c>
      <c r="BH124" s="1018">
        <f t="shared" ref="BH124" si="134">BG124</f>
        <v>532730.49163856287</v>
      </c>
      <c r="BI124" s="1018">
        <f t="shared" ref="BI124:BJ124" si="135">BH124</f>
        <v>532730.49163856287</v>
      </c>
      <c r="BJ124" s="1018">
        <f t="shared" si="135"/>
        <v>532730.49163856287</v>
      </c>
      <c r="BK124" s="1018"/>
      <c r="BL124" s="1331"/>
      <c r="BM124" s="1018"/>
      <c r="BN124" s="1018"/>
      <c r="BO124" s="1018"/>
      <c r="BP124" s="1018"/>
      <c r="BQ124" s="424">
        <f t="shared" si="108"/>
        <v>23440141.632096782</v>
      </c>
      <c r="BR124" s="425">
        <f t="shared" si="109"/>
        <v>23440141.632096767</v>
      </c>
      <c r="BS124" s="1193">
        <f t="shared" si="110"/>
        <v>0</v>
      </c>
    </row>
    <row r="125" spans="1:71" ht="19.5" customHeight="1">
      <c r="A125" s="38"/>
      <c r="B125" s="416"/>
      <c r="C125" s="1575"/>
      <c r="D125" s="1518"/>
      <c r="E125" s="1257" t="s">
        <v>209</v>
      </c>
      <c r="F125" s="1258"/>
      <c r="G125" s="400"/>
      <c r="H125" s="341"/>
      <c r="I125" s="400"/>
      <c r="J125" s="400"/>
      <c r="K125" s="460">
        <v>2.5000000000000001E-2</v>
      </c>
      <c r="L125" s="402">
        <f t="shared" si="77"/>
        <v>6.0314175610897081E-2</v>
      </c>
      <c r="M125" s="429">
        <f>SUM(M108:M124)</f>
        <v>56550912.749703363</v>
      </c>
      <c r="N125" s="38"/>
      <c r="O125" s="436"/>
      <c r="P125" s="431">
        <f t="shared" ref="P125:BP125" si="136">SUM(P108:P124)</f>
        <v>0</v>
      </c>
      <c r="Q125" s="431">
        <f t="shared" si="136"/>
        <v>0</v>
      </c>
      <c r="R125" s="431">
        <f t="shared" si="136"/>
        <v>0</v>
      </c>
      <c r="S125" s="431">
        <f t="shared" si="136"/>
        <v>532730.49163856287</v>
      </c>
      <c r="T125" s="431">
        <f t="shared" si="136"/>
        <v>532855.49163856287</v>
      </c>
      <c r="U125" s="431">
        <f t="shared" si="136"/>
        <v>8741137.0469019506</v>
      </c>
      <c r="V125" s="431">
        <f t="shared" si="136"/>
        <v>532855.49163856287</v>
      </c>
      <c r="W125" s="431">
        <f t="shared" si="136"/>
        <v>532730.49163856287</v>
      </c>
      <c r="X125" s="431">
        <f t="shared" si="136"/>
        <v>532730.49163856287</v>
      </c>
      <c r="Y125" s="431">
        <f t="shared" si="136"/>
        <v>532730.49163856287</v>
      </c>
      <c r="Z125" s="431">
        <f t="shared" si="136"/>
        <v>532730.49163856287</v>
      </c>
      <c r="AA125" s="431">
        <f t="shared" si="136"/>
        <v>532730.49163856287</v>
      </c>
      <c r="AB125" s="431">
        <f t="shared" si="136"/>
        <v>5946774.359838563</v>
      </c>
      <c r="AC125" s="431">
        <f t="shared" si="136"/>
        <v>532730.49163856287</v>
      </c>
      <c r="AD125" s="431">
        <f t="shared" si="136"/>
        <v>532730.49163856287</v>
      </c>
      <c r="AE125" s="431">
        <f t="shared" si="136"/>
        <v>532730.49163856287</v>
      </c>
      <c r="AF125" s="431">
        <f t="shared" si="136"/>
        <v>532730.49163856287</v>
      </c>
      <c r="AG125" s="431">
        <f t="shared" si="136"/>
        <v>532730.49163856287</v>
      </c>
      <c r="AH125" s="431">
        <f t="shared" si="136"/>
        <v>532730.49163856287</v>
      </c>
      <c r="AI125" s="431">
        <f t="shared" si="136"/>
        <v>532730.49163856287</v>
      </c>
      <c r="AJ125" s="431">
        <f t="shared" si="136"/>
        <v>532730.49163856287</v>
      </c>
      <c r="AK125" s="431">
        <f t="shared" si="136"/>
        <v>532730.49163856287</v>
      </c>
      <c r="AL125" s="431">
        <f t="shared" si="136"/>
        <v>532730.49163856287</v>
      </c>
      <c r="AM125" s="431">
        <f t="shared" si="136"/>
        <v>532730.49163856287</v>
      </c>
      <c r="AN125" s="431">
        <f t="shared" si="136"/>
        <v>532730.49163856287</v>
      </c>
      <c r="AO125" s="431">
        <f t="shared" si="136"/>
        <v>532730.49163856287</v>
      </c>
      <c r="AP125" s="431">
        <f t="shared" si="136"/>
        <v>532730.49163856287</v>
      </c>
      <c r="AQ125" s="431">
        <f t="shared" si="136"/>
        <v>532730.49163856287</v>
      </c>
      <c r="AR125" s="431">
        <f t="shared" si="136"/>
        <v>532730.49163856287</v>
      </c>
      <c r="AS125" s="431">
        <f t="shared" si="136"/>
        <v>16789801.185781769</v>
      </c>
      <c r="AT125" s="431">
        <f t="shared" si="136"/>
        <v>3763730.4916385626</v>
      </c>
      <c r="AU125" s="431">
        <f t="shared" si="136"/>
        <v>532730.49163856287</v>
      </c>
      <c r="AV125" s="431">
        <f t="shared" si="136"/>
        <v>532730.49163856287</v>
      </c>
      <c r="AW125" s="431">
        <f t="shared" si="136"/>
        <v>532730.49163856287</v>
      </c>
      <c r="AX125" s="431">
        <f t="shared" si="136"/>
        <v>532730.49163856287</v>
      </c>
      <c r="AY125" s="431">
        <f t="shared" si="136"/>
        <v>532730.49163856287</v>
      </c>
      <c r="AZ125" s="431">
        <f t="shared" si="136"/>
        <v>532730.49163856287</v>
      </c>
      <c r="BA125" s="431">
        <f t="shared" si="136"/>
        <v>532730.49163856287</v>
      </c>
      <c r="BB125" s="431">
        <f t="shared" si="136"/>
        <v>532730.49163856287</v>
      </c>
      <c r="BC125" s="431">
        <f t="shared" si="136"/>
        <v>532730.49163856287</v>
      </c>
      <c r="BD125" s="431">
        <f t="shared" si="136"/>
        <v>532730.49163856287</v>
      </c>
      <c r="BE125" s="431">
        <f t="shared" si="136"/>
        <v>532730.49163856287</v>
      </c>
      <c r="BF125" s="431">
        <f t="shared" si="136"/>
        <v>532730.49163856287</v>
      </c>
      <c r="BG125" s="431">
        <f t="shared" si="136"/>
        <v>532730.49163856287</v>
      </c>
      <c r="BH125" s="431">
        <f t="shared" si="136"/>
        <v>532730.49163856287</v>
      </c>
      <c r="BI125" s="431">
        <f t="shared" si="136"/>
        <v>532730.49163856287</v>
      </c>
      <c r="BJ125" s="431">
        <f t="shared" si="136"/>
        <v>532730.49163856287</v>
      </c>
      <c r="BK125" s="431">
        <f t="shared" si="136"/>
        <v>0</v>
      </c>
      <c r="BL125" s="431">
        <f t="shared" si="136"/>
        <v>0</v>
      </c>
      <c r="BM125" s="431">
        <f t="shared" si="136"/>
        <v>0</v>
      </c>
      <c r="BN125" s="431">
        <f t="shared" si="136"/>
        <v>0</v>
      </c>
      <c r="BO125" s="431">
        <f t="shared" si="136"/>
        <v>0</v>
      </c>
      <c r="BP125" s="431">
        <f t="shared" si="136"/>
        <v>0</v>
      </c>
      <c r="BQ125" s="450">
        <f t="shared" si="108"/>
        <v>56550912.749703385</v>
      </c>
      <c r="BR125" s="451">
        <f t="shared" si="109"/>
        <v>56550912.749703363</v>
      </c>
      <c r="BS125" s="1193">
        <f t="shared" si="110"/>
        <v>0</v>
      </c>
    </row>
    <row r="126" spans="1:71" ht="19.5" customHeight="1">
      <c r="A126" s="38"/>
      <c r="B126" s="416"/>
      <c r="C126" s="1533" t="s">
        <v>289</v>
      </c>
      <c r="D126" s="1534"/>
      <c r="E126" s="1534"/>
      <c r="F126" s="1535"/>
      <c r="G126" s="400" t="s">
        <v>290</v>
      </c>
      <c r="H126" s="341"/>
      <c r="I126" s="400"/>
      <c r="J126" s="400"/>
      <c r="K126" s="488"/>
      <c r="L126" s="402">
        <f t="shared" si="77"/>
        <v>1.0665464566036285E-2</v>
      </c>
      <c r="M126" s="429">
        <v>10000000</v>
      </c>
      <c r="N126" s="38"/>
      <c r="O126" s="489"/>
      <c r="P126" s="490"/>
      <c r="Q126" s="490"/>
      <c r="R126" s="490"/>
      <c r="S126" s="490"/>
      <c r="T126" s="490"/>
      <c r="U126" s="490"/>
      <c r="V126" s="490"/>
      <c r="W126" s="490"/>
      <c r="X126" s="490"/>
      <c r="Y126" s="490"/>
      <c r="Z126" s="490"/>
      <c r="AA126" s="490"/>
      <c r="AB126" s="490"/>
      <c r="AC126" s="490"/>
      <c r="AD126" s="490"/>
      <c r="AE126" s="490"/>
      <c r="AF126" s="490"/>
      <c r="AG126" s="490"/>
      <c r="AH126" s="490"/>
      <c r="AI126" s="490"/>
      <c r="AJ126" s="491"/>
      <c r="AK126" s="491">
        <f>$M126</f>
        <v>10000000</v>
      </c>
      <c r="AL126" s="491"/>
      <c r="AM126" s="491"/>
      <c r="AN126" s="491"/>
      <c r="AO126" s="491"/>
      <c r="AP126" s="491"/>
      <c r="AQ126" s="491"/>
      <c r="AR126" s="491"/>
      <c r="AS126" s="491"/>
      <c r="AT126" s="491"/>
      <c r="AU126" s="491"/>
      <c r="AV126" s="491"/>
      <c r="AW126" s="491"/>
      <c r="AX126" s="491"/>
      <c r="AY126" s="491"/>
      <c r="AZ126" s="491"/>
      <c r="BA126" s="491"/>
      <c r="BB126" s="491"/>
      <c r="BC126" s="491"/>
      <c r="BD126" s="491"/>
      <c r="BE126" s="491"/>
      <c r="BF126" s="491"/>
      <c r="BG126" s="491"/>
      <c r="BH126" s="491"/>
      <c r="BI126" s="491"/>
      <c r="BJ126" s="491"/>
      <c r="BK126" s="491"/>
      <c r="BL126" s="492"/>
      <c r="BM126" s="491"/>
      <c r="BN126" s="491"/>
      <c r="BO126" s="491"/>
      <c r="BP126" s="491"/>
      <c r="BQ126" s="493">
        <f t="shared" si="108"/>
        <v>10000000</v>
      </c>
      <c r="BR126" s="494">
        <f t="shared" si="109"/>
        <v>10000000</v>
      </c>
      <c r="BS126" s="1193">
        <f t="shared" si="110"/>
        <v>0</v>
      </c>
    </row>
    <row r="127" spans="1:71" ht="19.5" customHeight="1">
      <c r="A127" s="38"/>
      <c r="B127" s="416"/>
      <c r="C127" s="1615" t="s">
        <v>291</v>
      </c>
      <c r="D127" s="1616"/>
      <c r="E127" s="1332" t="s">
        <v>292</v>
      </c>
      <c r="F127" s="1333"/>
      <c r="G127" s="495"/>
      <c r="H127" s="1612">
        <f>(L12+1)/12</f>
        <v>3.4166666666666665</v>
      </c>
      <c r="I127" s="1613"/>
      <c r="J127" s="1334" t="s">
        <v>206</v>
      </c>
      <c r="K127" s="1271">
        <v>1.5E-3</v>
      </c>
      <c r="L127" s="353">
        <f t="shared" si="77"/>
        <v>5.2178426420416398E-3</v>
      </c>
      <c r="M127" s="426">
        <f>M75*3.16%*30%</f>
        <v>4892278.821738001</v>
      </c>
      <c r="N127" s="38"/>
      <c r="O127" s="496"/>
      <c r="P127" s="497"/>
      <c r="Q127" s="497"/>
      <c r="R127" s="497"/>
      <c r="S127" s="1018">
        <f>$M127</f>
        <v>4892278.821738001</v>
      </c>
      <c r="T127" s="497"/>
      <c r="U127" s="497"/>
      <c r="V127" s="497"/>
      <c r="W127" s="497"/>
      <c r="X127" s="497"/>
      <c r="Y127" s="497"/>
      <c r="Z127" s="497"/>
      <c r="AA127" s="497"/>
      <c r="AB127" s="497"/>
      <c r="AC127" s="497"/>
      <c r="AD127" s="497"/>
      <c r="AE127" s="497"/>
      <c r="AF127" s="497"/>
      <c r="AG127" s="497"/>
      <c r="AH127" s="497"/>
      <c r="AI127" s="497"/>
      <c r="AJ127" s="497"/>
      <c r="AK127" s="497"/>
      <c r="AL127" s="497"/>
      <c r="AM127" s="497"/>
      <c r="AN127" s="497"/>
      <c r="AO127" s="497"/>
      <c r="AP127" s="497"/>
      <c r="AQ127" s="497"/>
      <c r="AR127" s="497"/>
      <c r="AS127" s="497"/>
      <c r="AT127" s="497"/>
      <c r="AU127" s="497"/>
      <c r="AV127" s="497"/>
      <c r="AW127" s="497"/>
      <c r="AX127" s="497"/>
      <c r="AY127" s="497"/>
      <c r="AZ127" s="497"/>
      <c r="BA127" s="497"/>
      <c r="BB127" s="497"/>
      <c r="BC127" s="497"/>
      <c r="BD127" s="497"/>
      <c r="BE127" s="497"/>
      <c r="BF127" s="497"/>
      <c r="BG127" s="497"/>
      <c r="BH127" s="497"/>
      <c r="BI127" s="497"/>
      <c r="BJ127" s="497"/>
      <c r="BK127" s="497"/>
      <c r="BL127" s="497"/>
      <c r="BM127" s="497"/>
      <c r="BN127" s="497"/>
      <c r="BO127" s="497"/>
      <c r="BP127" s="497"/>
      <c r="BQ127" s="498">
        <f t="shared" si="108"/>
        <v>4892278.821738001</v>
      </c>
      <c r="BR127" s="499">
        <f t="shared" si="109"/>
        <v>4892278.821738001</v>
      </c>
      <c r="BS127" s="1193">
        <f t="shared" si="110"/>
        <v>0</v>
      </c>
    </row>
    <row r="128" spans="1:71" ht="19.5" customHeight="1">
      <c r="A128" s="38"/>
      <c r="B128" s="416"/>
      <c r="C128" s="1526"/>
      <c r="D128" s="1527"/>
      <c r="E128" s="1264" t="s">
        <v>293</v>
      </c>
      <c r="F128" s="1306"/>
      <c r="G128" s="1335" t="s">
        <v>294</v>
      </c>
      <c r="H128" s="1221"/>
      <c r="I128" s="1336">
        <f>L13</f>
        <v>0</v>
      </c>
      <c r="J128" s="1337"/>
      <c r="K128" s="1335">
        <f>-AO128</f>
        <v>0</v>
      </c>
      <c r="L128" s="353">
        <f t="shared" si="77"/>
        <v>0</v>
      </c>
      <c r="M128" s="500">
        <f>SUM(P128:BP128)</f>
        <v>0</v>
      </c>
      <c r="N128" s="38"/>
      <c r="O128" s="1248"/>
      <c r="P128" s="1018"/>
      <c r="Q128" s="1018"/>
      <c r="R128" s="1018"/>
      <c r="S128" s="1018"/>
      <c r="T128" s="1018"/>
      <c r="U128" s="1018"/>
      <c r="V128" s="1018">
        <f t="shared" ref="V128:Z128" si="137">SUM(V129:V136)</f>
        <v>0</v>
      </c>
      <c r="W128" s="1018">
        <f t="shared" si="137"/>
        <v>0</v>
      </c>
      <c r="X128" s="1018">
        <f t="shared" si="137"/>
        <v>0</v>
      </c>
      <c r="Y128" s="1018">
        <f t="shared" si="137"/>
        <v>0</v>
      </c>
      <c r="Z128" s="1018">
        <f t="shared" si="137"/>
        <v>0</v>
      </c>
      <c r="AA128" s="1018"/>
      <c r="AB128" s="1018"/>
      <c r="AC128" s="1018"/>
      <c r="AD128" s="1018"/>
      <c r="AE128" s="1018"/>
      <c r="AF128" s="1018"/>
      <c r="AG128" s="1018"/>
      <c r="AH128" s="1018"/>
      <c r="AI128" s="1018"/>
      <c r="AJ128" s="1018"/>
      <c r="AK128" s="1018"/>
      <c r="AL128" s="1018"/>
      <c r="AM128" s="1018"/>
      <c r="AN128" s="1018"/>
      <c r="AO128" s="1018"/>
      <c r="AP128" s="1018"/>
      <c r="AQ128" s="1018"/>
      <c r="AR128" s="1018"/>
      <c r="AS128" s="1018"/>
      <c r="AT128" s="1018"/>
      <c r="AU128" s="1018">
        <f t="shared" ref="AU128:BP128" si="138">SUM(AU129:AU136)</f>
        <v>0</v>
      </c>
      <c r="AV128" s="1018">
        <f t="shared" si="138"/>
        <v>0</v>
      </c>
      <c r="AW128" s="1018">
        <f t="shared" si="138"/>
        <v>0</v>
      </c>
      <c r="AX128" s="1018">
        <f t="shared" si="138"/>
        <v>0</v>
      </c>
      <c r="AY128" s="1018">
        <f t="shared" si="138"/>
        <v>0</v>
      </c>
      <c r="AZ128" s="1018">
        <f t="shared" si="138"/>
        <v>0</v>
      </c>
      <c r="BA128" s="1018">
        <f t="shared" si="138"/>
        <v>0</v>
      </c>
      <c r="BB128" s="1018">
        <f t="shared" si="138"/>
        <v>0</v>
      </c>
      <c r="BC128" s="1018">
        <f t="shared" si="138"/>
        <v>0</v>
      </c>
      <c r="BD128" s="1018">
        <f t="shared" si="138"/>
        <v>0</v>
      </c>
      <c r="BE128" s="1018">
        <f t="shared" si="138"/>
        <v>0</v>
      </c>
      <c r="BF128" s="1018">
        <f t="shared" si="138"/>
        <v>0</v>
      </c>
      <c r="BG128" s="1018">
        <f t="shared" si="138"/>
        <v>0</v>
      </c>
      <c r="BH128" s="1018">
        <f t="shared" si="138"/>
        <v>0</v>
      </c>
      <c r="BI128" s="1018">
        <f t="shared" si="138"/>
        <v>0</v>
      </c>
      <c r="BJ128" s="1018">
        <f t="shared" si="138"/>
        <v>0</v>
      </c>
      <c r="BK128" s="1018">
        <f t="shared" si="138"/>
        <v>0</v>
      </c>
      <c r="BL128" s="1018">
        <f t="shared" si="138"/>
        <v>0</v>
      </c>
      <c r="BM128" s="1018">
        <f t="shared" si="138"/>
        <v>0</v>
      </c>
      <c r="BN128" s="1018">
        <f t="shared" si="138"/>
        <v>0</v>
      </c>
      <c r="BO128" s="1018">
        <f t="shared" si="138"/>
        <v>0</v>
      </c>
      <c r="BP128" s="1018">
        <f t="shared" si="138"/>
        <v>0</v>
      </c>
      <c r="BQ128" s="424">
        <f t="shared" si="108"/>
        <v>0</v>
      </c>
      <c r="BR128" s="425">
        <f t="shared" si="109"/>
        <v>0</v>
      </c>
      <c r="BS128" s="1193">
        <f t="shared" si="110"/>
        <v>0</v>
      </c>
    </row>
    <row r="129" spans="1:71" ht="19.5" hidden="1" customHeight="1">
      <c r="A129" s="38"/>
      <c r="B129" s="416"/>
      <c r="C129" s="1091"/>
      <c r="D129" s="1092"/>
      <c r="E129" s="501"/>
      <c r="F129" s="502" t="str">
        <f>C22</f>
        <v>일반분양</v>
      </c>
      <c r="G129" s="1221"/>
      <c r="H129" s="1221"/>
      <c r="I129" s="1338">
        <f>$I$128</f>
        <v>0</v>
      </c>
      <c r="J129" s="1319"/>
      <c r="K129" s="1339"/>
      <c r="L129" s="353">
        <f t="shared" si="77"/>
        <v>0</v>
      </c>
      <c r="M129" s="426"/>
      <c r="N129" s="38"/>
      <c r="O129" s="1248"/>
      <c r="P129" s="1018"/>
      <c r="Q129" s="1018"/>
      <c r="R129" s="1018"/>
      <c r="S129" s="1018"/>
      <c r="T129" s="1018"/>
      <c r="U129" s="1018"/>
      <c r="V129" s="1018"/>
      <c r="W129" s="1018"/>
      <c r="X129" s="1018"/>
      <c r="Y129" s="1018"/>
      <c r="Z129" s="1018"/>
      <c r="AA129" s="1018">
        <f>SUM($Z$23:Z23)*$I$128/12</f>
        <v>0</v>
      </c>
      <c r="AB129" s="1018">
        <f>SUM($Z$23:AA23)*$I$128/12</f>
        <v>0</v>
      </c>
      <c r="AC129" s="1018">
        <f>SUM($Z$23:AB23)*$I$128/12</f>
        <v>0</v>
      </c>
      <c r="AD129" s="1018">
        <f>SUM($Z$23:AC23)*$I$128/12</f>
        <v>0</v>
      </c>
      <c r="AE129" s="1018">
        <f>SUM($Z$23:AD23)*$I$128/12</f>
        <v>0</v>
      </c>
      <c r="AF129" s="1018">
        <f>SUM($Z$23:AE23)*$I$128/12</f>
        <v>0</v>
      </c>
      <c r="AG129" s="1018">
        <f>SUM($Z$23:AF23)*$I$128/12</f>
        <v>0</v>
      </c>
      <c r="AH129" s="1018">
        <f>SUM($Z$23:AG23)*$I$128/12</f>
        <v>0</v>
      </c>
      <c r="AI129" s="1018">
        <f>SUM($Z$23:AH23)*$I$128/12</f>
        <v>0</v>
      </c>
      <c r="AJ129" s="1018">
        <f>SUM($Z$23:AI23)*$I$128/12</f>
        <v>0</v>
      </c>
      <c r="AK129" s="1018">
        <f>SUM($Z$23:AJ23)*$I$128/12</f>
        <v>0</v>
      </c>
      <c r="AL129" s="1018">
        <f>SUM($Z$23:AK23)*$I$128/12</f>
        <v>0</v>
      </c>
      <c r="AM129" s="1018">
        <f>SUM($Z$23:AL23)*$I$128/12</f>
        <v>0</v>
      </c>
      <c r="AN129" s="1018">
        <f>SUM($Z$23:AM23)*$I$128/12</f>
        <v>0</v>
      </c>
      <c r="AO129" s="1018">
        <f>SUM($Z$23:AN23)*$I$128/12</f>
        <v>0</v>
      </c>
      <c r="AP129" s="1018">
        <f>SUM($Z$23:AO23)*$I$128/12</f>
        <v>0</v>
      </c>
      <c r="AQ129" s="1018">
        <f>SUM($Z$23:AP23)*$I$128/12</f>
        <v>0</v>
      </c>
      <c r="AR129" s="1018">
        <f>SUM($Z$23:AQ23)*$I$128/12</f>
        <v>0</v>
      </c>
      <c r="AS129" s="1018">
        <f>SUM($Z$23:AR23)*$I$128/12</f>
        <v>0</v>
      </c>
      <c r="AT129" s="1018">
        <f>SUM($Z$23:AS23)*$I$128/12</f>
        <v>0</v>
      </c>
      <c r="AU129" s="1018"/>
      <c r="AV129" s="1018"/>
      <c r="AW129" s="1018"/>
      <c r="AX129" s="1018"/>
      <c r="AY129" s="1018"/>
      <c r="AZ129" s="1018"/>
      <c r="BA129" s="1018"/>
      <c r="BB129" s="1018"/>
      <c r="BC129" s="1018"/>
      <c r="BD129" s="1018"/>
      <c r="BE129" s="1018"/>
      <c r="BF129" s="1018"/>
      <c r="BG129" s="1018"/>
      <c r="BH129" s="1018"/>
      <c r="BI129" s="1018"/>
      <c r="BJ129" s="1018"/>
      <c r="BK129" s="1018"/>
      <c r="BL129" s="1018"/>
      <c r="BM129" s="1018"/>
      <c r="BN129" s="1018"/>
      <c r="BO129" s="1018"/>
      <c r="BP129" s="1018"/>
      <c r="BQ129" s="424">
        <f t="shared" si="108"/>
        <v>0</v>
      </c>
      <c r="BR129" s="425">
        <f t="shared" si="109"/>
        <v>0</v>
      </c>
      <c r="BS129" s="1193">
        <f t="shared" si="110"/>
        <v>0</v>
      </c>
    </row>
    <row r="130" spans="1:71" ht="19.5" hidden="1" customHeight="1">
      <c r="A130" s="38"/>
      <c r="B130" s="416"/>
      <c r="C130" s="1091"/>
      <c r="D130" s="1092"/>
      <c r="E130" s="501"/>
      <c r="F130" s="503"/>
      <c r="G130" s="1221"/>
      <c r="H130" s="1221"/>
      <c r="I130" s="1340"/>
      <c r="J130" s="1319"/>
      <c r="K130" s="1339"/>
      <c r="L130" s="353">
        <f t="shared" si="77"/>
        <v>0</v>
      </c>
      <c r="M130" s="426"/>
      <c r="N130" s="38"/>
      <c r="O130" s="1248"/>
      <c r="P130" s="1018"/>
      <c r="Q130" s="1018"/>
      <c r="R130" s="1018"/>
      <c r="S130" s="1018"/>
      <c r="T130" s="1018"/>
      <c r="U130" s="1018"/>
      <c r="V130" s="1018"/>
      <c r="W130" s="1018"/>
      <c r="X130" s="1018"/>
      <c r="Y130" s="1018"/>
      <c r="Z130" s="1018"/>
      <c r="AA130" s="1018"/>
      <c r="AB130" s="1018"/>
      <c r="AC130" s="1018"/>
      <c r="AD130" s="1018"/>
      <c r="AE130" s="1018">
        <f>SUM($AD$24:AD24)*$I$128/12</f>
        <v>0</v>
      </c>
      <c r="AF130" s="1018">
        <f>SUM($AD$24:AE24)*$I$128/12</f>
        <v>0</v>
      </c>
      <c r="AG130" s="1018">
        <f>SUM($AD$24:AF24)*$I$128/12</f>
        <v>0</v>
      </c>
      <c r="AH130" s="1018">
        <f>SUM($AD$24:AG24)*$I$128/12</f>
        <v>0</v>
      </c>
      <c r="AI130" s="1018">
        <f>SUM($AD$24:AH24)*$I$128/12</f>
        <v>0</v>
      </c>
      <c r="AJ130" s="1018">
        <f>SUM($AD$24:AI24)*$I$128/12</f>
        <v>0</v>
      </c>
      <c r="AK130" s="1018">
        <f>SUM($AD$24:AJ24)*$I$128/12</f>
        <v>0</v>
      </c>
      <c r="AL130" s="1018">
        <f>SUM($AD$24:AK24)*$I$128/12</f>
        <v>0</v>
      </c>
      <c r="AM130" s="1018">
        <f>SUM($AD$24:AL24)*$I$128/12</f>
        <v>0</v>
      </c>
      <c r="AN130" s="1018">
        <f>SUM($AD$24:AM24)*$I$128/12</f>
        <v>0</v>
      </c>
      <c r="AO130" s="1018">
        <f>SUM($AD$24:AN24)*$I$128/12</f>
        <v>0</v>
      </c>
      <c r="AP130" s="1018">
        <f>SUM($AD$24:AO24)*$I$128/12</f>
        <v>0</v>
      </c>
      <c r="AQ130" s="1018">
        <f>SUM($AD$24:AP24)*$I$128/12</f>
        <v>0</v>
      </c>
      <c r="AR130" s="1018">
        <f>SUM($AD$24:AQ24)*$I$128/12</f>
        <v>0</v>
      </c>
      <c r="AS130" s="1018">
        <f>SUM($AD$24:AR24)*$I$128/12</f>
        <v>0</v>
      </c>
      <c r="AT130" s="1018">
        <f>SUM($AD$24:AS24)*$I$128/12</f>
        <v>0</v>
      </c>
      <c r="AU130" s="1018"/>
      <c r="AV130" s="1018"/>
      <c r="AW130" s="1018"/>
      <c r="AX130" s="1018"/>
      <c r="AY130" s="1018"/>
      <c r="AZ130" s="1018"/>
      <c r="BA130" s="1018"/>
      <c r="BB130" s="1018"/>
      <c r="BC130" s="1018"/>
      <c r="BD130" s="1018"/>
      <c r="BE130" s="1018"/>
      <c r="BF130" s="1018"/>
      <c r="BG130" s="1018"/>
      <c r="BH130" s="1018"/>
      <c r="BI130" s="1018"/>
      <c r="BJ130" s="1018"/>
      <c r="BK130" s="1018"/>
      <c r="BL130" s="1018"/>
      <c r="BM130" s="1018"/>
      <c r="BN130" s="1018"/>
      <c r="BO130" s="1018"/>
      <c r="BP130" s="1018"/>
      <c r="BQ130" s="424">
        <f t="shared" si="108"/>
        <v>0</v>
      </c>
      <c r="BR130" s="425">
        <f t="shared" si="109"/>
        <v>0</v>
      </c>
      <c r="BS130" s="1193">
        <f t="shared" si="110"/>
        <v>0</v>
      </c>
    </row>
    <row r="131" spans="1:71" ht="19.5" hidden="1" customHeight="1">
      <c r="A131" s="38"/>
      <c r="B131" s="416"/>
      <c r="C131" s="1091"/>
      <c r="D131" s="1092"/>
      <c r="E131" s="501"/>
      <c r="F131" s="503"/>
      <c r="G131" s="1221"/>
      <c r="H131" s="1221"/>
      <c r="I131" s="1340"/>
      <c r="J131" s="1319"/>
      <c r="K131" s="1339"/>
      <c r="L131" s="353">
        <f t="shared" si="77"/>
        <v>0</v>
      </c>
      <c r="M131" s="426"/>
      <c r="N131" s="38"/>
      <c r="O131" s="1248"/>
      <c r="P131" s="1018"/>
      <c r="Q131" s="1018"/>
      <c r="R131" s="1018"/>
      <c r="S131" s="1018"/>
      <c r="T131" s="1018"/>
      <c r="U131" s="1018"/>
      <c r="V131" s="1018"/>
      <c r="W131" s="1018"/>
      <c r="X131" s="1018"/>
      <c r="Y131" s="1018"/>
      <c r="Z131" s="1018"/>
      <c r="AA131" s="1018"/>
      <c r="AB131" s="1018"/>
      <c r="AC131" s="1018"/>
      <c r="AD131" s="1018"/>
      <c r="AE131" s="1018"/>
      <c r="AF131" s="1018"/>
      <c r="AG131" s="1018"/>
      <c r="AH131" s="1018"/>
      <c r="AI131" s="1018">
        <f>SUM($AH$25:AH25)*$I$128/12</f>
        <v>0</v>
      </c>
      <c r="AJ131" s="1018">
        <f>SUM($AH$25:AI25)*$I$128/12</f>
        <v>0</v>
      </c>
      <c r="AK131" s="1018">
        <f>SUM($AH$25:AJ25)*$I$128/12</f>
        <v>0</v>
      </c>
      <c r="AL131" s="1018">
        <f>SUM($AH$25:AK25)*$I$128/12</f>
        <v>0</v>
      </c>
      <c r="AM131" s="1018">
        <f>SUM($AH$25:AL25)*$I$128/12</f>
        <v>0</v>
      </c>
      <c r="AN131" s="1018">
        <f>SUM($AH$25:AM25)*$I$128/12</f>
        <v>0</v>
      </c>
      <c r="AO131" s="1018">
        <f>SUM($AH$25:AN25)*$I$128/12</f>
        <v>0</v>
      </c>
      <c r="AP131" s="1018">
        <f>SUM($AH$25:AO25)*$I$128/12</f>
        <v>0</v>
      </c>
      <c r="AQ131" s="1018">
        <f>SUM($AH$25:AP25)*$I$128/12</f>
        <v>0</v>
      </c>
      <c r="AR131" s="1018">
        <f>SUM($AH$25:AQ25)*$I$128/12</f>
        <v>0</v>
      </c>
      <c r="AS131" s="1018">
        <f>SUM($AH$25:AR25)*$I$128/12</f>
        <v>0</v>
      </c>
      <c r="AT131" s="1018">
        <f>SUM($AH$25:AS25)*$I$128/12</f>
        <v>0</v>
      </c>
      <c r="AU131" s="1018"/>
      <c r="AV131" s="1018"/>
      <c r="AW131" s="1018"/>
      <c r="AX131" s="1018"/>
      <c r="AY131" s="1018"/>
      <c r="AZ131" s="1018"/>
      <c r="BA131" s="1018"/>
      <c r="BB131" s="1018"/>
      <c r="BC131" s="1018"/>
      <c r="BD131" s="1018"/>
      <c r="BE131" s="1018"/>
      <c r="BF131" s="1018"/>
      <c r="BG131" s="1018"/>
      <c r="BH131" s="1018"/>
      <c r="BI131" s="1018"/>
      <c r="BJ131" s="1018"/>
      <c r="BK131" s="1018"/>
      <c r="BL131" s="1018"/>
      <c r="BM131" s="1018"/>
      <c r="BN131" s="1018"/>
      <c r="BO131" s="1018"/>
      <c r="BP131" s="1018"/>
      <c r="BQ131" s="424">
        <f t="shared" si="108"/>
        <v>0</v>
      </c>
      <c r="BR131" s="425">
        <f t="shared" si="109"/>
        <v>0</v>
      </c>
      <c r="BS131" s="1193">
        <f t="shared" si="110"/>
        <v>0</v>
      </c>
    </row>
    <row r="132" spans="1:71" ht="19.5" hidden="1" customHeight="1">
      <c r="A132" s="38"/>
      <c r="B132" s="416"/>
      <c r="C132" s="1091"/>
      <c r="D132" s="1092"/>
      <c r="E132" s="501"/>
      <c r="F132" s="504"/>
      <c r="G132" s="1221"/>
      <c r="H132" s="1221"/>
      <c r="I132" s="1340"/>
      <c r="J132" s="1319"/>
      <c r="K132" s="1339"/>
      <c r="L132" s="353">
        <f t="shared" si="77"/>
        <v>0</v>
      </c>
      <c r="M132" s="426"/>
      <c r="N132" s="38"/>
      <c r="O132" s="1248"/>
      <c r="P132" s="1018"/>
      <c r="Q132" s="1018"/>
      <c r="R132" s="1018"/>
      <c r="S132" s="1018"/>
      <c r="T132" s="1018"/>
      <c r="U132" s="1018"/>
      <c r="V132" s="1018"/>
      <c r="W132" s="1018"/>
      <c r="X132" s="1018"/>
      <c r="Y132" s="1018"/>
      <c r="Z132" s="1018"/>
      <c r="AA132" s="1018"/>
      <c r="AB132" s="1018"/>
      <c r="AC132" s="1018"/>
      <c r="AD132" s="1018"/>
      <c r="AE132" s="1018"/>
      <c r="AF132" s="1018"/>
      <c r="AG132" s="1018"/>
      <c r="AH132" s="1018"/>
      <c r="AI132" s="1018"/>
      <c r="AJ132" s="1018"/>
      <c r="AK132" s="1018"/>
      <c r="AL132" s="1018"/>
      <c r="AM132" s="1018">
        <f>SUM($AL$26:AL26)*$I$128/12</f>
        <v>0</v>
      </c>
      <c r="AN132" s="1018">
        <f>SUM($AL$26:AM26)*$I$128/12</f>
        <v>0</v>
      </c>
      <c r="AO132" s="1018">
        <f>SUM($AL$26:AN26)*$I$128/12</f>
        <v>0</v>
      </c>
      <c r="AP132" s="1018">
        <f>SUM($AL$26:AO26)*$I$128/12</f>
        <v>0</v>
      </c>
      <c r="AQ132" s="1018">
        <f>SUM($AL$26:AP26)*$I$128/12</f>
        <v>0</v>
      </c>
      <c r="AR132" s="1018">
        <f>SUM($AL$26:AQ26)*$I$128/12</f>
        <v>0</v>
      </c>
      <c r="AS132" s="1018">
        <f>SUM($AL$26:AR26)*$I$128/12</f>
        <v>0</v>
      </c>
      <c r="AT132" s="1018">
        <f>SUM($AL$26:AS26)*$I$128/12</f>
        <v>0</v>
      </c>
      <c r="AU132" s="1018"/>
      <c r="AV132" s="1018"/>
      <c r="AW132" s="1018"/>
      <c r="AX132" s="1018"/>
      <c r="AY132" s="1018"/>
      <c r="AZ132" s="1018"/>
      <c r="BA132" s="1018"/>
      <c r="BB132" s="1018"/>
      <c r="BC132" s="1018"/>
      <c r="BD132" s="1018"/>
      <c r="BE132" s="1018"/>
      <c r="BF132" s="1018"/>
      <c r="BG132" s="1018"/>
      <c r="BH132" s="1018"/>
      <c r="BI132" s="1018"/>
      <c r="BJ132" s="1018"/>
      <c r="BK132" s="1018"/>
      <c r="BL132" s="1018"/>
      <c r="BM132" s="1018"/>
      <c r="BN132" s="1018"/>
      <c r="BO132" s="1018"/>
      <c r="BP132" s="1018"/>
      <c r="BQ132" s="424">
        <f t="shared" si="108"/>
        <v>0</v>
      </c>
      <c r="BR132" s="425">
        <f t="shared" si="109"/>
        <v>0</v>
      </c>
      <c r="BS132" s="1193">
        <f t="shared" si="110"/>
        <v>0</v>
      </c>
    </row>
    <row r="133" spans="1:71" ht="19.5" hidden="1" customHeight="1">
      <c r="A133" s="38"/>
      <c r="B133" s="416"/>
      <c r="C133" s="1091"/>
      <c r="D133" s="1092"/>
      <c r="E133" s="501"/>
      <c r="F133" s="505" t="str">
        <f>C54</f>
        <v>근생시설</v>
      </c>
      <c r="G133" s="1341"/>
      <c r="H133" s="1341"/>
      <c r="I133" s="1338">
        <f>$I$128</f>
        <v>0</v>
      </c>
      <c r="J133" s="1342"/>
      <c r="K133" s="1343"/>
      <c r="L133" s="506">
        <f t="shared" si="77"/>
        <v>0</v>
      </c>
      <c r="M133" s="479"/>
      <c r="N133" s="38"/>
      <c r="O133" s="1344"/>
      <c r="P133" s="507"/>
      <c r="Q133" s="507"/>
      <c r="R133" s="507"/>
      <c r="S133" s="507"/>
      <c r="T133" s="507"/>
      <c r="U133" s="507"/>
      <c r="V133" s="507"/>
      <c r="W133" s="507"/>
      <c r="X133" s="507"/>
      <c r="Y133" s="507"/>
      <c r="Z133" s="507"/>
      <c r="AA133" s="507" t="e">
        <f t="shared" ref="AA133:AT133" si="139">SUM(#REF!)*$I$133/12</f>
        <v>#REF!</v>
      </c>
      <c r="AB133" s="507" t="e">
        <f t="shared" si="139"/>
        <v>#REF!</v>
      </c>
      <c r="AC133" s="507" t="e">
        <f t="shared" si="139"/>
        <v>#REF!</v>
      </c>
      <c r="AD133" s="507" t="e">
        <f t="shared" si="139"/>
        <v>#REF!</v>
      </c>
      <c r="AE133" s="507" t="e">
        <f t="shared" si="139"/>
        <v>#REF!</v>
      </c>
      <c r="AF133" s="507" t="e">
        <f t="shared" si="139"/>
        <v>#REF!</v>
      </c>
      <c r="AG133" s="507" t="e">
        <f t="shared" si="139"/>
        <v>#REF!</v>
      </c>
      <c r="AH133" s="507" t="e">
        <f t="shared" si="139"/>
        <v>#REF!</v>
      </c>
      <c r="AI133" s="507" t="e">
        <f t="shared" si="139"/>
        <v>#REF!</v>
      </c>
      <c r="AJ133" s="507" t="e">
        <f t="shared" si="139"/>
        <v>#REF!</v>
      </c>
      <c r="AK133" s="507" t="e">
        <f t="shared" si="139"/>
        <v>#REF!</v>
      </c>
      <c r="AL133" s="507" t="e">
        <f t="shared" si="139"/>
        <v>#REF!</v>
      </c>
      <c r="AM133" s="507" t="e">
        <f t="shared" si="139"/>
        <v>#REF!</v>
      </c>
      <c r="AN133" s="507" t="e">
        <f t="shared" si="139"/>
        <v>#REF!</v>
      </c>
      <c r="AO133" s="507" t="e">
        <f t="shared" si="139"/>
        <v>#REF!</v>
      </c>
      <c r="AP133" s="507" t="e">
        <f t="shared" si="139"/>
        <v>#REF!</v>
      </c>
      <c r="AQ133" s="507" t="e">
        <f t="shared" si="139"/>
        <v>#REF!</v>
      </c>
      <c r="AR133" s="507" t="e">
        <f t="shared" si="139"/>
        <v>#REF!</v>
      </c>
      <c r="AS133" s="507" t="e">
        <f t="shared" si="139"/>
        <v>#REF!</v>
      </c>
      <c r="AT133" s="507" t="e">
        <f t="shared" si="139"/>
        <v>#REF!</v>
      </c>
      <c r="AU133" s="507"/>
      <c r="AV133" s="507"/>
      <c r="AW133" s="507"/>
      <c r="AX133" s="507"/>
      <c r="AY133" s="507"/>
      <c r="AZ133" s="507"/>
      <c r="BA133" s="507"/>
      <c r="BB133" s="507"/>
      <c r="BC133" s="507"/>
      <c r="BD133" s="507"/>
      <c r="BE133" s="507"/>
      <c r="BF133" s="507"/>
      <c r="BG133" s="507"/>
      <c r="BH133" s="507"/>
      <c r="BI133" s="507"/>
      <c r="BJ133" s="507"/>
      <c r="BK133" s="507"/>
      <c r="BL133" s="507"/>
      <c r="BM133" s="507"/>
      <c r="BN133" s="507"/>
      <c r="BO133" s="507"/>
      <c r="BP133" s="507"/>
      <c r="BQ133" s="424" t="e">
        <f t="shared" si="108"/>
        <v>#REF!</v>
      </c>
      <c r="BR133" s="425">
        <f t="shared" si="109"/>
        <v>0</v>
      </c>
      <c r="BS133" s="1193" t="e">
        <f t="shared" si="110"/>
        <v>#REF!</v>
      </c>
    </row>
    <row r="134" spans="1:71" ht="19.5" hidden="1" customHeight="1">
      <c r="A134" s="38"/>
      <c r="B134" s="416"/>
      <c r="C134" s="1091"/>
      <c r="D134" s="1092"/>
      <c r="E134" s="501"/>
      <c r="F134" s="503"/>
      <c r="G134" s="1221"/>
      <c r="H134" s="1221"/>
      <c r="I134" s="1340"/>
      <c r="J134" s="1319"/>
      <c r="K134" s="1339"/>
      <c r="L134" s="353">
        <f t="shared" si="77"/>
        <v>0</v>
      </c>
      <c r="M134" s="426"/>
      <c r="N134" s="38"/>
      <c r="O134" s="1344"/>
      <c r="P134" s="1018"/>
      <c r="Q134" s="1018"/>
      <c r="R134" s="1018"/>
      <c r="S134" s="1018"/>
      <c r="T134" s="1018"/>
      <c r="U134" s="1018"/>
      <c r="V134" s="1018"/>
      <c r="W134" s="1018"/>
      <c r="X134" s="1018"/>
      <c r="Y134" s="1018"/>
      <c r="Z134" s="1018"/>
      <c r="AA134" s="1018"/>
      <c r="AB134" s="1018"/>
      <c r="AC134" s="1018"/>
      <c r="AD134" s="1018" t="e">
        <f t="shared" ref="AD134:AT134" si="140">SUM(#REF!)*$I$133/12</f>
        <v>#REF!</v>
      </c>
      <c r="AE134" s="1018" t="e">
        <f t="shared" si="140"/>
        <v>#REF!</v>
      </c>
      <c r="AF134" s="1018" t="e">
        <f t="shared" si="140"/>
        <v>#REF!</v>
      </c>
      <c r="AG134" s="1018" t="e">
        <f t="shared" si="140"/>
        <v>#REF!</v>
      </c>
      <c r="AH134" s="1018" t="e">
        <f t="shared" si="140"/>
        <v>#REF!</v>
      </c>
      <c r="AI134" s="1018" t="e">
        <f t="shared" si="140"/>
        <v>#REF!</v>
      </c>
      <c r="AJ134" s="1018" t="e">
        <f t="shared" si="140"/>
        <v>#REF!</v>
      </c>
      <c r="AK134" s="1018" t="e">
        <f t="shared" si="140"/>
        <v>#REF!</v>
      </c>
      <c r="AL134" s="1018" t="e">
        <f t="shared" si="140"/>
        <v>#REF!</v>
      </c>
      <c r="AM134" s="1018" t="e">
        <f t="shared" si="140"/>
        <v>#REF!</v>
      </c>
      <c r="AN134" s="1018" t="e">
        <f t="shared" si="140"/>
        <v>#REF!</v>
      </c>
      <c r="AO134" s="1018" t="e">
        <f t="shared" si="140"/>
        <v>#REF!</v>
      </c>
      <c r="AP134" s="1018" t="e">
        <f t="shared" si="140"/>
        <v>#REF!</v>
      </c>
      <c r="AQ134" s="1018" t="e">
        <f t="shared" si="140"/>
        <v>#REF!</v>
      </c>
      <c r="AR134" s="1018" t="e">
        <f t="shared" si="140"/>
        <v>#REF!</v>
      </c>
      <c r="AS134" s="1018" t="e">
        <f t="shared" si="140"/>
        <v>#REF!</v>
      </c>
      <c r="AT134" s="1018" t="e">
        <f t="shared" si="140"/>
        <v>#REF!</v>
      </c>
      <c r="AU134" s="1018"/>
      <c r="AV134" s="1018"/>
      <c r="AW134" s="1018"/>
      <c r="AX134" s="1018"/>
      <c r="AY134" s="1018"/>
      <c r="AZ134" s="1018"/>
      <c r="BA134" s="1018"/>
      <c r="BB134" s="1018"/>
      <c r="BC134" s="1018"/>
      <c r="BD134" s="1018"/>
      <c r="BE134" s="1018"/>
      <c r="BF134" s="1018"/>
      <c r="BG134" s="1018"/>
      <c r="BH134" s="1018"/>
      <c r="BI134" s="1018"/>
      <c r="BJ134" s="1018"/>
      <c r="BK134" s="1018"/>
      <c r="BL134" s="1018"/>
      <c r="BM134" s="1018"/>
      <c r="BN134" s="1018"/>
      <c r="BO134" s="1018"/>
      <c r="BP134" s="1018"/>
      <c r="BQ134" s="424" t="e">
        <f t="shared" si="108"/>
        <v>#REF!</v>
      </c>
      <c r="BR134" s="425">
        <f t="shared" si="109"/>
        <v>0</v>
      </c>
      <c r="BS134" s="1193" t="e">
        <f t="shared" si="110"/>
        <v>#REF!</v>
      </c>
    </row>
    <row r="135" spans="1:71" ht="19.5" hidden="1" customHeight="1">
      <c r="A135" s="38"/>
      <c r="B135" s="416"/>
      <c r="C135" s="1091"/>
      <c r="D135" s="1092"/>
      <c r="E135" s="501"/>
      <c r="F135" s="503"/>
      <c r="G135" s="1221"/>
      <c r="H135" s="1221"/>
      <c r="I135" s="1340"/>
      <c r="J135" s="1319"/>
      <c r="K135" s="1339"/>
      <c r="L135" s="353">
        <f t="shared" si="77"/>
        <v>0</v>
      </c>
      <c r="M135" s="426"/>
      <c r="N135" s="38"/>
      <c r="O135" s="1344"/>
      <c r="P135" s="1018"/>
      <c r="Q135" s="1018"/>
      <c r="R135" s="1018"/>
      <c r="S135" s="1018"/>
      <c r="T135" s="1018"/>
      <c r="U135" s="1018"/>
      <c r="V135" s="1018"/>
      <c r="W135" s="1018"/>
      <c r="X135" s="1018"/>
      <c r="Y135" s="1018"/>
      <c r="Z135" s="1018"/>
      <c r="AA135" s="1018"/>
      <c r="AB135" s="1018"/>
      <c r="AC135" s="1018"/>
      <c r="AD135" s="1018"/>
      <c r="AE135" s="1018"/>
      <c r="AF135" s="1018"/>
      <c r="AG135" s="1018" t="e">
        <f t="shared" ref="AG135:AT135" si="141">SUM(#REF!)*$I$133/12</f>
        <v>#REF!</v>
      </c>
      <c r="AH135" s="1018" t="e">
        <f t="shared" si="141"/>
        <v>#REF!</v>
      </c>
      <c r="AI135" s="1018" t="e">
        <f t="shared" si="141"/>
        <v>#REF!</v>
      </c>
      <c r="AJ135" s="1018" t="e">
        <f t="shared" si="141"/>
        <v>#REF!</v>
      </c>
      <c r="AK135" s="1018" t="e">
        <f t="shared" si="141"/>
        <v>#REF!</v>
      </c>
      <c r="AL135" s="1018" t="e">
        <f t="shared" si="141"/>
        <v>#REF!</v>
      </c>
      <c r="AM135" s="1018" t="e">
        <f t="shared" si="141"/>
        <v>#REF!</v>
      </c>
      <c r="AN135" s="1018" t="e">
        <f t="shared" si="141"/>
        <v>#REF!</v>
      </c>
      <c r="AO135" s="1018" t="e">
        <f t="shared" si="141"/>
        <v>#REF!</v>
      </c>
      <c r="AP135" s="1018" t="e">
        <f t="shared" si="141"/>
        <v>#REF!</v>
      </c>
      <c r="AQ135" s="1018" t="e">
        <f t="shared" si="141"/>
        <v>#REF!</v>
      </c>
      <c r="AR135" s="1018" t="e">
        <f t="shared" si="141"/>
        <v>#REF!</v>
      </c>
      <c r="AS135" s="1018" t="e">
        <f t="shared" si="141"/>
        <v>#REF!</v>
      </c>
      <c r="AT135" s="1018" t="e">
        <f t="shared" si="141"/>
        <v>#REF!</v>
      </c>
      <c r="AU135" s="1018"/>
      <c r="AV135" s="1018"/>
      <c r="AW135" s="1018"/>
      <c r="AX135" s="1018"/>
      <c r="AY135" s="1018"/>
      <c r="AZ135" s="1018"/>
      <c r="BA135" s="1018"/>
      <c r="BB135" s="1018"/>
      <c r="BC135" s="1018"/>
      <c r="BD135" s="1018"/>
      <c r="BE135" s="1018"/>
      <c r="BF135" s="1018"/>
      <c r="BG135" s="1018"/>
      <c r="BH135" s="1018"/>
      <c r="BI135" s="1018"/>
      <c r="BJ135" s="1018"/>
      <c r="BK135" s="1018"/>
      <c r="BL135" s="1018"/>
      <c r="BM135" s="1018"/>
      <c r="BN135" s="1018"/>
      <c r="BO135" s="1018"/>
      <c r="BP135" s="1018"/>
      <c r="BQ135" s="424" t="e">
        <f t="shared" si="108"/>
        <v>#REF!</v>
      </c>
      <c r="BR135" s="425">
        <f t="shared" si="109"/>
        <v>0</v>
      </c>
      <c r="BS135" s="1193" t="e">
        <f t="shared" si="110"/>
        <v>#REF!</v>
      </c>
    </row>
    <row r="136" spans="1:71" ht="19.5" hidden="1" customHeight="1">
      <c r="A136" s="38"/>
      <c r="B136" s="416"/>
      <c r="C136" s="1345"/>
      <c r="D136" s="1346"/>
      <c r="E136" s="508"/>
      <c r="F136" s="504"/>
      <c r="G136" s="1221"/>
      <c r="H136" s="1221"/>
      <c r="I136" s="1340"/>
      <c r="J136" s="1319"/>
      <c r="K136" s="1339"/>
      <c r="L136" s="353">
        <f t="shared" si="77"/>
        <v>0</v>
      </c>
      <c r="M136" s="426"/>
      <c r="N136" s="38"/>
      <c r="O136" s="1344"/>
      <c r="P136" s="1018"/>
      <c r="Q136" s="1018"/>
      <c r="R136" s="1018"/>
      <c r="S136" s="1018"/>
      <c r="T136" s="1018"/>
      <c r="U136" s="1018"/>
      <c r="V136" s="1018"/>
      <c r="W136" s="1018"/>
      <c r="X136" s="1018"/>
      <c r="Y136" s="1018"/>
      <c r="Z136" s="1018"/>
      <c r="AA136" s="1018"/>
      <c r="AB136" s="1018"/>
      <c r="AC136" s="1018"/>
      <c r="AD136" s="1018"/>
      <c r="AE136" s="1018"/>
      <c r="AF136" s="1018"/>
      <c r="AG136" s="1018"/>
      <c r="AH136" s="1018"/>
      <c r="AI136" s="1018"/>
      <c r="AJ136" s="1018" t="e">
        <f t="shared" ref="AJ136:AT136" si="142">SUM(#REF!)*$I$133/12</f>
        <v>#REF!</v>
      </c>
      <c r="AK136" s="1018" t="e">
        <f t="shared" si="142"/>
        <v>#REF!</v>
      </c>
      <c r="AL136" s="1018" t="e">
        <f t="shared" si="142"/>
        <v>#REF!</v>
      </c>
      <c r="AM136" s="1018" t="e">
        <f t="shared" si="142"/>
        <v>#REF!</v>
      </c>
      <c r="AN136" s="1018" t="e">
        <f t="shared" si="142"/>
        <v>#REF!</v>
      </c>
      <c r="AO136" s="1018" t="e">
        <f t="shared" si="142"/>
        <v>#REF!</v>
      </c>
      <c r="AP136" s="1018" t="e">
        <f t="shared" si="142"/>
        <v>#REF!</v>
      </c>
      <c r="AQ136" s="1018" t="e">
        <f t="shared" si="142"/>
        <v>#REF!</v>
      </c>
      <c r="AR136" s="1018" t="e">
        <f t="shared" si="142"/>
        <v>#REF!</v>
      </c>
      <c r="AS136" s="1018" t="e">
        <f t="shared" si="142"/>
        <v>#REF!</v>
      </c>
      <c r="AT136" s="1018" t="e">
        <f t="shared" si="142"/>
        <v>#REF!</v>
      </c>
      <c r="AU136" s="1018"/>
      <c r="AV136" s="1018"/>
      <c r="AW136" s="1018"/>
      <c r="AX136" s="1018"/>
      <c r="AY136" s="1018"/>
      <c r="AZ136" s="1018"/>
      <c r="BA136" s="1018"/>
      <c r="BB136" s="1018"/>
      <c r="BC136" s="1018"/>
      <c r="BD136" s="1018"/>
      <c r="BE136" s="1018"/>
      <c r="BF136" s="1018"/>
      <c r="BG136" s="1018"/>
      <c r="BH136" s="1018"/>
      <c r="BI136" s="1018"/>
      <c r="BJ136" s="1018"/>
      <c r="BK136" s="1018"/>
      <c r="BL136" s="1018"/>
      <c r="BM136" s="1018"/>
      <c r="BN136" s="1018"/>
      <c r="BO136" s="1018"/>
      <c r="BP136" s="1018"/>
      <c r="BQ136" s="424" t="e">
        <f t="shared" si="108"/>
        <v>#REF!</v>
      </c>
      <c r="BR136" s="425">
        <f t="shared" si="109"/>
        <v>0</v>
      </c>
      <c r="BS136" s="1193" t="e">
        <f t="shared" si="110"/>
        <v>#REF!</v>
      </c>
    </row>
    <row r="137" spans="1:71" ht="19.5" customHeight="1">
      <c r="A137" s="38"/>
      <c r="B137" s="416"/>
      <c r="C137" s="1524" t="s">
        <v>295</v>
      </c>
      <c r="D137" s="1525"/>
      <c r="E137" s="1528" t="s">
        <v>153</v>
      </c>
      <c r="F137" s="1529" t="s">
        <v>113</v>
      </c>
      <c r="G137" s="510"/>
      <c r="H137" s="1174" t="s">
        <v>263</v>
      </c>
      <c r="I137" s="1174"/>
      <c r="J137" s="1347" t="s">
        <v>296</v>
      </c>
      <c r="K137" s="1348">
        <v>4.4999999999999998E-2</v>
      </c>
      <c r="L137" s="353">
        <f t="shared" si="77"/>
        <v>0</v>
      </c>
      <c r="M137" s="511">
        <f>G137*K137</f>
        <v>0</v>
      </c>
      <c r="N137" s="38"/>
      <c r="O137" s="1349"/>
      <c r="P137" s="1018">
        <f t="shared" ref="P137:BP137" si="143">P165</f>
        <v>0</v>
      </c>
      <c r="Q137" s="1018">
        <f t="shared" si="143"/>
        <v>0</v>
      </c>
      <c r="R137" s="1018">
        <f t="shared" si="143"/>
        <v>0</v>
      </c>
      <c r="S137" s="1018">
        <f>M137</f>
        <v>0</v>
      </c>
      <c r="T137" s="1018">
        <f t="shared" si="143"/>
        <v>0</v>
      </c>
      <c r="U137" s="1018">
        <f t="shared" si="143"/>
        <v>0</v>
      </c>
      <c r="V137" s="1018">
        <f t="shared" si="143"/>
        <v>0</v>
      </c>
      <c r="W137" s="1018">
        <f t="shared" si="143"/>
        <v>0</v>
      </c>
      <c r="X137" s="1018">
        <f t="shared" si="143"/>
        <v>0</v>
      </c>
      <c r="Y137" s="1018">
        <f t="shared" si="143"/>
        <v>0</v>
      </c>
      <c r="Z137" s="1018">
        <f t="shared" si="143"/>
        <v>0</v>
      </c>
      <c r="AA137" s="1018">
        <f t="shared" si="143"/>
        <v>0</v>
      </c>
      <c r="AB137" s="1018">
        <f t="shared" si="143"/>
        <v>0</v>
      </c>
      <c r="AC137" s="1018">
        <f t="shared" si="143"/>
        <v>0</v>
      </c>
      <c r="AD137" s="1018">
        <f t="shared" si="143"/>
        <v>0</v>
      </c>
      <c r="AE137" s="1018">
        <f t="shared" si="143"/>
        <v>0</v>
      </c>
      <c r="AF137" s="1018">
        <f t="shared" si="143"/>
        <v>0</v>
      </c>
      <c r="AG137" s="1018">
        <f t="shared" si="143"/>
        <v>0</v>
      </c>
      <c r="AH137" s="1018">
        <f t="shared" si="143"/>
        <v>0</v>
      </c>
      <c r="AI137" s="1018">
        <f t="shared" si="143"/>
        <v>0</v>
      </c>
      <c r="AJ137" s="1018">
        <f t="shared" si="143"/>
        <v>0</v>
      </c>
      <c r="AK137" s="1018">
        <f t="shared" si="143"/>
        <v>0</v>
      </c>
      <c r="AL137" s="1018">
        <f t="shared" si="143"/>
        <v>0</v>
      </c>
      <c r="AM137" s="1018">
        <f t="shared" si="143"/>
        <v>0</v>
      </c>
      <c r="AN137" s="1018">
        <f t="shared" si="143"/>
        <v>0</v>
      </c>
      <c r="AO137" s="1018">
        <f t="shared" si="143"/>
        <v>0</v>
      </c>
      <c r="AP137" s="1018">
        <f t="shared" si="143"/>
        <v>0</v>
      </c>
      <c r="AQ137" s="1018">
        <f t="shared" si="143"/>
        <v>0</v>
      </c>
      <c r="AR137" s="1018">
        <f t="shared" si="143"/>
        <v>0</v>
      </c>
      <c r="AS137" s="1018">
        <f t="shared" si="143"/>
        <v>0</v>
      </c>
      <c r="AT137" s="1018">
        <f t="shared" si="143"/>
        <v>0</v>
      </c>
      <c r="AU137" s="1018">
        <f t="shared" si="143"/>
        <v>0</v>
      </c>
      <c r="AV137" s="1018">
        <f t="shared" si="143"/>
        <v>0</v>
      </c>
      <c r="AW137" s="1018">
        <f t="shared" si="143"/>
        <v>0</v>
      </c>
      <c r="AX137" s="1018">
        <f t="shared" si="143"/>
        <v>0</v>
      </c>
      <c r="AY137" s="1018">
        <f t="shared" si="143"/>
        <v>0</v>
      </c>
      <c r="AZ137" s="1018">
        <f t="shared" si="143"/>
        <v>0</v>
      </c>
      <c r="BA137" s="1018">
        <f t="shared" si="143"/>
        <v>0</v>
      </c>
      <c r="BB137" s="1018">
        <f t="shared" si="143"/>
        <v>0</v>
      </c>
      <c r="BC137" s="1018">
        <f t="shared" si="143"/>
        <v>0</v>
      </c>
      <c r="BD137" s="1018">
        <f t="shared" si="143"/>
        <v>0</v>
      </c>
      <c r="BE137" s="1018">
        <f t="shared" si="143"/>
        <v>0</v>
      </c>
      <c r="BF137" s="1018">
        <f t="shared" si="143"/>
        <v>0</v>
      </c>
      <c r="BG137" s="1018">
        <f t="shared" si="143"/>
        <v>0</v>
      </c>
      <c r="BH137" s="1018">
        <f t="shared" si="143"/>
        <v>0</v>
      </c>
      <c r="BI137" s="1018">
        <f t="shared" si="143"/>
        <v>0</v>
      </c>
      <c r="BJ137" s="1018">
        <f t="shared" si="143"/>
        <v>0</v>
      </c>
      <c r="BK137" s="1018">
        <f t="shared" si="143"/>
        <v>0</v>
      </c>
      <c r="BL137" s="1018">
        <f t="shared" si="143"/>
        <v>0</v>
      </c>
      <c r="BM137" s="1018">
        <f t="shared" si="143"/>
        <v>0</v>
      </c>
      <c r="BN137" s="1018">
        <f t="shared" si="143"/>
        <v>0</v>
      </c>
      <c r="BO137" s="1018">
        <f t="shared" si="143"/>
        <v>0</v>
      </c>
      <c r="BP137" s="1018">
        <f t="shared" si="143"/>
        <v>0</v>
      </c>
      <c r="BQ137" s="424">
        <f t="shared" si="108"/>
        <v>0</v>
      </c>
      <c r="BR137" s="425">
        <f t="shared" si="109"/>
        <v>0</v>
      </c>
      <c r="BS137" s="1193">
        <f t="shared" si="110"/>
        <v>0</v>
      </c>
    </row>
    <row r="138" spans="1:71" ht="19.5" customHeight="1">
      <c r="A138" s="38"/>
      <c r="B138" s="416"/>
      <c r="C138" s="1526"/>
      <c r="D138" s="1527"/>
      <c r="E138" s="1520"/>
      <c r="F138" s="1530"/>
      <c r="G138" s="1217"/>
      <c r="H138" s="1174"/>
      <c r="I138" s="1217"/>
      <c r="J138" s="1347" t="s">
        <v>297</v>
      </c>
      <c r="K138" s="1348">
        <f>J162</f>
        <v>0.14000000000000001</v>
      </c>
      <c r="L138" s="353">
        <f t="shared" si="77"/>
        <v>0</v>
      </c>
      <c r="M138" s="1015">
        <f>G137*K138*COUNTA(P137:R137)/12</f>
        <v>0</v>
      </c>
      <c r="N138" s="38"/>
      <c r="O138" s="1349"/>
      <c r="P138" s="1018">
        <f t="shared" ref="P138:BP138" si="144">P166</f>
        <v>0</v>
      </c>
      <c r="Q138" s="1018">
        <f t="shared" si="144"/>
        <v>0</v>
      </c>
      <c r="R138" s="1018">
        <f t="shared" si="144"/>
        <v>0</v>
      </c>
      <c r="S138" s="1018">
        <f>M138</f>
        <v>0</v>
      </c>
      <c r="T138" s="1018">
        <f t="shared" si="144"/>
        <v>0</v>
      </c>
      <c r="U138" s="1018">
        <f t="shared" si="144"/>
        <v>0</v>
      </c>
      <c r="V138" s="1018">
        <f t="shared" si="144"/>
        <v>0</v>
      </c>
      <c r="W138" s="1018">
        <f t="shared" si="144"/>
        <v>0</v>
      </c>
      <c r="X138" s="1018">
        <f t="shared" si="144"/>
        <v>0</v>
      </c>
      <c r="Y138" s="1018">
        <f t="shared" si="144"/>
        <v>0</v>
      </c>
      <c r="Z138" s="1018">
        <f t="shared" si="144"/>
        <v>0</v>
      </c>
      <c r="AA138" s="1018">
        <f t="shared" si="144"/>
        <v>0</v>
      </c>
      <c r="AB138" s="1018">
        <f t="shared" si="144"/>
        <v>0</v>
      </c>
      <c r="AC138" s="1018">
        <f t="shared" si="144"/>
        <v>0</v>
      </c>
      <c r="AD138" s="1018">
        <f t="shared" si="144"/>
        <v>0</v>
      </c>
      <c r="AE138" s="1018">
        <f t="shared" si="144"/>
        <v>0</v>
      </c>
      <c r="AF138" s="1018">
        <f t="shared" si="144"/>
        <v>0</v>
      </c>
      <c r="AG138" s="1018">
        <f t="shared" si="144"/>
        <v>0</v>
      </c>
      <c r="AH138" s="1018">
        <f t="shared" si="144"/>
        <v>0</v>
      </c>
      <c r="AI138" s="1018">
        <f t="shared" si="144"/>
        <v>0</v>
      </c>
      <c r="AJ138" s="1018">
        <f t="shared" si="144"/>
        <v>0</v>
      </c>
      <c r="AK138" s="1018">
        <f t="shared" si="144"/>
        <v>0</v>
      </c>
      <c r="AL138" s="1018">
        <f t="shared" si="144"/>
        <v>0</v>
      </c>
      <c r="AM138" s="1018">
        <f t="shared" si="144"/>
        <v>0</v>
      </c>
      <c r="AN138" s="1018">
        <f t="shared" si="144"/>
        <v>0</v>
      </c>
      <c r="AO138" s="1018">
        <f t="shared" si="144"/>
        <v>0</v>
      </c>
      <c r="AP138" s="1018">
        <f t="shared" si="144"/>
        <v>0</v>
      </c>
      <c r="AQ138" s="1018">
        <f t="shared" si="144"/>
        <v>0</v>
      </c>
      <c r="AR138" s="1018">
        <f t="shared" si="144"/>
        <v>0</v>
      </c>
      <c r="AS138" s="1018">
        <f t="shared" si="144"/>
        <v>0</v>
      </c>
      <c r="AT138" s="1018">
        <f t="shared" si="144"/>
        <v>0</v>
      </c>
      <c r="AU138" s="1018">
        <f t="shared" si="144"/>
        <v>0</v>
      </c>
      <c r="AV138" s="1018">
        <f t="shared" si="144"/>
        <v>0</v>
      </c>
      <c r="AW138" s="1018">
        <f t="shared" si="144"/>
        <v>0</v>
      </c>
      <c r="AX138" s="1018">
        <f t="shared" si="144"/>
        <v>0</v>
      </c>
      <c r="AY138" s="1018">
        <f t="shared" si="144"/>
        <v>0</v>
      </c>
      <c r="AZ138" s="1018">
        <f t="shared" si="144"/>
        <v>0</v>
      </c>
      <c r="BA138" s="1018">
        <f t="shared" si="144"/>
        <v>0</v>
      </c>
      <c r="BB138" s="1018">
        <f t="shared" si="144"/>
        <v>0</v>
      </c>
      <c r="BC138" s="1018">
        <f t="shared" si="144"/>
        <v>0</v>
      </c>
      <c r="BD138" s="1018">
        <f t="shared" si="144"/>
        <v>0</v>
      </c>
      <c r="BE138" s="1018">
        <f t="shared" si="144"/>
        <v>0</v>
      </c>
      <c r="BF138" s="1018">
        <f t="shared" si="144"/>
        <v>0</v>
      </c>
      <c r="BG138" s="1018">
        <f t="shared" si="144"/>
        <v>0</v>
      </c>
      <c r="BH138" s="1018">
        <f t="shared" si="144"/>
        <v>0</v>
      </c>
      <c r="BI138" s="1018">
        <f t="shared" si="144"/>
        <v>0</v>
      </c>
      <c r="BJ138" s="1018">
        <f t="shared" si="144"/>
        <v>0</v>
      </c>
      <c r="BK138" s="1018">
        <f t="shared" si="144"/>
        <v>0</v>
      </c>
      <c r="BL138" s="1018">
        <f t="shared" si="144"/>
        <v>0</v>
      </c>
      <c r="BM138" s="1018">
        <f t="shared" si="144"/>
        <v>0</v>
      </c>
      <c r="BN138" s="1018">
        <f t="shared" si="144"/>
        <v>0</v>
      </c>
      <c r="BO138" s="1018">
        <f t="shared" si="144"/>
        <v>0</v>
      </c>
      <c r="BP138" s="1018">
        <f t="shared" si="144"/>
        <v>0</v>
      </c>
      <c r="BQ138" s="424">
        <f t="shared" si="108"/>
        <v>0</v>
      </c>
      <c r="BR138" s="425">
        <f t="shared" si="109"/>
        <v>0</v>
      </c>
      <c r="BS138" s="1193">
        <f t="shared" si="110"/>
        <v>0</v>
      </c>
    </row>
    <row r="139" spans="1:71" ht="19.5" customHeight="1">
      <c r="A139" s="38"/>
      <c r="B139" s="416"/>
      <c r="C139" s="1526"/>
      <c r="D139" s="1527"/>
      <c r="E139" s="1520"/>
      <c r="F139" s="509" t="s">
        <v>298</v>
      </c>
      <c r="G139" s="1217">
        <f>M168</f>
        <v>460000000</v>
      </c>
      <c r="H139" s="1174" t="s">
        <v>263</v>
      </c>
      <c r="I139" s="1217"/>
      <c r="J139" s="1347" t="s">
        <v>296</v>
      </c>
      <c r="K139" s="1348">
        <f>I12</f>
        <v>0.01</v>
      </c>
      <c r="L139" s="353">
        <f t="shared" si="77"/>
        <v>4.9061137003766908E-3</v>
      </c>
      <c r="M139" s="485">
        <f>M172</f>
        <v>4600000</v>
      </c>
      <c r="N139" s="38"/>
      <c r="O139" s="1349"/>
      <c r="P139" s="1018">
        <f t="shared" ref="P139:BP139" si="145">P172</f>
        <v>0</v>
      </c>
      <c r="Q139" s="1018">
        <f t="shared" si="145"/>
        <v>0</v>
      </c>
      <c r="R139" s="1018">
        <f t="shared" si="145"/>
        <v>0</v>
      </c>
      <c r="S139" s="1018">
        <f t="shared" si="145"/>
        <v>4600000</v>
      </c>
      <c r="T139" s="1018">
        <f t="shared" si="145"/>
        <v>0</v>
      </c>
      <c r="U139" s="1018">
        <f t="shared" si="145"/>
        <v>0</v>
      </c>
      <c r="V139" s="1018">
        <f t="shared" si="145"/>
        <v>0</v>
      </c>
      <c r="W139" s="1018">
        <f t="shared" si="145"/>
        <v>0</v>
      </c>
      <c r="X139" s="1018">
        <f t="shared" si="145"/>
        <v>0</v>
      </c>
      <c r="Y139" s="1018">
        <f t="shared" si="145"/>
        <v>0</v>
      </c>
      <c r="Z139" s="1018">
        <f t="shared" si="145"/>
        <v>0</v>
      </c>
      <c r="AA139" s="1018">
        <f t="shared" si="145"/>
        <v>0</v>
      </c>
      <c r="AB139" s="1018">
        <f t="shared" si="145"/>
        <v>0</v>
      </c>
      <c r="AC139" s="1018">
        <f t="shared" si="145"/>
        <v>0</v>
      </c>
      <c r="AD139" s="1018">
        <f t="shared" si="145"/>
        <v>0</v>
      </c>
      <c r="AE139" s="1018">
        <f t="shared" si="145"/>
        <v>0</v>
      </c>
      <c r="AF139" s="1018">
        <f t="shared" si="145"/>
        <v>0</v>
      </c>
      <c r="AG139" s="1018">
        <f t="shared" si="145"/>
        <v>0</v>
      </c>
      <c r="AH139" s="1018">
        <f t="shared" si="145"/>
        <v>0</v>
      </c>
      <c r="AI139" s="1018">
        <f t="shared" si="145"/>
        <v>0</v>
      </c>
      <c r="AJ139" s="1018">
        <f t="shared" si="145"/>
        <v>0</v>
      </c>
      <c r="AK139" s="1018">
        <f t="shared" si="145"/>
        <v>0</v>
      </c>
      <c r="AL139" s="1018">
        <f t="shared" si="145"/>
        <v>0</v>
      </c>
      <c r="AM139" s="1018">
        <f t="shared" si="145"/>
        <v>0</v>
      </c>
      <c r="AN139" s="1018">
        <f t="shared" si="145"/>
        <v>0</v>
      </c>
      <c r="AO139" s="1018">
        <f t="shared" si="145"/>
        <v>0</v>
      </c>
      <c r="AP139" s="1018">
        <f t="shared" si="145"/>
        <v>0</v>
      </c>
      <c r="AQ139" s="1018">
        <f t="shared" si="145"/>
        <v>0</v>
      </c>
      <c r="AR139" s="1018">
        <f t="shared" si="145"/>
        <v>0</v>
      </c>
      <c r="AS139" s="1018">
        <f t="shared" si="145"/>
        <v>0</v>
      </c>
      <c r="AT139" s="1018">
        <f t="shared" si="145"/>
        <v>0</v>
      </c>
      <c r="AU139" s="1018">
        <f t="shared" si="145"/>
        <v>0</v>
      </c>
      <c r="AV139" s="1018">
        <f t="shared" si="145"/>
        <v>0</v>
      </c>
      <c r="AW139" s="1018">
        <f t="shared" si="145"/>
        <v>0</v>
      </c>
      <c r="AX139" s="1018">
        <f t="shared" si="145"/>
        <v>0</v>
      </c>
      <c r="AY139" s="1018">
        <f t="shared" si="145"/>
        <v>0</v>
      </c>
      <c r="AZ139" s="1018">
        <f t="shared" si="145"/>
        <v>0</v>
      </c>
      <c r="BA139" s="1018">
        <f t="shared" si="145"/>
        <v>0</v>
      </c>
      <c r="BB139" s="1018">
        <f t="shared" si="145"/>
        <v>0</v>
      </c>
      <c r="BC139" s="1018">
        <f t="shared" si="145"/>
        <v>0</v>
      </c>
      <c r="BD139" s="1018">
        <f t="shared" si="145"/>
        <v>0</v>
      </c>
      <c r="BE139" s="1018">
        <f t="shared" si="145"/>
        <v>0</v>
      </c>
      <c r="BF139" s="1018">
        <f t="shared" si="145"/>
        <v>0</v>
      </c>
      <c r="BG139" s="1018">
        <f t="shared" si="145"/>
        <v>0</v>
      </c>
      <c r="BH139" s="1018">
        <f t="shared" si="145"/>
        <v>0</v>
      </c>
      <c r="BI139" s="1018">
        <f t="shared" si="145"/>
        <v>0</v>
      </c>
      <c r="BJ139" s="1018">
        <f t="shared" si="145"/>
        <v>0</v>
      </c>
      <c r="BK139" s="1018">
        <f t="shared" si="145"/>
        <v>0</v>
      </c>
      <c r="BL139" s="1018">
        <f t="shared" si="145"/>
        <v>0</v>
      </c>
      <c r="BM139" s="1018">
        <f t="shared" si="145"/>
        <v>0</v>
      </c>
      <c r="BN139" s="1018">
        <f t="shared" si="145"/>
        <v>0</v>
      </c>
      <c r="BO139" s="1018">
        <f t="shared" si="145"/>
        <v>0</v>
      </c>
      <c r="BP139" s="1018">
        <f t="shared" si="145"/>
        <v>0</v>
      </c>
      <c r="BQ139" s="424">
        <f t="shared" si="108"/>
        <v>4600000</v>
      </c>
      <c r="BR139" s="425">
        <f t="shared" si="109"/>
        <v>4600000</v>
      </c>
      <c r="BS139" s="1193">
        <f t="shared" si="110"/>
        <v>0</v>
      </c>
    </row>
    <row r="140" spans="1:71" ht="19.5" customHeight="1">
      <c r="A140" s="38"/>
      <c r="B140" s="416"/>
      <c r="C140" s="1526"/>
      <c r="D140" s="1527"/>
      <c r="E140" s="1520"/>
      <c r="F140" s="512" t="s">
        <v>299</v>
      </c>
      <c r="G140" s="1350"/>
      <c r="H140" s="1174"/>
      <c r="I140" s="1217"/>
      <c r="J140" s="1347" t="s">
        <v>297</v>
      </c>
      <c r="K140" s="1348">
        <f>I13</f>
        <v>6.5000000000000002E-2</v>
      </c>
      <c r="L140" s="353">
        <f t="shared" si="77"/>
        <v>7.1709420805783339E-2</v>
      </c>
      <c r="M140" s="513">
        <f>M171</f>
        <v>67235159.201727524</v>
      </c>
      <c r="N140" s="38"/>
      <c r="O140" s="1349"/>
      <c r="P140" s="1018">
        <f t="shared" ref="P140:BP140" si="146">P171</f>
        <v>0</v>
      </c>
      <c r="Q140" s="1018">
        <f t="shared" si="146"/>
        <v>0</v>
      </c>
      <c r="R140" s="1018">
        <f t="shared" si="146"/>
        <v>0</v>
      </c>
      <c r="S140" s="1018">
        <f t="shared" si="146"/>
        <v>2491666.666666667</v>
      </c>
      <c r="T140" s="1018">
        <f t="shared" si="146"/>
        <v>2453368.6650687498</v>
      </c>
      <c r="U140" s="1018">
        <f t="shared" si="146"/>
        <v>2453368.6650687498</v>
      </c>
      <c r="V140" s="1018">
        <f t="shared" si="146"/>
        <v>2269963.5975238052</v>
      </c>
      <c r="W140" s="1018">
        <f t="shared" si="146"/>
        <v>2251923.2860125629</v>
      </c>
      <c r="X140" s="1018">
        <f t="shared" si="146"/>
        <v>2233882.9745013206</v>
      </c>
      <c r="Y140" s="1018">
        <f t="shared" si="146"/>
        <v>2211468.0303486818</v>
      </c>
      <c r="Z140" s="1018">
        <f t="shared" si="146"/>
        <v>2207093.3977072849</v>
      </c>
      <c r="AA140" s="1018">
        <f t="shared" si="146"/>
        <v>2207093.3977072849</v>
      </c>
      <c r="AB140" s="1018">
        <f t="shared" si="146"/>
        <v>1969567.3956286137</v>
      </c>
      <c r="AC140" s="1018">
        <f t="shared" si="146"/>
        <v>1969567.3956286137</v>
      </c>
      <c r="AD140" s="1018">
        <f t="shared" si="146"/>
        <v>1969567.3956286137</v>
      </c>
      <c r="AE140" s="1018">
        <f t="shared" si="146"/>
        <v>1969567.3956286137</v>
      </c>
      <c r="AF140" s="1018">
        <f t="shared" si="146"/>
        <v>1969567.3956286137</v>
      </c>
      <c r="AG140" s="1018">
        <f t="shared" si="146"/>
        <v>1969567.3956286137</v>
      </c>
      <c r="AH140" s="1018">
        <f t="shared" si="146"/>
        <v>1732041.3935499424</v>
      </c>
      <c r="AI140" s="1018">
        <f t="shared" si="146"/>
        <v>1723292.1282671487</v>
      </c>
      <c r="AJ140" s="1018">
        <f t="shared" si="146"/>
        <v>1714542.8629843548</v>
      </c>
      <c r="AK140" s="1018">
        <f t="shared" si="146"/>
        <v>1714542.8629843548</v>
      </c>
      <c r="AL140" s="1018">
        <f t="shared" si="146"/>
        <v>1714542.8629843548</v>
      </c>
      <c r="AM140" s="1018">
        <f t="shared" si="146"/>
        <v>1714542.8629843548</v>
      </c>
      <c r="AN140" s="1018">
        <f t="shared" si="146"/>
        <v>1477016.8609056838</v>
      </c>
      <c r="AO140" s="1018">
        <f t="shared" si="146"/>
        <v>1477016.8609056838</v>
      </c>
      <c r="AP140" s="1018">
        <f t="shared" si="146"/>
        <v>1477016.8609056838</v>
      </c>
      <c r="AQ140" s="1018">
        <f t="shared" si="146"/>
        <v>1477016.8609056838</v>
      </c>
      <c r="AR140" s="1018">
        <f t="shared" si="146"/>
        <v>1477016.8609056838</v>
      </c>
      <c r="AS140" s="1018">
        <f t="shared" si="146"/>
        <v>1477016.8609056838</v>
      </c>
      <c r="AT140" s="1018">
        <f t="shared" si="146"/>
        <v>1239490.8588270126</v>
      </c>
      <c r="AU140" s="1018">
        <f t="shared" si="146"/>
        <v>1230741.5935442189</v>
      </c>
      <c r="AV140" s="1018">
        <f t="shared" si="146"/>
        <v>1221992.3282614253</v>
      </c>
      <c r="AW140" s="1018">
        <f t="shared" si="146"/>
        <v>1221992.3282614253</v>
      </c>
      <c r="AX140" s="1018">
        <f t="shared" si="146"/>
        <v>1221992.3282614253</v>
      </c>
      <c r="AY140" s="1018">
        <f t="shared" si="146"/>
        <v>1221992.3282614253</v>
      </c>
      <c r="AZ140" s="1018">
        <f t="shared" si="146"/>
        <v>984466.3261827539</v>
      </c>
      <c r="BA140" s="1018">
        <f t="shared" si="146"/>
        <v>984466.3261827539</v>
      </c>
      <c r="BB140" s="1018">
        <f t="shared" si="146"/>
        <v>984466.3261827539</v>
      </c>
      <c r="BC140" s="1018">
        <f t="shared" si="146"/>
        <v>984466.3261827539</v>
      </c>
      <c r="BD140" s="1018">
        <f t="shared" si="146"/>
        <v>984466.3261827539</v>
      </c>
      <c r="BE140" s="1018">
        <f t="shared" si="146"/>
        <v>984466.3261827539</v>
      </c>
      <c r="BF140" s="1018">
        <f t="shared" si="146"/>
        <v>723961.5231453327</v>
      </c>
      <c r="BG140" s="1018">
        <f t="shared" si="146"/>
        <v>723961.5231453327</v>
      </c>
      <c r="BH140" s="1018">
        <f t="shared" si="146"/>
        <v>708642.32250616595</v>
      </c>
      <c r="BI140" s="1018">
        <f t="shared" si="146"/>
        <v>31314.040029418047</v>
      </c>
      <c r="BJ140" s="1018">
        <f t="shared" si="146"/>
        <v>9440.8768224336727</v>
      </c>
      <c r="BK140" s="1018">
        <f t="shared" si="146"/>
        <v>0</v>
      </c>
      <c r="BL140" s="1018">
        <f t="shared" si="146"/>
        <v>0</v>
      </c>
      <c r="BM140" s="1018">
        <f t="shared" si="146"/>
        <v>0</v>
      </c>
      <c r="BN140" s="1018">
        <f t="shared" si="146"/>
        <v>0</v>
      </c>
      <c r="BO140" s="1018">
        <f t="shared" si="146"/>
        <v>0</v>
      </c>
      <c r="BP140" s="1018">
        <f t="shared" si="146"/>
        <v>0</v>
      </c>
      <c r="BQ140" s="424">
        <f t="shared" si="108"/>
        <v>67235159.201727524</v>
      </c>
      <c r="BR140" s="425">
        <f t="shared" si="109"/>
        <v>67235159.201727524</v>
      </c>
      <c r="BS140" s="1193">
        <f t="shared" si="110"/>
        <v>0</v>
      </c>
    </row>
    <row r="141" spans="1:71" ht="19.5" customHeight="1">
      <c r="A141" s="38"/>
      <c r="B141" s="416"/>
      <c r="C141" s="1526"/>
      <c r="D141" s="1527"/>
      <c r="E141" s="1520"/>
      <c r="F141" s="514"/>
      <c r="G141" s="1350"/>
      <c r="H141" s="1174"/>
      <c r="I141" s="1217"/>
      <c r="J141" s="1347" t="s">
        <v>300</v>
      </c>
      <c r="K141" s="1348">
        <f>J173</f>
        <v>5.0000000000000001E-3</v>
      </c>
      <c r="L141" s="353">
        <f t="shared" si="77"/>
        <v>2.4530568501883454E-3</v>
      </c>
      <c r="M141" s="513">
        <f>M173</f>
        <v>2300000</v>
      </c>
      <c r="N141" s="38"/>
      <c r="O141" s="1349"/>
      <c r="P141" s="1018">
        <f t="shared" ref="P141:BP141" si="147">P173</f>
        <v>0</v>
      </c>
      <c r="Q141" s="1018">
        <f t="shared" si="147"/>
        <v>0</v>
      </c>
      <c r="R141" s="1018">
        <f t="shared" si="147"/>
        <v>0</v>
      </c>
      <c r="S141" s="1018">
        <f>S173</f>
        <v>2300000</v>
      </c>
      <c r="T141" s="1018">
        <f t="shared" si="147"/>
        <v>0</v>
      </c>
      <c r="U141" s="1018">
        <f t="shared" si="147"/>
        <v>0</v>
      </c>
      <c r="V141" s="1018">
        <f t="shared" si="147"/>
        <v>0</v>
      </c>
      <c r="W141" s="1018">
        <f t="shared" si="147"/>
        <v>0</v>
      </c>
      <c r="X141" s="1018">
        <f t="shared" si="147"/>
        <v>0</v>
      </c>
      <c r="Y141" s="1018">
        <f t="shared" si="147"/>
        <v>0</v>
      </c>
      <c r="Z141" s="1018">
        <f t="shared" si="147"/>
        <v>0</v>
      </c>
      <c r="AA141" s="1018">
        <f t="shared" si="147"/>
        <v>0</v>
      </c>
      <c r="AB141" s="1018">
        <f t="shared" si="147"/>
        <v>0</v>
      </c>
      <c r="AC141" s="1018">
        <f t="shared" si="147"/>
        <v>0</v>
      </c>
      <c r="AD141" s="1018">
        <f t="shared" si="147"/>
        <v>0</v>
      </c>
      <c r="AE141" s="1018">
        <f t="shared" si="147"/>
        <v>0</v>
      </c>
      <c r="AF141" s="1018">
        <f t="shared" si="147"/>
        <v>0</v>
      </c>
      <c r="AG141" s="1018">
        <f t="shared" si="147"/>
        <v>0</v>
      </c>
      <c r="AH141" s="1018">
        <f t="shared" si="147"/>
        <v>0</v>
      </c>
      <c r="AI141" s="1018">
        <f t="shared" si="147"/>
        <v>0</v>
      </c>
      <c r="AJ141" s="1018">
        <f t="shared" si="147"/>
        <v>0</v>
      </c>
      <c r="AK141" s="1018">
        <f t="shared" si="147"/>
        <v>0</v>
      </c>
      <c r="AL141" s="1018">
        <f t="shared" si="147"/>
        <v>0</v>
      </c>
      <c r="AM141" s="1018">
        <f t="shared" si="147"/>
        <v>0</v>
      </c>
      <c r="AN141" s="1018">
        <f t="shared" si="147"/>
        <v>0</v>
      </c>
      <c r="AO141" s="1018">
        <f t="shared" si="147"/>
        <v>0</v>
      </c>
      <c r="AP141" s="1018">
        <f t="shared" si="147"/>
        <v>0</v>
      </c>
      <c r="AQ141" s="1018">
        <f t="shared" si="147"/>
        <v>0</v>
      </c>
      <c r="AR141" s="1018">
        <f t="shared" si="147"/>
        <v>0</v>
      </c>
      <c r="AS141" s="1018">
        <f t="shared" si="147"/>
        <v>0</v>
      </c>
      <c r="AT141" s="1018">
        <f t="shared" si="147"/>
        <v>0</v>
      </c>
      <c r="AU141" s="1018">
        <f t="shared" si="147"/>
        <v>0</v>
      </c>
      <c r="AV141" s="1018">
        <f t="shared" si="147"/>
        <v>0</v>
      </c>
      <c r="AW141" s="1018">
        <f t="shared" si="147"/>
        <v>0</v>
      </c>
      <c r="AX141" s="1018">
        <f t="shared" si="147"/>
        <v>0</v>
      </c>
      <c r="AY141" s="1018">
        <f t="shared" si="147"/>
        <v>0</v>
      </c>
      <c r="AZ141" s="1018">
        <f t="shared" si="147"/>
        <v>0</v>
      </c>
      <c r="BA141" s="1018">
        <f t="shared" si="147"/>
        <v>0</v>
      </c>
      <c r="BB141" s="1018">
        <f t="shared" si="147"/>
        <v>0</v>
      </c>
      <c r="BC141" s="1018">
        <f t="shared" si="147"/>
        <v>0</v>
      </c>
      <c r="BD141" s="1018">
        <f t="shared" si="147"/>
        <v>0</v>
      </c>
      <c r="BE141" s="1018">
        <f t="shared" si="147"/>
        <v>0</v>
      </c>
      <c r="BF141" s="1018">
        <f t="shared" si="147"/>
        <v>0</v>
      </c>
      <c r="BG141" s="1018">
        <f t="shared" si="147"/>
        <v>0</v>
      </c>
      <c r="BH141" s="1018">
        <f t="shared" si="147"/>
        <v>0</v>
      </c>
      <c r="BI141" s="1018">
        <f t="shared" si="147"/>
        <v>0</v>
      </c>
      <c r="BJ141" s="1018">
        <f t="shared" si="147"/>
        <v>0</v>
      </c>
      <c r="BK141" s="1018">
        <f t="shared" si="147"/>
        <v>0</v>
      </c>
      <c r="BL141" s="1018">
        <f t="shared" si="147"/>
        <v>0</v>
      </c>
      <c r="BM141" s="1018">
        <f t="shared" si="147"/>
        <v>0</v>
      </c>
      <c r="BN141" s="1018">
        <f t="shared" si="147"/>
        <v>0</v>
      </c>
      <c r="BO141" s="1018">
        <f t="shared" si="147"/>
        <v>0</v>
      </c>
      <c r="BP141" s="1018">
        <f t="shared" si="147"/>
        <v>0</v>
      </c>
      <c r="BQ141" s="424">
        <v>2300000</v>
      </c>
      <c r="BR141" s="425">
        <v>2300000</v>
      </c>
      <c r="BS141" s="1193"/>
    </row>
    <row r="142" spans="1:71" ht="19.5" customHeight="1">
      <c r="A142" s="38"/>
      <c r="B142" s="416"/>
      <c r="C142" s="1526"/>
      <c r="D142" s="1527"/>
      <c r="E142" s="1520"/>
      <c r="F142" s="1538" t="s">
        <v>301</v>
      </c>
      <c r="G142" s="1351">
        <f>G138+G139</f>
        <v>460000000</v>
      </c>
      <c r="H142" s="1352" t="s">
        <v>263</v>
      </c>
      <c r="I142" s="1353"/>
      <c r="J142" s="1353"/>
      <c r="K142" s="515"/>
      <c r="L142" s="428">
        <f t="shared" si="77"/>
        <v>7.9068591356348375E-2</v>
      </c>
      <c r="M142" s="516">
        <f>SUM(P142:BP142)</f>
        <v>74135159.201727524</v>
      </c>
      <c r="N142" s="38"/>
      <c r="O142" s="517" t="s">
        <v>302</v>
      </c>
      <c r="P142" s="518">
        <f t="shared" ref="P142:AR142" si="148">SUM(P137:P141)</f>
        <v>0</v>
      </c>
      <c r="Q142" s="518">
        <f t="shared" si="148"/>
        <v>0</v>
      </c>
      <c r="R142" s="518">
        <f t="shared" si="148"/>
        <v>0</v>
      </c>
      <c r="S142" s="518">
        <f>SUM(S137:S141)</f>
        <v>9391666.6666666679</v>
      </c>
      <c r="T142" s="518">
        <f t="shared" si="148"/>
        <v>2453368.6650687498</v>
      </c>
      <c r="U142" s="518">
        <f t="shared" si="148"/>
        <v>2453368.6650687498</v>
      </c>
      <c r="V142" s="518">
        <f t="shared" si="148"/>
        <v>2269963.5975238052</v>
      </c>
      <c r="W142" s="518">
        <f t="shared" si="148"/>
        <v>2251923.2860125629</v>
      </c>
      <c r="X142" s="518">
        <f t="shared" si="148"/>
        <v>2233882.9745013206</v>
      </c>
      <c r="Y142" s="518">
        <f t="shared" si="148"/>
        <v>2211468.0303486818</v>
      </c>
      <c r="Z142" s="518">
        <f t="shared" si="148"/>
        <v>2207093.3977072849</v>
      </c>
      <c r="AA142" s="518">
        <f t="shared" si="148"/>
        <v>2207093.3977072849</v>
      </c>
      <c r="AB142" s="518">
        <f t="shared" si="148"/>
        <v>1969567.3956286137</v>
      </c>
      <c r="AC142" s="518">
        <f t="shared" si="148"/>
        <v>1969567.3956286137</v>
      </c>
      <c r="AD142" s="518">
        <f t="shared" si="148"/>
        <v>1969567.3956286137</v>
      </c>
      <c r="AE142" s="518">
        <f t="shared" si="148"/>
        <v>1969567.3956286137</v>
      </c>
      <c r="AF142" s="518">
        <f t="shared" si="148"/>
        <v>1969567.3956286137</v>
      </c>
      <c r="AG142" s="518">
        <f t="shared" si="148"/>
        <v>1969567.3956286137</v>
      </c>
      <c r="AH142" s="518">
        <f t="shared" si="148"/>
        <v>1732041.3935499424</v>
      </c>
      <c r="AI142" s="518">
        <f t="shared" si="148"/>
        <v>1723292.1282671487</v>
      </c>
      <c r="AJ142" s="518">
        <f t="shared" si="148"/>
        <v>1714542.8629843548</v>
      </c>
      <c r="AK142" s="518">
        <f t="shared" si="148"/>
        <v>1714542.8629843548</v>
      </c>
      <c r="AL142" s="518">
        <f t="shared" si="148"/>
        <v>1714542.8629843548</v>
      </c>
      <c r="AM142" s="518">
        <f t="shared" si="148"/>
        <v>1714542.8629843548</v>
      </c>
      <c r="AN142" s="518">
        <f t="shared" si="148"/>
        <v>1477016.8609056838</v>
      </c>
      <c r="AO142" s="518">
        <f t="shared" si="148"/>
        <v>1477016.8609056838</v>
      </c>
      <c r="AP142" s="518">
        <f t="shared" si="148"/>
        <v>1477016.8609056838</v>
      </c>
      <c r="AQ142" s="518">
        <f t="shared" si="148"/>
        <v>1477016.8609056838</v>
      </c>
      <c r="AR142" s="518">
        <f t="shared" si="148"/>
        <v>1477016.8609056838</v>
      </c>
      <c r="AS142" s="518">
        <f t="shared" ref="AS142:BJ142" si="149">SUM(AS137:AS141)</f>
        <v>1477016.8609056838</v>
      </c>
      <c r="AT142" s="518">
        <f t="shared" si="149"/>
        <v>1239490.8588270126</v>
      </c>
      <c r="AU142" s="518">
        <f t="shared" si="149"/>
        <v>1230741.5935442189</v>
      </c>
      <c r="AV142" s="518">
        <f t="shared" si="149"/>
        <v>1221992.3282614253</v>
      </c>
      <c r="AW142" s="518">
        <f t="shared" si="149"/>
        <v>1221992.3282614253</v>
      </c>
      <c r="AX142" s="518">
        <f t="shared" si="149"/>
        <v>1221992.3282614253</v>
      </c>
      <c r="AY142" s="518">
        <f t="shared" si="149"/>
        <v>1221992.3282614253</v>
      </c>
      <c r="AZ142" s="518">
        <f t="shared" si="149"/>
        <v>984466.3261827539</v>
      </c>
      <c r="BA142" s="518">
        <f t="shared" si="149"/>
        <v>984466.3261827539</v>
      </c>
      <c r="BB142" s="518">
        <f t="shared" si="149"/>
        <v>984466.3261827539</v>
      </c>
      <c r="BC142" s="518">
        <f t="shared" si="149"/>
        <v>984466.3261827539</v>
      </c>
      <c r="BD142" s="518">
        <f t="shared" si="149"/>
        <v>984466.3261827539</v>
      </c>
      <c r="BE142" s="518">
        <f t="shared" si="149"/>
        <v>984466.3261827539</v>
      </c>
      <c r="BF142" s="518">
        <f t="shared" si="149"/>
        <v>723961.5231453327</v>
      </c>
      <c r="BG142" s="518">
        <f t="shared" si="149"/>
        <v>723961.5231453327</v>
      </c>
      <c r="BH142" s="518">
        <f t="shared" si="149"/>
        <v>708642.32250616595</v>
      </c>
      <c r="BI142" s="518">
        <f t="shared" si="149"/>
        <v>31314.040029418047</v>
      </c>
      <c r="BJ142" s="518">
        <f t="shared" si="149"/>
        <v>9440.8768224336727</v>
      </c>
      <c r="BK142" s="518"/>
      <c r="BL142" s="518"/>
      <c r="BM142" s="518"/>
      <c r="BN142" s="518"/>
      <c r="BO142" s="518"/>
      <c r="BP142" s="518"/>
      <c r="BQ142" s="519">
        <f>SUM(P142:BP142)</f>
        <v>74135159.201727524</v>
      </c>
      <c r="BR142" s="425">
        <f>M142</f>
        <v>74135159.201727524</v>
      </c>
      <c r="BS142" s="520">
        <f>BQ142-BR142</f>
        <v>0</v>
      </c>
    </row>
    <row r="143" spans="1:71" ht="19.5" customHeight="1">
      <c r="A143" s="38"/>
      <c r="B143" s="416"/>
      <c r="C143" s="1526"/>
      <c r="D143" s="1527"/>
      <c r="E143" s="1500"/>
      <c r="F143" s="1501"/>
      <c r="G143" s="1203"/>
      <c r="H143" s="1354"/>
      <c r="I143" s="1354"/>
      <c r="J143" s="1354"/>
      <c r="K143" s="521"/>
      <c r="L143" s="348"/>
      <c r="M143" s="522"/>
      <c r="N143" s="38"/>
      <c r="O143" s="523" t="s">
        <v>303</v>
      </c>
      <c r="P143" s="491">
        <f t="shared" ref="P143:Q143" si="150">P142</f>
        <v>0</v>
      </c>
      <c r="Q143" s="491">
        <f t="shared" si="150"/>
        <v>0</v>
      </c>
      <c r="R143" s="491">
        <f t="shared" ref="R143:AT143" si="151">+Q143+R142</f>
        <v>0</v>
      </c>
      <c r="S143" s="491">
        <f t="shared" si="151"/>
        <v>9391666.6666666679</v>
      </c>
      <c r="T143" s="491">
        <f t="shared" si="151"/>
        <v>11845035.331735417</v>
      </c>
      <c r="U143" s="491">
        <f t="shared" si="151"/>
        <v>14298403.996804167</v>
      </c>
      <c r="V143" s="491">
        <f t="shared" si="151"/>
        <v>16568367.594327971</v>
      </c>
      <c r="W143" s="491">
        <f t="shared" si="151"/>
        <v>18820290.880340535</v>
      </c>
      <c r="X143" s="491">
        <f t="shared" si="151"/>
        <v>21054173.854841854</v>
      </c>
      <c r="Y143" s="491">
        <f t="shared" si="151"/>
        <v>23265641.885190535</v>
      </c>
      <c r="Z143" s="491">
        <f t="shared" si="151"/>
        <v>25472735.282897819</v>
      </c>
      <c r="AA143" s="491">
        <f t="shared" si="151"/>
        <v>27679828.680605102</v>
      </c>
      <c r="AB143" s="491">
        <f t="shared" si="151"/>
        <v>29649396.076233715</v>
      </c>
      <c r="AC143" s="491">
        <f t="shared" si="151"/>
        <v>31618963.471862327</v>
      </c>
      <c r="AD143" s="491">
        <f t="shared" si="151"/>
        <v>33588530.86749094</v>
      </c>
      <c r="AE143" s="491">
        <f t="shared" si="151"/>
        <v>35558098.263119556</v>
      </c>
      <c r="AF143" s="491">
        <f t="shared" si="151"/>
        <v>37527665.658748172</v>
      </c>
      <c r="AG143" s="491">
        <f t="shared" si="151"/>
        <v>39497233.054376788</v>
      </c>
      <c r="AH143" s="491">
        <f t="shared" si="151"/>
        <v>41229274.44792673</v>
      </c>
      <c r="AI143" s="491">
        <f t="shared" si="151"/>
        <v>42952566.576193877</v>
      </c>
      <c r="AJ143" s="491">
        <f t="shared" si="151"/>
        <v>44667109.439178228</v>
      </c>
      <c r="AK143" s="491">
        <f t="shared" si="151"/>
        <v>46381652.30216258</v>
      </c>
      <c r="AL143" s="491">
        <f t="shared" si="151"/>
        <v>48096195.165146932</v>
      </c>
      <c r="AM143" s="491">
        <f t="shared" si="151"/>
        <v>49810738.028131284</v>
      </c>
      <c r="AN143" s="491">
        <f t="shared" si="151"/>
        <v>51287754.889036968</v>
      </c>
      <c r="AO143" s="491">
        <f t="shared" si="151"/>
        <v>52764771.749942653</v>
      </c>
      <c r="AP143" s="491">
        <f t="shared" si="151"/>
        <v>54241788.610848337</v>
      </c>
      <c r="AQ143" s="491">
        <f t="shared" si="151"/>
        <v>55718805.471754022</v>
      </c>
      <c r="AR143" s="491">
        <f t="shared" si="151"/>
        <v>57195822.332659706</v>
      </c>
      <c r="AS143" s="491">
        <f t="shared" si="151"/>
        <v>58672839.193565391</v>
      </c>
      <c r="AT143" s="491">
        <f t="shared" si="151"/>
        <v>59912330.052392401</v>
      </c>
      <c r="AU143" s="491">
        <f t="shared" ref="AU143:BJ143" si="152">+AT143+AU142</f>
        <v>61143071.645936623</v>
      </c>
      <c r="AV143" s="491">
        <f t="shared" si="152"/>
        <v>62365063.974198051</v>
      </c>
      <c r="AW143" s="491">
        <f t="shared" si="152"/>
        <v>63587056.302459478</v>
      </c>
      <c r="AX143" s="491">
        <f t="shared" si="152"/>
        <v>64809048.630720906</v>
      </c>
      <c r="AY143" s="491">
        <f t="shared" si="152"/>
        <v>66031040.958982334</v>
      </c>
      <c r="AZ143" s="491">
        <f t="shared" si="152"/>
        <v>67015507.285165086</v>
      </c>
      <c r="BA143" s="491">
        <f t="shared" si="152"/>
        <v>67999973.611347839</v>
      </c>
      <c r="BB143" s="491">
        <f t="shared" si="152"/>
        <v>68984439.937530592</v>
      </c>
      <c r="BC143" s="491">
        <f t="shared" si="152"/>
        <v>69968906.263713345</v>
      </c>
      <c r="BD143" s="491">
        <f t="shared" si="152"/>
        <v>70953372.589896098</v>
      </c>
      <c r="BE143" s="491">
        <f t="shared" si="152"/>
        <v>71937838.916078851</v>
      </c>
      <c r="BF143" s="491">
        <f t="shared" si="152"/>
        <v>72661800.439224184</v>
      </c>
      <c r="BG143" s="491">
        <f t="shared" si="152"/>
        <v>73385761.962369516</v>
      </c>
      <c r="BH143" s="491">
        <f t="shared" si="152"/>
        <v>74094404.284875676</v>
      </c>
      <c r="BI143" s="491">
        <f t="shared" si="152"/>
        <v>74125718.324905097</v>
      </c>
      <c r="BJ143" s="491">
        <f t="shared" si="152"/>
        <v>74135159.201727524</v>
      </c>
      <c r="BK143" s="491"/>
      <c r="BL143" s="491"/>
      <c r="BM143" s="491"/>
      <c r="BN143" s="491"/>
      <c r="BO143" s="491"/>
      <c r="BP143" s="491"/>
      <c r="BQ143" s="524"/>
      <c r="BR143" s="525"/>
      <c r="BS143" s="526"/>
    </row>
    <row r="144" spans="1:71" ht="19.5" customHeight="1">
      <c r="A144" s="38"/>
      <c r="B144" s="931"/>
      <c r="C144" s="932"/>
      <c r="D144" s="527"/>
      <c r="E144" s="458" t="s">
        <v>209</v>
      </c>
      <c r="F144" s="1258"/>
      <c r="G144" s="400"/>
      <c r="H144" s="341"/>
      <c r="I144" s="400"/>
      <c r="J144" s="400"/>
      <c r="K144" s="460"/>
      <c r="L144" s="402">
        <f t="shared" ref="L144:L146" si="153">M144/$M$69</f>
        <v>8.4286433998390017E-2</v>
      </c>
      <c r="M144" s="429">
        <f>M127+M128+M142</f>
        <v>79027438.023465529</v>
      </c>
      <c r="N144" s="38"/>
      <c r="O144" s="528"/>
      <c r="P144" s="529">
        <f t="shared" ref="P144:BP144" si="154">P127+P128+P142</f>
        <v>0</v>
      </c>
      <c r="Q144" s="529">
        <f t="shared" si="154"/>
        <v>0</v>
      </c>
      <c r="R144" s="529">
        <f t="shared" si="154"/>
        <v>0</v>
      </c>
      <c r="S144" s="529">
        <f>S127+S128+S142</f>
        <v>14283945.488404669</v>
      </c>
      <c r="T144" s="529">
        <f t="shared" si="154"/>
        <v>2453368.6650687498</v>
      </c>
      <c r="U144" s="529">
        <f t="shared" si="154"/>
        <v>2453368.6650687498</v>
      </c>
      <c r="V144" s="529">
        <f t="shared" si="154"/>
        <v>2269963.5975238052</v>
      </c>
      <c r="W144" s="529">
        <f t="shared" si="154"/>
        <v>2251923.2860125629</v>
      </c>
      <c r="X144" s="529">
        <f t="shared" si="154"/>
        <v>2233882.9745013206</v>
      </c>
      <c r="Y144" s="529">
        <f t="shared" si="154"/>
        <v>2211468.0303486818</v>
      </c>
      <c r="Z144" s="529">
        <f t="shared" si="154"/>
        <v>2207093.3977072849</v>
      </c>
      <c r="AA144" s="529">
        <f t="shared" si="154"/>
        <v>2207093.3977072849</v>
      </c>
      <c r="AB144" s="529">
        <f t="shared" si="154"/>
        <v>1969567.3956286137</v>
      </c>
      <c r="AC144" s="529">
        <f t="shared" si="154"/>
        <v>1969567.3956286137</v>
      </c>
      <c r="AD144" s="529">
        <f t="shared" si="154"/>
        <v>1969567.3956286137</v>
      </c>
      <c r="AE144" s="529">
        <f t="shared" si="154"/>
        <v>1969567.3956286137</v>
      </c>
      <c r="AF144" s="529">
        <f t="shared" si="154"/>
        <v>1969567.3956286137</v>
      </c>
      <c r="AG144" s="529">
        <f>AG127+AG128+AG142</f>
        <v>1969567.3956286137</v>
      </c>
      <c r="AH144" s="529">
        <f t="shared" si="154"/>
        <v>1732041.3935499424</v>
      </c>
      <c r="AI144" s="529">
        <f t="shared" si="154"/>
        <v>1723292.1282671487</v>
      </c>
      <c r="AJ144" s="529">
        <f t="shared" si="154"/>
        <v>1714542.8629843548</v>
      </c>
      <c r="AK144" s="529">
        <f t="shared" si="154"/>
        <v>1714542.8629843548</v>
      </c>
      <c r="AL144" s="529">
        <f t="shared" si="154"/>
        <v>1714542.8629843548</v>
      </c>
      <c r="AM144" s="529">
        <f t="shared" si="154"/>
        <v>1714542.8629843548</v>
      </c>
      <c r="AN144" s="529">
        <f t="shared" si="154"/>
        <v>1477016.8609056838</v>
      </c>
      <c r="AO144" s="529">
        <f t="shared" si="154"/>
        <v>1477016.8609056838</v>
      </c>
      <c r="AP144" s="529">
        <f t="shared" si="154"/>
        <v>1477016.8609056838</v>
      </c>
      <c r="AQ144" s="529">
        <f t="shared" si="154"/>
        <v>1477016.8609056838</v>
      </c>
      <c r="AR144" s="529">
        <f t="shared" si="154"/>
        <v>1477016.8609056838</v>
      </c>
      <c r="AS144" s="529">
        <f t="shared" si="154"/>
        <v>1477016.8609056838</v>
      </c>
      <c r="AT144" s="529">
        <f t="shared" si="154"/>
        <v>1239490.8588270126</v>
      </c>
      <c r="AU144" s="529">
        <f t="shared" si="154"/>
        <v>1230741.5935442189</v>
      </c>
      <c r="AV144" s="529">
        <f t="shared" si="154"/>
        <v>1221992.3282614253</v>
      </c>
      <c r="AW144" s="529">
        <f>AW127+AW128+AW142</f>
        <v>1221992.3282614253</v>
      </c>
      <c r="AX144" s="529">
        <f>AX127+AX128+AX142</f>
        <v>1221992.3282614253</v>
      </c>
      <c r="AY144" s="529">
        <f t="shared" si="154"/>
        <v>1221992.3282614253</v>
      </c>
      <c r="AZ144" s="529">
        <f t="shared" si="154"/>
        <v>984466.3261827539</v>
      </c>
      <c r="BA144" s="529">
        <f t="shared" si="154"/>
        <v>984466.3261827539</v>
      </c>
      <c r="BB144" s="529">
        <f t="shared" si="154"/>
        <v>984466.3261827539</v>
      </c>
      <c r="BC144" s="529">
        <f t="shared" si="154"/>
        <v>984466.3261827539</v>
      </c>
      <c r="BD144" s="529">
        <f t="shared" si="154"/>
        <v>984466.3261827539</v>
      </c>
      <c r="BE144" s="529">
        <f t="shared" si="154"/>
        <v>984466.3261827539</v>
      </c>
      <c r="BF144" s="529">
        <f t="shared" si="154"/>
        <v>723961.5231453327</v>
      </c>
      <c r="BG144" s="529">
        <f t="shared" si="154"/>
        <v>723961.5231453327</v>
      </c>
      <c r="BH144" s="529">
        <f t="shared" si="154"/>
        <v>708642.32250616595</v>
      </c>
      <c r="BI144" s="529">
        <f t="shared" si="154"/>
        <v>31314.040029418047</v>
      </c>
      <c r="BJ144" s="529">
        <f t="shared" si="154"/>
        <v>9440.8768224336727</v>
      </c>
      <c r="BK144" s="529">
        <f t="shared" si="154"/>
        <v>0</v>
      </c>
      <c r="BL144" s="529">
        <f t="shared" si="154"/>
        <v>0</v>
      </c>
      <c r="BM144" s="529">
        <f t="shared" si="154"/>
        <v>0</v>
      </c>
      <c r="BN144" s="529">
        <f t="shared" si="154"/>
        <v>0</v>
      </c>
      <c r="BO144" s="529">
        <f t="shared" si="154"/>
        <v>0</v>
      </c>
      <c r="BP144" s="529">
        <f t="shared" si="154"/>
        <v>0</v>
      </c>
      <c r="BQ144" s="414">
        <f t="shared" ref="BQ144:BQ146" si="155">SUM(P144:BP144)</f>
        <v>79027438.023465514</v>
      </c>
      <c r="BR144" s="415">
        <f t="shared" ref="BR144:BR146" si="156">M144</f>
        <v>79027438.023465529</v>
      </c>
      <c r="BS144" s="530">
        <f t="shared" ref="BS144:BS146" si="157">BQ144-BR144</f>
        <v>0</v>
      </c>
    </row>
    <row r="145" spans="1:71" ht="19.5" customHeight="1" thickBot="1">
      <c r="A145" s="38"/>
      <c r="B145" s="1565" t="s">
        <v>304</v>
      </c>
      <c r="C145" s="1566"/>
      <c r="D145" s="1566"/>
      <c r="E145" s="1566"/>
      <c r="F145" s="1567"/>
      <c r="G145" s="531"/>
      <c r="H145" s="532"/>
      <c r="I145" s="531"/>
      <c r="J145" s="531"/>
      <c r="K145" s="531"/>
      <c r="L145" s="533">
        <f t="shared" si="153"/>
        <v>0.87077206029228948</v>
      </c>
      <c r="M145" s="534">
        <f>M74+M81+M90+M107+M125+M126+M144</f>
        <v>816440816.9009589</v>
      </c>
      <c r="N145" s="38"/>
      <c r="O145" s="523"/>
      <c r="P145" s="491">
        <f t="shared" ref="P145:AU145" si="158">P74+P81+P90+P107+P125+P126+P144</f>
        <v>1658774.4648750001</v>
      </c>
      <c r="Q145" s="491">
        <f t="shared" si="158"/>
        <v>119280.19675</v>
      </c>
      <c r="R145" s="491">
        <f t="shared" si="158"/>
        <v>2506112.3573750001</v>
      </c>
      <c r="S145" s="491">
        <f t="shared" si="158"/>
        <v>16305715.670969255</v>
      </c>
      <c r="T145" s="491">
        <f t="shared" si="158"/>
        <v>15314386.934883336</v>
      </c>
      <c r="U145" s="491">
        <f t="shared" si="158"/>
        <v>20435085.055888224</v>
      </c>
      <c r="V145" s="491">
        <f t="shared" si="158"/>
        <v>38398538.431088395</v>
      </c>
      <c r="W145" s="491">
        <f t="shared" si="158"/>
        <v>29823304.324577153</v>
      </c>
      <c r="X145" s="491">
        <f t="shared" si="158"/>
        <v>4002105.670565906</v>
      </c>
      <c r="Y145" s="491">
        <f t="shared" si="158"/>
        <v>30508720.900423769</v>
      </c>
      <c r="Z145" s="491">
        <f t="shared" si="158"/>
        <v>3438999.3587908708</v>
      </c>
      <c r="AA145" s="491">
        <f t="shared" si="158"/>
        <v>29134474.436271872</v>
      </c>
      <c r="AB145" s="491">
        <f t="shared" si="158"/>
        <v>8507833.9598932005</v>
      </c>
      <c r="AC145" s="491">
        <f t="shared" si="158"/>
        <v>29515137.000684701</v>
      </c>
      <c r="AD145" s="491">
        <f t="shared" si="158"/>
        <v>5305489.3781931996</v>
      </c>
      <c r="AE145" s="491">
        <f t="shared" si="158"/>
        <v>28896948.434193201</v>
      </c>
      <c r="AF145" s="491">
        <f t="shared" si="158"/>
        <v>2923790.0916931992</v>
      </c>
      <c r="AG145" s="491">
        <f t="shared" si="158"/>
        <v>29345137.000684701</v>
      </c>
      <c r="AH145" s="491">
        <f t="shared" si="158"/>
        <v>3423497.1851145281</v>
      </c>
      <c r="AI145" s="491">
        <f t="shared" si="158"/>
        <v>28696039.696869738</v>
      </c>
      <c r="AJ145" s="491">
        <f t="shared" si="158"/>
        <v>2884132.0890869405</v>
      </c>
      <c r="AK145" s="491">
        <f t="shared" si="158"/>
        <v>39090112.468040444</v>
      </c>
      <c r="AL145" s="491">
        <f t="shared" si="158"/>
        <v>2668765.5590489404</v>
      </c>
      <c r="AM145" s="491">
        <f t="shared" si="158"/>
        <v>28471923.901548944</v>
      </c>
      <c r="AN145" s="491">
        <f t="shared" si="158"/>
        <v>2431239.5569702694</v>
      </c>
      <c r="AO145" s="491">
        <f t="shared" si="158"/>
        <v>28852586.465961773</v>
      </c>
      <c r="AP145" s="491">
        <f t="shared" si="158"/>
        <v>20124833.848970272</v>
      </c>
      <c r="AQ145" s="491">
        <f t="shared" si="158"/>
        <v>28374576.004470274</v>
      </c>
      <c r="AR145" s="491">
        <f t="shared" si="158"/>
        <v>2431239.5569702694</v>
      </c>
      <c r="AS145" s="491">
        <f t="shared" si="158"/>
        <v>86394710.50810498</v>
      </c>
      <c r="AT145" s="491">
        <f t="shared" si="158"/>
        <v>6161946.6503915982</v>
      </c>
      <c r="AU145" s="491">
        <f t="shared" si="158"/>
        <v>28203489.162146807</v>
      </c>
      <c r="AV145" s="491">
        <f t="shared" ref="AV145:BP145" si="159">AV74+AV81+AV90+AV107+AV125+AV126+AV144</f>
        <v>2391581.5543640107</v>
      </c>
      <c r="AW145" s="491">
        <f t="shared" si="159"/>
        <v>28597561.933317512</v>
      </c>
      <c r="AX145" s="491">
        <f t="shared" si="159"/>
        <v>2176215.0243260106</v>
      </c>
      <c r="AY145" s="491">
        <f t="shared" si="159"/>
        <v>27979373.366826013</v>
      </c>
      <c r="AZ145" s="491">
        <f>AZ74+AZ81+AZ90+AZ107+AZ125+AZ126+AZ144</f>
        <v>1938689.0222473396</v>
      </c>
      <c r="BA145" s="491">
        <f t="shared" si="159"/>
        <v>28360035.931238841</v>
      </c>
      <c r="BB145" s="491">
        <f t="shared" si="159"/>
        <v>1938689.0222473396</v>
      </c>
      <c r="BC145" s="491">
        <f t="shared" si="159"/>
        <v>27741847.364747342</v>
      </c>
      <c r="BD145" s="491">
        <f t="shared" si="159"/>
        <v>1938689.0222473396</v>
      </c>
      <c r="BE145" s="491">
        <f t="shared" si="159"/>
        <v>28360035.931238841</v>
      </c>
      <c r="BF145" s="491">
        <f t="shared" si="159"/>
        <v>1958540.4292099185</v>
      </c>
      <c r="BG145" s="491">
        <f t="shared" si="159"/>
        <v>27481342.561709922</v>
      </c>
      <c r="BH145" s="491">
        <f t="shared" si="159"/>
        <v>2400098.1140707517</v>
      </c>
      <c r="BI145" s="491">
        <f t="shared" si="159"/>
        <v>27327111.403689008</v>
      </c>
      <c r="BJ145" s="491">
        <f t="shared" si="159"/>
        <v>1502079.8979820192</v>
      </c>
      <c r="BK145" s="491">
        <f t="shared" si="159"/>
        <v>0</v>
      </c>
      <c r="BL145" s="491">
        <f t="shared" si="159"/>
        <v>0</v>
      </c>
      <c r="BM145" s="491">
        <f t="shared" si="159"/>
        <v>0</v>
      </c>
      <c r="BN145" s="491">
        <f t="shared" si="159"/>
        <v>0</v>
      </c>
      <c r="BO145" s="491">
        <f t="shared" si="159"/>
        <v>0</v>
      </c>
      <c r="BP145" s="491">
        <f t="shared" si="159"/>
        <v>0</v>
      </c>
      <c r="BQ145" s="524">
        <f t="shared" si="155"/>
        <v>816440816.9009589</v>
      </c>
      <c r="BR145" s="525">
        <f t="shared" si="156"/>
        <v>816440816.9009589</v>
      </c>
      <c r="BS145" s="526">
        <f t="shared" si="157"/>
        <v>0</v>
      </c>
    </row>
    <row r="146" spans="1:71" ht="19.5" customHeight="1" thickBot="1">
      <c r="A146" s="38"/>
      <c r="B146" s="1568" t="s">
        <v>305</v>
      </c>
      <c r="C146" s="1569"/>
      <c r="D146" s="1569"/>
      <c r="E146" s="1569"/>
      <c r="F146" s="1570"/>
      <c r="G146" s="535" t="s">
        <v>137</v>
      </c>
      <c r="H146" s="536"/>
      <c r="I146" s="537" t="s">
        <v>137</v>
      </c>
      <c r="J146" s="536"/>
      <c r="K146" s="536"/>
      <c r="L146" s="538">
        <f t="shared" si="153"/>
        <v>0.12922793970771046</v>
      </c>
      <c r="M146" s="539">
        <f>M69-M145</f>
        <v>121164848.3829118</v>
      </c>
      <c r="N146" s="38"/>
      <c r="O146" s="540"/>
      <c r="P146" s="541">
        <f t="shared" ref="P146:AU146" si="160">P69-P145</f>
        <v>19432753.03035583</v>
      </c>
      <c r="Q146" s="541">
        <f t="shared" si="160"/>
        <v>-119280.19675</v>
      </c>
      <c r="R146" s="541">
        <f t="shared" si="160"/>
        <v>-2506112.3573750001</v>
      </c>
      <c r="S146" s="541">
        <f t="shared" si="160"/>
        <v>-16305715.670969255</v>
      </c>
      <c r="T146" s="541">
        <f t="shared" si="160"/>
        <v>-1173586.3448833358</v>
      </c>
      <c r="U146" s="541">
        <f t="shared" si="160"/>
        <v>-20435085.055888224</v>
      </c>
      <c r="V146" s="541">
        <f t="shared" si="160"/>
        <v>29320255.7393528</v>
      </c>
      <c r="W146" s="541">
        <f t="shared" si="160"/>
        <v>-23162266.228118528</v>
      </c>
      <c r="X146" s="541">
        <f t="shared" si="160"/>
        <v>2658932.42589272</v>
      </c>
      <c r="Y146" s="541">
        <f t="shared" si="160"/>
        <v>-22232433.828680143</v>
      </c>
      <c r="Z146" s="541">
        <f t="shared" si="160"/>
        <v>-1823750.3835058708</v>
      </c>
      <c r="AA146" s="541">
        <f t="shared" si="160"/>
        <v>-29134474.436271872</v>
      </c>
      <c r="AB146" s="541">
        <f t="shared" si="160"/>
        <v>79194074.49992387</v>
      </c>
      <c r="AC146" s="541">
        <f t="shared" si="160"/>
        <v>-29515137.000684701</v>
      </c>
      <c r="AD146" s="541">
        <f t="shared" si="160"/>
        <v>-5305489.3781931996</v>
      </c>
      <c r="AE146" s="541">
        <f t="shared" si="160"/>
        <v>-28896948.434193201</v>
      </c>
      <c r="AF146" s="541">
        <f t="shared" si="160"/>
        <v>-2923790.0916931992</v>
      </c>
      <c r="AG146" s="541">
        <f t="shared" si="160"/>
        <v>-29345137.000684701</v>
      </c>
      <c r="AH146" s="541">
        <f t="shared" si="160"/>
        <v>84278411.274702534</v>
      </c>
      <c r="AI146" s="541">
        <f t="shared" si="160"/>
        <v>-25465541.74629974</v>
      </c>
      <c r="AJ146" s="541">
        <f t="shared" si="160"/>
        <v>346365.86148305936</v>
      </c>
      <c r="AK146" s="541">
        <f t="shared" si="160"/>
        <v>-39090112.468040444</v>
      </c>
      <c r="AL146" s="541">
        <f t="shared" si="160"/>
        <v>-2668765.5590489404</v>
      </c>
      <c r="AM146" s="541">
        <f t="shared" si="160"/>
        <v>-28471923.901548944</v>
      </c>
      <c r="AN146" s="541">
        <f t="shared" si="160"/>
        <v>85270668.902846798</v>
      </c>
      <c r="AO146" s="541">
        <f t="shared" si="160"/>
        <v>-28852586.465961773</v>
      </c>
      <c r="AP146" s="541">
        <f t="shared" si="160"/>
        <v>-20124833.848970272</v>
      </c>
      <c r="AQ146" s="541">
        <f t="shared" si="160"/>
        <v>-28374576.004470274</v>
      </c>
      <c r="AR146" s="541">
        <f t="shared" si="160"/>
        <v>-2431239.5569702694</v>
      </c>
      <c r="AS146" s="541">
        <f t="shared" si="160"/>
        <v>-86394710.50810498</v>
      </c>
      <c r="AT146" s="541">
        <f t="shared" si="160"/>
        <v>81539961.809425473</v>
      </c>
      <c r="AU146" s="541">
        <f t="shared" si="160"/>
        <v>-24972991.211576808</v>
      </c>
      <c r="AV146" s="541">
        <f t="shared" ref="AV146:BP146" si="161">AV69-AV145</f>
        <v>838916.39620598918</v>
      </c>
      <c r="AW146" s="541">
        <f t="shared" si="161"/>
        <v>-28597561.933317512</v>
      </c>
      <c r="AX146" s="541">
        <f t="shared" si="161"/>
        <v>-2176215.0243260106</v>
      </c>
      <c r="AY146" s="541">
        <f t="shared" si="161"/>
        <v>-27979373.366826013</v>
      </c>
      <c r="AZ146" s="541">
        <f t="shared" si="161"/>
        <v>85763219.437569723</v>
      </c>
      <c r="BA146" s="541">
        <f t="shared" si="161"/>
        <v>-28360035.931238841</v>
      </c>
      <c r="BB146" s="541">
        <f t="shared" si="161"/>
        <v>-1938689.0222473396</v>
      </c>
      <c r="BC146" s="541">
        <f t="shared" si="161"/>
        <v>-27741847.364747342</v>
      </c>
      <c r="BD146" s="541">
        <f t="shared" si="161"/>
        <v>-1938689.0222473396</v>
      </c>
      <c r="BE146" s="541">
        <f t="shared" si="161"/>
        <v>-28360035.931238841</v>
      </c>
      <c r="BF146" s="541">
        <f t="shared" si="161"/>
        <v>94227848.384607151</v>
      </c>
      <c r="BG146" s="541">
        <f t="shared" si="161"/>
        <v>-27481342.561709922</v>
      </c>
      <c r="BH146" s="541">
        <f t="shared" si="161"/>
        <v>3256222.1219292488</v>
      </c>
      <c r="BI146" s="541">
        <f t="shared" si="161"/>
        <v>222763331.35695639</v>
      </c>
      <c r="BJ146" s="541">
        <f t="shared" si="161"/>
        <v>6574164.9784429809</v>
      </c>
      <c r="BK146" s="541">
        <f t="shared" si="161"/>
        <v>0</v>
      </c>
      <c r="BL146" s="541">
        <f t="shared" si="161"/>
        <v>0</v>
      </c>
      <c r="BM146" s="541">
        <f t="shared" si="161"/>
        <v>0</v>
      </c>
      <c r="BN146" s="541">
        <f t="shared" si="161"/>
        <v>0</v>
      </c>
      <c r="BO146" s="541">
        <f t="shared" si="161"/>
        <v>0</v>
      </c>
      <c r="BP146" s="541">
        <f t="shared" si="161"/>
        <v>0</v>
      </c>
      <c r="BQ146" s="542">
        <f t="shared" si="155"/>
        <v>121164848.38291174</v>
      </c>
      <c r="BR146" s="543">
        <f t="shared" si="156"/>
        <v>121164848.3829118</v>
      </c>
      <c r="BS146" s="544">
        <f t="shared" si="157"/>
        <v>0</v>
      </c>
    </row>
    <row r="147" spans="1:71" ht="19.5" customHeight="1">
      <c r="A147" s="38"/>
      <c r="B147" s="38"/>
      <c r="C147" s="38"/>
      <c r="D147" s="38"/>
      <c r="E147" s="38"/>
      <c r="F147" s="38"/>
      <c r="G147" s="38"/>
      <c r="H147" s="38"/>
      <c r="I147" s="545"/>
      <c r="J147" s="38"/>
      <c r="K147" s="293"/>
      <c r="L147" s="293"/>
      <c r="M147" s="546"/>
      <c r="N147" s="38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93"/>
      <c r="AB147" s="293"/>
      <c r="AC147" s="293"/>
      <c r="AD147" s="293"/>
      <c r="AE147" s="293"/>
      <c r="AF147" s="293"/>
      <c r="AG147" s="293"/>
      <c r="AH147" s="293"/>
      <c r="AI147" s="293"/>
      <c r="AJ147" s="293"/>
      <c r="AK147" s="293"/>
      <c r="AL147" s="293"/>
      <c r="AM147" s="293"/>
      <c r="AN147" s="293"/>
      <c r="AO147" s="293"/>
      <c r="AP147" s="293"/>
      <c r="AQ147" s="293"/>
      <c r="AR147" s="293"/>
      <c r="AS147" s="293"/>
      <c r="AT147" s="293"/>
      <c r="AU147" s="293"/>
      <c r="AV147" s="293"/>
      <c r="AW147" s="293"/>
      <c r="AX147" s="293"/>
      <c r="AY147" s="293"/>
      <c r="AZ147" s="293"/>
      <c r="BA147" s="293"/>
      <c r="BB147" s="293"/>
      <c r="BC147" s="293"/>
      <c r="BD147" s="293"/>
      <c r="BE147" s="293"/>
      <c r="BF147" s="293"/>
      <c r="BG147" s="293"/>
      <c r="BH147" s="293"/>
      <c r="BI147" s="293"/>
      <c r="BJ147" s="293"/>
      <c r="BK147" s="293"/>
      <c r="BL147" s="293"/>
      <c r="BM147" s="293"/>
      <c r="BN147" s="293"/>
      <c r="BO147" s="293"/>
      <c r="BP147" s="293"/>
      <c r="BQ147" s="293"/>
      <c r="BR147" s="293"/>
      <c r="BS147" s="293"/>
    </row>
    <row r="148" spans="1:71" ht="19.5" customHeight="1">
      <c r="A148" s="38"/>
      <c r="B148" s="38"/>
      <c r="C148" s="38"/>
      <c r="D148" s="38"/>
      <c r="E148" s="38"/>
      <c r="F148" s="38"/>
      <c r="G148" s="38"/>
      <c r="H148" s="38"/>
      <c r="I148" s="545"/>
      <c r="J148" s="38"/>
      <c r="K148" s="293"/>
      <c r="L148" s="293"/>
      <c r="M148" s="546"/>
      <c r="N148" s="38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93"/>
      <c r="AB148" s="293"/>
      <c r="AC148" s="293"/>
      <c r="AD148" s="293"/>
      <c r="AE148" s="293"/>
      <c r="AF148" s="293"/>
      <c r="AG148" s="293"/>
      <c r="AH148" s="293"/>
      <c r="AI148" s="293"/>
      <c r="AJ148" s="293"/>
      <c r="AK148" s="293"/>
      <c r="AL148" s="293"/>
      <c r="AM148" s="293"/>
      <c r="AN148" s="293"/>
      <c r="AO148" s="293"/>
      <c r="AP148" s="293"/>
      <c r="AQ148" s="293"/>
      <c r="AR148" s="293"/>
      <c r="AS148" s="293"/>
      <c r="AT148" s="293"/>
      <c r="AU148" s="293"/>
      <c r="AV148" s="293"/>
      <c r="AW148" s="293"/>
      <c r="AX148" s="293"/>
      <c r="AY148" s="293"/>
      <c r="AZ148" s="293"/>
      <c r="BA148" s="293"/>
      <c r="BB148" s="293"/>
      <c r="BC148" s="293"/>
      <c r="BD148" s="293"/>
      <c r="BE148" s="293"/>
      <c r="BF148" s="293"/>
      <c r="BG148" s="293"/>
      <c r="BH148" s="293"/>
      <c r="BI148" s="293"/>
      <c r="BJ148" s="293"/>
      <c r="BK148" s="293"/>
      <c r="BL148" s="293"/>
      <c r="BM148" s="293"/>
      <c r="BN148" s="293"/>
      <c r="BO148" s="293"/>
      <c r="BP148" s="293"/>
      <c r="BQ148" s="293"/>
      <c r="BR148" s="293"/>
      <c r="BS148" s="293"/>
    </row>
    <row r="149" spans="1:71" ht="19.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  <c r="BP149" s="38"/>
      <c r="BQ149" s="38"/>
      <c r="BR149" s="38"/>
      <c r="BS149" s="38"/>
    </row>
    <row r="150" spans="1:71" ht="19.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  <c r="BP150" s="38"/>
      <c r="BQ150" s="38"/>
      <c r="BR150" s="38"/>
      <c r="BS150" s="38"/>
    </row>
    <row r="151" spans="1:71" ht="19.5" customHeight="1">
      <c r="A151" s="38"/>
      <c r="B151" s="547" t="s">
        <v>306</v>
      </c>
      <c r="C151" s="38"/>
      <c r="D151" s="38" t="s">
        <v>307</v>
      </c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 t="s">
        <v>308</v>
      </c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  <c r="BP151" s="38"/>
      <c r="BQ151" s="38"/>
      <c r="BR151" s="38"/>
      <c r="BS151" s="38"/>
    </row>
    <row r="152" spans="1:71" ht="19.5" customHeight="1">
      <c r="A152" s="38"/>
      <c r="B152" s="1355"/>
      <c r="C152" s="1355"/>
      <c r="D152" s="1355"/>
      <c r="E152" s="1355"/>
      <c r="F152" s="1355"/>
      <c r="G152" s="38"/>
      <c r="H152" s="38"/>
      <c r="I152" s="545"/>
      <c r="J152" s="38"/>
      <c r="K152" s="293"/>
      <c r="L152" s="293"/>
      <c r="M152" s="546"/>
      <c r="N152" s="38"/>
      <c r="O152" s="293"/>
      <c r="P152" s="293"/>
      <c r="Q152" s="293"/>
      <c r="R152" s="293"/>
      <c r="S152" s="293"/>
      <c r="T152" s="293"/>
      <c r="U152" s="293"/>
      <c r="V152" s="293"/>
      <c r="W152" s="293"/>
      <c r="X152" s="293"/>
      <c r="Y152" s="293"/>
      <c r="Z152" s="293"/>
      <c r="AA152" s="293"/>
      <c r="AB152" s="293"/>
      <c r="AC152" s="293"/>
      <c r="AD152" s="293"/>
      <c r="AE152" s="293"/>
      <c r="AF152" s="293"/>
      <c r="AG152" s="293"/>
      <c r="AH152" s="293"/>
      <c r="AI152" s="293"/>
      <c r="AJ152" s="293"/>
      <c r="AK152" s="293"/>
      <c r="AL152" s="293"/>
      <c r="AM152" s="293"/>
      <c r="AN152" s="293"/>
      <c r="AO152" s="293"/>
      <c r="AP152" s="293"/>
      <c r="AQ152" s="293"/>
      <c r="AR152" s="293"/>
      <c r="AS152" s="293"/>
      <c r="AT152" s="293"/>
      <c r="AU152" s="293"/>
      <c r="AV152" s="293"/>
      <c r="AW152" s="293"/>
      <c r="AX152" s="293"/>
      <c r="AY152" s="293"/>
      <c r="AZ152" s="293"/>
      <c r="BA152" s="293"/>
      <c r="BB152" s="293"/>
      <c r="BC152" s="293"/>
      <c r="BD152" s="293"/>
      <c r="BE152" s="293"/>
      <c r="BF152" s="293"/>
      <c r="BG152" s="293"/>
      <c r="BH152" s="293"/>
      <c r="BI152" s="293"/>
      <c r="BJ152" s="293"/>
      <c r="BK152" s="293"/>
      <c r="BL152" s="293"/>
      <c r="BM152" s="293"/>
      <c r="BN152" s="293"/>
      <c r="BO152" s="293"/>
      <c r="BP152" s="293"/>
      <c r="BQ152" s="293"/>
      <c r="BR152" s="293"/>
      <c r="BS152" s="293"/>
    </row>
    <row r="153" spans="1:71" ht="19.5" customHeight="1">
      <c r="A153" s="38"/>
      <c r="B153" s="1093" t="s">
        <v>309</v>
      </c>
      <c r="C153" s="1093"/>
      <c r="D153" s="1093"/>
      <c r="E153" s="1093"/>
      <c r="F153" s="1094"/>
      <c r="G153" s="1211" t="s">
        <v>310</v>
      </c>
      <c r="H153" s="1209"/>
      <c r="I153" s="1211"/>
      <c r="J153" s="1211"/>
      <c r="K153" s="1211"/>
      <c r="L153" s="1356"/>
      <c r="M153" s="1357">
        <f>M74+M81+M90+M107+M125+M126+M127+M128</f>
        <v>742305657.69923139</v>
      </c>
      <c r="N153" s="38"/>
      <c r="O153" s="1211"/>
      <c r="P153" s="1211">
        <f t="shared" ref="P153:AU153" si="162">P74+P81+P90+P107+P125+P126+P127+P128</f>
        <v>1658774.4648750001</v>
      </c>
      <c r="Q153" s="1211">
        <f t="shared" si="162"/>
        <v>119280.19675</v>
      </c>
      <c r="R153" s="1211">
        <f t="shared" si="162"/>
        <v>2506112.3573750001</v>
      </c>
      <c r="S153" s="1211">
        <f t="shared" si="162"/>
        <v>6914049.0043025864</v>
      </c>
      <c r="T153" s="1211">
        <f t="shared" si="162"/>
        <v>12861018.269814586</v>
      </c>
      <c r="U153" s="1211">
        <f t="shared" si="162"/>
        <v>17981716.390819475</v>
      </c>
      <c r="V153" s="1211">
        <f t="shared" si="162"/>
        <v>36128574.833564587</v>
      </c>
      <c r="W153" s="1211">
        <f t="shared" si="162"/>
        <v>27571381.038564589</v>
      </c>
      <c r="X153" s="1211">
        <f t="shared" si="162"/>
        <v>1768222.6960645856</v>
      </c>
      <c r="Y153" s="1211">
        <f t="shared" si="162"/>
        <v>28297252.870075088</v>
      </c>
      <c r="Z153" s="1211">
        <f t="shared" si="162"/>
        <v>1231905.9610835856</v>
      </c>
      <c r="AA153" s="1211">
        <f t="shared" si="162"/>
        <v>26927381.038564589</v>
      </c>
      <c r="AB153" s="1211">
        <f t="shared" si="162"/>
        <v>6538266.5642645862</v>
      </c>
      <c r="AC153" s="1211">
        <f t="shared" si="162"/>
        <v>27545569.605056088</v>
      </c>
      <c r="AD153" s="1211">
        <f t="shared" si="162"/>
        <v>3335921.9825645862</v>
      </c>
      <c r="AE153" s="1211">
        <f t="shared" si="162"/>
        <v>26927381.038564589</v>
      </c>
      <c r="AF153" s="1211">
        <f t="shared" si="162"/>
        <v>954222.69606458559</v>
      </c>
      <c r="AG153" s="1211">
        <f t="shared" si="162"/>
        <v>27375569.605056088</v>
      </c>
      <c r="AH153" s="1211">
        <f t="shared" si="162"/>
        <v>1691455.7915645856</v>
      </c>
      <c r="AI153" s="1211">
        <f t="shared" si="162"/>
        <v>26972747.568602588</v>
      </c>
      <c r="AJ153" s="1211">
        <f t="shared" si="162"/>
        <v>1169589.2261025857</v>
      </c>
      <c r="AK153" s="1211">
        <f t="shared" si="162"/>
        <v>37375569.605056092</v>
      </c>
      <c r="AL153" s="1211">
        <f t="shared" si="162"/>
        <v>954222.69606458559</v>
      </c>
      <c r="AM153" s="1211">
        <f t="shared" si="162"/>
        <v>26757381.038564589</v>
      </c>
      <c r="AN153" s="1211">
        <f t="shared" si="162"/>
        <v>954222.69606458559</v>
      </c>
      <c r="AO153" s="1211">
        <f t="shared" si="162"/>
        <v>27375569.605056088</v>
      </c>
      <c r="AP153" s="1211">
        <f t="shared" si="162"/>
        <v>18647816.988064587</v>
      </c>
      <c r="AQ153" s="1211">
        <f t="shared" si="162"/>
        <v>26897559.143564589</v>
      </c>
      <c r="AR153" s="1211">
        <f t="shared" si="162"/>
        <v>954222.69606458559</v>
      </c>
      <c r="AS153" s="1211">
        <f t="shared" si="162"/>
        <v>84917693.647199303</v>
      </c>
      <c r="AT153" s="1211">
        <f t="shared" si="162"/>
        <v>4922455.7915645856</v>
      </c>
      <c r="AU153" s="1211">
        <f t="shared" si="162"/>
        <v>26972747.568602588</v>
      </c>
      <c r="AV153" s="1211">
        <f t="shared" ref="AV153:BP153" si="163">AV74+AV81+AV90+AV107+AV125+AV126+AV127+AV128</f>
        <v>1169589.2261025857</v>
      </c>
      <c r="AW153" s="1211">
        <f t="shared" si="163"/>
        <v>27375569.605056088</v>
      </c>
      <c r="AX153" s="1211">
        <f t="shared" si="163"/>
        <v>954222.69606458559</v>
      </c>
      <c r="AY153" s="1211">
        <f t="shared" si="163"/>
        <v>26757381.038564589</v>
      </c>
      <c r="AZ153" s="1211">
        <f t="shared" si="163"/>
        <v>954222.69606458559</v>
      </c>
      <c r="BA153" s="1211">
        <f t="shared" si="163"/>
        <v>27375569.605056088</v>
      </c>
      <c r="BB153" s="1211">
        <f t="shared" si="163"/>
        <v>954222.69606458559</v>
      </c>
      <c r="BC153" s="1211">
        <f t="shared" si="163"/>
        <v>26757381.038564589</v>
      </c>
      <c r="BD153" s="1211">
        <f t="shared" si="163"/>
        <v>954222.69606458559</v>
      </c>
      <c r="BE153" s="1211">
        <f t="shared" si="163"/>
        <v>27375569.605056088</v>
      </c>
      <c r="BF153" s="1211">
        <f t="shared" si="163"/>
        <v>1234578.9060645858</v>
      </c>
      <c r="BG153" s="1211">
        <f t="shared" si="163"/>
        <v>26757381.038564589</v>
      </c>
      <c r="BH153" s="1211">
        <f t="shared" si="163"/>
        <v>1691455.7915645856</v>
      </c>
      <c r="BI153" s="1211">
        <f t="shared" si="163"/>
        <v>27295797.36365959</v>
      </c>
      <c r="BJ153" s="1211">
        <f t="shared" si="163"/>
        <v>1492639.0211595856</v>
      </c>
      <c r="BK153" s="1211">
        <f t="shared" si="163"/>
        <v>0</v>
      </c>
      <c r="BL153" s="1211">
        <f t="shared" si="163"/>
        <v>0</v>
      </c>
      <c r="BM153" s="1211">
        <f t="shared" si="163"/>
        <v>0</v>
      </c>
      <c r="BN153" s="1211">
        <f t="shared" si="163"/>
        <v>0</v>
      </c>
      <c r="BO153" s="1211">
        <f t="shared" si="163"/>
        <v>0</v>
      </c>
      <c r="BP153" s="1211">
        <f t="shared" si="163"/>
        <v>0</v>
      </c>
      <c r="BQ153" s="548">
        <f>SUM(P153:BP153)</f>
        <v>742305657.69923127</v>
      </c>
      <c r="BR153" s="548">
        <f>M153</f>
        <v>742305657.69923139</v>
      </c>
      <c r="BS153" s="1358">
        <f>BQ153-BR153</f>
        <v>0</v>
      </c>
    </row>
    <row r="154" spans="1:71" ht="19.5" customHeight="1">
      <c r="A154" s="38"/>
      <c r="B154" s="38"/>
      <c r="C154" s="38"/>
      <c r="D154" s="38"/>
      <c r="E154" s="38"/>
      <c r="F154" s="38"/>
      <c r="G154" s="38"/>
      <c r="H154" s="38"/>
      <c r="I154" s="545"/>
      <c r="J154" s="38"/>
      <c r="K154" s="293"/>
      <c r="L154" s="293"/>
      <c r="M154" s="546"/>
      <c r="N154" s="38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93"/>
      <c r="AB154" s="293"/>
      <c r="AC154" s="293"/>
      <c r="AD154" s="293"/>
      <c r="AE154" s="293"/>
      <c r="AF154" s="293"/>
      <c r="AG154" s="293"/>
      <c r="AH154" s="293"/>
      <c r="AI154" s="293"/>
      <c r="AJ154" s="293"/>
      <c r="AK154" s="293"/>
      <c r="AL154" s="293"/>
      <c r="AM154" s="293"/>
      <c r="AN154" s="293"/>
      <c r="AO154" s="293"/>
      <c r="AP154" s="293"/>
      <c r="AQ154" s="293"/>
      <c r="AR154" s="293"/>
      <c r="AS154" s="293"/>
      <c r="AT154" s="293"/>
      <c r="AU154" s="293"/>
      <c r="AV154" s="293"/>
      <c r="AW154" s="293"/>
      <c r="AX154" s="293"/>
      <c r="AY154" s="293"/>
      <c r="AZ154" s="293"/>
      <c r="BA154" s="293"/>
      <c r="BB154" s="293"/>
      <c r="BC154" s="293"/>
      <c r="BD154" s="293"/>
      <c r="BE154" s="293"/>
      <c r="BF154" s="293"/>
      <c r="BG154" s="293"/>
      <c r="BH154" s="293"/>
      <c r="BI154" s="293"/>
      <c r="BJ154" s="293"/>
      <c r="BK154" s="293"/>
      <c r="BL154" s="293"/>
      <c r="BM154" s="293"/>
      <c r="BN154" s="293"/>
      <c r="BO154" s="293"/>
      <c r="BP154" s="293"/>
      <c r="BQ154" s="293"/>
      <c r="BR154" s="293"/>
      <c r="BS154" s="293"/>
    </row>
    <row r="155" spans="1:71" ht="19.5" customHeight="1">
      <c r="A155" s="38"/>
      <c r="B155" s="1359" t="s">
        <v>311</v>
      </c>
      <c r="C155" s="1360"/>
      <c r="D155" s="1355" t="s">
        <v>312</v>
      </c>
      <c r="E155" s="1355"/>
      <c r="F155" s="1355"/>
      <c r="G155" s="1355"/>
      <c r="H155" s="1355"/>
      <c r="I155" s="1361"/>
      <c r="J155" s="1355"/>
      <c r="K155" s="1355"/>
      <c r="L155" s="1355"/>
      <c r="M155" s="1355"/>
      <c r="N155" s="38"/>
      <c r="O155" s="1235"/>
      <c r="P155" s="1235"/>
      <c r="Q155" s="1235"/>
      <c r="R155" s="1235"/>
      <c r="S155" s="1235"/>
      <c r="T155" s="1235"/>
      <c r="U155" s="1235"/>
      <c r="V155" s="1235"/>
      <c r="W155" s="1235"/>
      <c r="X155" s="1235"/>
      <c r="Y155" s="293"/>
      <c r="Z155" s="293"/>
      <c r="AA155" s="293"/>
      <c r="AB155" s="293"/>
      <c r="AC155" s="293"/>
      <c r="AD155" s="293"/>
      <c r="AE155" s="293"/>
      <c r="AF155" s="293"/>
      <c r="AG155" s="293"/>
      <c r="AH155" s="293"/>
      <c r="AI155" s="293"/>
      <c r="AJ155" s="293"/>
      <c r="AK155" s="293"/>
      <c r="AL155" s="293"/>
      <c r="AM155" s="293"/>
      <c r="AN155" s="293"/>
      <c r="AO155" s="293"/>
      <c r="AP155" s="293"/>
      <c r="AQ155" s="293"/>
      <c r="AR155" s="293"/>
      <c r="AS155" s="293"/>
      <c r="AT155" s="293"/>
      <c r="AU155" s="293"/>
      <c r="AV155" s="293"/>
      <c r="AW155" s="293"/>
      <c r="AX155" s="293"/>
      <c r="AY155" s="293"/>
      <c r="AZ155" s="293"/>
      <c r="BA155" s="293"/>
      <c r="BB155" s="293"/>
      <c r="BC155" s="293"/>
      <c r="BD155" s="293"/>
      <c r="BE155" s="293"/>
      <c r="BF155" s="293"/>
      <c r="BG155" s="293"/>
      <c r="BH155" s="293"/>
      <c r="BI155" s="293"/>
      <c r="BJ155" s="293"/>
      <c r="BK155" s="293"/>
      <c r="BL155" s="293"/>
      <c r="BM155" s="293"/>
      <c r="BN155" s="293"/>
      <c r="BO155" s="293"/>
      <c r="BP155" s="293"/>
      <c r="BQ155" s="1235"/>
      <c r="BR155" s="1235"/>
      <c r="BS155" s="1235"/>
    </row>
    <row r="156" spans="1:71" ht="19.5" customHeight="1">
      <c r="A156" s="38"/>
      <c r="B156" s="38" t="s">
        <v>313</v>
      </c>
      <c r="C156" s="1354" t="s">
        <v>314</v>
      </c>
      <c r="D156" s="1354"/>
      <c r="E156" s="1354"/>
      <c r="F156" s="1156"/>
      <c r="G156" s="1277" t="s">
        <v>315</v>
      </c>
      <c r="H156" s="1156"/>
      <c r="I156" s="1362"/>
      <c r="J156" s="1156"/>
      <c r="K156" s="1277"/>
      <c r="L156" s="1277"/>
      <c r="M156" s="1363">
        <f>+M69-M153</f>
        <v>195300007.58463931</v>
      </c>
      <c r="N156" s="38"/>
      <c r="O156" s="549" t="s">
        <v>302</v>
      </c>
      <c r="P156" s="549">
        <f t="shared" ref="P156:AS156" si="164">+P69-P153</f>
        <v>19432753.03035583</v>
      </c>
      <c r="Q156" s="549">
        <f t="shared" si="164"/>
        <v>-119280.19675</v>
      </c>
      <c r="R156" s="549">
        <f t="shared" si="164"/>
        <v>-2506112.3573750001</v>
      </c>
      <c r="S156" s="549">
        <f t="shared" si="164"/>
        <v>-6914049.0043025864</v>
      </c>
      <c r="T156" s="549">
        <f t="shared" si="164"/>
        <v>1279782.3201854136</v>
      </c>
      <c r="U156" s="549">
        <f t="shared" si="164"/>
        <v>-17981716.390819475</v>
      </c>
      <c r="V156" s="549">
        <f t="shared" si="164"/>
        <v>31590219.336876608</v>
      </c>
      <c r="W156" s="549">
        <f t="shared" si="164"/>
        <v>-20910342.942105964</v>
      </c>
      <c r="X156" s="549">
        <f t="shared" si="164"/>
        <v>4892815.4003940402</v>
      </c>
      <c r="Y156" s="1364">
        <f t="shared" si="164"/>
        <v>-20020965.798331462</v>
      </c>
      <c r="Z156" s="1364">
        <f t="shared" si="164"/>
        <v>383343.01420141431</v>
      </c>
      <c r="AA156" s="1364">
        <f t="shared" si="164"/>
        <v>-26927381.038564589</v>
      </c>
      <c r="AB156" s="1364">
        <f t="shared" si="164"/>
        <v>81163641.895552486</v>
      </c>
      <c r="AC156" s="1364">
        <f t="shared" si="164"/>
        <v>-27545569.605056088</v>
      </c>
      <c r="AD156" s="1364">
        <f t="shared" si="164"/>
        <v>-3335921.9825645862</v>
      </c>
      <c r="AE156" s="1364">
        <f t="shared" si="164"/>
        <v>-26927381.038564589</v>
      </c>
      <c r="AF156" s="1364">
        <f t="shared" si="164"/>
        <v>-954222.69606458559</v>
      </c>
      <c r="AG156" s="1364">
        <f t="shared" si="164"/>
        <v>-27375569.605056088</v>
      </c>
      <c r="AH156" s="1364">
        <f t="shared" si="164"/>
        <v>86010452.668252483</v>
      </c>
      <c r="AI156" s="1364">
        <f t="shared" si="164"/>
        <v>-23742249.61803259</v>
      </c>
      <c r="AJ156" s="1364">
        <f t="shared" si="164"/>
        <v>2060908.7244674142</v>
      </c>
      <c r="AK156" s="1364">
        <f t="shared" si="164"/>
        <v>-37375569.605056092</v>
      </c>
      <c r="AL156" s="1364">
        <f t="shared" si="164"/>
        <v>-954222.69606458559</v>
      </c>
      <c r="AM156" s="1364">
        <f t="shared" si="164"/>
        <v>-26757381.038564589</v>
      </c>
      <c r="AN156" s="1364">
        <f t="shared" si="164"/>
        <v>86747685.763752475</v>
      </c>
      <c r="AO156" s="1364">
        <f t="shared" si="164"/>
        <v>-27375569.605056088</v>
      </c>
      <c r="AP156" s="1364">
        <f t="shared" si="164"/>
        <v>-18647816.988064587</v>
      </c>
      <c r="AQ156" s="1364">
        <f t="shared" si="164"/>
        <v>-26897559.143564589</v>
      </c>
      <c r="AR156" s="1364">
        <f t="shared" si="164"/>
        <v>-954222.69606458559</v>
      </c>
      <c r="AS156" s="1364">
        <f t="shared" si="164"/>
        <v>-84917693.647199303</v>
      </c>
      <c r="AT156" s="1364">
        <f>+AT69-AT153</f>
        <v>82779452.668252483</v>
      </c>
      <c r="AU156" s="1364">
        <f>+AU69-AU153</f>
        <v>-23742249.61803259</v>
      </c>
      <c r="AV156" s="1364">
        <f>+AV69-AV153</f>
        <v>2060908.7244674142</v>
      </c>
      <c r="AW156" s="1364">
        <f>+AW69-AW153</f>
        <v>-27375569.605056088</v>
      </c>
      <c r="AX156" s="1364">
        <f>+AX69-AX153</f>
        <v>-954222.69606458559</v>
      </c>
      <c r="AY156" s="1364">
        <f t="shared" ref="AY156:BP156" si="165">+AY69-AY153</f>
        <v>-26757381.038564589</v>
      </c>
      <c r="AZ156" s="1364">
        <f t="shared" si="165"/>
        <v>86747685.763752475</v>
      </c>
      <c r="BA156" s="1364">
        <f t="shared" si="165"/>
        <v>-27375569.605056088</v>
      </c>
      <c r="BB156" s="1364">
        <f t="shared" si="165"/>
        <v>-954222.69606458559</v>
      </c>
      <c r="BC156" s="1364">
        <f t="shared" si="165"/>
        <v>-26757381.038564589</v>
      </c>
      <c r="BD156" s="1364">
        <f t="shared" si="165"/>
        <v>-954222.69606458559</v>
      </c>
      <c r="BE156" s="1364">
        <f>+BE69-BE153</f>
        <v>-27375569.605056088</v>
      </c>
      <c r="BF156" s="1364">
        <f t="shared" si="165"/>
        <v>94951809.907752484</v>
      </c>
      <c r="BG156" s="1364">
        <f t="shared" si="165"/>
        <v>-26757381.038564589</v>
      </c>
      <c r="BH156" s="1364">
        <f t="shared" si="165"/>
        <v>3964864.4444354149</v>
      </c>
      <c r="BI156" s="1364">
        <f t="shared" si="165"/>
        <v>222794645.3969858</v>
      </c>
      <c r="BJ156" s="1364">
        <f t="shared" si="165"/>
        <v>6583605.8552654143</v>
      </c>
      <c r="BK156" s="1364">
        <f t="shared" si="165"/>
        <v>0</v>
      </c>
      <c r="BL156" s="1364">
        <f t="shared" si="165"/>
        <v>0</v>
      </c>
      <c r="BM156" s="1364">
        <f t="shared" si="165"/>
        <v>0</v>
      </c>
      <c r="BN156" s="1364">
        <f t="shared" si="165"/>
        <v>0</v>
      </c>
      <c r="BO156" s="1364">
        <f t="shared" si="165"/>
        <v>0</v>
      </c>
      <c r="BP156" s="1365">
        <f t="shared" si="165"/>
        <v>0</v>
      </c>
      <c r="BQ156" s="1366"/>
      <c r="BR156" s="1280"/>
      <c r="BS156" s="1280"/>
    </row>
    <row r="157" spans="1:71" ht="19.5" customHeight="1">
      <c r="A157" s="38"/>
      <c r="B157" s="1355"/>
      <c r="C157" s="550" t="s">
        <v>316</v>
      </c>
      <c r="D157" s="550"/>
      <c r="E157" s="550"/>
      <c r="F157" s="550"/>
      <c r="G157" s="550"/>
      <c r="H157" s="550"/>
      <c r="I157" s="551"/>
      <c r="J157" s="550"/>
      <c r="K157" s="390"/>
      <c r="L157" s="390"/>
      <c r="M157" s="1367"/>
      <c r="N157" s="38"/>
      <c r="O157" s="1368" t="s">
        <v>303</v>
      </c>
      <c r="P157" s="1368">
        <f>P156</f>
        <v>19432753.03035583</v>
      </c>
      <c r="Q157" s="1368">
        <f t="shared" ref="Q157:AS157" si="166">+P157+Q156</f>
        <v>19313472.83360583</v>
      </c>
      <c r="R157" s="1368">
        <f t="shared" si="166"/>
        <v>16807360.47623083</v>
      </c>
      <c r="S157" s="1368">
        <f t="shared" si="166"/>
        <v>9893311.4719282426</v>
      </c>
      <c r="T157" s="1368">
        <f t="shared" si="166"/>
        <v>11173093.792113656</v>
      </c>
      <c r="U157" s="1368">
        <f t="shared" si="166"/>
        <v>-6808622.5987058189</v>
      </c>
      <c r="V157" s="1368">
        <f t="shared" si="166"/>
        <v>24781596.738170788</v>
      </c>
      <c r="W157" s="1368">
        <f t="shared" si="166"/>
        <v>3871253.7960648239</v>
      </c>
      <c r="X157" s="1368">
        <f t="shared" si="166"/>
        <v>8764069.196458865</v>
      </c>
      <c r="Y157" s="1368">
        <f t="shared" si="166"/>
        <v>-11256896.601872597</v>
      </c>
      <c r="Z157" s="1368">
        <f t="shared" si="166"/>
        <v>-10873553.587671183</v>
      </c>
      <c r="AA157" s="1368">
        <f t="shared" si="166"/>
        <v>-37800934.626235768</v>
      </c>
      <c r="AB157" s="1368">
        <f t="shared" si="166"/>
        <v>43362707.269316718</v>
      </c>
      <c r="AC157" s="1368">
        <f t="shared" si="166"/>
        <v>15817137.66426063</v>
      </c>
      <c r="AD157" s="1368">
        <f t="shared" si="166"/>
        <v>12481215.681696042</v>
      </c>
      <c r="AE157" s="1368">
        <f t="shared" si="166"/>
        <v>-14446165.356868546</v>
      </c>
      <c r="AF157" s="1368">
        <f t="shared" si="166"/>
        <v>-15400388.052933132</v>
      </c>
      <c r="AG157" s="1368">
        <f t="shared" si="166"/>
        <v>-42775957.657989219</v>
      </c>
      <c r="AH157" s="1368">
        <f t="shared" si="166"/>
        <v>43234495.010263264</v>
      </c>
      <c r="AI157" s="1368">
        <f t="shared" si="166"/>
        <v>19492245.392230675</v>
      </c>
      <c r="AJ157" s="1368">
        <f t="shared" si="166"/>
        <v>21553154.11669809</v>
      </c>
      <c r="AK157" s="1368">
        <f t="shared" si="166"/>
        <v>-15822415.488358002</v>
      </c>
      <c r="AL157" s="1368">
        <f t="shared" si="166"/>
        <v>-16776638.184422588</v>
      </c>
      <c r="AM157" s="1368">
        <f t="shared" si="166"/>
        <v>-43534019.222987175</v>
      </c>
      <c r="AN157" s="1368">
        <f t="shared" si="166"/>
        <v>43213666.5407653</v>
      </c>
      <c r="AO157" s="1368">
        <f t="shared" si="166"/>
        <v>15838096.935709212</v>
      </c>
      <c r="AP157" s="1368">
        <f t="shared" si="166"/>
        <v>-2809720.0523553751</v>
      </c>
      <c r="AQ157" s="1368">
        <f t="shared" si="166"/>
        <v>-29707279.195919964</v>
      </c>
      <c r="AR157" s="1368">
        <f t="shared" si="166"/>
        <v>-30661501.891984548</v>
      </c>
      <c r="AS157" s="1368">
        <f t="shared" si="166"/>
        <v>-115579195.53918386</v>
      </c>
      <c r="AT157" s="1368">
        <f>+AS157+AT156</f>
        <v>-32799742.870931372</v>
      </c>
      <c r="AU157" s="1368">
        <f>+AT157+AU156</f>
        <v>-56541992.488963962</v>
      </c>
      <c r="AV157" s="1368">
        <f>AU157+AV156</f>
        <v>-54481083.76449655</v>
      </c>
      <c r="AW157" s="1368">
        <f>+AV157+AW156</f>
        <v>-81856653.369552642</v>
      </c>
      <c r="AX157" s="1368">
        <f>+AW157+AX156</f>
        <v>-82810876.065617234</v>
      </c>
      <c r="AY157" s="1368">
        <f>+AX157+AY156</f>
        <v>-109568257.10418183</v>
      </c>
      <c r="AZ157" s="1368">
        <f t="shared" ref="AZ157" si="167">+AY157+AZ156</f>
        <v>-22820571.340429351</v>
      </c>
      <c r="BA157" s="1368">
        <f t="shared" ref="BA157" si="168">+AZ157+BA156</f>
        <v>-50196140.945485443</v>
      </c>
      <c r="BB157" s="1368">
        <f t="shared" ref="BB157" si="169">+BA157+BB156</f>
        <v>-51150363.641550027</v>
      </c>
      <c r="BC157" s="1368">
        <f t="shared" ref="BC157" si="170">+BB157+BC156</f>
        <v>-77907744.680114612</v>
      </c>
      <c r="BD157" s="1368">
        <f t="shared" ref="BD157" si="171">+BC157+BD156</f>
        <v>-78861967.376179203</v>
      </c>
      <c r="BE157" s="1368">
        <f t="shared" ref="BE157" si="172">+BD157+BE156</f>
        <v>-106237536.9812353</v>
      </c>
      <c r="BF157" s="1368">
        <f t="shared" ref="BF157" si="173">+BE157+BF156</f>
        <v>-11285727.073482811</v>
      </c>
      <c r="BG157" s="1368">
        <f t="shared" ref="BG157" si="174">+BF157+BG156</f>
        <v>-38043108.112047404</v>
      </c>
      <c r="BH157" s="1368">
        <f t="shared" ref="BH157" si="175">+BG157+BH156</f>
        <v>-34078243.667611986</v>
      </c>
      <c r="BI157" s="1368">
        <f t="shared" ref="BI157" si="176">+BH157+BI156</f>
        <v>188716401.72937381</v>
      </c>
      <c r="BJ157" s="1368">
        <f t="shared" ref="BJ157" si="177">+BI157+BJ156</f>
        <v>195300007.58463922</v>
      </c>
      <c r="BK157" s="1368"/>
      <c r="BL157" s="1368"/>
      <c r="BM157" s="1368"/>
      <c r="BN157" s="1368"/>
      <c r="BO157" s="1368"/>
      <c r="BP157" s="552"/>
      <c r="BQ157" s="1369"/>
      <c r="BR157" s="390"/>
      <c r="BS157" s="390"/>
    </row>
    <row r="158" spans="1:71" ht="19.5" customHeight="1">
      <c r="A158" s="38"/>
      <c r="B158" s="1370" t="s">
        <v>107</v>
      </c>
      <c r="C158" s="1156" t="s">
        <v>317</v>
      </c>
      <c r="D158" s="1156"/>
      <c r="E158" s="1156"/>
      <c r="F158" s="1156"/>
      <c r="G158" s="1156" t="s">
        <v>318</v>
      </c>
      <c r="H158" s="1156"/>
      <c r="I158" s="1362"/>
      <c r="J158" s="1371"/>
      <c r="K158" s="1277"/>
      <c r="L158" s="1277"/>
      <c r="M158" s="1363">
        <f>SUM(P158:BO158)</f>
        <v>0</v>
      </c>
      <c r="N158" s="38"/>
      <c r="O158" s="1372"/>
      <c r="P158" s="1372">
        <v>0</v>
      </c>
      <c r="Q158" s="1277"/>
      <c r="R158" s="1277"/>
      <c r="S158" s="1372">
        <f>$I$6-SUM($P158:R158)</f>
        <v>0</v>
      </c>
      <c r="T158" s="1277"/>
      <c r="U158" s="1277"/>
      <c r="V158" s="1277"/>
      <c r="W158" s="1277"/>
      <c r="X158" s="1277"/>
      <c r="Y158" s="1277"/>
      <c r="Z158" s="1277"/>
      <c r="AA158" s="1277"/>
      <c r="AB158" s="1372"/>
      <c r="AC158" s="1277"/>
      <c r="AD158" s="1277"/>
      <c r="AE158" s="1277"/>
      <c r="AF158" s="1372"/>
      <c r="AG158" s="1277"/>
      <c r="AH158" s="1277"/>
      <c r="AI158" s="1277"/>
      <c r="AJ158" s="1372"/>
      <c r="AK158" s="1277"/>
      <c r="AL158" s="1277"/>
      <c r="AM158" s="1372"/>
      <c r="AN158" s="1277"/>
      <c r="AO158" s="1277"/>
      <c r="AP158" s="1277"/>
      <c r="AQ158" s="1277"/>
      <c r="AR158" s="1277"/>
      <c r="AS158" s="1277"/>
      <c r="AT158" s="1277"/>
      <c r="AU158" s="1277"/>
      <c r="AV158" s="1277"/>
      <c r="AW158" s="1277"/>
      <c r="AX158" s="1277"/>
      <c r="AY158" s="1277"/>
      <c r="AZ158" s="1372"/>
      <c r="BA158" s="1277"/>
      <c r="BB158" s="1277"/>
      <c r="BC158" s="1372"/>
      <c r="BD158" s="1277"/>
      <c r="BE158" s="1277"/>
      <c r="BF158" s="1372"/>
      <c r="BG158" s="1277"/>
      <c r="BH158" s="1372"/>
      <c r="BI158" s="1277"/>
      <c r="BJ158" s="1277"/>
      <c r="BK158" s="1277"/>
      <c r="BL158" s="1277"/>
      <c r="BM158" s="1277"/>
      <c r="BN158" s="1277"/>
      <c r="BO158" s="1277"/>
      <c r="BP158" s="1277"/>
      <c r="BQ158" s="1290"/>
      <c r="BR158" s="1277"/>
      <c r="BS158" s="1277"/>
    </row>
    <row r="159" spans="1:71" ht="19.5" customHeight="1">
      <c r="A159" s="38"/>
      <c r="B159" s="38"/>
      <c r="C159" s="38" t="s">
        <v>319</v>
      </c>
      <c r="D159" s="38"/>
      <c r="E159" s="38"/>
      <c r="F159" s="38"/>
      <c r="G159" s="38"/>
      <c r="H159" s="38"/>
      <c r="I159" s="545"/>
      <c r="J159" s="38"/>
      <c r="K159" s="293"/>
      <c r="L159" s="293"/>
      <c r="M159" s="1373"/>
      <c r="N159" s="38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  <c r="AA159" s="293"/>
      <c r="AB159" s="293"/>
      <c r="AC159" s="293"/>
      <c r="AD159" s="293"/>
      <c r="AE159" s="293"/>
      <c r="AF159" s="293"/>
      <c r="AG159" s="293"/>
      <c r="AH159" s="293"/>
      <c r="AI159" s="293"/>
      <c r="AJ159" s="293"/>
      <c r="AK159" s="293"/>
      <c r="AL159" s="293"/>
      <c r="AM159" s="293"/>
      <c r="AN159" s="293"/>
      <c r="AO159" s="293"/>
      <c r="AP159" s="293"/>
      <c r="AQ159" s="293"/>
      <c r="AR159" s="293"/>
      <c r="AS159" s="293"/>
      <c r="AT159" s="293"/>
      <c r="AU159" s="293"/>
      <c r="AV159" s="293"/>
      <c r="AW159" s="293"/>
      <c r="AX159" s="293"/>
      <c r="AY159" s="293"/>
      <c r="AZ159" s="293"/>
      <c r="BA159" s="293"/>
      <c r="BB159" s="293"/>
      <c r="BC159" s="293"/>
      <c r="BD159" s="293"/>
      <c r="BE159" s="293"/>
      <c r="BF159" s="293"/>
      <c r="BG159" s="293"/>
      <c r="BH159" s="293"/>
      <c r="BI159" s="293"/>
      <c r="BJ159" s="293"/>
      <c r="BK159" s="293"/>
      <c r="BL159" s="293"/>
      <c r="BM159" s="293"/>
      <c r="BN159" s="293"/>
      <c r="BO159" s="293"/>
      <c r="BP159" s="293"/>
      <c r="BQ159" s="1374"/>
      <c r="BR159" s="293"/>
      <c r="BS159" s="293"/>
    </row>
    <row r="160" spans="1:71" ht="19.5" customHeight="1">
      <c r="A160" s="38"/>
      <c r="B160" s="1355"/>
      <c r="C160" s="550" t="s">
        <v>320</v>
      </c>
      <c r="D160" s="550"/>
      <c r="E160" s="550"/>
      <c r="F160" s="550"/>
      <c r="G160" s="550" t="s">
        <v>321</v>
      </c>
      <c r="H160" s="550"/>
      <c r="I160" s="551"/>
      <c r="J160" s="550"/>
      <c r="K160" s="390"/>
      <c r="L160" s="390"/>
      <c r="M160" s="1367">
        <f>SUM(P160:BO160)</f>
        <v>0</v>
      </c>
      <c r="N160" s="38"/>
      <c r="O160" s="390"/>
      <c r="P160" s="390"/>
      <c r="Q160" s="390"/>
      <c r="R160" s="390"/>
      <c r="S160" s="390"/>
      <c r="T160" s="390"/>
      <c r="U160" s="390"/>
      <c r="V160" s="390"/>
      <c r="W160" s="390"/>
      <c r="X160" s="390"/>
      <c r="Y160" s="390"/>
      <c r="Z160" s="390"/>
      <c r="AA160" s="390"/>
      <c r="AB160" s="390"/>
      <c r="AC160" s="390"/>
      <c r="AD160" s="390"/>
      <c r="AE160" s="390"/>
      <c r="AF160" s="390"/>
      <c r="AG160" s="390"/>
      <c r="AH160" s="390"/>
      <c r="AI160" s="390"/>
      <c r="AJ160" s="390"/>
      <c r="AK160" s="390"/>
      <c r="AL160" s="390"/>
      <c r="AM160" s="390"/>
      <c r="AN160" s="390"/>
      <c r="AO160" s="390"/>
      <c r="AP160" s="390"/>
      <c r="AQ160" s="390"/>
      <c r="AR160" s="390"/>
      <c r="AS160" s="390"/>
      <c r="AT160" s="390"/>
      <c r="AU160" s="1375">
        <f>SUM($P158:AM158)-SUM($Y159:AT159)</f>
        <v>0</v>
      </c>
      <c r="AV160" s="390"/>
      <c r="AW160" s="390"/>
      <c r="AX160" s="390"/>
      <c r="AY160" s="390"/>
      <c r="AZ160" s="390"/>
      <c r="BA160" s="390"/>
      <c r="BB160" s="390"/>
      <c r="BC160" s="390"/>
      <c r="BD160" s="390"/>
      <c r="BE160" s="390"/>
      <c r="BF160" s="390"/>
      <c r="BG160" s="390"/>
      <c r="BH160" s="390"/>
      <c r="BI160" s="390"/>
      <c r="BJ160" s="390"/>
      <c r="BK160" s="390"/>
      <c r="BL160" s="390"/>
      <c r="BM160" s="390"/>
      <c r="BN160" s="390"/>
      <c r="BO160" s="390"/>
      <c r="BP160" s="390"/>
      <c r="BQ160" s="1230"/>
      <c r="BR160" s="390"/>
      <c r="BS160" s="390"/>
    </row>
    <row r="161" spans="1:71" ht="19.5" customHeight="1">
      <c r="A161" s="38"/>
      <c r="B161" s="1376" t="s">
        <v>322</v>
      </c>
      <c r="C161" s="1376"/>
      <c r="D161" s="1376"/>
      <c r="E161" s="1376"/>
      <c r="F161" s="1376"/>
      <c r="G161" s="1376"/>
      <c r="H161" s="1376"/>
      <c r="I161" s="1377"/>
      <c r="J161" s="1376"/>
      <c r="K161" s="1378"/>
      <c r="L161" s="1378"/>
      <c r="M161" s="553">
        <f t="shared" ref="M161:M163" si="178">SUM(O161:BP161)</f>
        <v>195300007.58463922</v>
      </c>
      <c r="N161" s="38"/>
      <c r="O161" s="1379"/>
      <c r="P161" s="1379">
        <f t="shared" ref="P161:V161" si="179">P156+P158-P160</f>
        <v>19432753.03035583</v>
      </c>
      <c r="Q161" s="1379">
        <f t="shared" si="179"/>
        <v>-119280.19675</v>
      </c>
      <c r="R161" s="1379">
        <f t="shared" si="179"/>
        <v>-2506112.3573750001</v>
      </c>
      <c r="S161" s="1379">
        <f t="shared" si="179"/>
        <v>-6914049.0043025864</v>
      </c>
      <c r="T161" s="1379">
        <f t="shared" si="179"/>
        <v>1279782.3201854136</v>
      </c>
      <c r="U161" s="1379">
        <f t="shared" si="179"/>
        <v>-17981716.390819475</v>
      </c>
      <c r="V161" s="1379">
        <f t="shared" si="179"/>
        <v>31590219.336876608</v>
      </c>
      <c r="W161" s="1379">
        <f t="shared" ref="W161:AE161" si="180">W156+W158-W160-W159</f>
        <v>-20910342.942105964</v>
      </c>
      <c r="X161" s="1379">
        <f t="shared" si="180"/>
        <v>4892815.4003940402</v>
      </c>
      <c r="Y161" s="1379">
        <f t="shared" si="180"/>
        <v>-20020965.798331462</v>
      </c>
      <c r="Z161" s="1379">
        <f t="shared" si="180"/>
        <v>383343.01420141431</v>
      </c>
      <c r="AA161" s="1379">
        <f t="shared" si="180"/>
        <v>-26927381.038564589</v>
      </c>
      <c r="AB161" s="1379">
        <f t="shared" si="180"/>
        <v>81163641.895552486</v>
      </c>
      <c r="AC161" s="1379">
        <f t="shared" si="180"/>
        <v>-27545569.605056088</v>
      </c>
      <c r="AD161" s="1379">
        <f t="shared" si="180"/>
        <v>-3335921.9825645862</v>
      </c>
      <c r="AE161" s="1379">
        <f t="shared" si="180"/>
        <v>-26927381.038564589</v>
      </c>
      <c r="AF161" s="1379">
        <f>AF156+AF158-AF160</f>
        <v>-954222.69606458559</v>
      </c>
      <c r="AG161" s="1379">
        <f t="shared" ref="AG161:AI161" si="181">AG156+AG158-AG160-AG159</f>
        <v>-27375569.605056088</v>
      </c>
      <c r="AH161" s="1379">
        <f t="shared" si="181"/>
        <v>86010452.668252483</v>
      </c>
      <c r="AI161" s="1379">
        <f t="shared" si="181"/>
        <v>-23742249.61803259</v>
      </c>
      <c r="AJ161" s="1379">
        <f>AJ156+AJ158-AJ160</f>
        <v>2060908.7244674142</v>
      </c>
      <c r="AK161" s="1379">
        <f t="shared" ref="AK161:AL161" si="182">AK156+AK158-AK160-AK159</f>
        <v>-37375569.605056092</v>
      </c>
      <c r="AL161" s="1379">
        <f t="shared" si="182"/>
        <v>-954222.69606458559</v>
      </c>
      <c r="AM161" s="1379">
        <f>AM156+AM158-AM160</f>
        <v>-26757381.038564589</v>
      </c>
      <c r="AN161" s="1379">
        <f t="shared" ref="AN161:BP161" si="183">AN156+AN158-AN160-AN159</f>
        <v>86747685.763752475</v>
      </c>
      <c r="AO161" s="1379">
        <f t="shared" si="183"/>
        <v>-27375569.605056088</v>
      </c>
      <c r="AP161" s="1379">
        <f t="shared" si="183"/>
        <v>-18647816.988064587</v>
      </c>
      <c r="AQ161" s="1379">
        <f t="shared" si="183"/>
        <v>-26897559.143564589</v>
      </c>
      <c r="AR161" s="1379">
        <f t="shared" si="183"/>
        <v>-954222.69606458559</v>
      </c>
      <c r="AS161" s="1379">
        <f t="shared" si="183"/>
        <v>-84917693.647199303</v>
      </c>
      <c r="AT161" s="1379">
        <f t="shared" si="183"/>
        <v>82779452.668252483</v>
      </c>
      <c r="AU161" s="1379">
        <f>AU156+AU158-AU160-AU159</f>
        <v>-23742249.61803259</v>
      </c>
      <c r="AV161" s="1379">
        <f>AV156+AV158-AV160-AV159</f>
        <v>2060908.7244674142</v>
      </c>
      <c r="AW161" s="1379">
        <f t="shared" si="183"/>
        <v>-27375569.605056088</v>
      </c>
      <c r="AX161" s="1379">
        <f t="shared" si="183"/>
        <v>-954222.69606458559</v>
      </c>
      <c r="AY161" s="1379">
        <f t="shared" si="183"/>
        <v>-26757381.038564589</v>
      </c>
      <c r="AZ161" s="1379">
        <f t="shared" si="183"/>
        <v>86747685.763752475</v>
      </c>
      <c r="BA161" s="1379">
        <f>BA156+BA158-BA160-BA159</f>
        <v>-27375569.605056088</v>
      </c>
      <c r="BB161" s="1379">
        <f t="shared" si="183"/>
        <v>-954222.69606458559</v>
      </c>
      <c r="BC161" s="1379">
        <f t="shared" si="183"/>
        <v>-26757381.038564589</v>
      </c>
      <c r="BD161" s="1379">
        <f t="shared" si="183"/>
        <v>-954222.69606458559</v>
      </c>
      <c r="BE161" s="1379">
        <f t="shared" si="183"/>
        <v>-27375569.605056088</v>
      </c>
      <c r="BF161" s="1379">
        <f t="shared" si="183"/>
        <v>94951809.907752484</v>
      </c>
      <c r="BG161" s="1379">
        <f t="shared" si="183"/>
        <v>-26757381.038564589</v>
      </c>
      <c r="BH161" s="1379">
        <f t="shared" si="183"/>
        <v>3964864.4444354149</v>
      </c>
      <c r="BI161" s="1379">
        <f t="shared" si="183"/>
        <v>222794645.3969858</v>
      </c>
      <c r="BJ161" s="1379">
        <f t="shared" si="183"/>
        <v>6583605.8552654143</v>
      </c>
      <c r="BK161" s="1379">
        <f t="shared" si="183"/>
        <v>0</v>
      </c>
      <c r="BL161" s="1379">
        <f t="shared" si="183"/>
        <v>0</v>
      </c>
      <c r="BM161" s="1379">
        <f t="shared" si="183"/>
        <v>0</v>
      </c>
      <c r="BN161" s="1379">
        <f t="shared" si="183"/>
        <v>0</v>
      </c>
      <c r="BO161" s="1379">
        <f t="shared" si="183"/>
        <v>0</v>
      </c>
      <c r="BP161" s="1379">
        <f t="shared" si="183"/>
        <v>0</v>
      </c>
      <c r="BQ161" s="554"/>
      <c r="BR161" s="1378"/>
      <c r="BS161" s="1378"/>
    </row>
    <row r="162" spans="1:71" ht="19.5" customHeight="1">
      <c r="A162" s="38"/>
      <c r="B162" s="38" t="s">
        <v>323</v>
      </c>
      <c r="C162" s="1156"/>
      <c r="D162" s="1156" t="s">
        <v>324</v>
      </c>
      <c r="E162" s="1156"/>
      <c r="F162" s="1156"/>
      <c r="G162" s="1380"/>
      <c r="H162" s="1277"/>
      <c r="I162" s="1381" t="s">
        <v>325</v>
      </c>
      <c r="J162" s="1371">
        <v>0.14000000000000001</v>
      </c>
      <c r="K162" s="1277"/>
      <c r="L162" s="1277"/>
      <c r="M162" s="510"/>
      <c r="N162" s="38"/>
      <c r="O162" s="1372"/>
      <c r="P162" s="1382">
        <f>P70*110%</f>
        <v>0</v>
      </c>
      <c r="Q162" s="1372"/>
      <c r="R162" s="1277"/>
      <c r="S162" s="1277"/>
      <c r="T162" s="1277"/>
      <c r="U162" s="1277"/>
      <c r="V162" s="1277"/>
      <c r="W162" s="1277"/>
      <c r="X162" s="1277"/>
      <c r="Y162" s="1277"/>
      <c r="Z162" s="1277"/>
      <c r="AA162" s="1277"/>
      <c r="AB162" s="1277"/>
      <c r="AC162" s="1277"/>
      <c r="AD162" s="1277"/>
      <c r="AE162" s="1277"/>
      <c r="AF162" s="1277"/>
      <c r="AG162" s="1277"/>
      <c r="AH162" s="1277"/>
      <c r="AI162" s="1277"/>
      <c r="AJ162" s="1277"/>
      <c r="AK162" s="1277"/>
      <c r="AL162" s="1277"/>
      <c r="AM162" s="1277"/>
      <c r="AN162" s="1277"/>
      <c r="AO162" s="1277"/>
      <c r="AP162" s="1277"/>
      <c r="AQ162" s="1277"/>
      <c r="AR162" s="1277"/>
      <c r="AS162" s="1277"/>
      <c r="AT162" s="1277"/>
      <c r="AU162" s="1277"/>
      <c r="AV162" s="1277"/>
      <c r="AW162" s="1277"/>
      <c r="AX162" s="1277"/>
      <c r="AY162" s="1277"/>
      <c r="AZ162" s="1277"/>
      <c r="BA162" s="1277"/>
      <c r="BB162" s="1277"/>
      <c r="BC162" s="1277"/>
      <c r="BD162" s="1277"/>
      <c r="BE162" s="1277"/>
      <c r="BF162" s="1277"/>
      <c r="BG162" s="1277"/>
      <c r="BH162" s="1277"/>
      <c r="BI162" s="1277"/>
      <c r="BJ162" s="1277"/>
      <c r="BK162" s="1277"/>
      <c r="BL162" s="1277"/>
      <c r="BM162" s="1277"/>
      <c r="BN162" s="1277"/>
      <c r="BO162" s="1277"/>
      <c r="BP162" s="1277"/>
      <c r="BQ162" s="1290"/>
      <c r="BR162" s="1277"/>
      <c r="BS162" s="1277"/>
    </row>
    <row r="163" spans="1:71" ht="19.5" customHeight="1">
      <c r="A163" s="38"/>
      <c r="B163" s="38"/>
      <c r="C163" s="1174"/>
      <c r="D163" s="1174" t="s">
        <v>326</v>
      </c>
      <c r="E163" s="1174"/>
      <c r="F163" s="1174"/>
      <c r="G163" s="1383"/>
      <c r="H163" s="1217"/>
      <c r="I163" s="1384"/>
      <c r="J163" s="1385"/>
      <c r="K163" s="1217"/>
      <c r="L163" s="1217"/>
      <c r="M163" s="1386">
        <f t="shared" si="178"/>
        <v>0</v>
      </c>
      <c r="N163" s="38"/>
      <c r="O163" s="1217"/>
      <c r="P163" s="1217"/>
      <c r="Q163" s="1217"/>
      <c r="R163" s="1217"/>
      <c r="S163" s="1217">
        <f>P162</f>
        <v>0</v>
      </c>
      <c r="T163" s="1217"/>
      <c r="U163" s="1217"/>
      <c r="V163" s="1217"/>
      <c r="W163" s="1217"/>
      <c r="X163" s="1217"/>
      <c r="Y163" s="1217"/>
      <c r="Z163" s="1217"/>
      <c r="AA163" s="1217"/>
      <c r="AB163" s="1217"/>
      <c r="AC163" s="1217"/>
      <c r="AD163" s="1217"/>
      <c r="AE163" s="1217"/>
      <c r="AF163" s="1217"/>
      <c r="AG163" s="1217"/>
      <c r="AH163" s="1217"/>
      <c r="AI163" s="1217"/>
      <c r="AJ163" s="1217"/>
      <c r="AK163" s="1217"/>
      <c r="AL163" s="1217"/>
      <c r="AM163" s="1217"/>
      <c r="AN163" s="1217"/>
      <c r="AO163" s="1217"/>
      <c r="AP163" s="1217"/>
      <c r="AQ163" s="1217"/>
      <c r="AR163" s="1217"/>
      <c r="AS163" s="1217"/>
      <c r="AT163" s="1217"/>
      <c r="AU163" s="1387">
        <f>SUM($O162:AU162)-SUM($P163:AT163)</f>
        <v>0</v>
      </c>
      <c r="AV163" s="1217"/>
      <c r="AW163" s="1217"/>
      <c r="AX163" s="1217"/>
      <c r="AY163" s="1217"/>
      <c r="AZ163" s="1217"/>
      <c r="BA163" s="1217"/>
      <c r="BB163" s="1217"/>
      <c r="BC163" s="1217"/>
      <c r="BD163" s="1217"/>
      <c r="BE163" s="1217"/>
      <c r="BF163" s="1217"/>
      <c r="BG163" s="1217"/>
      <c r="BH163" s="1217"/>
      <c r="BI163" s="1217"/>
      <c r="BJ163" s="1217"/>
      <c r="BK163" s="1217"/>
      <c r="BL163" s="1217"/>
      <c r="BM163" s="1217"/>
      <c r="BN163" s="1217"/>
      <c r="BO163" s="1217"/>
      <c r="BP163" s="1217"/>
      <c r="BQ163" s="1214"/>
      <c r="BR163" s="1217"/>
      <c r="BS163" s="1217"/>
    </row>
    <row r="164" spans="1:71" ht="41.25" customHeight="1">
      <c r="A164" s="38" t="s">
        <v>137</v>
      </c>
      <c r="B164" s="38"/>
      <c r="C164" s="1353"/>
      <c r="D164" s="1353" t="s">
        <v>327</v>
      </c>
      <c r="E164" s="1353"/>
      <c r="F164" s="1353"/>
      <c r="G164" s="1388"/>
      <c r="H164" s="1268"/>
      <c r="I164" s="1389"/>
      <c r="J164" s="1390"/>
      <c r="K164" s="1268"/>
      <c r="L164" s="1268"/>
      <c r="M164" s="1386">
        <f>MAX(O164:BP164)</f>
        <v>0</v>
      </c>
      <c r="N164" s="38"/>
      <c r="O164" s="1217"/>
      <c r="P164" s="1217">
        <f>P162-P163</f>
        <v>0</v>
      </c>
      <c r="Q164" s="1217">
        <f t="shared" ref="Q164:AT164" si="184">P164+Q162-Q163</f>
        <v>0</v>
      </c>
      <c r="R164" s="1217">
        <f t="shared" si="184"/>
        <v>0</v>
      </c>
      <c r="S164" s="1217">
        <f t="shared" si="184"/>
        <v>0</v>
      </c>
      <c r="T164" s="1217">
        <f t="shared" si="184"/>
        <v>0</v>
      </c>
      <c r="U164" s="1217">
        <f t="shared" si="184"/>
        <v>0</v>
      </c>
      <c r="V164" s="1217">
        <f t="shared" si="184"/>
        <v>0</v>
      </c>
      <c r="W164" s="1217">
        <f t="shared" si="184"/>
        <v>0</v>
      </c>
      <c r="X164" s="1217">
        <f t="shared" si="184"/>
        <v>0</v>
      </c>
      <c r="Y164" s="1217">
        <f t="shared" si="184"/>
        <v>0</v>
      </c>
      <c r="Z164" s="1217">
        <f t="shared" si="184"/>
        <v>0</v>
      </c>
      <c r="AA164" s="1217">
        <f t="shared" si="184"/>
        <v>0</v>
      </c>
      <c r="AB164" s="1217">
        <f t="shared" si="184"/>
        <v>0</v>
      </c>
      <c r="AC164" s="1217">
        <f t="shared" si="184"/>
        <v>0</v>
      </c>
      <c r="AD164" s="1217">
        <f t="shared" si="184"/>
        <v>0</v>
      </c>
      <c r="AE164" s="1217">
        <f t="shared" si="184"/>
        <v>0</v>
      </c>
      <c r="AF164" s="1217">
        <f t="shared" si="184"/>
        <v>0</v>
      </c>
      <c r="AG164" s="1217">
        <f t="shared" si="184"/>
        <v>0</v>
      </c>
      <c r="AH164" s="1217">
        <f t="shared" si="184"/>
        <v>0</v>
      </c>
      <c r="AI164" s="1217">
        <f t="shared" si="184"/>
        <v>0</v>
      </c>
      <c r="AJ164" s="1217">
        <f t="shared" si="184"/>
        <v>0</v>
      </c>
      <c r="AK164" s="1217">
        <f t="shared" si="184"/>
        <v>0</v>
      </c>
      <c r="AL164" s="1217">
        <f t="shared" si="184"/>
        <v>0</v>
      </c>
      <c r="AM164" s="1217">
        <f t="shared" si="184"/>
        <v>0</v>
      </c>
      <c r="AN164" s="1217">
        <f t="shared" si="184"/>
        <v>0</v>
      </c>
      <c r="AO164" s="1217">
        <f t="shared" si="184"/>
        <v>0</v>
      </c>
      <c r="AP164" s="1217">
        <f t="shared" si="184"/>
        <v>0</v>
      </c>
      <c r="AQ164" s="1217">
        <f t="shared" si="184"/>
        <v>0</v>
      </c>
      <c r="AR164" s="1217">
        <f t="shared" si="184"/>
        <v>0</v>
      </c>
      <c r="AS164" s="1217">
        <f t="shared" si="184"/>
        <v>0</v>
      </c>
      <c r="AT164" s="1217">
        <f t="shared" si="184"/>
        <v>0</v>
      </c>
      <c r="AU164" s="1217"/>
      <c r="AV164" s="1217"/>
      <c r="AW164" s="1217"/>
      <c r="AX164" s="1217"/>
      <c r="AY164" s="1217"/>
      <c r="AZ164" s="1217"/>
      <c r="BA164" s="1217"/>
      <c r="BB164" s="1217"/>
      <c r="BC164" s="1217"/>
      <c r="BD164" s="1217"/>
      <c r="BE164" s="1217"/>
      <c r="BF164" s="1217"/>
      <c r="BG164" s="1217"/>
      <c r="BH164" s="1217"/>
      <c r="BI164" s="1217"/>
      <c r="BJ164" s="1217"/>
      <c r="BK164" s="1217"/>
      <c r="BL164" s="1217"/>
      <c r="BM164" s="1217"/>
      <c r="BN164" s="1217"/>
      <c r="BO164" s="1217"/>
      <c r="BP164" s="1217"/>
      <c r="BQ164" s="1265"/>
      <c r="BR164" s="1268"/>
      <c r="BS164" s="1268"/>
    </row>
    <row r="165" spans="1:71" ht="42" customHeight="1">
      <c r="A165" s="38"/>
      <c r="B165" s="38"/>
      <c r="C165" s="1353"/>
      <c r="D165" s="1353" t="s">
        <v>328</v>
      </c>
      <c r="E165" s="1353"/>
      <c r="F165" s="1353"/>
      <c r="G165" s="1388"/>
      <c r="H165" s="1268"/>
      <c r="I165" s="1324" t="s">
        <v>329</v>
      </c>
      <c r="J165" s="1385">
        <v>0.02</v>
      </c>
      <c r="K165" s="1324" t="s">
        <v>330</v>
      </c>
      <c r="L165" s="1268"/>
      <c r="M165" s="1386">
        <f>M162*J165</f>
        <v>0</v>
      </c>
      <c r="N165" s="38"/>
      <c r="O165" s="1217"/>
      <c r="P165" s="1217">
        <f>$M165</f>
        <v>0</v>
      </c>
      <c r="Q165" s="1217"/>
      <c r="R165" s="1217"/>
      <c r="S165" s="1217"/>
      <c r="T165" s="1217"/>
      <c r="U165" s="1217"/>
      <c r="V165" s="1217"/>
      <c r="W165" s="1217"/>
      <c r="X165" s="1217"/>
      <c r="Y165" s="1217"/>
      <c r="Z165" s="1217"/>
      <c r="AA165" s="1217"/>
      <c r="AB165" s="1217"/>
      <c r="AC165" s="1217"/>
      <c r="AD165" s="1217"/>
      <c r="AE165" s="1217"/>
      <c r="AF165" s="1217"/>
      <c r="AG165" s="1217"/>
      <c r="AH165" s="1217"/>
      <c r="AI165" s="1217"/>
      <c r="AJ165" s="1217"/>
      <c r="AK165" s="1217"/>
      <c r="AL165" s="1217"/>
      <c r="AM165" s="1217"/>
      <c r="AN165" s="1217"/>
      <c r="AO165" s="1217"/>
      <c r="AP165" s="1217"/>
      <c r="AQ165" s="1217"/>
      <c r="AR165" s="1217"/>
      <c r="AS165" s="1217"/>
      <c r="AT165" s="1217"/>
      <c r="AU165" s="1217"/>
      <c r="AV165" s="1217"/>
      <c r="AW165" s="1217"/>
      <c r="AX165" s="1217"/>
      <c r="AY165" s="1217"/>
      <c r="AZ165" s="1217"/>
      <c r="BA165" s="1217"/>
      <c r="BB165" s="1217"/>
      <c r="BC165" s="1217"/>
      <c r="BD165" s="1217"/>
      <c r="BE165" s="1217"/>
      <c r="BF165" s="1217"/>
      <c r="BG165" s="1217"/>
      <c r="BH165" s="1217"/>
      <c r="BI165" s="1217"/>
      <c r="BJ165" s="1217"/>
      <c r="BK165" s="1217"/>
      <c r="BL165" s="1217"/>
      <c r="BM165" s="1217"/>
      <c r="BN165" s="1217"/>
      <c r="BO165" s="1217"/>
      <c r="BP165" s="1217"/>
      <c r="BQ165" s="1265"/>
      <c r="BR165" s="1268"/>
      <c r="BS165" s="1268"/>
    </row>
    <row r="166" spans="1:71" ht="19.5" customHeight="1">
      <c r="A166" s="38"/>
      <c r="B166" s="38"/>
      <c r="C166" s="550"/>
      <c r="D166" s="550" t="s">
        <v>331</v>
      </c>
      <c r="E166" s="550"/>
      <c r="F166" s="550"/>
      <c r="G166" s="555"/>
      <c r="H166" s="390"/>
      <c r="I166" s="556"/>
      <c r="J166" s="557"/>
      <c r="K166" s="390"/>
      <c r="L166" s="390"/>
      <c r="M166" s="1367">
        <f t="shared" ref="M166:M169" si="185">SUM(O166:BP166)</f>
        <v>0</v>
      </c>
      <c r="N166" s="38"/>
      <c r="O166" s="390"/>
      <c r="P166" s="390">
        <v>0</v>
      </c>
      <c r="Q166" s="390">
        <v>0</v>
      </c>
      <c r="R166" s="390">
        <v>0</v>
      </c>
      <c r="S166" s="390">
        <f>M138</f>
        <v>0</v>
      </c>
      <c r="T166" s="390">
        <f t="shared" ref="T166:AU166" si="186">T164*($J$162/12)</f>
        <v>0</v>
      </c>
      <c r="U166" s="390">
        <f t="shared" si="186"/>
        <v>0</v>
      </c>
      <c r="V166" s="390">
        <f t="shared" si="186"/>
        <v>0</v>
      </c>
      <c r="W166" s="390">
        <f t="shared" si="186"/>
        <v>0</v>
      </c>
      <c r="X166" s="390">
        <f t="shared" si="186"/>
        <v>0</v>
      </c>
      <c r="Y166" s="390">
        <f t="shared" si="186"/>
        <v>0</v>
      </c>
      <c r="Z166" s="390">
        <f t="shared" si="186"/>
        <v>0</v>
      </c>
      <c r="AA166" s="390">
        <f t="shared" si="186"/>
        <v>0</v>
      </c>
      <c r="AB166" s="390">
        <f t="shared" si="186"/>
        <v>0</v>
      </c>
      <c r="AC166" s="390">
        <f t="shared" si="186"/>
        <v>0</v>
      </c>
      <c r="AD166" s="390">
        <f t="shared" si="186"/>
        <v>0</v>
      </c>
      <c r="AE166" s="390">
        <f t="shared" si="186"/>
        <v>0</v>
      </c>
      <c r="AF166" s="390">
        <f t="shared" si="186"/>
        <v>0</v>
      </c>
      <c r="AG166" s="390">
        <f t="shared" si="186"/>
        <v>0</v>
      </c>
      <c r="AH166" s="390">
        <f t="shared" si="186"/>
        <v>0</v>
      </c>
      <c r="AI166" s="390">
        <f t="shared" si="186"/>
        <v>0</v>
      </c>
      <c r="AJ166" s="390">
        <f t="shared" si="186"/>
        <v>0</v>
      </c>
      <c r="AK166" s="390">
        <f t="shared" si="186"/>
        <v>0</v>
      </c>
      <c r="AL166" s="390">
        <f t="shared" si="186"/>
        <v>0</v>
      </c>
      <c r="AM166" s="390">
        <f t="shared" si="186"/>
        <v>0</v>
      </c>
      <c r="AN166" s="390">
        <f t="shared" si="186"/>
        <v>0</v>
      </c>
      <c r="AO166" s="390">
        <f t="shared" si="186"/>
        <v>0</v>
      </c>
      <c r="AP166" s="390">
        <f t="shared" si="186"/>
        <v>0</v>
      </c>
      <c r="AQ166" s="390">
        <f t="shared" si="186"/>
        <v>0</v>
      </c>
      <c r="AR166" s="390">
        <f t="shared" si="186"/>
        <v>0</v>
      </c>
      <c r="AS166" s="390">
        <f t="shared" si="186"/>
        <v>0</v>
      </c>
      <c r="AT166" s="390">
        <f t="shared" si="186"/>
        <v>0</v>
      </c>
      <c r="AU166" s="390">
        <f t="shared" si="186"/>
        <v>0</v>
      </c>
      <c r="AV166" s="390"/>
      <c r="AW166" s="390"/>
      <c r="AX166" s="390"/>
      <c r="AY166" s="390"/>
      <c r="AZ166" s="390"/>
      <c r="BA166" s="390"/>
      <c r="BB166" s="390"/>
      <c r="BC166" s="390"/>
      <c r="BD166" s="390"/>
      <c r="BE166" s="390"/>
      <c r="BF166" s="390"/>
      <c r="BG166" s="390"/>
      <c r="BH166" s="390"/>
      <c r="BI166" s="390"/>
      <c r="BJ166" s="390"/>
      <c r="BK166" s="390"/>
      <c r="BL166" s="390"/>
      <c r="BM166" s="390"/>
      <c r="BN166" s="390"/>
      <c r="BO166" s="390"/>
      <c r="BP166" s="390"/>
      <c r="BQ166" s="1230"/>
      <c r="BR166" s="390"/>
      <c r="BS166" s="390"/>
    </row>
    <row r="167" spans="1:71" ht="19.5" customHeight="1">
      <c r="A167" s="38"/>
      <c r="B167" s="558"/>
      <c r="C167" s="558" t="s">
        <v>332</v>
      </c>
      <c r="D167" s="558"/>
      <c r="E167" s="558"/>
      <c r="F167" s="558"/>
      <c r="G167" s="559"/>
      <c r="H167" s="560"/>
      <c r="I167" s="561"/>
      <c r="J167" s="562" t="s">
        <v>333</v>
      </c>
      <c r="K167" s="563" t="str">
        <f>IF(ROUND((M165+M166)-(M161-M167),0)=0,"OK","False")</f>
        <v>OK</v>
      </c>
      <c r="L167" s="560">
        <f>M161-M167</f>
        <v>0</v>
      </c>
      <c r="M167" s="564">
        <f t="shared" si="185"/>
        <v>195300007.58463922</v>
      </c>
      <c r="N167" s="38"/>
      <c r="O167" s="565"/>
      <c r="P167" s="565">
        <f t="shared" ref="P167:BP167" si="187">P161+P162-P163-P165-P166</f>
        <v>19432753.03035583</v>
      </c>
      <c r="Q167" s="565">
        <f t="shared" si="187"/>
        <v>-119280.19675</v>
      </c>
      <c r="R167" s="565">
        <f t="shared" si="187"/>
        <v>-2506112.3573750001</v>
      </c>
      <c r="S167" s="565">
        <f t="shared" si="187"/>
        <v>-6914049.0043025864</v>
      </c>
      <c r="T167" s="565">
        <f t="shared" si="187"/>
        <v>1279782.3201854136</v>
      </c>
      <c r="U167" s="565">
        <f t="shared" si="187"/>
        <v>-17981716.390819475</v>
      </c>
      <c r="V167" s="565">
        <f t="shared" si="187"/>
        <v>31590219.336876608</v>
      </c>
      <c r="W167" s="565">
        <f t="shared" si="187"/>
        <v>-20910342.942105964</v>
      </c>
      <c r="X167" s="565">
        <f t="shared" si="187"/>
        <v>4892815.4003940402</v>
      </c>
      <c r="Y167" s="565">
        <f t="shared" si="187"/>
        <v>-20020965.798331462</v>
      </c>
      <c r="Z167" s="565">
        <f t="shared" si="187"/>
        <v>383343.01420141431</v>
      </c>
      <c r="AA167" s="565">
        <f t="shared" si="187"/>
        <v>-26927381.038564589</v>
      </c>
      <c r="AB167" s="565">
        <f t="shared" si="187"/>
        <v>81163641.895552486</v>
      </c>
      <c r="AC167" s="565">
        <f t="shared" si="187"/>
        <v>-27545569.605056088</v>
      </c>
      <c r="AD167" s="565">
        <f t="shared" si="187"/>
        <v>-3335921.9825645862</v>
      </c>
      <c r="AE167" s="565">
        <f t="shared" si="187"/>
        <v>-26927381.038564589</v>
      </c>
      <c r="AF167" s="565">
        <f t="shared" si="187"/>
        <v>-954222.69606458559</v>
      </c>
      <c r="AG167" s="565">
        <f t="shared" si="187"/>
        <v>-27375569.605056088</v>
      </c>
      <c r="AH167" s="565">
        <f t="shared" si="187"/>
        <v>86010452.668252483</v>
      </c>
      <c r="AI167" s="565">
        <f t="shared" si="187"/>
        <v>-23742249.61803259</v>
      </c>
      <c r="AJ167" s="565">
        <f t="shared" si="187"/>
        <v>2060908.7244674142</v>
      </c>
      <c r="AK167" s="565">
        <f t="shared" si="187"/>
        <v>-37375569.605056092</v>
      </c>
      <c r="AL167" s="565">
        <f t="shared" si="187"/>
        <v>-954222.69606458559</v>
      </c>
      <c r="AM167" s="565">
        <f t="shared" si="187"/>
        <v>-26757381.038564589</v>
      </c>
      <c r="AN167" s="565">
        <f t="shared" si="187"/>
        <v>86747685.763752475</v>
      </c>
      <c r="AO167" s="565">
        <f t="shared" si="187"/>
        <v>-27375569.605056088</v>
      </c>
      <c r="AP167" s="565">
        <f t="shared" si="187"/>
        <v>-18647816.988064587</v>
      </c>
      <c r="AQ167" s="565">
        <f t="shared" si="187"/>
        <v>-26897559.143564589</v>
      </c>
      <c r="AR167" s="565">
        <f t="shared" si="187"/>
        <v>-954222.69606458559</v>
      </c>
      <c r="AS167" s="565">
        <f t="shared" si="187"/>
        <v>-84917693.647199303</v>
      </c>
      <c r="AT167" s="565">
        <f t="shared" si="187"/>
        <v>82779452.668252483</v>
      </c>
      <c r="AU167" s="565">
        <f t="shared" si="187"/>
        <v>-23742249.61803259</v>
      </c>
      <c r="AV167" s="565">
        <f t="shared" si="187"/>
        <v>2060908.7244674142</v>
      </c>
      <c r="AW167" s="565">
        <f t="shared" si="187"/>
        <v>-27375569.605056088</v>
      </c>
      <c r="AX167" s="565">
        <f t="shared" si="187"/>
        <v>-954222.69606458559</v>
      </c>
      <c r="AY167" s="565">
        <f t="shared" si="187"/>
        <v>-26757381.038564589</v>
      </c>
      <c r="AZ167" s="565">
        <f t="shared" si="187"/>
        <v>86747685.763752475</v>
      </c>
      <c r="BA167" s="565">
        <f t="shared" si="187"/>
        <v>-27375569.605056088</v>
      </c>
      <c r="BB167" s="565">
        <f t="shared" si="187"/>
        <v>-954222.69606458559</v>
      </c>
      <c r="BC167" s="565">
        <f t="shared" si="187"/>
        <v>-26757381.038564589</v>
      </c>
      <c r="BD167" s="565">
        <f t="shared" si="187"/>
        <v>-954222.69606458559</v>
      </c>
      <c r="BE167" s="565">
        <f t="shared" si="187"/>
        <v>-27375569.605056088</v>
      </c>
      <c r="BF167" s="565">
        <f t="shared" si="187"/>
        <v>94951809.907752484</v>
      </c>
      <c r="BG167" s="565">
        <f t="shared" si="187"/>
        <v>-26757381.038564589</v>
      </c>
      <c r="BH167" s="565">
        <f t="shared" si="187"/>
        <v>3964864.4444354149</v>
      </c>
      <c r="BI167" s="565">
        <f t="shared" si="187"/>
        <v>222794645.3969858</v>
      </c>
      <c r="BJ167" s="565">
        <f t="shared" si="187"/>
        <v>6583605.8552654143</v>
      </c>
      <c r="BK167" s="565">
        <f t="shared" si="187"/>
        <v>0</v>
      </c>
      <c r="BL167" s="565">
        <f t="shared" si="187"/>
        <v>0</v>
      </c>
      <c r="BM167" s="565">
        <f t="shared" si="187"/>
        <v>0</v>
      </c>
      <c r="BN167" s="565">
        <f t="shared" si="187"/>
        <v>0</v>
      </c>
      <c r="BO167" s="565">
        <f t="shared" si="187"/>
        <v>0</v>
      </c>
      <c r="BP167" s="565">
        <f t="shared" si="187"/>
        <v>0</v>
      </c>
      <c r="BQ167" s="1391"/>
      <c r="BR167" s="560"/>
      <c r="BS167" s="560"/>
    </row>
    <row r="168" spans="1:71" ht="19.5" customHeight="1">
      <c r="A168" s="38"/>
      <c r="B168" s="1370" t="s">
        <v>334</v>
      </c>
      <c r="C168" s="1156" t="s">
        <v>335</v>
      </c>
      <c r="D168" s="1156" t="s">
        <v>336</v>
      </c>
      <c r="E168" s="1156"/>
      <c r="F168" s="1156"/>
      <c r="G168" s="1380"/>
      <c r="H168" s="1277"/>
      <c r="I168" s="1381" t="s">
        <v>337</v>
      </c>
      <c r="J168" s="1371">
        <f>M168/M60</f>
        <v>0.49061137003766908</v>
      </c>
      <c r="K168" s="1277"/>
      <c r="L168" s="1277"/>
      <c r="M168" s="1363">
        <f>SUM(O168:BP168)</f>
        <v>460000000</v>
      </c>
      <c r="N168" s="38"/>
      <c r="O168" s="1372"/>
      <c r="P168" s="1372"/>
      <c r="Q168" s="1372"/>
      <c r="R168" s="1372"/>
      <c r="S168" s="1017">
        <v>460000000</v>
      </c>
      <c r="T168" s="1372"/>
      <c r="U168" s="1372"/>
      <c r="V168" s="1372"/>
      <c r="W168" s="1372"/>
      <c r="X168" s="1372"/>
      <c r="Y168" s="1372"/>
      <c r="Z168" s="1372"/>
      <c r="AA168" s="1372"/>
      <c r="AB168" s="1372"/>
      <c r="AC168" s="1372"/>
      <c r="AD168" s="1372"/>
      <c r="AE168" s="1372"/>
      <c r="AF168" s="1372"/>
      <c r="AG168" s="1372"/>
      <c r="AH168" s="1372"/>
      <c r="AI168" s="1372"/>
      <c r="AJ168" s="1372"/>
      <c r="AK168" s="1372"/>
      <c r="AL168" s="1372"/>
      <c r="AM168" s="1372"/>
      <c r="AN168" s="1372"/>
      <c r="AO168" s="1372"/>
      <c r="AP168" s="1372"/>
      <c r="AQ168" s="1372"/>
      <c r="AR168" s="1372"/>
      <c r="AS168" s="1372"/>
      <c r="AT168" s="1372"/>
      <c r="AU168" s="1372"/>
      <c r="AV168" s="1372"/>
      <c r="AW168" s="1372"/>
      <c r="AX168" s="1372"/>
      <c r="AY168" s="1372"/>
      <c r="AZ168" s="1372"/>
      <c r="BA168" s="1372"/>
      <c r="BB168" s="1372"/>
      <c r="BC168" s="1372"/>
      <c r="BD168" s="1372"/>
      <c r="BE168" s="1372"/>
      <c r="BF168" s="1372"/>
      <c r="BG168" s="1372"/>
      <c r="BH168" s="1372"/>
      <c r="BI168" s="1372"/>
      <c r="BJ168" s="1372"/>
      <c r="BK168" s="1372"/>
      <c r="BL168" s="1372"/>
      <c r="BM168" s="1372"/>
      <c r="BN168" s="1372"/>
      <c r="BO168" s="1372"/>
      <c r="BP168" s="1372"/>
      <c r="BQ168" s="1290"/>
      <c r="BR168" s="1277"/>
      <c r="BS168" s="1277"/>
    </row>
    <row r="169" spans="1:71" ht="19.5" customHeight="1">
      <c r="A169" s="38"/>
      <c r="B169" s="38"/>
      <c r="C169" s="1354"/>
      <c r="D169" s="1354" t="s">
        <v>338</v>
      </c>
      <c r="E169" s="1354"/>
      <c r="F169" s="1354"/>
      <c r="G169" s="1383"/>
      <c r="H169" s="1217" t="s">
        <v>339</v>
      </c>
      <c r="I169" s="1384" t="s">
        <v>340</v>
      </c>
      <c r="J169" s="1392">
        <v>0.5</v>
      </c>
      <c r="K169" s="1280"/>
      <c r="L169" s="1280"/>
      <c r="M169" s="1386">
        <f t="shared" si="185"/>
        <v>460000000</v>
      </c>
      <c r="N169" s="38"/>
      <c r="O169" s="1280"/>
      <c r="P169" s="1280"/>
      <c r="Q169" s="1280"/>
      <c r="R169" s="1280"/>
      <c r="S169" s="1280"/>
      <c r="T169" s="1387">
        <f>T60*$J$169</f>
        <v>7070400.2949999999</v>
      </c>
      <c r="U169" s="1387">
        <f t="shared" ref="U169:AV169" si="188">U60*$J$169</f>
        <v>0</v>
      </c>
      <c r="V169" s="1387">
        <f t="shared" si="188"/>
        <v>33859397.085220598</v>
      </c>
      <c r="W169" s="1387">
        <f t="shared" si="188"/>
        <v>3330519.048229313</v>
      </c>
      <c r="X169" s="1387">
        <f t="shared" si="188"/>
        <v>3330519.048229313</v>
      </c>
      <c r="Y169" s="1387">
        <f t="shared" si="188"/>
        <v>4138143.5358718131</v>
      </c>
      <c r="Z169" s="1387">
        <f t="shared" si="188"/>
        <v>807624.48764249997</v>
      </c>
      <c r="AA169" s="1387">
        <f t="shared" si="188"/>
        <v>0</v>
      </c>
      <c r="AB169" s="1387">
        <f t="shared" si="188"/>
        <v>43850954.229908533</v>
      </c>
      <c r="AC169" s="1387">
        <f t="shared" si="188"/>
        <v>0</v>
      </c>
      <c r="AD169" s="1387">
        <f t="shared" si="188"/>
        <v>0</v>
      </c>
      <c r="AE169" s="1387">
        <f t="shared" si="188"/>
        <v>0</v>
      </c>
      <c r="AF169" s="1387">
        <f t="shared" si="188"/>
        <v>0</v>
      </c>
      <c r="AG169" s="1387">
        <f t="shared" si="188"/>
        <v>0</v>
      </c>
      <c r="AH169" s="1387">
        <f t="shared" si="188"/>
        <v>43850954.229908533</v>
      </c>
      <c r="AI169" s="1387">
        <f t="shared" si="188"/>
        <v>1615248.9752849999</v>
      </c>
      <c r="AJ169" s="1387">
        <f t="shared" si="188"/>
        <v>1615248.9752849999</v>
      </c>
      <c r="AK169" s="1387">
        <f t="shared" si="188"/>
        <v>0</v>
      </c>
      <c r="AL169" s="1387">
        <f t="shared" si="188"/>
        <v>0</v>
      </c>
      <c r="AM169" s="1387">
        <f t="shared" si="188"/>
        <v>0</v>
      </c>
      <c r="AN169" s="1387">
        <f t="shared" si="188"/>
        <v>43850954.229908533</v>
      </c>
      <c r="AO169" s="1387">
        <f t="shared" si="188"/>
        <v>0</v>
      </c>
      <c r="AP169" s="1387">
        <f t="shared" si="188"/>
        <v>0</v>
      </c>
      <c r="AQ169" s="1387">
        <f t="shared" si="188"/>
        <v>0</v>
      </c>
      <c r="AR169" s="1387">
        <f t="shared" si="188"/>
        <v>0</v>
      </c>
      <c r="AS169" s="1387">
        <f t="shared" si="188"/>
        <v>0</v>
      </c>
      <c r="AT169" s="1387">
        <f t="shared" si="188"/>
        <v>43850954.229908533</v>
      </c>
      <c r="AU169" s="1387">
        <f t="shared" si="188"/>
        <v>1615248.9752849999</v>
      </c>
      <c r="AV169" s="1387">
        <f t="shared" si="188"/>
        <v>1615248.9752849999</v>
      </c>
      <c r="AW169" s="1387">
        <f t="shared" ref="AW169:BJ169" si="189">AW60*$J$169</f>
        <v>0</v>
      </c>
      <c r="AX169" s="1387">
        <f t="shared" si="189"/>
        <v>0</v>
      </c>
      <c r="AY169" s="1387">
        <f t="shared" si="189"/>
        <v>0</v>
      </c>
      <c r="AZ169" s="1387">
        <f t="shared" si="189"/>
        <v>43850954.229908533</v>
      </c>
      <c r="BA169" s="1387">
        <f t="shared" si="189"/>
        <v>0</v>
      </c>
      <c r="BB169" s="1387">
        <f t="shared" si="189"/>
        <v>0</v>
      </c>
      <c r="BC169" s="1387">
        <f t="shared" si="189"/>
        <v>0</v>
      </c>
      <c r="BD169" s="1387">
        <f t="shared" si="189"/>
        <v>0</v>
      </c>
      <c r="BE169" s="1387">
        <f t="shared" si="189"/>
        <v>0</v>
      </c>
      <c r="BF169" s="1387">
        <f t="shared" si="189"/>
        <v>48093194.406908534</v>
      </c>
      <c r="BG169" s="1387">
        <f t="shared" si="189"/>
        <v>0</v>
      </c>
      <c r="BH169" s="1387">
        <f t="shared" si="189"/>
        <v>2828160.1180000002</v>
      </c>
      <c r="BI169" s="1387">
        <f t="shared" si="189"/>
        <v>125045221.38032269</v>
      </c>
      <c r="BJ169" s="1387">
        <f t="shared" si="189"/>
        <v>4038122.4382125</v>
      </c>
      <c r="BK169" s="566">
        <f>SUM($O168:BK168)-SUM($P169:BJ169)</f>
        <v>1742931.1056801677</v>
      </c>
      <c r="BL169" s="1387"/>
      <c r="BM169" s="1387"/>
      <c r="BN169" s="1387"/>
      <c r="BO169" s="1387"/>
      <c r="BP169" s="1387"/>
      <c r="BQ169" s="1393"/>
      <c r="BR169" s="1280"/>
      <c r="BS169" s="1280"/>
    </row>
    <row r="170" spans="1:71" ht="19.5" customHeight="1">
      <c r="A170" s="38"/>
      <c r="B170" s="38"/>
      <c r="C170" s="1354"/>
      <c r="D170" s="1354" t="s">
        <v>341</v>
      </c>
      <c r="E170" s="1354"/>
      <c r="F170" s="1354"/>
      <c r="G170" s="1383"/>
      <c r="H170" s="1217"/>
      <c r="I170" s="1384"/>
      <c r="J170" s="1385"/>
      <c r="K170" s="1280"/>
      <c r="L170" s="1280"/>
      <c r="M170" s="1386">
        <f>MAX(O170:BP170)</f>
        <v>460000000</v>
      </c>
      <c r="N170" s="38"/>
      <c r="O170" s="1280"/>
      <c r="P170" s="1280"/>
      <c r="Q170" s="1280"/>
      <c r="R170" s="1280"/>
      <c r="S170" s="1280">
        <f>R170+S168-S169</f>
        <v>460000000</v>
      </c>
      <c r="T170" s="1280">
        <f>S170+T168-T169</f>
        <v>452929599.70499998</v>
      </c>
      <c r="U170" s="1280">
        <f t="shared" ref="U170:AT170" si="190">T170+U168-U169</f>
        <v>452929599.70499998</v>
      </c>
      <c r="V170" s="1280">
        <f t="shared" si="190"/>
        <v>419070202.61977941</v>
      </c>
      <c r="W170" s="1280">
        <f t="shared" si="190"/>
        <v>415739683.57155007</v>
      </c>
      <c r="X170" s="1280">
        <f t="shared" si="190"/>
        <v>412409164.52332073</v>
      </c>
      <c r="Y170" s="1280">
        <f t="shared" si="190"/>
        <v>408271020.98744893</v>
      </c>
      <c r="Z170" s="1280">
        <f t="shared" si="190"/>
        <v>407463396.4998064</v>
      </c>
      <c r="AA170" s="1280">
        <f t="shared" si="190"/>
        <v>407463396.4998064</v>
      </c>
      <c r="AB170" s="1280">
        <f t="shared" si="190"/>
        <v>363612442.26989788</v>
      </c>
      <c r="AC170" s="1280">
        <f t="shared" si="190"/>
        <v>363612442.26989788</v>
      </c>
      <c r="AD170" s="1280">
        <f t="shared" si="190"/>
        <v>363612442.26989788</v>
      </c>
      <c r="AE170" s="1280">
        <f t="shared" si="190"/>
        <v>363612442.26989788</v>
      </c>
      <c r="AF170" s="1280">
        <f t="shared" si="190"/>
        <v>363612442.26989788</v>
      </c>
      <c r="AG170" s="1280">
        <f t="shared" si="190"/>
        <v>363612442.26989788</v>
      </c>
      <c r="AH170" s="1280">
        <f t="shared" si="190"/>
        <v>319761488.03998935</v>
      </c>
      <c r="AI170" s="1280">
        <f t="shared" si="190"/>
        <v>318146239.06470436</v>
      </c>
      <c r="AJ170" s="1280">
        <f t="shared" si="190"/>
        <v>316530990.08941936</v>
      </c>
      <c r="AK170" s="1280">
        <f t="shared" si="190"/>
        <v>316530990.08941936</v>
      </c>
      <c r="AL170" s="1280">
        <f t="shared" si="190"/>
        <v>316530990.08941936</v>
      </c>
      <c r="AM170" s="1280">
        <f t="shared" si="190"/>
        <v>316530990.08941936</v>
      </c>
      <c r="AN170" s="1280">
        <f t="shared" si="190"/>
        <v>272680035.85951084</v>
      </c>
      <c r="AO170" s="1280">
        <f t="shared" si="190"/>
        <v>272680035.85951084</v>
      </c>
      <c r="AP170" s="1280">
        <f t="shared" si="190"/>
        <v>272680035.85951084</v>
      </c>
      <c r="AQ170" s="1280">
        <f t="shared" si="190"/>
        <v>272680035.85951084</v>
      </c>
      <c r="AR170" s="1280">
        <f t="shared" si="190"/>
        <v>272680035.85951084</v>
      </c>
      <c r="AS170" s="1280">
        <f t="shared" si="190"/>
        <v>272680035.85951084</v>
      </c>
      <c r="AT170" s="1280">
        <f t="shared" si="190"/>
        <v>228829081.62960231</v>
      </c>
      <c r="AU170" s="1280">
        <f>AT170+AU168-AU169</f>
        <v>227213832.65431732</v>
      </c>
      <c r="AV170" s="1280">
        <f t="shared" ref="AV170:BJ170" si="191">AU170+AV168-AV169</f>
        <v>225598583.67903233</v>
      </c>
      <c r="AW170" s="1280">
        <f t="shared" si="191"/>
        <v>225598583.67903233</v>
      </c>
      <c r="AX170" s="1280">
        <f t="shared" si="191"/>
        <v>225598583.67903233</v>
      </c>
      <c r="AY170" s="1280">
        <f t="shared" si="191"/>
        <v>225598583.67903233</v>
      </c>
      <c r="AZ170" s="1280">
        <f t="shared" si="191"/>
        <v>181747629.4491238</v>
      </c>
      <c r="BA170" s="1280">
        <f t="shared" si="191"/>
        <v>181747629.4491238</v>
      </c>
      <c r="BB170" s="1280">
        <f t="shared" si="191"/>
        <v>181747629.4491238</v>
      </c>
      <c r="BC170" s="1280">
        <f t="shared" si="191"/>
        <v>181747629.4491238</v>
      </c>
      <c r="BD170" s="1280">
        <f t="shared" si="191"/>
        <v>181747629.4491238</v>
      </c>
      <c r="BE170" s="1280">
        <f t="shared" si="191"/>
        <v>181747629.4491238</v>
      </c>
      <c r="BF170" s="1280">
        <f t="shared" si="191"/>
        <v>133654435.04221526</v>
      </c>
      <c r="BG170" s="1280">
        <f t="shared" si="191"/>
        <v>133654435.04221526</v>
      </c>
      <c r="BH170" s="1280">
        <f t="shared" si="191"/>
        <v>130826274.92421526</v>
      </c>
      <c r="BI170" s="1280">
        <f t="shared" si="191"/>
        <v>5781053.5438925624</v>
      </c>
      <c r="BJ170" s="1280">
        <f t="shared" si="191"/>
        <v>1742931.1056800624</v>
      </c>
      <c r="BK170" s="1280"/>
      <c r="BL170" s="1280"/>
      <c r="BM170" s="1280"/>
      <c r="BN170" s="1280"/>
      <c r="BO170" s="1280"/>
      <c r="BP170" s="1280"/>
      <c r="BQ170" s="1393"/>
      <c r="BR170" s="1280"/>
      <c r="BS170" s="1280"/>
    </row>
    <row r="171" spans="1:71" ht="19.5" customHeight="1">
      <c r="A171" s="38"/>
      <c r="B171" s="38"/>
      <c r="C171" s="1354"/>
      <c r="D171" s="1354" t="s">
        <v>342</v>
      </c>
      <c r="E171" s="1354"/>
      <c r="F171" s="1354"/>
      <c r="G171" s="1383"/>
      <c r="H171" s="1217"/>
      <c r="I171" s="1384" t="s">
        <v>325</v>
      </c>
      <c r="J171" s="1394">
        <v>6.5000000000000002E-2</v>
      </c>
      <c r="K171" s="1280"/>
      <c r="L171" s="1280"/>
      <c r="M171" s="1386">
        <f t="shared" ref="M171:M174" si="192">SUM(O171:BP171)</f>
        <v>67235159.201727524</v>
      </c>
      <c r="N171" s="38"/>
      <c r="O171" s="1280"/>
      <c r="P171" s="1280"/>
      <c r="Q171" s="1280"/>
      <c r="R171" s="1280"/>
      <c r="S171" s="1280">
        <f t="shared" ref="S171:BJ171" si="193">S170*($J$171/12)</f>
        <v>2491666.666666667</v>
      </c>
      <c r="T171" s="1280">
        <f t="shared" si="193"/>
        <v>2453368.6650687498</v>
      </c>
      <c r="U171" s="1280">
        <f t="shared" si="193"/>
        <v>2453368.6650687498</v>
      </c>
      <c r="V171" s="1280">
        <f t="shared" si="193"/>
        <v>2269963.5975238052</v>
      </c>
      <c r="W171" s="1280">
        <f t="shared" si="193"/>
        <v>2251923.2860125629</v>
      </c>
      <c r="X171" s="1280">
        <f t="shared" si="193"/>
        <v>2233882.9745013206</v>
      </c>
      <c r="Y171" s="1280">
        <f t="shared" si="193"/>
        <v>2211468.0303486818</v>
      </c>
      <c r="Z171" s="1280">
        <f t="shared" si="193"/>
        <v>2207093.3977072849</v>
      </c>
      <c r="AA171" s="1280">
        <f t="shared" si="193"/>
        <v>2207093.3977072849</v>
      </c>
      <c r="AB171" s="1280">
        <f t="shared" si="193"/>
        <v>1969567.3956286137</v>
      </c>
      <c r="AC171" s="1280">
        <f t="shared" si="193"/>
        <v>1969567.3956286137</v>
      </c>
      <c r="AD171" s="1280">
        <f t="shared" si="193"/>
        <v>1969567.3956286137</v>
      </c>
      <c r="AE171" s="1280">
        <f t="shared" si="193"/>
        <v>1969567.3956286137</v>
      </c>
      <c r="AF171" s="1280">
        <f t="shared" si="193"/>
        <v>1969567.3956286137</v>
      </c>
      <c r="AG171" s="1280">
        <f t="shared" si="193"/>
        <v>1969567.3956286137</v>
      </c>
      <c r="AH171" s="1280">
        <f t="shared" si="193"/>
        <v>1732041.3935499424</v>
      </c>
      <c r="AI171" s="1280">
        <f t="shared" si="193"/>
        <v>1723292.1282671487</v>
      </c>
      <c r="AJ171" s="1280">
        <f t="shared" si="193"/>
        <v>1714542.8629843548</v>
      </c>
      <c r="AK171" s="1280">
        <f t="shared" si="193"/>
        <v>1714542.8629843548</v>
      </c>
      <c r="AL171" s="1280">
        <f t="shared" si="193"/>
        <v>1714542.8629843548</v>
      </c>
      <c r="AM171" s="1280">
        <f t="shared" si="193"/>
        <v>1714542.8629843548</v>
      </c>
      <c r="AN171" s="1280">
        <f t="shared" si="193"/>
        <v>1477016.8609056838</v>
      </c>
      <c r="AO171" s="1280">
        <f t="shared" si="193"/>
        <v>1477016.8609056838</v>
      </c>
      <c r="AP171" s="1280">
        <f t="shared" si="193"/>
        <v>1477016.8609056838</v>
      </c>
      <c r="AQ171" s="1280">
        <f t="shared" si="193"/>
        <v>1477016.8609056838</v>
      </c>
      <c r="AR171" s="1280">
        <f t="shared" si="193"/>
        <v>1477016.8609056838</v>
      </c>
      <c r="AS171" s="1280">
        <f t="shared" si="193"/>
        <v>1477016.8609056838</v>
      </c>
      <c r="AT171" s="1280">
        <f t="shared" si="193"/>
        <v>1239490.8588270126</v>
      </c>
      <c r="AU171" s="1280">
        <f t="shared" si="193"/>
        <v>1230741.5935442189</v>
      </c>
      <c r="AV171" s="1280">
        <f t="shared" si="193"/>
        <v>1221992.3282614253</v>
      </c>
      <c r="AW171" s="1280">
        <f t="shared" si="193"/>
        <v>1221992.3282614253</v>
      </c>
      <c r="AX171" s="1280">
        <f t="shared" si="193"/>
        <v>1221992.3282614253</v>
      </c>
      <c r="AY171" s="1280">
        <f t="shared" si="193"/>
        <v>1221992.3282614253</v>
      </c>
      <c r="AZ171" s="1280">
        <f t="shared" si="193"/>
        <v>984466.3261827539</v>
      </c>
      <c r="BA171" s="1280">
        <f t="shared" si="193"/>
        <v>984466.3261827539</v>
      </c>
      <c r="BB171" s="1280">
        <f t="shared" si="193"/>
        <v>984466.3261827539</v>
      </c>
      <c r="BC171" s="1280">
        <f t="shared" si="193"/>
        <v>984466.3261827539</v>
      </c>
      <c r="BD171" s="1280">
        <f t="shared" si="193"/>
        <v>984466.3261827539</v>
      </c>
      <c r="BE171" s="1280">
        <f t="shared" si="193"/>
        <v>984466.3261827539</v>
      </c>
      <c r="BF171" s="1280">
        <f t="shared" si="193"/>
        <v>723961.5231453327</v>
      </c>
      <c r="BG171" s="1280">
        <f t="shared" si="193"/>
        <v>723961.5231453327</v>
      </c>
      <c r="BH171" s="1280">
        <f t="shared" si="193"/>
        <v>708642.32250616595</v>
      </c>
      <c r="BI171" s="1280">
        <f t="shared" si="193"/>
        <v>31314.040029418047</v>
      </c>
      <c r="BJ171" s="1280">
        <f t="shared" si="193"/>
        <v>9440.8768224336727</v>
      </c>
      <c r="BK171" s="1280"/>
      <c r="BL171" s="1280"/>
      <c r="BM171" s="1280"/>
      <c r="BN171" s="1280"/>
      <c r="BO171" s="1280"/>
      <c r="BP171" s="1280"/>
      <c r="BQ171" s="1393"/>
      <c r="BR171" s="1280"/>
      <c r="BS171" s="1280"/>
    </row>
    <row r="172" spans="1:71" ht="19.5" customHeight="1">
      <c r="A172" s="38"/>
      <c r="B172" s="38"/>
      <c r="C172" s="1174"/>
      <c r="D172" s="1174" t="s">
        <v>343</v>
      </c>
      <c r="E172" s="1174"/>
      <c r="F172" s="1174"/>
      <c r="G172" s="1383" t="s">
        <v>344</v>
      </c>
      <c r="H172" s="1221">
        <f>S168</f>
        <v>460000000</v>
      </c>
      <c r="I172" s="1324" t="s">
        <v>329</v>
      </c>
      <c r="J172" s="1394">
        <v>0.01</v>
      </c>
      <c r="K172" s="1324" t="s">
        <v>330</v>
      </c>
      <c r="L172" s="1217"/>
      <c r="M172" s="1386">
        <f t="shared" si="192"/>
        <v>4600000</v>
      </c>
      <c r="N172" s="38"/>
      <c r="O172" s="1217"/>
      <c r="P172" s="1217"/>
      <c r="Q172" s="1217"/>
      <c r="R172" s="1217"/>
      <c r="S172" s="1217">
        <f>$H$172*$J$172</f>
        <v>4600000</v>
      </c>
      <c r="T172" s="1217"/>
      <c r="U172" s="1217"/>
      <c r="V172" s="1217"/>
      <c r="W172" s="1217"/>
      <c r="X172" s="1217"/>
      <c r="Y172" s="1217"/>
      <c r="Z172" s="1217"/>
      <c r="AA172" s="1217"/>
      <c r="AB172" s="1217"/>
      <c r="AC172" s="1217"/>
      <c r="AD172" s="1217"/>
      <c r="AE172" s="1217"/>
      <c r="AF172" s="1217"/>
      <c r="AG172" s="1217"/>
      <c r="AH172" s="1217"/>
      <c r="AI172" s="1217"/>
      <c r="AJ172" s="1217"/>
      <c r="AK172" s="1217"/>
      <c r="AL172" s="1217"/>
      <c r="AM172" s="1217"/>
      <c r="AN172" s="1217"/>
      <c r="AO172" s="1217"/>
      <c r="AP172" s="1217"/>
      <c r="AQ172" s="1217"/>
      <c r="AR172" s="1217"/>
      <c r="AS172" s="1217"/>
      <c r="AT172" s="1217"/>
      <c r="AU172" s="1217"/>
      <c r="AV172" s="1217"/>
      <c r="AW172" s="1217"/>
      <c r="AX172" s="1217"/>
      <c r="AY172" s="1217"/>
      <c r="AZ172" s="1217"/>
      <c r="BA172" s="1217"/>
      <c r="BB172" s="1217"/>
      <c r="BC172" s="1217"/>
      <c r="BD172" s="1217"/>
      <c r="BE172" s="1217"/>
      <c r="BF172" s="1217"/>
      <c r="BG172" s="1217"/>
      <c r="BH172" s="1217"/>
      <c r="BI172" s="1217"/>
      <c r="BJ172" s="1217"/>
      <c r="BK172" s="1217"/>
      <c r="BL172" s="1217"/>
      <c r="BM172" s="1217"/>
      <c r="BN172" s="1217"/>
      <c r="BO172" s="1217"/>
      <c r="BP172" s="1217"/>
      <c r="BQ172" s="1214"/>
      <c r="BR172" s="1217"/>
      <c r="BS172" s="1217"/>
    </row>
    <row r="173" spans="1:71" ht="19.5" customHeight="1">
      <c r="A173" s="38"/>
      <c r="B173" s="38"/>
      <c r="C173" s="550"/>
      <c r="D173" s="550" t="s">
        <v>300</v>
      </c>
      <c r="E173" s="550"/>
      <c r="F173" s="550"/>
      <c r="G173" s="550"/>
      <c r="H173" s="567"/>
      <c r="I173" s="551" t="s">
        <v>345</v>
      </c>
      <c r="J173" s="557">
        <v>5.0000000000000001E-3</v>
      </c>
      <c r="K173" s="568" t="s">
        <v>330</v>
      </c>
      <c r="L173" s="390"/>
      <c r="M173" s="1367">
        <f t="shared" si="192"/>
        <v>2300000</v>
      </c>
      <c r="N173" s="38"/>
      <c r="O173" s="390"/>
      <c r="P173" s="390"/>
      <c r="Q173" s="390"/>
      <c r="R173" s="390"/>
      <c r="S173" s="390">
        <f>$M$168*$J173</f>
        <v>2300000</v>
      </c>
      <c r="T173" s="390"/>
      <c r="U173" s="390"/>
      <c r="V173" s="390"/>
      <c r="W173" s="390"/>
      <c r="X173" s="390"/>
      <c r="Y173" s="390"/>
      <c r="Z173" s="390"/>
      <c r="AA173" s="390"/>
      <c r="AB173" s="390"/>
      <c r="AC173" s="390"/>
      <c r="AD173" s="390"/>
      <c r="AE173" s="390"/>
      <c r="AF173" s="390"/>
      <c r="AG173" s="390"/>
      <c r="AH173" s="390"/>
      <c r="AI173" s="390"/>
      <c r="AJ173" s="390"/>
      <c r="AK173" s="390"/>
      <c r="AL173" s="390"/>
      <c r="AM173" s="390"/>
      <c r="AN173" s="390"/>
      <c r="AO173" s="390"/>
      <c r="AP173" s="390"/>
      <c r="AQ173" s="390"/>
      <c r="AR173" s="390"/>
      <c r="AS173" s="390"/>
      <c r="AT173" s="390"/>
      <c r="AU173" s="390"/>
      <c r="AV173" s="390"/>
      <c r="AW173" s="390"/>
      <c r="AX173" s="390"/>
      <c r="AY173" s="390"/>
      <c r="AZ173" s="390"/>
      <c r="BA173" s="390"/>
      <c r="BB173" s="390"/>
      <c r="BC173" s="390"/>
      <c r="BD173" s="390"/>
      <c r="BE173" s="390"/>
      <c r="BF173" s="390"/>
      <c r="BG173" s="390"/>
      <c r="BH173" s="390"/>
      <c r="BI173" s="390"/>
      <c r="BJ173" s="390"/>
      <c r="BK173" s="390"/>
      <c r="BL173" s="390"/>
      <c r="BM173" s="390"/>
      <c r="BN173" s="390"/>
      <c r="BO173" s="390"/>
      <c r="BP173" s="390"/>
      <c r="BQ173" s="1230"/>
      <c r="BR173" s="390"/>
      <c r="BS173" s="390"/>
    </row>
    <row r="174" spans="1:71" ht="19.5" customHeight="1">
      <c r="A174" s="38"/>
      <c r="B174" s="569"/>
      <c r="C174" s="570" t="s">
        <v>346</v>
      </c>
      <c r="D174" s="570"/>
      <c r="E174" s="570"/>
      <c r="F174" s="570"/>
      <c r="G174" s="570"/>
      <c r="H174" s="571"/>
      <c r="I174" s="572"/>
      <c r="J174" s="562" t="s">
        <v>333</v>
      </c>
      <c r="K174" s="563" t="str">
        <f>IF(ROUND((M172+M173+M171)-(M167-M174),0)=0,"OK","False")</f>
        <v>OK</v>
      </c>
      <c r="L174" s="573">
        <f>M167-M174</f>
        <v>74135159.201727435</v>
      </c>
      <c r="M174" s="564">
        <f t="shared" si="192"/>
        <v>121164848.38291179</v>
      </c>
      <c r="N174" s="38"/>
      <c r="O174" s="574"/>
      <c r="P174" s="574">
        <f t="shared" ref="P174:BP174" si="194">P167+P168-P169-P171-P172-P173</f>
        <v>19432753.03035583</v>
      </c>
      <c r="Q174" s="574">
        <f t="shared" si="194"/>
        <v>-119280.19675</v>
      </c>
      <c r="R174" s="574">
        <f t="shared" si="194"/>
        <v>-2506112.3573750001</v>
      </c>
      <c r="S174" s="574">
        <f>S167+S168-S169-S171-S172-S173</f>
        <v>443694284.32903075</v>
      </c>
      <c r="T174" s="574">
        <f t="shared" si="194"/>
        <v>-8243986.6398833357</v>
      </c>
      <c r="U174" s="574">
        <f t="shared" si="194"/>
        <v>-20435085.055888224</v>
      </c>
      <c r="V174" s="574">
        <f t="shared" si="194"/>
        <v>-4539141.345867794</v>
      </c>
      <c r="W174" s="574">
        <f t="shared" si="194"/>
        <v>-26492785.276347842</v>
      </c>
      <c r="X174" s="574">
        <f t="shared" si="194"/>
        <v>-671586.62233659346</v>
      </c>
      <c r="Y174" s="574">
        <f t="shared" si="194"/>
        <v>-26370577.364551954</v>
      </c>
      <c r="Z174" s="574">
        <f t="shared" si="194"/>
        <v>-2631374.8711483707</v>
      </c>
      <c r="AA174" s="574">
        <f t="shared" si="194"/>
        <v>-29134474.436271872</v>
      </c>
      <c r="AB174" s="574">
        <f t="shared" si="194"/>
        <v>35343120.270015337</v>
      </c>
      <c r="AC174" s="574">
        <f t="shared" si="194"/>
        <v>-29515137.000684701</v>
      </c>
      <c r="AD174" s="574">
        <f t="shared" si="194"/>
        <v>-5305489.3781931996</v>
      </c>
      <c r="AE174" s="574">
        <f t="shared" si="194"/>
        <v>-28896948.434193201</v>
      </c>
      <c r="AF174" s="574">
        <f t="shared" si="194"/>
        <v>-2923790.0916931992</v>
      </c>
      <c r="AG174" s="574">
        <f t="shared" si="194"/>
        <v>-29345137.000684701</v>
      </c>
      <c r="AH174" s="574">
        <f t="shared" si="194"/>
        <v>40427457.044794008</v>
      </c>
      <c r="AI174" s="574">
        <f t="shared" si="194"/>
        <v>-27080790.721584741</v>
      </c>
      <c r="AJ174" s="574">
        <f t="shared" si="194"/>
        <v>-1268883.1138019406</v>
      </c>
      <c r="AK174" s="574">
        <f t="shared" si="194"/>
        <v>-39090112.468040444</v>
      </c>
      <c r="AL174" s="574">
        <f t="shared" si="194"/>
        <v>-2668765.5590489404</v>
      </c>
      <c r="AM174" s="574">
        <f t="shared" si="194"/>
        <v>-28471923.901548944</v>
      </c>
      <c r="AN174" s="574">
        <f t="shared" si="194"/>
        <v>41419714.672938257</v>
      </c>
      <c r="AO174" s="574">
        <f t="shared" si="194"/>
        <v>-28852586.465961773</v>
      </c>
      <c r="AP174" s="574">
        <f t="shared" si="194"/>
        <v>-20124833.848970272</v>
      </c>
      <c r="AQ174" s="574">
        <f t="shared" si="194"/>
        <v>-28374576.004470274</v>
      </c>
      <c r="AR174" s="574">
        <f t="shared" si="194"/>
        <v>-2431239.5569702694</v>
      </c>
      <c r="AS174" s="574">
        <f t="shared" si="194"/>
        <v>-86394710.50810498</v>
      </c>
      <c r="AT174" s="574">
        <f t="shared" si="194"/>
        <v>37689007.57951694</v>
      </c>
      <c r="AU174" s="574">
        <f>AU167+AU168-AU169-AU171-AU172-AU173</f>
        <v>-26588240.186861809</v>
      </c>
      <c r="AV174" s="574">
        <f t="shared" si="194"/>
        <v>-776332.57907901099</v>
      </c>
      <c r="AW174" s="574">
        <f t="shared" si="194"/>
        <v>-28597561.933317512</v>
      </c>
      <c r="AX174" s="574">
        <f t="shared" si="194"/>
        <v>-2176215.0243260106</v>
      </c>
      <c r="AY174" s="574">
        <f t="shared" si="194"/>
        <v>-27979373.366826013</v>
      </c>
      <c r="AZ174" s="574">
        <f t="shared" si="194"/>
        <v>41912265.207661189</v>
      </c>
      <c r="BA174" s="574">
        <f t="shared" si="194"/>
        <v>-28360035.931238841</v>
      </c>
      <c r="BB174" s="574">
        <f t="shared" si="194"/>
        <v>-1938689.0222473396</v>
      </c>
      <c r="BC174" s="574">
        <f t="shared" si="194"/>
        <v>-27741847.364747342</v>
      </c>
      <c r="BD174" s="574">
        <f t="shared" si="194"/>
        <v>-1938689.0222473396</v>
      </c>
      <c r="BE174" s="574">
        <f t="shared" si="194"/>
        <v>-28360035.931238841</v>
      </c>
      <c r="BF174" s="574">
        <f t="shared" si="194"/>
        <v>46134653.977698617</v>
      </c>
      <c r="BG174" s="574">
        <f t="shared" si="194"/>
        <v>-27481342.561709922</v>
      </c>
      <c r="BH174" s="574">
        <f t="shared" si="194"/>
        <v>428062.00392924866</v>
      </c>
      <c r="BI174" s="574">
        <f>BI167+BI168-BI169-BI171-BI172-BI173</f>
        <v>97718109.976633683</v>
      </c>
      <c r="BJ174" s="574">
        <f t="shared" si="194"/>
        <v>2536042.5402304805</v>
      </c>
      <c r="BK174" s="574">
        <f>BK167+BK168-BK169-BK171-BK172-BK173</f>
        <v>-1742931.1056801677</v>
      </c>
      <c r="BL174" s="574">
        <f t="shared" si="194"/>
        <v>0</v>
      </c>
      <c r="BM174" s="574">
        <f t="shared" si="194"/>
        <v>0</v>
      </c>
      <c r="BN174" s="574">
        <f t="shared" si="194"/>
        <v>0</v>
      </c>
      <c r="BO174" s="574">
        <f t="shared" si="194"/>
        <v>0</v>
      </c>
      <c r="BP174" s="574">
        <f t="shared" si="194"/>
        <v>0</v>
      </c>
      <c r="BQ174" s="575"/>
      <c r="BR174" s="573"/>
      <c r="BS174" s="573"/>
    </row>
    <row r="175" spans="1:71" ht="19.5" customHeight="1" thickBot="1">
      <c r="A175" s="38"/>
      <c r="B175" s="576" t="s">
        <v>347</v>
      </c>
      <c r="C175" s="576"/>
      <c r="D175" s="576"/>
      <c r="E175" s="576"/>
      <c r="F175" s="576"/>
      <c r="G175" s="576"/>
      <c r="H175" s="576"/>
      <c r="I175" s="577"/>
      <c r="J175" s="576"/>
      <c r="K175" s="578"/>
      <c r="L175" s="578"/>
      <c r="M175" s="579"/>
      <c r="N175" s="38"/>
      <c r="O175" s="580"/>
      <c r="P175" s="580">
        <f>P174</f>
        <v>19432753.03035583</v>
      </c>
      <c r="Q175" s="580">
        <f t="shared" ref="Q175:BK175" si="195">P175+Q174</f>
        <v>19313472.83360583</v>
      </c>
      <c r="R175" s="580">
        <f t="shared" si="195"/>
        <v>16807360.47623083</v>
      </c>
      <c r="S175" s="580">
        <f t="shared" si="195"/>
        <v>460501644.80526161</v>
      </c>
      <c r="T175" s="580">
        <f t="shared" si="195"/>
        <v>452257658.16537827</v>
      </c>
      <c r="U175" s="580">
        <f t="shared" si="195"/>
        <v>431822573.10949004</v>
      </c>
      <c r="V175" s="580">
        <f t="shared" si="195"/>
        <v>427283431.76362222</v>
      </c>
      <c r="W175" s="580">
        <f t="shared" si="195"/>
        <v>400790646.48727441</v>
      </c>
      <c r="X175" s="580">
        <f t="shared" si="195"/>
        <v>400119059.86493784</v>
      </c>
      <c r="Y175" s="580">
        <f t="shared" si="195"/>
        <v>373748482.50038588</v>
      </c>
      <c r="Z175" s="580">
        <f t="shared" si="195"/>
        <v>371117107.62923753</v>
      </c>
      <c r="AA175" s="580">
        <f t="shared" si="195"/>
        <v>341982633.19296569</v>
      </c>
      <c r="AB175" s="580">
        <f t="shared" si="195"/>
        <v>377325753.46298105</v>
      </c>
      <c r="AC175" s="580">
        <f t="shared" si="195"/>
        <v>347810616.46229637</v>
      </c>
      <c r="AD175" s="580">
        <f t="shared" si="195"/>
        <v>342505127.08410317</v>
      </c>
      <c r="AE175" s="580">
        <f t="shared" si="195"/>
        <v>313608178.64990997</v>
      </c>
      <c r="AF175" s="580">
        <f t="shared" si="195"/>
        <v>310684388.55821675</v>
      </c>
      <c r="AG175" s="580">
        <f t="shared" si="195"/>
        <v>281339251.55753207</v>
      </c>
      <c r="AH175" s="580">
        <f t="shared" si="195"/>
        <v>321766708.6023261</v>
      </c>
      <c r="AI175" s="580">
        <f t="shared" si="195"/>
        <v>294685917.88074136</v>
      </c>
      <c r="AJ175" s="580">
        <f t="shared" si="195"/>
        <v>293417034.7669394</v>
      </c>
      <c r="AK175" s="580">
        <f t="shared" si="195"/>
        <v>254326922.29889897</v>
      </c>
      <c r="AL175" s="580">
        <f t="shared" si="195"/>
        <v>251658156.73985001</v>
      </c>
      <c r="AM175" s="580">
        <f t="shared" si="195"/>
        <v>223186232.83830106</v>
      </c>
      <c r="AN175" s="580">
        <f t="shared" si="195"/>
        <v>264605947.51123932</v>
      </c>
      <c r="AO175" s="580">
        <f t="shared" si="195"/>
        <v>235753361.04527754</v>
      </c>
      <c r="AP175" s="580">
        <f t="shared" si="195"/>
        <v>215628527.19630727</v>
      </c>
      <c r="AQ175" s="580">
        <f t="shared" si="195"/>
        <v>187253951.19183701</v>
      </c>
      <c r="AR175" s="580">
        <f t="shared" si="195"/>
        <v>184822711.63486674</v>
      </c>
      <c r="AS175" s="580">
        <f t="shared" si="195"/>
        <v>98428001.126761764</v>
      </c>
      <c r="AT175" s="580">
        <f t="shared" si="195"/>
        <v>136117008.70627871</v>
      </c>
      <c r="AU175" s="580">
        <f t="shared" si="195"/>
        <v>109528768.5194169</v>
      </c>
      <c r="AV175" s="580">
        <f t="shared" si="195"/>
        <v>108752435.94033788</v>
      </c>
      <c r="AW175" s="580">
        <f t="shared" si="195"/>
        <v>80154874.007020369</v>
      </c>
      <c r="AX175" s="580">
        <f t="shared" si="195"/>
        <v>77978658.982694358</v>
      </c>
      <c r="AY175" s="580">
        <f t="shared" si="195"/>
        <v>49999285.615868345</v>
      </c>
      <c r="AZ175" s="580">
        <f t="shared" si="195"/>
        <v>91911550.823529541</v>
      </c>
      <c r="BA175" s="580">
        <f t="shared" si="195"/>
        <v>63551514.892290697</v>
      </c>
      <c r="BB175" s="580">
        <f t="shared" si="195"/>
        <v>61612825.87004336</v>
      </c>
      <c r="BC175" s="580">
        <f t="shared" si="195"/>
        <v>33870978.505296022</v>
      </c>
      <c r="BD175" s="580">
        <f t="shared" si="195"/>
        <v>31932289.483048681</v>
      </c>
      <c r="BE175" s="580">
        <f t="shared" si="195"/>
        <v>3572253.5518098399</v>
      </c>
      <c r="BF175" s="580">
        <f t="shared" si="195"/>
        <v>49706907.529508457</v>
      </c>
      <c r="BG175" s="580">
        <f t="shared" si="195"/>
        <v>22225564.967798535</v>
      </c>
      <c r="BH175" s="580">
        <f t="shared" si="195"/>
        <v>22653626.971727785</v>
      </c>
      <c r="BI175" s="580">
        <f t="shared" si="195"/>
        <v>120371736.94836147</v>
      </c>
      <c r="BJ175" s="580">
        <f t="shared" si="195"/>
        <v>122907779.48859195</v>
      </c>
      <c r="BK175" s="580">
        <f t="shared" si="195"/>
        <v>121164848.38291179</v>
      </c>
      <c r="BL175" s="580"/>
      <c r="BM175" s="580"/>
      <c r="BN175" s="580"/>
      <c r="BO175" s="580"/>
      <c r="BP175" s="580"/>
      <c r="BQ175" s="581"/>
      <c r="BR175" s="578"/>
      <c r="BS175" s="578"/>
    </row>
    <row r="176" spans="1:71" ht="19.5" customHeight="1">
      <c r="A176" s="38"/>
      <c r="B176" s="38"/>
      <c r="C176" s="38"/>
      <c r="D176" s="38"/>
      <c r="E176" s="293"/>
      <c r="F176" s="546"/>
      <c r="G176" s="38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89"/>
      <c r="X176" s="293"/>
      <c r="Y176" s="293"/>
      <c r="Z176" s="293"/>
      <c r="AA176" s="293"/>
      <c r="AB176" s="293"/>
      <c r="AC176" s="293"/>
      <c r="AD176" s="293"/>
      <c r="AE176" s="293"/>
      <c r="AF176" s="293"/>
      <c r="AG176" s="293"/>
      <c r="AH176" s="293"/>
      <c r="AI176" s="293"/>
      <c r="AJ176" s="293"/>
      <c r="AK176" s="293"/>
      <c r="AL176" s="293"/>
      <c r="AM176" s="293"/>
      <c r="AN176" s="293"/>
      <c r="AO176" s="293"/>
      <c r="AP176" s="293"/>
      <c r="AQ176" s="293"/>
      <c r="AR176" s="293"/>
      <c r="AS176" s="293"/>
      <c r="AT176" s="293"/>
      <c r="AU176" s="293"/>
      <c r="AV176" s="293"/>
      <c r="AW176" s="293"/>
      <c r="AX176" s="293"/>
      <c r="AY176" s="293"/>
      <c r="AZ176" s="293"/>
      <c r="BA176" s="293"/>
      <c r="BB176" s="293"/>
      <c r="BC176" s="293"/>
      <c r="BD176" s="293"/>
      <c r="BE176" s="293"/>
      <c r="BF176" s="293"/>
      <c r="BG176" s="293"/>
      <c r="BH176" s="293"/>
      <c r="BI176" s="293"/>
      <c r="BJ176" s="293"/>
      <c r="BK176" s="293"/>
      <c r="BL176" s="293"/>
      <c r="BM176" s="293"/>
      <c r="BN176" s="293"/>
      <c r="BO176" s="293"/>
      <c r="BP176" s="293"/>
      <c r="BQ176" s="38"/>
      <c r="BR176" s="38"/>
      <c r="BS176" s="38"/>
    </row>
    <row r="177" spans="1:71" ht="19.5" customHeight="1">
      <c r="A177" s="38"/>
      <c r="B177" s="38"/>
      <c r="C177" s="38"/>
      <c r="D177" s="38"/>
      <c r="E177" s="293"/>
      <c r="F177" s="582"/>
      <c r="G177" s="1395"/>
      <c r="H177" s="583" t="s">
        <v>348</v>
      </c>
      <c r="I177" s="583" t="s">
        <v>349</v>
      </c>
      <c r="J177" s="583" t="s">
        <v>350</v>
      </c>
      <c r="K177" s="583" t="s">
        <v>351</v>
      </c>
      <c r="L177" s="583" t="s">
        <v>352</v>
      </c>
      <c r="M177" s="583" t="s">
        <v>353</v>
      </c>
      <c r="N177" s="293"/>
      <c r="O177" s="293"/>
      <c r="P177" s="293"/>
      <c r="Q177" s="293"/>
      <c r="R177" s="293"/>
      <c r="S177" s="293"/>
      <c r="T177" s="293"/>
      <c r="U177" s="293"/>
      <c r="V177" s="293"/>
      <c r="W177" s="289"/>
      <c r="X177" s="293"/>
      <c r="Y177" s="293"/>
      <c r="Z177" s="293"/>
      <c r="AA177" s="293"/>
      <c r="AB177" s="293"/>
      <c r="AC177" s="293"/>
      <c r="AD177" s="293"/>
      <c r="AE177" s="293"/>
      <c r="AF177" s="293"/>
      <c r="AG177" s="293"/>
      <c r="AH177" s="293"/>
      <c r="AI177" s="293"/>
      <c r="AJ177" s="293"/>
      <c r="AK177" s="293"/>
      <c r="AL177" s="293"/>
      <c r="AM177" s="293"/>
      <c r="AN177" s="293"/>
      <c r="AO177" s="293"/>
      <c r="AP177" s="293"/>
      <c r="AQ177" s="293"/>
      <c r="AR177" s="293"/>
      <c r="AS177" s="293"/>
      <c r="AT177" s="293"/>
      <c r="AU177" s="293"/>
      <c r="AV177" s="293"/>
      <c r="AW177" s="293"/>
      <c r="AX177" s="293"/>
      <c r="AY177" s="293"/>
      <c r="AZ177" s="293"/>
      <c r="BA177" s="293"/>
      <c r="BB177" s="293"/>
      <c r="BC177" s="293"/>
      <c r="BD177" s="293"/>
      <c r="BE177" s="293"/>
      <c r="BF177" s="293"/>
      <c r="BG177" s="293"/>
      <c r="BH177" s="293"/>
      <c r="BI177" s="293"/>
      <c r="BJ177" s="293"/>
      <c r="BK177" s="293"/>
      <c r="BL177" s="293"/>
      <c r="BM177" s="293"/>
      <c r="BN177" s="293"/>
      <c r="BO177" s="293"/>
      <c r="BP177" s="293"/>
      <c r="BQ177" s="38"/>
      <c r="BR177" s="38"/>
      <c r="BS177" s="38"/>
    </row>
    <row r="178" spans="1:71" ht="19.5" customHeight="1">
      <c r="A178" s="38"/>
      <c r="B178" s="38"/>
      <c r="C178" s="38"/>
      <c r="D178" s="38"/>
      <c r="E178" s="293"/>
      <c r="F178" s="1396"/>
      <c r="G178" s="584"/>
      <c r="H178" s="585">
        <v>45383</v>
      </c>
      <c r="I178" s="585"/>
      <c r="J178" s="585"/>
      <c r="K178" s="585">
        <f>H178+(5+L12+3)*30.5</f>
        <v>46847</v>
      </c>
      <c r="L178" s="585"/>
      <c r="M178" s="585"/>
      <c r="N178" s="293"/>
      <c r="O178" s="293"/>
      <c r="P178" s="293"/>
      <c r="Q178" s="293"/>
      <c r="R178" s="293"/>
      <c r="S178" s="293"/>
      <c r="T178" s="293"/>
      <c r="U178" s="293"/>
      <c r="V178" s="293"/>
      <c r="W178" s="289"/>
      <c r="X178" s="293"/>
      <c r="Y178" s="293"/>
      <c r="Z178" s="293"/>
      <c r="AA178" s="293"/>
      <c r="AB178" s="293"/>
      <c r="AC178" s="293"/>
      <c r="AD178" s="293"/>
      <c r="AE178" s="293"/>
      <c r="AF178" s="293"/>
      <c r="AG178" s="293"/>
      <c r="AH178" s="293"/>
      <c r="AI178" s="293"/>
      <c r="AJ178" s="293"/>
      <c r="AK178" s="293"/>
      <c r="AL178" s="293"/>
      <c r="AM178" s="293"/>
      <c r="AN178" s="293"/>
      <c r="AO178" s="293"/>
      <c r="AP178" s="293"/>
      <c r="AQ178" s="293"/>
      <c r="AR178" s="293"/>
      <c r="AS178" s="293"/>
      <c r="AT178" s="293"/>
      <c r="AU178" s="293"/>
      <c r="AV178" s="293"/>
      <c r="AW178" s="293"/>
      <c r="AX178" s="293"/>
      <c r="AY178" s="293"/>
      <c r="AZ178" s="293"/>
      <c r="BA178" s="293"/>
      <c r="BB178" s="293"/>
      <c r="BC178" s="293"/>
      <c r="BD178" s="293"/>
      <c r="BE178" s="293"/>
      <c r="BF178" s="293"/>
      <c r="BG178" s="293"/>
      <c r="BH178" s="293"/>
      <c r="BI178" s="293"/>
      <c r="BJ178" s="293"/>
      <c r="BK178" s="293"/>
      <c r="BL178" s="293"/>
      <c r="BM178" s="293"/>
      <c r="BN178" s="293"/>
      <c r="BO178" s="293"/>
      <c r="BP178" s="293"/>
      <c r="BQ178" s="38"/>
      <c r="BR178" s="38"/>
      <c r="BS178" s="38"/>
    </row>
    <row r="179" spans="1:71" ht="19.5" customHeight="1">
      <c r="A179" s="38"/>
      <c r="B179" s="38"/>
      <c r="C179" s="38"/>
      <c r="D179" s="38"/>
      <c r="E179" s="38"/>
      <c r="F179" s="1539" t="s">
        <v>354</v>
      </c>
      <c r="G179" s="586"/>
      <c r="H179" s="587">
        <f>-M158</f>
        <v>0</v>
      </c>
      <c r="I179" s="587">
        <f>SUM(Q174:AB174)</f>
        <v>357893000.43262517</v>
      </c>
      <c r="J179" s="587">
        <f>SUM(AC174:AN174)</f>
        <v>-112719805.95174173</v>
      </c>
      <c r="K179" s="587">
        <f>SUM(AO174:AZ174)</f>
        <v>-172694396.68770978</v>
      </c>
      <c r="L179" s="587">
        <f>SUM(BA174:BL174)</f>
        <v>29253297.559382241</v>
      </c>
      <c r="M179" s="587">
        <f>SUM(BM174:BP174)</f>
        <v>0</v>
      </c>
      <c r="N179" s="38"/>
      <c r="O179" s="38"/>
      <c r="P179" s="38"/>
      <c r="Q179" s="38"/>
      <c r="R179" s="38"/>
      <c r="S179" s="293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  <c r="BS179" s="38"/>
    </row>
    <row r="180" spans="1:71" ht="19.5" customHeight="1">
      <c r="A180" s="38"/>
      <c r="B180" s="38"/>
      <c r="C180" s="38"/>
      <c r="D180" s="38"/>
      <c r="E180" s="38"/>
      <c r="F180" s="1508"/>
      <c r="G180" s="588" t="e">
        <f>XIRR(H180:M180,H$178:M$178)</f>
        <v>#NUM!</v>
      </c>
      <c r="H180" s="587">
        <f>-M158</f>
        <v>0</v>
      </c>
      <c r="I180" s="587">
        <f>SUM(Q174:AB174)*0</f>
        <v>0</v>
      </c>
      <c r="J180" s="587">
        <f>SUM(AB174:AN174)*0</f>
        <v>0</v>
      </c>
      <c r="K180" s="587">
        <f>$M$158+$M$146</f>
        <v>121164848.3829118</v>
      </c>
      <c r="L180" s="587">
        <v>0</v>
      </c>
      <c r="M180" s="587"/>
      <c r="N180" s="38"/>
      <c r="O180" s="38"/>
      <c r="P180" s="38"/>
      <c r="Q180" s="38"/>
      <c r="R180" s="38"/>
      <c r="S180" s="38"/>
      <c r="T180" s="38"/>
      <c r="U180" s="38"/>
      <c r="V180" s="589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</row>
    <row r="181" spans="1:71" ht="19.5" customHeight="1">
      <c r="A181" s="38"/>
      <c r="B181" s="38"/>
      <c r="C181" s="38"/>
      <c r="D181" s="38"/>
      <c r="E181" s="38"/>
      <c r="F181" s="590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  <c r="BP181" s="38"/>
      <c r="BQ181" s="38"/>
      <c r="BR181" s="38"/>
      <c r="BS181" s="38"/>
    </row>
    <row r="182" spans="1:71" ht="19.5" customHeight="1">
      <c r="A182" s="38"/>
      <c r="B182" s="38"/>
      <c r="C182" s="38"/>
      <c r="D182" s="38"/>
      <c r="E182" s="38"/>
      <c r="F182" s="292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  <c r="BP182" s="38"/>
      <c r="BQ182" s="38"/>
      <c r="BR182" s="38"/>
      <c r="BS182" s="38"/>
    </row>
    <row r="183" spans="1:71" ht="19.5" customHeight="1">
      <c r="A183" s="38"/>
      <c r="B183" s="38"/>
      <c r="C183" s="38"/>
      <c r="D183" s="38"/>
      <c r="E183" s="38"/>
      <c r="F183" s="591" t="s">
        <v>355</v>
      </c>
      <c r="G183" s="1397">
        <v>0.05</v>
      </c>
      <c r="H183" s="139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  <c r="BP183" s="38"/>
      <c r="BQ183" s="38"/>
      <c r="BR183" s="38"/>
      <c r="BS183" s="38"/>
    </row>
    <row r="184" spans="1:71" ht="19.5" customHeight="1">
      <c r="A184" s="38"/>
      <c r="B184" s="38"/>
      <c r="C184" s="38"/>
      <c r="D184" s="38"/>
      <c r="E184" s="38"/>
      <c r="F184" s="591" t="s">
        <v>356</v>
      </c>
      <c r="G184" s="592">
        <v>0</v>
      </c>
      <c r="H184" s="591" t="s">
        <v>263</v>
      </c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  <c r="BP184" s="38"/>
      <c r="BQ184" s="38"/>
      <c r="BR184" s="38"/>
      <c r="BS184" s="38"/>
    </row>
    <row r="185" spans="1:71" ht="19.5" customHeight="1">
      <c r="A185" s="38"/>
      <c r="B185" s="38"/>
      <c r="C185" s="38"/>
      <c r="D185" s="38"/>
      <c r="E185" s="38"/>
      <c r="F185" s="591" t="s">
        <v>357</v>
      </c>
      <c r="G185" s="593">
        <f t="array" ref="G185">NPV(G183,H180:M180)</f>
        <v>99682620.62240468</v>
      </c>
      <c r="H185" s="591" t="s">
        <v>263</v>
      </c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  <c r="BP185" s="38"/>
      <c r="BQ185" s="38"/>
      <c r="BR185" s="38"/>
      <c r="BS185" s="38"/>
    </row>
    <row r="186" spans="1:71" ht="19.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  <c r="BP186" s="38"/>
      <c r="BQ186" s="38"/>
      <c r="BR186" s="38"/>
      <c r="BS186" s="38"/>
    </row>
    <row r="187" spans="1:71" ht="19.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  <c r="BP187" s="38"/>
      <c r="BQ187" s="38"/>
      <c r="BR187" s="38"/>
      <c r="BS187" s="38"/>
    </row>
    <row r="188" spans="1:71" ht="19.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  <c r="BP188" s="38"/>
      <c r="BQ188" s="38"/>
      <c r="BR188" s="38"/>
      <c r="BS188" s="38"/>
    </row>
    <row r="189" spans="1:71" ht="19.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  <c r="BP189" s="38"/>
      <c r="BQ189" s="38"/>
      <c r="BR189" s="38"/>
      <c r="BS189" s="38"/>
    </row>
    <row r="190" spans="1:71" ht="19.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  <c r="BP190" s="38"/>
      <c r="BQ190" s="38"/>
      <c r="BR190" s="38"/>
      <c r="BS190" s="38"/>
    </row>
    <row r="191" spans="1:71" ht="19.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  <c r="BP191" s="38"/>
      <c r="BQ191" s="38"/>
      <c r="BR191" s="38"/>
      <c r="BS191" s="38"/>
    </row>
    <row r="192" spans="1:71" ht="19.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  <c r="BP192" s="38"/>
      <c r="BQ192" s="38"/>
      <c r="BR192" s="38"/>
      <c r="BS192" s="38"/>
    </row>
    <row r="193" spans="1:71" ht="19.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</row>
    <row r="194" spans="1:71" ht="19.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</row>
    <row r="195" spans="1:71" ht="19.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</row>
    <row r="196" spans="1:71" ht="19.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</row>
    <row r="197" spans="1:71" ht="19.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</row>
    <row r="198" spans="1:71" ht="19.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</row>
    <row r="199" spans="1:71" ht="19.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</row>
    <row r="200" spans="1:71" ht="19.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</row>
    <row r="201" spans="1:71" ht="19.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</row>
    <row r="202" spans="1:71" ht="19.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</row>
    <row r="203" spans="1:71" ht="19.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</row>
    <row r="204" spans="1:71" ht="19.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</row>
    <row r="205" spans="1:71" ht="19.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  <c r="BP205" s="38"/>
      <c r="BQ205" s="38"/>
      <c r="BR205" s="38"/>
      <c r="BS205" s="38"/>
    </row>
    <row r="206" spans="1:71" ht="19.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  <c r="BP206" s="38"/>
      <c r="BQ206" s="38"/>
      <c r="BR206" s="38"/>
      <c r="BS206" s="38"/>
    </row>
    <row r="207" spans="1:71" ht="19.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  <c r="BO207" s="38"/>
      <c r="BP207" s="38"/>
      <c r="BQ207" s="38"/>
      <c r="BR207" s="38"/>
      <c r="BS207" s="38"/>
    </row>
    <row r="208" spans="1:71" ht="19.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  <c r="BP208" s="38"/>
      <c r="BQ208" s="38"/>
      <c r="BR208" s="38"/>
      <c r="BS208" s="38"/>
    </row>
    <row r="209" spans="1:71" ht="19.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  <c r="BO209" s="38"/>
      <c r="BP209" s="38"/>
      <c r="BQ209" s="38"/>
      <c r="BR209" s="38"/>
      <c r="BS209" s="38"/>
    </row>
    <row r="210" spans="1:71" ht="19.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  <c r="BP210" s="38"/>
      <c r="BQ210" s="38"/>
      <c r="BR210" s="38"/>
      <c r="BS210" s="38"/>
    </row>
    <row r="211" spans="1:71" ht="19.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  <c r="BP211" s="38"/>
      <c r="BQ211" s="38"/>
      <c r="BR211" s="38"/>
      <c r="BS211" s="38"/>
    </row>
    <row r="212" spans="1:71" ht="19.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  <c r="BO212" s="38"/>
      <c r="BP212" s="38"/>
      <c r="BQ212" s="38"/>
      <c r="BR212" s="38"/>
      <c r="BS212" s="38"/>
    </row>
    <row r="213" spans="1:71" ht="19.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  <c r="BP213" s="38"/>
      <c r="BQ213" s="38"/>
      <c r="BR213" s="38"/>
      <c r="BS213" s="38"/>
    </row>
    <row r="214" spans="1:71" ht="19.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  <c r="BP214" s="38"/>
      <c r="BQ214" s="38"/>
      <c r="BR214" s="38"/>
      <c r="BS214" s="38"/>
    </row>
    <row r="215" spans="1:71" ht="19.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  <c r="BP215" s="38"/>
      <c r="BQ215" s="38"/>
      <c r="BR215" s="38"/>
      <c r="BS215" s="38"/>
    </row>
    <row r="216" spans="1:71" ht="19.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  <c r="BP216" s="38"/>
      <c r="BQ216" s="38"/>
      <c r="BR216" s="38"/>
      <c r="BS216" s="38"/>
    </row>
    <row r="217" spans="1:71" ht="19.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  <c r="BP217" s="38"/>
      <c r="BQ217" s="38"/>
      <c r="BR217" s="38"/>
      <c r="BS217" s="38"/>
    </row>
    <row r="218" spans="1:71" ht="19.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</row>
    <row r="219" spans="1:71" ht="19.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</row>
    <row r="220" spans="1:71" ht="19.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</row>
    <row r="221" spans="1:71" ht="19.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</row>
    <row r="222" spans="1:71" ht="19.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</row>
    <row r="223" spans="1:71" ht="19.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</row>
    <row r="224" spans="1:71" ht="19.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</row>
    <row r="225" spans="1:71" ht="19.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</row>
    <row r="226" spans="1:71" ht="19.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</row>
    <row r="227" spans="1:71" ht="19.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</row>
    <row r="228" spans="1:71" ht="19.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  <c r="BP228" s="38"/>
      <c r="BQ228" s="38"/>
      <c r="BR228" s="38"/>
      <c r="BS228" s="38"/>
    </row>
    <row r="229" spans="1:71" ht="19.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  <c r="BP229" s="38"/>
      <c r="BQ229" s="38"/>
      <c r="BR229" s="38"/>
      <c r="BS229" s="38"/>
    </row>
    <row r="230" spans="1:71" ht="19.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  <c r="BP230" s="38"/>
      <c r="BQ230" s="38"/>
      <c r="BR230" s="38"/>
      <c r="BS230" s="38"/>
    </row>
    <row r="231" spans="1:71" ht="19.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  <c r="BP231" s="38"/>
      <c r="BQ231" s="38"/>
      <c r="BR231" s="38"/>
      <c r="BS231" s="38"/>
    </row>
    <row r="232" spans="1:71" ht="19.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  <c r="BP232" s="38"/>
      <c r="BQ232" s="38"/>
      <c r="BR232" s="38"/>
      <c r="BS232" s="38"/>
    </row>
    <row r="233" spans="1:71" ht="19.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  <c r="BQ233" s="38"/>
      <c r="BR233" s="38"/>
      <c r="BS233" s="38"/>
    </row>
    <row r="234" spans="1:71" ht="19.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  <c r="BP234" s="38"/>
      <c r="BQ234" s="38"/>
      <c r="BR234" s="38"/>
      <c r="BS234" s="38"/>
    </row>
    <row r="235" spans="1:71" ht="19.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  <c r="BP235" s="38"/>
      <c r="BQ235" s="38"/>
      <c r="BR235" s="38"/>
      <c r="BS235" s="38"/>
    </row>
    <row r="236" spans="1:71" ht="19.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  <c r="BP236" s="38"/>
      <c r="BQ236" s="38"/>
      <c r="BR236" s="38"/>
      <c r="BS236" s="38"/>
    </row>
    <row r="237" spans="1:71" ht="19.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  <c r="BP237" s="38"/>
      <c r="BQ237" s="38"/>
      <c r="BR237" s="38"/>
      <c r="BS237" s="38"/>
    </row>
    <row r="238" spans="1:71" ht="19.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  <c r="BP238" s="38"/>
      <c r="BQ238" s="38"/>
      <c r="BR238" s="38"/>
      <c r="BS238" s="38"/>
    </row>
    <row r="239" spans="1:71" ht="19.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  <c r="BP239" s="38"/>
      <c r="BQ239" s="38"/>
      <c r="BR239" s="38"/>
      <c r="BS239" s="38"/>
    </row>
    <row r="240" spans="1:71" ht="19.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  <c r="BP240" s="38"/>
      <c r="BQ240" s="38"/>
      <c r="BR240" s="38"/>
      <c r="BS240" s="38"/>
    </row>
    <row r="241" spans="1:71" ht="19.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  <c r="BP241" s="38"/>
      <c r="BQ241" s="38"/>
      <c r="BR241" s="38"/>
      <c r="BS241" s="38"/>
    </row>
    <row r="242" spans="1:71" ht="19.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  <c r="BP242" s="38"/>
      <c r="BQ242" s="38"/>
      <c r="BR242" s="38"/>
      <c r="BS242" s="38"/>
    </row>
    <row r="243" spans="1:71" ht="19.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  <c r="BO243" s="38"/>
      <c r="BP243" s="38"/>
      <c r="BQ243" s="38"/>
      <c r="BR243" s="38"/>
      <c r="BS243" s="38"/>
    </row>
    <row r="244" spans="1:71" ht="19.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  <c r="BP244" s="38"/>
      <c r="BQ244" s="38"/>
      <c r="BR244" s="38"/>
      <c r="BS244" s="38"/>
    </row>
    <row r="245" spans="1:71" ht="19.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  <c r="BP245" s="38"/>
      <c r="BQ245" s="38"/>
      <c r="BR245" s="38"/>
      <c r="BS245" s="38"/>
    </row>
    <row r="246" spans="1:71" ht="19.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  <c r="BP246" s="38"/>
      <c r="BQ246" s="38"/>
      <c r="BR246" s="38"/>
      <c r="BS246" s="38"/>
    </row>
    <row r="247" spans="1:71" ht="19.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  <c r="BO247" s="38"/>
      <c r="BP247" s="38"/>
      <c r="BQ247" s="38"/>
      <c r="BR247" s="38"/>
      <c r="BS247" s="38"/>
    </row>
    <row r="248" spans="1:71" ht="19.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  <c r="BP248" s="38"/>
      <c r="BQ248" s="38"/>
      <c r="BR248" s="38"/>
      <c r="BS248" s="38"/>
    </row>
    <row r="249" spans="1:71" ht="19.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  <c r="BP249" s="38"/>
      <c r="BQ249" s="38"/>
      <c r="BR249" s="38"/>
      <c r="BS249" s="38"/>
    </row>
    <row r="250" spans="1:71" ht="19.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  <c r="BM250" s="38"/>
      <c r="BN250" s="38"/>
      <c r="BO250" s="38"/>
      <c r="BP250" s="38"/>
      <c r="BQ250" s="38"/>
      <c r="BR250" s="38"/>
      <c r="BS250" s="38"/>
    </row>
    <row r="251" spans="1:71" ht="19.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  <c r="BO251" s="38"/>
      <c r="BP251" s="38"/>
      <c r="BQ251" s="38"/>
      <c r="BR251" s="38"/>
      <c r="BS251" s="38"/>
    </row>
    <row r="252" spans="1:71" ht="19.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  <c r="BP252" s="38"/>
      <c r="BQ252" s="38"/>
      <c r="BR252" s="38"/>
      <c r="BS252" s="38"/>
    </row>
    <row r="253" spans="1:71" ht="19.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  <c r="BP253" s="38"/>
      <c r="BQ253" s="38"/>
      <c r="BR253" s="38"/>
      <c r="BS253" s="38"/>
    </row>
    <row r="254" spans="1:71" ht="19.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  <c r="BP254" s="38"/>
      <c r="BQ254" s="38"/>
      <c r="BR254" s="38"/>
      <c r="BS254" s="38"/>
    </row>
    <row r="255" spans="1:71" ht="19.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  <c r="BO255" s="38"/>
      <c r="BP255" s="38"/>
      <c r="BQ255" s="38"/>
      <c r="BR255" s="38"/>
      <c r="BS255" s="38"/>
    </row>
    <row r="256" spans="1:71" ht="19.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  <c r="BP256" s="38"/>
      <c r="BQ256" s="38"/>
      <c r="BR256" s="38"/>
      <c r="BS256" s="38"/>
    </row>
    <row r="257" spans="1:71" ht="19.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  <c r="BS257" s="38"/>
    </row>
    <row r="258" spans="1:71" ht="19.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</row>
    <row r="259" spans="1:71" ht="19.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</row>
    <row r="260" spans="1:71" ht="19.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</row>
    <row r="261" spans="1:71" ht="19.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</row>
    <row r="262" spans="1:71" ht="19.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</row>
    <row r="263" spans="1:71" ht="19.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</row>
    <row r="264" spans="1:71" ht="19.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</row>
    <row r="265" spans="1:71" ht="19.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</row>
    <row r="266" spans="1:71" ht="19.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</row>
    <row r="267" spans="1:71" ht="19.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</row>
    <row r="268" spans="1:71" ht="19.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</row>
    <row r="269" spans="1:71" ht="19.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</row>
    <row r="270" spans="1:71" ht="19.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</row>
    <row r="271" spans="1:71" ht="19.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</row>
    <row r="272" spans="1:71" ht="19.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</row>
    <row r="273" spans="1:71" ht="19.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</row>
    <row r="274" spans="1:71" ht="19.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</row>
    <row r="275" spans="1:71" ht="19.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</row>
    <row r="276" spans="1:71" ht="19.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</row>
    <row r="277" spans="1:71" ht="19.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</row>
    <row r="278" spans="1:71" ht="19.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</row>
    <row r="279" spans="1:71" ht="19.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</row>
    <row r="280" spans="1:71" ht="19.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</row>
    <row r="281" spans="1:71" ht="19.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</row>
    <row r="282" spans="1:71" ht="19.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</row>
    <row r="283" spans="1:71" ht="19.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</row>
    <row r="284" spans="1:71" ht="19.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</row>
    <row r="285" spans="1:71" ht="19.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</row>
    <row r="286" spans="1:71" ht="19.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</row>
    <row r="287" spans="1:71" ht="19.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</row>
    <row r="288" spans="1:71" ht="19.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</row>
    <row r="289" spans="1:71" ht="19.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</row>
    <row r="290" spans="1:71" ht="19.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</row>
    <row r="291" spans="1:71" ht="19.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</row>
    <row r="292" spans="1:71" ht="19.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</row>
    <row r="293" spans="1:71" ht="19.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</row>
    <row r="294" spans="1:71" ht="19.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</row>
    <row r="295" spans="1:71" ht="19.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  <c r="BM295" s="38"/>
      <c r="BN295" s="38"/>
      <c r="BO295" s="38"/>
      <c r="BP295" s="38"/>
      <c r="BQ295" s="38"/>
      <c r="BR295" s="38"/>
      <c r="BS295" s="38"/>
    </row>
    <row r="296" spans="1:71" ht="19.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  <c r="BM296" s="38"/>
      <c r="BN296" s="38"/>
      <c r="BO296" s="38"/>
      <c r="BP296" s="38"/>
      <c r="BQ296" s="38"/>
      <c r="BR296" s="38"/>
      <c r="BS296" s="38"/>
    </row>
    <row r="297" spans="1:71" ht="19.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  <c r="BM297" s="38"/>
      <c r="BN297" s="38"/>
      <c r="BO297" s="38"/>
      <c r="BP297" s="38"/>
      <c r="BQ297" s="38"/>
      <c r="BR297" s="38"/>
      <c r="BS297" s="38"/>
    </row>
    <row r="298" spans="1:71" ht="19.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  <c r="BO298" s="38"/>
      <c r="BP298" s="38"/>
      <c r="BQ298" s="38"/>
      <c r="BR298" s="38"/>
      <c r="BS298" s="38"/>
    </row>
    <row r="299" spans="1:71" ht="19.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  <c r="BM299" s="38"/>
      <c r="BN299" s="38"/>
      <c r="BO299" s="38"/>
      <c r="BP299" s="38"/>
      <c r="BQ299" s="38"/>
      <c r="BR299" s="38"/>
      <c r="BS299" s="38"/>
    </row>
    <row r="300" spans="1:71" ht="19.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  <c r="BM300" s="38"/>
      <c r="BN300" s="38"/>
      <c r="BO300" s="38"/>
      <c r="BP300" s="38"/>
      <c r="BQ300" s="38"/>
      <c r="BR300" s="38"/>
      <c r="BS300" s="38"/>
    </row>
    <row r="301" spans="1:71" ht="19.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  <c r="BO301" s="38"/>
      <c r="BP301" s="38"/>
      <c r="BQ301" s="38"/>
      <c r="BR301" s="38"/>
      <c r="BS301" s="38"/>
    </row>
    <row r="302" spans="1:71" ht="19.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  <c r="BO302" s="38"/>
      <c r="BP302" s="38"/>
      <c r="BQ302" s="38"/>
      <c r="BR302" s="38"/>
      <c r="BS302" s="38"/>
    </row>
    <row r="303" spans="1:71" ht="19.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  <c r="BO303" s="38"/>
      <c r="BP303" s="38"/>
      <c r="BQ303" s="38"/>
      <c r="BR303" s="38"/>
      <c r="BS303" s="38"/>
    </row>
    <row r="304" spans="1:71" ht="19.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  <c r="BO304" s="38"/>
      <c r="BP304" s="38"/>
      <c r="BQ304" s="38"/>
      <c r="BR304" s="38"/>
      <c r="BS304" s="38"/>
    </row>
    <row r="305" spans="1:71" ht="19.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  <c r="BM305" s="38"/>
      <c r="BN305" s="38"/>
      <c r="BO305" s="38"/>
      <c r="BP305" s="38"/>
      <c r="BQ305" s="38"/>
      <c r="BR305" s="38"/>
      <c r="BS305" s="38"/>
    </row>
    <row r="306" spans="1:71" ht="19.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  <c r="BM306" s="38"/>
      <c r="BN306" s="38"/>
      <c r="BO306" s="38"/>
      <c r="BP306" s="38"/>
      <c r="BQ306" s="38"/>
      <c r="BR306" s="38"/>
      <c r="BS306" s="38"/>
    </row>
    <row r="307" spans="1:71" ht="19.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  <c r="BM307" s="38"/>
      <c r="BN307" s="38"/>
      <c r="BO307" s="38"/>
      <c r="BP307" s="38"/>
      <c r="BQ307" s="38"/>
      <c r="BR307" s="38"/>
      <c r="BS307" s="38"/>
    </row>
    <row r="308" spans="1:71" ht="19.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  <c r="BO308" s="38"/>
      <c r="BP308" s="38"/>
      <c r="BQ308" s="38"/>
      <c r="BR308" s="38"/>
      <c r="BS308" s="38"/>
    </row>
    <row r="309" spans="1:71" ht="19.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  <c r="BM309" s="38"/>
      <c r="BN309" s="38"/>
      <c r="BO309" s="38"/>
      <c r="BP309" s="38"/>
      <c r="BQ309" s="38"/>
      <c r="BR309" s="38"/>
      <c r="BS309" s="38"/>
    </row>
    <row r="310" spans="1:71" ht="19.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  <c r="BM310" s="38"/>
      <c r="BN310" s="38"/>
      <c r="BO310" s="38"/>
      <c r="BP310" s="38"/>
      <c r="BQ310" s="38"/>
      <c r="BR310" s="38"/>
      <c r="BS310" s="38"/>
    </row>
    <row r="311" spans="1:71" ht="19.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  <c r="BO311" s="38"/>
      <c r="BP311" s="38"/>
      <c r="BQ311" s="38"/>
      <c r="BR311" s="38"/>
      <c r="BS311" s="38"/>
    </row>
    <row r="312" spans="1:71" ht="19.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  <c r="BO312" s="38"/>
      <c r="BP312" s="38"/>
      <c r="BQ312" s="38"/>
      <c r="BR312" s="38"/>
      <c r="BS312" s="38"/>
    </row>
    <row r="313" spans="1:71" ht="19.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  <c r="BP313" s="38"/>
      <c r="BQ313" s="38"/>
      <c r="BR313" s="38"/>
      <c r="BS313" s="38"/>
    </row>
    <row r="314" spans="1:71" ht="19.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  <c r="BP314" s="38"/>
      <c r="BQ314" s="38"/>
      <c r="BR314" s="38"/>
      <c r="BS314" s="38"/>
    </row>
    <row r="315" spans="1:71" ht="19.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  <c r="BP315" s="38"/>
      <c r="BQ315" s="38"/>
      <c r="BR315" s="38"/>
      <c r="BS315" s="38"/>
    </row>
    <row r="316" spans="1:71" ht="19.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  <c r="BP316" s="38"/>
      <c r="BQ316" s="38"/>
      <c r="BR316" s="38"/>
      <c r="BS316" s="38"/>
    </row>
    <row r="317" spans="1:71" ht="19.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  <c r="BP317" s="38"/>
      <c r="BQ317" s="38"/>
      <c r="BR317" s="38"/>
      <c r="BS317" s="38"/>
    </row>
    <row r="318" spans="1:71" ht="19.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  <c r="BQ318" s="38"/>
      <c r="BR318" s="38"/>
      <c r="BS318" s="38"/>
    </row>
    <row r="319" spans="1:71" ht="19.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  <c r="BP319" s="38"/>
      <c r="BQ319" s="38"/>
      <c r="BR319" s="38"/>
      <c r="BS319" s="38"/>
    </row>
    <row r="320" spans="1:71" ht="19.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  <c r="BO320" s="38"/>
      <c r="BP320" s="38"/>
      <c r="BQ320" s="38"/>
      <c r="BR320" s="38"/>
      <c r="BS320" s="38"/>
    </row>
    <row r="321" spans="1:71" ht="19.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  <c r="BO321" s="38"/>
      <c r="BP321" s="38"/>
      <c r="BQ321" s="38"/>
      <c r="BR321" s="38"/>
      <c r="BS321" s="38"/>
    </row>
    <row r="322" spans="1:71" ht="19.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  <c r="BO322" s="38"/>
      <c r="BP322" s="38"/>
      <c r="BQ322" s="38"/>
      <c r="BR322" s="38"/>
      <c r="BS322" s="38"/>
    </row>
    <row r="323" spans="1:71" ht="19.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  <c r="BP323" s="38"/>
      <c r="BQ323" s="38"/>
      <c r="BR323" s="38"/>
      <c r="BS323" s="38"/>
    </row>
    <row r="324" spans="1:71" ht="19.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  <c r="BO324" s="38"/>
      <c r="BP324" s="38"/>
      <c r="BQ324" s="38"/>
      <c r="BR324" s="38"/>
      <c r="BS324" s="38"/>
    </row>
    <row r="325" spans="1:71" ht="19.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  <c r="BP325" s="38"/>
      <c r="BQ325" s="38"/>
      <c r="BR325" s="38"/>
      <c r="BS325" s="38"/>
    </row>
    <row r="326" spans="1:71" ht="19.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  <c r="BO326" s="38"/>
      <c r="BP326" s="38"/>
      <c r="BQ326" s="38"/>
      <c r="BR326" s="38"/>
      <c r="BS326" s="38"/>
    </row>
    <row r="327" spans="1:71" ht="19.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  <c r="BO327" s="38"/>
      <c r="BP327" s="38"/>
      <c r="BQ327" s="38"/>
      <c r="BR327" s="38"/>
      <c r="BS327" s="38"/>
    </row>
    <row r="328" spans="1:71" ht="19.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  <c r="BP328" s="38"/>
      <c r="BQ328" s="38"/>
      <c r="BR328" s="38"/>
      <c r="BS328" s="38"/>
    </row>
    <row r="329" spans="1:71" ht="19.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  <c r="BM329" s="38"/>
      <c r="BN329" s="38"/>
      <c r="BO329" s="38"/>
      <c r="BP329" s="38"/>
      <c r="BQ329" s="38"/>
      <c r="BR329" s="38"/>
      <c r="BS329" s="38"/>
    </row>
    <row r="330" spans="1:71" ht="19.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  <c r="BM330" s="38"/>
      <c r="BN330" s="38"/>
      <c r="BO330" s="38"/>
      <c r="BP330" s="38"/>
      <c r="BQ330" s="38"/>
      <c r="BR330" s="38"/>
      <c r="BS330" s="38"/>
    </row>
    <row r="331" spans="1:71" ht="19.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  <c r="BM331" s="38"/>
      <c r="BN331" s="38"/>
      <c r="BO331" s="38"/>
      <c r="BP331" s="38"/>
      <c r="BQ331" s="38"/>
      <c r="BR331" s="38"/>
      <c r="BS331" s="38"/>
    </row>
    <row r="332" spans="1:71" ht="19.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  <c r="BM332" s="38"/>
      <c r="BN332" s="38"/>
      <c r="BO332" s="38"/>
      <c r="BP332" s="38"/>
      <c r="BQ332" s="38"/>
      <c r="BR332" s="38"/>
      <c r="BS332" s="38"/>
    </row>
    <row r="333" spans="1:71" ht="19.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  <c r="BO333" s="38"/>
      <c r="BP333" s="38"/>
      <c r="BQ333" s="38"/>
      <c r="BR333" s="38"/>
      <c r="BS333" s="38"/>
    </row>
    <row r="334" spans="1:71" ht="19.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  <c r="BO334" s="38"/>
      <c r="BP334" s="38"/>
      <c r="BQ334" s="38"/>
      <c r="BR334" s="38"/>
      <c r="BS334" s="38"/>
    </row>
    <row r="335" spans="1:71" ht="19.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  <c r="BO335" s="38"/>
      <c r="BP335" s="38"/>
      <c r="BQ335" s="38"/>
      <c r="BR335" s="38"/>
      <c r="BS335" s="38"/>
    </row>
    <row r="336" spans="1:71" ht="19.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  <c r="BM336" s="38"/>
      <c r="BN336" s="38"/>
      <c r="BO336" s="38"/>
      <c r="BP336" s="38"/>
      <c r="BQ336" s="38"/>
      <c r="BR336" s="38"/>
      <c r="BS336" s="38"/>
    </row>
    <row r="337" spans="1:71" ht="19.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  <c r="BM337" s="38"/>
      <c r="BN337" s="38"/>
      <c r="BO337" s="38"/>
      <c r="BP337" s="38"/>
      <c r="BQ337" s="38"/>
      <c r="BR337" s="38"/>
      <c r="BS337" s="38"/>
    </row>
    <row r="338" spans="1:71" ht="19.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  <c r="BO338" s="38"/>
      <c r="BP338" s="38"/>
      <c r="BQ338" s="38"/>
      <c r="BR338" s="38"/>
      <c r="BS338" s="38"/>
    </row>
    <row r="339" spans="1:71" ht="19.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  <c r="BM339" s="38"/>
      <c r="BN339" s="38"/>
      <c r="BO339" s="38"/>
      <c r="BP339" s="38"/>
      <c r="BQ339" s="38"/>
      <c r="BR339" s="38"/>
      <c r="BS339" s="38"/>
    </row>
    <row r="340" spans="1:71" ht="19.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  <c r="BM340" s="38"/>
      <c r="BN340" s="38"/>
      <c r="BO340" s="38"/>
      <c r="BP340" s="38"/>
      <c r="BQ340" s="38"/>
      <c r="BR340" s="38"/>
      <c r="BS340" s="38"/>
    </row>
    <row r="341" spans="1:71" ht="19.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  <c r="BM341" s="38"/>
      <c r="BN341" s="38"/>
      <c r="BO341" s="38"/>
      <c r="BP341" s="38"/>
      <c r="BQ341" s="38"/>
      <c r="BR341" s="38"/>
      <c r="BS341" s="38"/>
    </row>
    <row r="342" spans="1:71" ht="19.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  <c r="BM342" s="38"/>
      <c r="BN342" s="38"/>
      <c r="BO342" s="38"/>
      <c r="BP342" s="38"/>
      <c r="BQ342" s="38"/>
      <c r="BR342" s="38"/>
      <c r="BS342" s="38"/>
    </row>
    <row r="343" spans="1:71" ht="19.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  <c r="BM343" s="38"/>
      <c r="BN343" s="38"/>
      <c r="BO343" s="38"/>
      <c r="BP343" s="38"/>
      <c r="BQ343" s="38"/>
      <c r="BR343" s="38"/>
      <c r="BS343" s="38"/>
    </row>
    <row r="344" spans="1:71" ht="19.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  <c r="BM344" s="38"/>
      <c r="BN344" s="38"/>
      <c r="BO344" s="38"/>
      <c r="BP344" s="38"/>
      <c r="BQ344" s="38"/>
      <c r="BR344" s="38"/>
      <c r="BS344" s="38"/>
    </row>
    <row r="345" spans="1:71" ht="19.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  <c r="BM345" s="38"/>
      <c r="BN345" s="38"/>
      <c r="BO345" s="38"/>
      <c r="BP345" s="38"/>
      <c r="BQ345" s="38"/>
      <c r="BR345" s="38"/>
      <c r="BS345" s="38"/>
    </row>
    <row r="346" spans="1:71" ht="19.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  <c r="BM346" s="38"/>
      <c r="BN346" s="38"/>
      <c r="BO346" s="38"/>
      <c r="BP346" s="38"/>
      <c r="BQ346" s="38"/>
      <c r="BR346" s="38"/>
      <c r="BS346" s="38"/>
    </row>
    <row r="347" spans="1:71" ht="19.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  <c r="BM347" s="38"/>
      <c r="BN347" s="38"/>
      <c r="BO347" s="38"/>
      <c r="BP347" s="38"/>
      <c r="BQ347" s="38"/>
      <c r="BR347" s="38"/>
      <c r="BS347" s="38"/>
    </row>
    <row r="348" spans="1:71" ht="19.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  <c r="BM348" s="38"/>
      <c r="BN348" s="38"/>
      <c r="BO348" s="38"/>
      <c r="BP348" s="38"/>
      <c r="BQ348" s="38"/>
      <c r="BR348" s="38"/>
      <c r="BS348" s="38"/>
    </row>
    <row r="349" spans="1:71" ht="19.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  <c r="BP349" s="38"/>
      <c r="BQ349" s="38"/>
      <c r="BR349" s="38"/>
      <c r="BS349" s="38"/>
    </row>
    <row r="350" spans="1:71" ht="19.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  <c r="BM350" s="38"/>
      <c r="BN350" s="38"/>
      <c r="BO350" s="38"/>
      <c r="BP350" s="38"/>
      <c r="BQ350" s="38"/>
      <c r="BR350" s="38"/>
      <c r="BS350" s="38"/>
    </row>
    <row r="351" spans="1:71" ht="19.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  <c r="BM351" s="38"/>
      <c r="BN351" s="38"/>
      <c r="BO351" s="38"/>
      <c r="BP351" s="38"/>
      <c r="BQ351" s="38"/>
      <c r="BR351" s="38"/>
      <c r="BS351" s="38"/>
    </row>
    <row r="352" spans="1:71" ht="19.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  <c r="BM352" s="38"/>
      <c r="BN352" s="38"/>
      <c r="BO352" s="38"/>
      <c r="BP352" s="38"/>
      <c r="BQ352" s="38"/>
      <c r="BR352" s="38"/>
      <c r="BS352" s="38"/>
    </row>
    <row r="353" spans="1:71" ht="19.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  <c r="BP353" s="38"/>
      <c r="BQ353" s="38"/>
      <c r="BR353" s="38"/>
      <c r="BS353" s="38"/>
    </row>
    <row r="354" spans="1:71" ht="19.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  <c r="BM354" s="38"/>
      <c r="BN354" s="38"/>
      <c r="BO354" s="38"/>
      <c r="BP354" s="38"/>
      <c r="BQ354" s="38"/>
      <c r="BR354" s="38"/>
      <c r="BS354" s="38"/>
    </row>
    <row r="355" spans="1:71" ht="19.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  <c r="BM355" s="38"/>
      <c r="BN355" s="38"/>
      <c r="BO355" s="38"/>
      <c r="BP355" s="38"/>
      <c r="BQ355" s="38"/>
      <c r="BR355" s="38"/>
      <c r="BS355" s="38"/>
    </row>
    <row r="356" spans="1:71" ht="19.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  <c r="BM356" s="38"/>
      <c r="BN356" s="38"/>
      <c r="BO356" s="38"/>
      <c r="BP356" s="38"/>
      <c r="BQ356" s="38"/>
      <c r="BR356" s="38"/>
      <c r="BS356" s="38"/>
    </row>
    <row r="357" spans="1:71" ht="19.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  <c r="BM357" s="38"/>
      <c r="BN357" s="38"/>
      <c r="BO357" s="38"/>
      <c r="BP357" s="38"/>
      <c r="BQ357" s="38"/>
      <c r="BR357" s="38"/>
      <c r="BS357" s="38"/>
    </row>
    <row r="358" spans="1:71" ht="19.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  <c r="BM358" s="38"/>
      <c r="BN358" s="38"/>
      <c r="BO358" s="38"/>
      <c r="BP358" s="38"/>
      <c r="BQ358" s="38"/>
      <c r="BR358" s="38"/>
      <c r="BS358" s="38"/>
    </row>
    <row r="359" spans="1:71" ht="19.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  <c r="BM359" s="38"/>
      <c r="BN359" s="38"/>
      <c r="BO359" s="38"/>
      <c r="BP359" s="38"/>
      <c r="BQ359" s="38"/>
      <c r="BR359" s="38"/>
      <c r="BS359" s="38"/>
    </row>
    <row r="360" spans="1:71" ht="19.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  <c r="BM360" s="38"/>
      <c r="BN360" s="38"/>
      <c r="BO360" s="38"/>
      <c r="BP360" s="38"/>
      <c r="BQ360" s="38"/>
      <c r="BR360" s="38"/>
      <c r="BS360" s="38"/>
    </row>
    <row r="361" spans="1:71" ht="19.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  <c r="BO361" s="38"/>
      <c r="BP361" s="38"/>
      <c r="BQ361" s="38"/>
      <c r="BR361" s="38"/>
      <c r="BS361" s="38"/>
    </row>
    <row r="362" spans="1:71" ht="19.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  <c r="BO362" s="38"/>
      <c r="BP362" s="38"/>
      <c r="BQ362" s="38"/>
      <c r="BR362" s="38"/>
      <c r="BS362" s="38"/>
    </row>
    <row r="363" spans="1:71" ht="19.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  <c r="BP363" s="38"/>
      <c r="BQ363" s="38"/>
      <c r="BR363" s="38"/>
      <c r="BS363" s="38"/>
    </row>
    <row r="364" spans="1:71" ht="19.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  <c r="BO364" s="38"/>
      <c r="BP364" s="38"/>
      <c r="BQ364" s="38"/>
      <c r="BR364" s="38"/>
      <c r="BS364" s="38"/>
    </row>
    <row r="365" spans="1:71" ht="19.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  <c r="BM365" s="38"/>
      <c r="BN365" s="38"/>
      <c r="BO365" s="38"/>
      <c r="BP365" s="38"/>
      <c r="BQ365" s="38"/>
      <c r="BR365" s="38"/>
      <c r="BS365" s="38"/>
    </row>
    <row r="366" spans="1:71" ht="19.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  <c r="BM366" s="38"/>
      <c r="BN366" s="38"/>
      <c r="BO366" s="38"/>
      <c r="BP366" s="38"/>
      <c r="BQ366" s="38"/>
      <c r="BR366" s="38"/>
      <c r="BS366" s="38"/>
    </row>
    <row r="367" spans="1:71" ht="19.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  <c r="BM367" s="38"/>
      <c r="BN367" s="38"/>
      <c r="BO367" s="38"/>
      <c r="BP367" s="38"/>
      <c r="BQ367" s="38"/>
      <c r="BR367" s="38"/>
      <c r="BS367" s="38"/>
    </row>
    <row r="368" spans="1:71" ht="19.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  <c r="BO368" s="38"/>
      <c r="BP368" s="38"/>
      <c r="BQ368" s="38"/>
      <c r="BR368" s="38"/>
      <c r="BS368" s="38"/>
    </row>
    <row r="369" spans="1:71" ht="19.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  <c r="BM369" s="38"/>
      <c r="BN369" s="38"/>
      <c r="BO369" s="38"/>
      <c r="BP369" s="38"/>
      <c r="BQ369" s="38"/>
      <c r="BR369" s="38"/>
      <c r="BS369" s="38"/>
    </row>
    <row r="370" spans="1:71" ht="19.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  <c r="BM370" s="38"/>
      <c r="BN370" s="38"/>
      <c r="BO370" s="38"/>
      <c r="BP370" s="38"/>
      <c r="BQ370" s="38"/>
      <c r="BR370" s="38"/>
      <c r="BS370" s="38"/>
    </row>
    <row r="371" spans="1:71" ht="19.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  <c r="BM371" s="38"/>
      <c r="BN371" s="38"/>
      <c r="BO371" s="38"/>
      <c r="BP371" s="38"/>
      <c r="BQ371" s="38"/>
      <c r="BR371" s="38"/>
      <c r="BS371" s="38"/>
    </row>
    <row r="372" spans="1:71" ht="19.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  <c r="BM372" s="38"/>
      <c r="BN372" s="38"/>
      <c r="BO372" s="38"/>
      <c r="BP372" s="38"/>
      <c r="BQ372" s="38"/>
      <c r="BR372" s="38"/>
      <c r="BS372" s="38"/>
    </row>
    <row r="373" spans="1:71" ht="19.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  <c r="BP373" s="38"/>
      <c r="BQ373" s="38"/>
      <c r="BR373" s="38"/>
      <c r="BS373" s="38"/>
    </row>
    <row r="374" spans="1:71" ht="19.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  <c r="BO374" s="38"/>
      <c r="BP374" s="38"/>
      <c r="BQ374" s="38"/>
      <c r="BR374" s="38"/>
      <c r="BS374" s="38"/>
    </row>
    <row r="375" spans="1:71" ht="19.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  <c r="BM375" s="38"/>
      <c r="BN375" s="38"/>
      <c r="BO375" s="38"/>
      <c r="BP375" s="38"/>
      <c r="BQ375" s="38"/>
      <c r="BR375" s="38"/>
      <c r="BS375" s="38"/>
    </row>
    <row r="376" spans="1:71" ht="19.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  <c r="BM376" s="38"/>
      <c r="BN376" s="38"/>
      <c r="BO376" s="38"/>
      <c r="BP376" s="38"/>
      <c r="BQ376" s="38"/>
      <c r="BR376" s="38"/>
      <c r="BS376" s="38"/>
    </row>
    <row r="377" spans="1:71" ht="19.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  <c r="BM377" s="38"/>
      <c r="BN377" s="38"/>
      <c r="BO377" s="38"/>
      <c r="BP377" s="38"/>
      <c r="BQ377" s="38"/>
      <c r="BR377" s="38"/>
      <c r="BS377" s="38"/>
    </row>
    <row r="378" spans="1:71" ht="19.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  <c r="BM378" s="38"/>
      <c r="BN378" s="38"/>
      <c r="BO378" s="38"/>
      <c r="BP378" s="38"/>
      <c r="BQ378" s="38"/>
      <c r="BR378" s="38"/>
      <c r="BS378" s="38"/>
    </row>
    <row r="379" spans="1:71" ht="19.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  <c r="BM379" s="38"/>
      <c r="BN379" s="38"/>
      <c r="BO379" s="38"/>
      <c r="BP379" s="38"/>
      <c r="BQ379" s="38"/>
      <c r="BR379" s="38"/>
      <c r="BS379" s="38"/>
    </row>
    <row r="380" spans="1:71" ht="19.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  <c r="BM380" s="38"/>
      <c r="BN380" s="38"/>
      <c r="BO380" s="38"/>
      <c r="BP380" s="38"/>
      <c r="BQ380" s="38"/>
      <c r="BR380" s="38"/>
      <c r="BS380" s="38"/>
    </row>
    <row r="381" spans="1:71" ht="19.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  <c r="BM381" s="38"/>
      <c r="BN381" s="38"/>
      <c r="BO381" s="38"/>
      <c r="BP381" s="38"/>
      <c r="BQ381" s="38"/>
      <c r="BR381" s="38"/>
      <c r="BS381" s="38"/>
    </row>
    <row r="382" spans="1:71" ht="19.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  <c r="BM382" s="38"/>
      <c r="BN382" s="38"/>
      <c r="BO382" s="38"/>
      <c r="BP382" s="38"/>
      <c r="BQ382" s="38"/>
      <c r="BR382" s="38"/>
      <c r="BS382" s="38"/>
    </row>
    <row r="383" spans="1:71" ht="19.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  <c r="BM383" s="38"/>
      <c r="BN383" s="38"/>
      <c r="BO383" s="38"/>
      <c r="BP383" s="38"/>
      <c r="BQ383" s="38"/>
      <c r="BR383" s="38"/>
      <c r="BS383" s="38"/>
    </row>
    <row r="384" spans="1:71" ht="19.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  <c r="BM384" s="38"/>
      <c r="BN384" s="38"/>
      <c r="BO384" s="38"/>
      <c r="BP384" s="38"/>
      <c r="BQ384" s="38"/>
      <c r="BR384" s="38"/>
      <c r="BS384" s="38"/>
    </row>
    <row r="385" spans="1:71" ht="19.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  <c r="BQ385" s="38"/>
      <c r="BR385" s="38"/>
      <c r="BS385" s="38"/>
    </row>
    <row r="386" spans="1:71" ht="19.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  <c r="BM386" s="38"/>
      <c r="BN386" s="38"/>
      <c r="BO386" s="38"/>
      <c r="BP386" s="38"/>
      <c r="BQ386" s="38"/>
      <c r="BR386" s="38"/>
      <c r="BS386" s="38"/>
    </row>
    <row r="387" spans="1:71" ht="19.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  <c r="BM387" s="38"/>
      <c r="BN387" s="38"/>
      <c r="BO387" s="38"/>
      <c r="BP387" s="38"/>
      <c r="BQ387" s="38"/>
      <c r="BR387" s="38"/>
      <c r="BS387" s="38"/>
    </row>
    <row r="388" spans="1:71" ht="19.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  <c r="BM388" s="38"/>
      <c r="BN388" s="38"/>
      <c r="BO388" s="38"/>
      <c r="BP388" s="38"/>
      <c r="BQ388" s="38"/>
      <c r="BR388" s="38"/>
      <c r="BS388" s="38"/>
    </row>
    <row r="389" spans="1:71" ht="19.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  <c r="BM389" s="38"/>
      <c r="BN389" s="38"/>
      <c r="BO389" s="38"/>
      <c r="BP389" s="38"/>
      <c r="BQ389" s="38"/>
      <c r="BR389" s="38"/>
      <c r="BS389" s="38"/>
    </row>
    <row r="390" spans="1:71" ht="19.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  <c r="BM390" s="38"/>
      <c r="BN390" s="38"/>
      <c r="BO390" s="38"/>
      <c r="BP390" s="38"/>
      <c r="BQ390" s="38"/>
      <c r="BR390" s="38"/>
      <c r="BS390" s="38"/>
    </row>
    <row r="391" spans="1:71" ht="19.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  <c r="BM391" s="38"/>
      <c r="BN391" s="38"/>
      <c r="BO391" s="38"/>
      <c r="BP391" s="38"/>
      <c r="BQ391" s="38"/>
      <c r="BR391" s="38"/>
      <c r="BS391" s="38"/>
    </row>
    <row r="392" spans="1:71" ht="19.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  <c r="BM392" s="38"/>
      <c r="BN392" s="38"/>
      <c r="BO392" s="38"/>
      <c r="BP392" s="38"/>
      <c r="BQ392" s="38"/>
      <c r="BR392" s="38"/>
      <c r="BS392" s="38"/>
    </row>
    <row r="393" spans="1:71" ht="19.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  <c r="BQ393" s="38"/>
      <c r="BR393" s="38"/>
      <c r="BS393" s="38"/>
    </row>
    <row r="394" spans="1:71" ht="19.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  <c r="BM394" s="38"/>
      <c r="BN394" s="38"/>
      <c r="BO394" s="38"/>
      <c r="BP394" s="38"/>
      <c r="BQ394" s="38"/>
      <c r="BR394" s="38"/>
      <c r="BS394" s="38"/>
    </row>
    <row r="395" spans="1:71" ht="19.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  <c r="BO395" s="38"/>
      <c r="BP395" s="38"/>
      <c r="BQ395" s="38"/>
      <c r="BR395" s="38"/>
      <c r="BS395" s="38"/>
    </row>
    <row r="396" spans="1:71" ht="19.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  <c r="BM396" s="38"/>
      <c r="BN396" s="38"/>
      <c r="BO396" s="38"/>
      <c r="BP396" s="38"/>
      <c r="BQ396" s="38"/>
      <c r="BR396" s="38"/>
      <c r="BS396" s="38"/>
    </row>
    <row r="397" spans="1:71" ht="19.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  <c r="BP397" s="38"/>
      <c r="BQ397" s="38"/>
      <c r="BR397" s="38"/>
      <c r="BS397" s="38"/>
    </row>
    <row r="398" spans="1:71" ht="19.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  <c r="BP398" s="38"/>
      <c r="BQ398" s="38"/>
      <c r="BR398" s="38"/>
      <c r="BS398" s="38"/>
    </row>
    <row r="399" spans="1:71" ht="19.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  <c r="BM399" s="38"/>
      <c r="BN399" s="38"/>
      <c r="BO399" s="38"/>
      <c r="BP399" s="38"/>
      <c r="BQ399" s="38"/>
      <c r="BR399" s="38"/>
      <c r="BS399" s="38"/>
    </row>
    <row r="400" spans="1:71" ht="19.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  <c r="BP400" s="38"/>
      <c r="BQ400" s="38"/>
      <c r="BR400" s="38"/>
      <c r="BS400" s="38"/>
    </row>
    <row r="401" spans="1:71" ht="19.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  <c r="BM401" s="38"/>
      <c r="BN401" s="38"/>
      <c r="BO401" s="38"/>
      <c r="BP401" s="38"/>
      <c r="BQ401" s="38"/>
      <c r="BR401" s="38"/>
      <c r="BS401" s="38"/>
    </row>
    <row r="402" spans="1:71" ht="19.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  <c r="BM402" s="38"/>
      <c r="BN402" s="38"/>
      <c r="BO402" s="38"/>
      <c r="BP402" s="38"/>
      <c r="BQ402" s="38"/>
      <c r="BR402" s="38"/>
      <c r="BS402" s="38"/>
    </row>
    <row r="403" spans="1:71" ht="19.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  <c r="BM403" s="38"/>
      <c r="BN403" s="38"/>
      <c r="BO403" s="38"/>
      <c r="BP403" s="38"/>
      <c r="BQ403" s="38"/>
      <c r="BR403" s="38"/>
      <c r="BS403" s="38"/>
    </row>
    <row r="404" spans="1:71" ht="19.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  <c r="BO404" s="38"/>
      <c r="BP404" s="38"/>
      <c r="BQ404" s="38"/>
      <c r="BR404" s="38"/>
      <c r="BS404" s="38"/>
    </row>
    <row r="405" spans="1:71" ht="19.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  <c r="BM405" s="38"/>
      <c r="BN405" s="38"/>
      <c r="BO405" s="38"/>
      <c r="BP405" s="38"/>
      <c r="BQ405" s="38"/>
      <c r="BR405" s="38"/>
      <c r="BS405" s="38"/>
    </row>
    <row r="406" spans="1:71" ht="19.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  <c r="BM406" s="38"/>
      <c r="BN406" s="38"/>
      <c r="BO406" s="38"/>
      <c r="BP406" s="38"/>
      <c r="BQ406" s="38"/>
      <c r="BR406" s="38"/>
      <c r="BS406" s="38"/>
    </row>
    <row r="407" spans="1:71" ht="19.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  <c r="BP407" s="38"/>
      <c r="BQ407" s="38"/>
      <c r="BR407" s="38"/>
      <c r="BS407" s="38"/>
    </row>
    <row r="408" spans="1:71" ht="19.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  <c r="BM408" s="38"/>
      <c r="BN408" s="38"/>
      <c r="BO408" s="38"/>
      <c r="BP408" s="38"/>
      <c r="BQ408" s="38"/>
      <c r="BR408" s="38"/>
      <c r="BS408" s="38"/>
    </row>
    <row r="409" spans="1:71" ht="19.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  <c r="BO409" s="38"/>
      <c r="BP409" s="38"/>
      <c r="BQ409" s="38"/>
      <c r="BR409" s="38"/>
      <c r="BS409" s="38"/>
    </row>
    <row r="410" spans="1:71" ht="19.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  <c r="BM410" s="38"/>
      <c r="BN410" s="38"/>
      <c r="BO410" s="38"/>
      <c r="BP410" s="38"/>
      <c r="BQ410" s="38"/>
      <c r="BR410" s="38"/>
      <c r="BS410" s="38"/>
    </row>
    <row r="411" spans="1:71" ht="19.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  <c r="BM411" s="38"/>
      <c r="BN411" s="38"/>
      <c r="BO411" s="38"/>
      <c r="BP411" s="38"/>
      <c r="BQ411" s="38"/>
      <c r="BR411" s="38"/>
      <c r="BS411" s="38"/>
    </row>
    <row r="412" spans="1:71" ht="19.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  <c r="BM412" s="38"/>
      <c r="BN412" s="38"/>
      <c r="BO412" s="38"/>
      <c r="BP412" s="38"/>
      <c r="BQ412" s="38"/>
      <c r="BR412" s="38"/>
      <c r="BS412" s="38"/>
    </row>
    <row r="413" spans="1:71" ht="19.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  <c r="BM413" s="38"/>
      <c r="BN413" s="38"/>
      <c r="BO413" s="38"/>
      <c r="BP413" s="38"/>
      <c r="BQ413" s="38"/>
      <c r="BR413" s="38"/>
      <c r="BS413" s="38"/>
    </row>
    <row r="414" spans="1:71" ht="19.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  <c r="BM414" s="38"/>
      <c r="BN414" s="38"/>
      <c r="BO414" s="38"/>
      <c r="BP414" s="38"/>
      <c r="BQ414" s="38"/>
      <c r="BR414" s="38"/>
      <c r="BS414" s="38"/>
    </row>
    <row r="415" spans="1:71" ht="19.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  <c r="BP415" s="38"/>
      <c r="BQ415" s="38"/>
      <c r="BR415" s="38"/>
      <c r="BS415" s="38"/>
    </row>
    <row r="416" spans="1:71" ht="19.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  <c r="BM416" s="38"/>
      <c r="BN416" s="38"/>
      <c r="BO416" s="38"/>
      <c r="BP416" s="38"/>
      <c r="BQ416" s="38"/>
      <c r="BR416" s="38"/>
      <c r="BS416" s="38"/>
    </row>
    <row r="417" spans="1:71" ht="19.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  <c r="BM417" s="38"/>
      <c r="BN417" s="38"/>
      <c r="BO417" s="38"/>
      <c r="BP417" s="38"/>
      <c r="BQ417" s="38"/>
      <c r="BR417" s="38"/>
      <c r="BS417" s="38"/>
    </row>
    <row r="418" spans="1:71" ht="19.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  <c r="BM418" s="38"/>
      <c r="BN418" s="38"/>
      <c r="BO418" s="38"/>
      <c r="BP418" s="38"/>
      <c r="BQ418" s="38"/>
      <c r="BR418" s="38"/>
      <c r="BS418" s="38"/>
    </row>
    <row r="419" spans="1:71" ht="19.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  <c r="BM419" s="38"/>
      <c r="BN419" s="38"/>
      <c r="BO419" s="38"/>
      <c r="BP419" s="38"/>
      <c r="BQ419" s="38"/>
      <c r="BR419" s="38"/>
      <c r="BS419" s="38"/>
    </row>
    <row r="420" spans="1:71" ht="19.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  <c r="BM420" s="38"/>
      <c r="BN420" s="38"/>
      <c r="BO420" s="38"/>
      <c r="BP420" s="38"/>
      <c r="BQ420" s="38"/>
      <c r="BR420" s="38"/>
      <c r="BS420" s="38"/>
    </row>
    <row r="421" spans="1:71" ht="19.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  <c r="BM421" s="38"/>
      <c r="BN421" s="38"/>
      <c r="BO421" s="38"/>
      <c r="BP421" s="38"/>
      <c r="BQ421" s="38"/>
      <c r="BR421" s="38"/>
      <c r="BS421" s="38"/>
    </row>
    <row r="422" spans="1:71" ht="19.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  <c r="BS422" s="38"/>
    </row>
    <row r="423" spans="1:71" ht="19.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  <c r="BO423" s="38"/>
      <c r="BP423" s="38"/>
      <c r="BQ423" s="38"/>
      <c r="BR423" s="38"/>
      <c r="BS423" s="38"/>
    </row>
    <row r="424" spans="1:71" ht="19.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  <c r="BM424" s="38"/>
      <c r="BN424" s="38"/>
      <c r="BO424" s="38"/>
      <c r="BP424" s="38"/>
      <c r="BQ424" s="38"/>
      <c r="BR424" s="38"/>
      <c r="BS424" s="38"/>
    </row>
    <row r="425" spans="1:71" ht="19.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  <c r="BM425" s="38"/>
      <c r="BN425" s="38"/>
      <c r="BO425" s="38"/>
      <c r="BP425" s="38"/>
      <c r="BQ425" s="38"/>
      <c r="BR425" s="38"/>
      <c r="BS425" s="38"/>
    </row>
    <row r="426" spans="1:71" ht="19.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  <c r="BM426" s="38"/>
      <c r="BN426" s="38"/>
      <c r="BO426" s="38"/>
      <c r="BP426" s="38"/>
      <c r="BQ426" s="38"/>
      <c r="BR426" s="38"/>
      <c r="BS426" s="38"/>
    </row>
    <row r="427" spans="1:71" ht="19.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  <c r="BM427" s="38"/>
      <c r="BN427" s="38"/>
      <c r="BO427" s="38"/>
      <c r="BP427" s="38"/>
      <c r="BQ427" s="38"/>
      <c r="BR427" s="38"/>
      <c r="BS427" s="38"/>
    </row>
    <row r="428" spans="1:71" ht="19.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  <c r="BM428" s="38"/>
      <c r="BN428" s="38"/>
      <c r="BO428" s="38"/>
      <c r="BP428" s="38"/>
      <c r="BQ428" s="38"/>
      <c r="BR428" s="38"/>
      <c r="BS428" s="38"/>
    </row>
    <row r="429" spans="1:71" ht="19.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  <c r="BQ429" s="38"/>
      <c r="BR429" s="38"/>
      <c r="BS429" s="38"/>
    </row>
    <row r="430" spans="1:71" ht="19.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  <c r="BM430" s="38"/>
      <c r="BN430" s="38"/>
      <c r="BO430" s="38"/>
      <c r="BP430" s="38"/>
      <c r="BQ430" s="38"/>
      <c r="BR430" s="38"/>
      <c r="BS430" s="38"/>
    </row>
    <row r="431" spans="1:71" ht="19.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  <c r="BO431" s="38"/>
      <c r="BP431" s="38"/>
      <c r="BQ431" s="38"/>
      <c r="BR431" s="38"/>
      <c r="BS431" s="38"/>
    </row>
    <row r="432" spans="1:71" ht="19.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  <c r="BM432" s="38"/>
      <c r="BN432" s="38"/>
      <c r="BO432" s="38"/>
      <c r="BP432" s="38"/>
      <c r="BQ432" s="38"/>
      <c r="BR432" s="38"/>
      <c r="BS432" s="38"/>
    </row>
    <row r="433" spans="1:71" ht="19.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  <c r="BO433" s="38"/>
      <c r="BP433" s="38"/>
      <c r="BQ433" s="38"/>
      <c r="BR433" s="38"/>
      <c r="BS433" s="38"/>
    </row>
    <row r="434" spans="1:71" ht="19.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  <c r="BO434" s="38"/>
      <c r="BP434" s="38"/>
      <c r="BQ434" s="38"/>
      <c r="BR434" s="38"/>
      <c r="BS434" s="38"/>
    </row>
    <row r="435" spans="1:71" ht="19.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  <c r="BM435" s="38"/>
      <c r="BN435" s="38"/>
      <c r="BO435" s="38"/>
      <c r="BP435" s="38"/>
      <c r="BQ435" s="38"/>
      <c r="BR435" s="38"/>
      <c r="BS435" s="38"/>
    </row>
    <row r="436" spans="1:71" ht="19.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  <c r="BM436" s="38"/>
      <c r="BN436" s="38"/>
      <c r="BO436" s="38"/>
      <c r="BP436" s="38"/>
      <c r="BQ436" s="38"/>
      <c r="BR436" s="38"/>
      <c r="BS436" s="38"/>
    </row>
    <row r="437" spans="1:71" ht="19.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  <c r="BQ437" s="38"/>
      <c r="BR437" s="38"/>
      <c r="BS437" s="38"/>
    </row>
    <row r="438" spans="1:71" ht="19.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  <c r="BM438" s="38"/>
      <c r="BN438" s="38"/>
      <c r="BO438" s="38"/>
      <c r="BP438" s="38"/>
      <c r="BQ438" s="38"/>
      <c r="BR438" s="38"/>
      <c r="BS438" s="38"/>
    </row>
    <row r="439" spans="1:71" ht="19.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  <c r="BM439" s="38"/>
      <c r="BN439" s="38"/>
      <c r="BO439" s="38"/>
      <c r="BP439" s="38"/>
      <c r="BQ439" s="38"/>
      <c r="BR439" s="38"/>
      <c r="BS439" s="38"/>
    </row>
    <row r="440" spans="1:71" ht="19.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  <c r="BM440" s="38"/>
      <c r="BN440" s="38"/>
      <c r="BO440" s="38"/>
      <c r="BP440" s="38"/>
      <c r="BQ440" s="38"/>
      <c r="BR440" s="38"/>
      <c r="BS440" s="38"/>
    </row>
    <row r="441" spans="1:71" ht="19.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  <c r="BM441" s="38"/>
      <c r="BN441" s="38"/>
      <c r="BO441" s="38"/>
      <c r="BP441" s="38"/>
      <c r="BQ441" s="38"/>
      <c r="BR441" s="38"/>
      <c r="BS441" s="38"/>
    </row>
    <row r="442" spans="1:71" ht="19.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  <c r="BM442" s="38"/>
      <c r="BN442" s="38"/>
      <c r="BO442" s="38"/>
      <c r="BP442" s="38"/>
      <c r="BQ442" s="38"/>
      <c r="BR442" s="38"/>
      <c r="BS442" s="38"/>
    </row>
    <row r="443" spans="1:71" ht="19.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  <c r="BM443" s="38"/>
      <c r="BN443" s="38"/>
      <c r="BO443" s="38"/>
      <c r="BP443" s="38"/>
      <c r="BQ443" s="38"/>
      <c r="BR443" s="38"/>
      <c r="BS443" s="38"/>
    </row>
    <row r="444" spans="1:71" ht="19.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  <c r="BP444" s="38"/>
      <c r="BQ444" s="38"/>
      <c r="BR444" s="38"/>
      <c r="BS444" s="38"/>
    </row>
    <row r="445" spans="1:71" ht="19.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  <c r="BO445" s="38"/>
      <c r="BP445" s="38"/>
      <c r="BQ445" s="38"/>
      <c r="BR445" s="38"/>
      <c r="BS445" s="38"/>
    </row>
    <row r="446" spans="1:71" ht="19.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  <c r="BO446" s="38"/>
      <c r="BP446" s="38"/>
      <c r="BQ446" s="38"/>
      <c r="BR446" s="38"/>
      <c r="BS446" s="38"/>
    </row>
    <row r="447" spans="1:71" ht="19.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  <c r="BM447" s="38"/>
      <c r="BN447" s="38"/>
      <c r="BO447" s="38"/>
      <c r="BP447" s="38"/>
      <c r="BQ447" s="38"/>
      <c r="BR447" s="38"/>
      <c r="BS447" s="38"/>
    </row>
    <row r="448" spans="1:71" ht="19.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  <c r="BO448" s="38"/>
      <c r="BP448" s="38"/>
      <c r="BQ448" s="38"/>
      <c r="BR448" s="38"/>
      <c r="BS448" s="38"/>
    </row>
    <row r="449" spans="1:71" ht="19.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  <c r="BO449" s="38"/>
      <c r="BP449" s="38"/>
      <c r="BQ449" s="38"/>
      <c r="BR449" s="38"/>
      <c r="BS449" s="38"/>
    </row>
    <row r="450" spans="1:71" ht="19.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  <c r="BO450" s="38"/>
      <c r="BP450" s="38"/>
      <c r="BQ450" s="38"/>
      <c r="BR450" s="38"/>
      <c r="BS450" s="38"/>
    </row>
    <row r="451" spans="1:71" ht="19.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  <c r="BS451" s="38"/>
    </row>
    <row r="452" spans="1:71" ht="19.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  <c r="BO452" s="38"/>
      <c r="BP452" s="38"/>
      <c r="BQ452" s="38"/>
      <c r="BR452" s="38"/>
      <c r="BS452" s="38"/>
    </row>
    <row r="453" spans="1:71" ht="19.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  <c r="BM453" s="38"/>
      <c r="BN453" s="38"/>
      <c r="BO453" s="38"/>
      <c r="BP453" s="38"/>
      <c r="BQ453" s="38"/>
      <c r="BR453" s="38"/>
      <c r="BS453" s="38"/>
    </row>
    <row r="454" spans="1:71" ht="19.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  <c r="BM454" s="38"/>
      <c r="BN454" s="38"/>
      <c r="BO454" s="38"/>
      <c r="BP454" s="38"/>
      <c r="BQ454" s="38"/>
      <c r="BR454" s="38"/>
      <c r="BS454" s="38"/>
    </row>
    <row r="455" spans="1:71" ht="19.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  <c r="BM455" s="38"/>
      <c r="BN455" s="38"/>
      <c r="BO455" s="38"/>
      <c r="BP455" s="38"/>
      <c r="BQ455" s="38"/>
      <c r="BR455" s="38"/>
      <c r="BS455" s="38"/>
    </row>
    <row r="456" spans="1:71" ht="19.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  <c r="BM456" s="38"/>
      <c r="BN456" s="38"/>
      <c r="BO456" s="38"/>
      <c r="BP456" s="38"/>
      <c r="BQ456" s="38"/>
      <c r="BR456" s="38"/>
      <c r="BS456" s="38"/>
    </row>
    <row r="457" spans="1:71" ht="19.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  <c r="BM457" s="38"/>
      <c r="BN457" s="38"/>
      <c r="BO457" s="38"/>
      <c r="BP457" s="38"/>
      <c r="BQ457" s="38"/>
      <c r="BR457" s="38"/>
      <c r="BS457" s="38"/>
    </row>
    <row r="458" spans="1:71" ht="19.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  <c r="BM458" s="38"/>
      <c r="BN458" s="38"/>
      <c r="BO458" s="38"/>
      <c r="BP458" s="38"/>
      <c r="BQ458" s="38"/>
      <c r="BR458" s="38"/>
      <c r="BS458" s="38"/>
    </row>
    <row r="459" spans="1:71" ht="19.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  <c r="BP459" s="38"/>
      <c r="BQ459" s="38"/>
      <c r="BR459" s="38"/>
      <c r="BS459" s="38"/>
    </row>
    <row r="460" spans="1:71" ht="19.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  <c r="BM460" s="38"/>
      <c r="BN460" s="38"/>
      <c r="BO460" s="38"/>
      <c r="BP460" s="38"/>
      <c r="BQ460" s="38"/>
      <c r="BR460" s="38"/>
      <c r="BS460" s="38"/>
    </row>
    <row r="461" spans="1:71" ht="19.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  <c r="BM461" s="38"/>
      <c r="BN461" s="38"/>
      <c r="BO461" s="38"/>
      <c r="BP461" s="38"/>
      <c r="BQ461" s="38"/>
      <c r="BR461" s="38"/>
      <c r="BS461" s="38"/>
    </row>
    <row r="462" spans="1:71" ht="19.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  <c r="BM462" s="38"/>
      <c r="BN462" s="38"/>
      <c r="BO462" s="38"/>
      <c r="BP462" s="38"/>
      <c r="BQ462" s="38"/>
      <c r="BR462" s="38"/>
      <c r="BS462" s="38"/>
    </row>
    <row r="463" spans="1:71" ht="19.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  <c r="BM463" s="38"/>
      <c r="BN463" s="38"/>
      <c r="BO463" s="38"/>
      <c r="BP463" s="38"/>
      <c r="BQ463" s="38"/>
      <c r="BR463" s="38"/>
      <c r="BS463" s="38"/>
    </row>
    <row r="464" spans="1:71" ht="19.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  <c r="BM464" s="38"/>
      <c r="BN464" s="38"/>
      <c r="BO464" s="38"/>
      <c r="BP464" s="38"/>
      <c r="BQ464" s="38"/>
      <c r="BR464" s="38"/>
      <c r="BS464" s="38"/>
    </row>
    <row r="465" spans="1:71" ht="19.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  <c r="BM465" s="38"/>
      <c r="BN465" s="38"/>
      <c r="BO465" s="38"/>
      <c r="BP465" s="38"/>
      <c r="BQ465" s="38"/>
      <c r="BR465" s="38"/>
      <c r="BS465" s="38"/>
    </row>
    <row r="466" spans="1:71" ht="19.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  <c r="BP466" s="38"/>
      <c r="BQ466" s="38"/>
      <c r="BR466" s="38"/>
      <c r="BS466" s="38"/>
    </row>
    <row r="467" spans="1:71" ht="19.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  <c r="BM467" s="38"/>
      <c r="BN467" s="38"/>
      <c r="BO467" s="38"/>
      <c r="BP467" s="38"/>
      <c r="BQ467" s="38"/>
      <c r="BR467" s="38"/>
      <c r="BS467" s="38"/>
    </row>
    <row r="468" spans="1:71" ht="19.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  <c r="BM468" s="38"/>
      <c r="BN468" s="38"/>
      <c r="BO468" s="38"/>
      <c r="BP468" s="38"/>
      <c r="BQ468" s="38"/>
      <c r="BR468" s="38"/>
      <c r="BS468" s="38"/>
    </row>
    <row r="469" spans="1:71" ht="19.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  <c r="BM469" s="38"/>
      <c r="BN469" s="38"/>
      <c r="BO469" s="38"/>
      <c r="BP469" s="38"/>
      <c r="BQ469" s="38"/>
      <c r="BR469" s="38"/>
      <c r="BS469" s="38"/>
    </row>
    <row r="470" spans="1:71" ht="19.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  <c r="BM470" s="38"/>
      <c r="BN470" s="38"/>
      <c r="BO470" s="38"/>
      <c r="BP470" s="38"/>
      <c r="BQ470" s="38"/>
      <c r="BR470" s="38"/>
      <c r="BS470" s="38"/>
    </row>
    <row r="471" spans="1:71" ht="19.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  <c r="BM471" s="38"/>
      <c r="BN471" s="38"/>
      <c r="BO471" s="38"/>
      <c r="BP471" s="38"/>
      <c r="BQ471" s="38"/>
      <c r="BR471" s="38"/>
      <c r="BS471" s="38"/>
    </row>
    <row r="472" spans="1:71" ht="19.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  <c r="BM472" s="38"/>
      <c r="BN472" s="38"/>
      <c r="BO472" s="38"/>
      <c r="BP472" s="38"/>
      <c r="BQ472" s="38"/>
      <c r="BR472" s="38"/>
      <c r="BS472" s="38"/>
    </row>
    <row r="473" spans="1:71" ht="19.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  <c r="BM473" s="38"/>
      <c r="BN473" s="38"/>
      <c r="BO473" s="38"/>
      <c r="BP473" s="38"/>
      <c r="BQ473" s="38"/>
      <c r="BR473" s="38"/>
      <c r="BS473" s="38"/>
    </row>
    <row r="474" spans="1:71" ht="19.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  <c r="BM474" s="38"/>
      <c r="BN474" s="38"/>
      <c r="BO474" s="38"/>
      <c r="BP474" s="38"/>
      <c r="BQ474" s="38"/>
      <c r="BR474" s="38"/>
      <c r="BS474" s="38"/>
    </row>
    <row r="475" spans="1:71" ht="19.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  <c r="BM475" s="38"/>
      <c r="BN475" s="38"/>
      <c r="BO475" s="38"/>
      <c r="BP475" s="38"/>
      <c r="BQ475" s="38"/>
      <c r="BR475" s="38"/>
      <c r="BS475" s="38"/>
    </row>
    <row r="476" spans="1:71" ht="19.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  <c r="BM476" s="38"/>
      <c r="BN476" s="38"/>
      <c r="BO476" s="38"/>
      <c r="BP476" s="38"/>
      <c r="BQ476" s="38"/>
      <c r="BR476" s="38"/>
      <c r="BS476" s="38"/>
    </row>
    <row r="477" spans="1:71" ht="19.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  <c r="BM477" s="38"/>
      <c r="BN477" s="38"/>
      <c r="BO477" s="38"/>
      <c r="BP477" s="38"/>
      <c r="BQ477" s="38"/>
      <c r="BR477" s="38"/>
      <c r="BS477" s="38"/>
    </row>
    <row r="478" spans="1:71" ht="19.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  <c r="BM478" s="38"/>
      <c r="BN478" s="38"/>
      <c r="BO478" s="38"/>
      <c r="BP478" s="38"/>
      <c r="BQ478" s="38"/>
      <c r="BR478" s="38"/>
      <c r="BS478" s="38"/>
    </row>
    <row r="479" spans="1:71" ht="19.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  <c r="BM479" s="38"/>
      <c r="BN479" s="38"/>
      <c r="BO479" s="38"/>
      <c r="BP479" s="38"/>
      <c r="BQ479" s="38"/>
      <c r="BR479" s="38"/>
      <c r="BS479" s="38"/>
    </row>
    <row r="480" spans="1:71" ht="19.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  <c r="BM480" s="38"/>
      <c r="BN480" s="38"/>
      <c r="BO480" s="38"/>
      <c r="BP480" s="38"/>
      <c r="BQ480" s="38"/>
      <c r="BR480" s="38"/>
      <c r="BS480" s="38"/>
    </row>
    <row r="481" spans="1:71" ht="19.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  <c r="BM481" s="38"/>
      <c r="BN481" s="38"/>
      <c r="BO481" s="38"/>
      <c r="BP481" s="38"/>
      <c r="BQ481" s="38"/>
      <c r="BR481" s="38"/>
      <c r="BS481" s="38"/>
    </row>
    <row r="482" spans="1:71" ht="19.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  <c r="BM482" s="38"/>
      <c r="BN482" s="38"/>
      <c r="BO482" s="38"/>
      <c r="BP482" s="38"/>
      <c r="BQ482" s="38"/>
      <c r="BR482" s="38"/>
      <c r="BS482" s="38"/>
    </row>
    <row r="483" spans="1:71" ht="19.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  <c r="BM483" s="38"/>
      <c r="BN483" s="38"/>
      <c r="BO483" s="38"/>
      <c r="BP483" s="38"/>
      <c r="BQ483" s="38"/>
      <c r="BR483" s="38"/>
      <c r="BS483" s="38"/>
    </row>
    <row r="484" spans="1:71" ht="19.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  <c r="BM484" s="38"/>
      <c r="BN484" s="38"/>
      <c r="BO484" s="38"/>
      <c r="BP484" s="38"/>
      <c r="BQ484" s="38"/>
      <c r="BR484" s="38"/>
      <c r="BS484" s="38"/>
    </row>
    <row r="485" spans="1:71" ht="19.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  <c r="BM485" s="38"/>
      <c r="BN485" s="38"/>
      <c r="BO485" s="38"/>
      <c r="BP485" s="38"/>
      <c r="BQ485" s="38"/>
      <c r="BR485" s="38"/>
      <c r="BS485" s="38"/>
    </row>
    <row r="486" spans="1:71" ht="19.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  <c r="BM486" s="38"/>
      <c r="BN486" s="38"/>
      <c r="BO486" s="38"/>
      <c r="BP486" s="38"/>
      <c r="BQ486" s="38"/>
      <c r="BR486" s="38"/>
      <c r="BS486" s="38"/>
    </row>
    <row r="487" spans="1:71" ht="19.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  <c r="BM487" s="38"/>
      <c r="BN487" s="38"/>
      <c r="BO487" s="38"/>
      <c r="BP487" s="38"/>
      <c r="BQ487" s="38"/>
      <c r="BR487" s="38"/>
      <c r="BS487" s="38"/>
    </row>
    <row r="488" spans="1:71" ht="19.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  <c r="BM488" s="38"/>
      <c r="BN488" s="38"/>
      <c r="BO488" s="38"/>
      <c r="BP488" s="38"/>
      <c r="BQ488" s="38"/>
      <c r="BR488" s="38"/>
      <c r="BS488" s="38"/>
    </row>
    <row r="489" spans="1:71" ht="19.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  <c r="BM489" s="38"/>
      <c r="BN489" s="38"/>
      <c r="BO489" s="38"/>
      <c r="BP489" s="38"/>
      <c r="BQ489" s="38"/>
      <c r="BR489" s="38"/>
      <c r="BS489" s="38"/>
    </row>
    <row r="490" spans="1:71" ht="19.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  <c r="BM490" s="38"/>
      <c r="BN490" s="38"/>
      <c r="BO490" s="38"/>
      <c r="BP490" s="38"/>
      <c r="BQ490" s="38"/>
      <c r="BR490" s="38"/>
      <c r="BS490" s="38"/>
    </row>
    <row r="491" spans="1:71" ht="19.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  <c r="BM491" s="38"/>
      <c r="BN491" s="38"/>
      <c r="BO491" s="38"/>
      <c r="BP491" s="38"/>
      <c r="BQ491" s="38"/>
      <c r="BR491" s="38"/>
      <c r="BS491" s="38"/>
    </row>
    <row r="492" spans="1:71" ht="19.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  <c r="BM492" s="38"/>
      <c r="BN492" s="38"/>
      <c r="BO492" s="38"/>
      <c r="BP492" s="38"/>
      <c r="BQ492" s="38"/>
      <c r="BR492" s="38"/>
      <c r="BS492" s="38"/>
    </row>
    <row r="493" spans="1:71" ht="19.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  <c r="BM493" s="38"/>
      <c r="BN493" s="38"/>
      <c r="BO493" s="38"/>
      <c r="BP493" s="38"/>
      <c r="BQ493" s="38"/>
      <c r="BR493" s="38"/>
      <c r="BS493" s="38"/>
    </row>
    <row r="494" spans="1:71" ht="19.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  <c r="BM494" s="38"/>
      <c r="BN494" s="38"/>
      <c r="BO494" s="38"/>
      <c r="BP494" s="38"/>
      <c r="BQ494" s="38"/>
      <c r="BR494" s="38"/>
      <c r="BS494" s="38"/>
    </row>
    <row r="495" spans="1:71" ht="19.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  <c r="BM495" s="38"/>
      <c r="BN495" s="38"/>
      <c r="BO495" s="38"/>
      <c r="BP495" s="38"/>
      <c r="BQ495" s="38"/>
      <c r="BR495" s="38"/>
      <c r="BS495" s="38"/>
    </row>
    <row r="496" spans="1:71" ht="19.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  <c r="BM496" s="38"/>
      <c r="BN496" s="38"/>
      <c r="BO496" s="38"/>
      <c r="BP496" s="38"/>
      <c r="BQ496" s="38"/>
      <c r="BR496" s="38"/>
      <c r="BS496" s="38"/>
    </row>
    <row r="497" spans="1:71" ht="19.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  <c r="BM497" s="38"/>
      <c r="BN497" s="38"/>
      <c r="BO497" s="38"/>
      <c r="BP497" s="38"/>
      <c r="BQ497" s="38"/>
      <c r="BR497" s="38"/>
      <c r="BS497" s="38"/>
    </row>
    <row r="498" spans="1:71" ht="19.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  <c r="BM498" s="38"/>
      <c r="BN498" s="38"/>
      <c r="BO498" s="38"/>
      <c r="BP498" s="38"/>
      <c r="BQ498" s="38"/>
      <c r="BR498" s="38"/>
      <c r="BS498" s="38"/>
    </row>
    <row r="499" spans="1:71" ht="19.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  <c r="BM499" s="38"/>
      <c r="BN499" s="38"/>
      <c r="BO499" s="38"/>
      <c r="BP499" s="38"/>
      <c r="BQ499" s="38"/>
      <c r="BR499" s="38"/>
      <c r="BS499" s="38"/>
    </row>
    <row r="500" spans="1:71" ht="19.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  <c r="BM500" s="38"/>
      <c r="BN500" s="38"/>
      <c r="BO500" s="38"/>
      <c r="BP500" s="38"/>
      <c r="BQ500" s="38"/>
      <c r="BR500" s="38"/>
      <c r="BS500" s="38"/>
    </row>
    <row r="501" spans="1:71" ht="19.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  <c r="BM501" s="38"/>
      <c r="BN501" s="38"/>
      <c r="BO501" s="38"/>
      <c r="BP501" s="38"/>
      <c r="BQ501" s="38"/>
      <c r="BR501" s="38"/>
      <c r="BS501" s="38"/>
    </row>
    <row r="502" spans="1:71" ht="19.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  <c r="BM502" s="38"/>
      <c r="BN502" s="38"/>
      <c r="BO502" s="38"/>
      <c r="BP502" s="38"/>
      <c r="BQ502" s="38"/>
      <c r="BR502" s="38"/>
      <c r="BS502" s="38"/>
    </row>
    <row r="503" spans="1:71" ht="19.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  <c r="BM503" s="38"/>
      <c r="BN503" s="38"/>
      <c r="BO503" s="38"/>
      <c r="BP503" s="38"/>
      <c r="BQ503" s="38"/>
      <c r="BR503" s="38"/>
      <c r="BS503" s="38"/>
    </row>
    <row r="504" spans="1:71" ht="19.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  <c r="BM504" s="38"/>
      <c r="BN504" s="38"/>
      <c r="BO504" s="38"/>
      <c r="BP504" s="38"/>
      <c r="BQ504" s="38"/>
      <c r="BR504" s="38"/>
      <c r="BS504" s="38"/>
    </row>
    <row r="505" spans="1:71" ht="19.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  <c r="BM505" s="38"/>
      <c r="BN505" s="38"/>
      <c r="BO505" s="38"/>
      <c r="BP505" s="38"/>
      <c r="BQ505" s="38"/>
      <c r="BR505" s="38"/>
      <c r="BS505" s="38"/>
    </row>
    <row r="506" spans="1:71" ht="19.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  <c r="BM506" s="38"/>
      <c r="BN506" s="38"/>
      <c r="BO506" s="38"/>
      <c r="BP506" s="38"/>
      <c r="BQ506" s="38"/>
      <c r="BR506" s="38"/>
      <c r="BS506" s="38"/>
    </row>
    <row r="507" spans="1:71" ht="19.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  <c r="BM507" s="38"/>
      <c r="BN507" s="38"/>
      <c r="BO507" s="38"/>
      <c r="BP507" s="38"/>
      <c r="BQ507" s="38"/>
      <c r="BR507" s="38"/>
      <c r="BS507" s="38"/>
    </row>
    <row r="508" spans="1:71" ht="19.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  <c r="BM508" s="38"/>
      <c r="BN508" s="38"/>
      <c r="BO508" s="38"/>
      <c r="BP508" s="38"/>
      <c r="BQ508" s="38"/>
      <c r="BR508" s="38"/>
      <c r="BS508" s="38"/>
    </row>
    <row r="509" spans="1:71" ht="19.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  <c r="BM509" s="38"/>
      <c r="BN509" s="38"/>
      <c r="BO509" s="38"/>
      <c r="BP509" s="38"/>
      <c r="BQ509" s="38"/>
      <c r="BR509" s="38"/>
      <c r="BS509" s="38"/>
    </row>
    <row r="510" spans="1:71" ht="19.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  <c r="BM510" s="38"/>
      <c r="BN510" s="38"/>
      <c r="BO510" s="38"/>
      <c r="BP510" s="38"/>
      <c r="BQ510" s="38"/>
      <c r="BR510" s="38"/>
      <c r="BS510" s="38"/>
    </row>
    <row r="511" spans="1:71" ht="19.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  <c r="BM511" s="38"/>
      <c r="BN511" s="38"/>
      <c r="BO511" s="38"/>
      <c r="BP511" s="38"/>
      <c r="BQ511" s="38"/>
      <c r="BR511" s="38"/>
      <c r="BS511" s="38"/>
    </row>
    <row r="512" spans="1:71" ht="19.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  <c r="BM512" s="38"/>
      <c r="BN512" s="38"/>
      <c r="BO512" s="38"/>
      <c r="BP512" s="38"/>
      <c r="BQ512" s="38"/>
      <c r="BR512" s="38"/>
      <c r="BS512" s="38"/>
    </row>
    <row r="513" spans="1:71" ht="19.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  <c r="BM513" s="38"/>
      <c r="BN513" s="38"/>
      <c r="BO513" s="38"/>
      <c r="BP513" s="38"/>
      <c r="BQ513" s="38"/>
      <c r="BR513" s="38"/>
      <c r="BS513" s="38"/>
    </row>
    <row r="514" spans="1:71" ht="19.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  <c r="BM514" s="38"/>
      <c r="BN514" s="38"/>
      <c r="BO514" s="38"/>
      <c r="BP514" s="38"/>
      <c r="BQ514" s="38"/>
      <c r="BR514" s="38"/>
      <c r="BS514" s="38"/>
    </row>
    <row r="515" spans="1:71" ht="19.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  <c r="BM515" s="38"/>
      <c r="BN515" s="38"/>
      <c r="BO515" s="38"/>
      <c r="BP515" s="38"/>
      <c r="BQ515" s="38"/>
      <c r="BR515" s="38"/>
      <c r="BS515" s="38"/>
    </row>
    <row r="516" spans="1:71" ht="19.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  <c r="BM516" s="38"/>
      <c r="BN516" s="38"/>
      <c r="BO516" s="38"/>
      <c r="BP516" s="38"/>
      <c r="BQ516" s="38"/>
      <c r="BR516" s="38"/>
      <c r="BS516" s="38"/>
    </row>
    <row r="517" spans="1:71" ht="19.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  <c r="BO517" s="38"/>
      <c r="BP517" s="38"/>
      <c r="BQ517" s="38"/>
      <c r="BR517" s="38"/>
      <c r="BS517" s="38"/>
    </row>
    <row r="518" spans="1:71" ht="19.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  <c r="BO518" s="38"/>
      <c r="BP518" s="38"/>
      <c r="BQ518" s="38"/>
      <c r="BR518" s="38"/>
      <c r="BS518" s="38"/>
    </row>
    <row r="519" spans="1:71" ht="19.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  <c r="BM519" s="38"/>
      <c r="BN519" s="38"/>
      <c r="BO519" s="38"/>
      <c r="BP519" s="38"/>
      <c r="BQ519" s="38"/>
      <c r="BR519" s="38"/>
      <c r="BS519" s="38"/>
    </row>
    <row r="520" spans="1:71" ht="19.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  <c r="BM520" s="38"/>
      <c r="BN520" s="38"/>
      <c r="BO520" s="38"/>
      <c r="BP520" s="38"/>
      <c r="BQ520" s="38"/>
      <c r="BR520" s="38"/>
      <c r="BS520" s="38"/>
    </row>
    <row r="521" spans="1:71" ht="19.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  <c r="BM521" s="38"/>
      <c r="BN521" s="38"/>
      <c r="BO521" s="38"/>
      <c r="BP521" s="38"/>
      <c r="BQ521" s="38"/>
      <c r="BR521" s="38"/>
      <c r="BS521" s="38"/>
    </row>
    <row r="522" spans="1:71" ht="19.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  <c r="BM522" s="38"/>
      <c r="BN522" s="38"/>
      <c r="BO522" s="38"/>
      <c r="BP522" s="38"/>
      <c r="BQ522" s="38"/>
      <c r="BR522" s="38"/>
      <c r="BS522" s="38"/>
    </row>
    <row r="523" spans="1:71" ht="19.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  <c r="BM523" s="38"/>
      <c r="BN523" s="38"/>
      <c r="BO523" s="38"/>
      <c r="BP523" s="38"/>
      <c r="BQ523" s="38"/>
      <c r="BR523" s="38"/>
      <c r="BS523" s="38"/>
    </row>
    <row r="524" spans="1:71" ht="19.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  <c r="BM524" s="38"/>
      <c r="BN524" s="38"/>
      <c r="BO524" s="38"/>
      <c r="BP524" s="38"/>
      <c r="BQ524" s="38"/>
      <c r="BR524" s="38"/>
      <c r="BS524" s="38"/>
    </row>
    <row r="525" spans="1:71" ht="19.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  <c r="BM525" s="38"/>
      <c r="BN525" s="38"/>
      <c r="BO525" s="38"/>
      <c r="BP525" s="38"/>
      <c r="BQ525" s="38"/>
      <c r="BR525" s="38"/>
      <c r="BS525" s="38"/>
    </row>
    <row r="526" spans="1:71" ht="19.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  <c r="BO526" s="38"/>
      <c r="BP526" s="38"/>
      <c r="BQ526" s="38"/>
      <c r="BR526" s="38"/>
      <c r="BS526" s="38"/>
    </row>
    <row r="527" spans="1:71" ht="19.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  <c r="BO527" s="38"/>
      <c r="BP527" s="38"/>
      <c r="BQ527" s="38"/>
      <c r="BR527" s="38"/>
      <c r="BS527" s="38"/>
    </row>
    <row r="528" spans="1:71" ht="19.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  <c r="BO528" s="38"/>
      <c r="BP528" s="38"/>
      <c r="BQ528" s="38"/>
      <c r="BR528" s="38"/>
      <c r="BS528" s="38"/>
    </row>
    <row r="529" spans="1:71" ht="19.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  <c r="BP529" s="38"/>
      <c r="BQ529" s="38"/>
      <c r="BR529" s="38"/>
      <c r="BS529" s="38"/>
    </row>
    <row r="530" spans="1:71" ht="19.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  <c r="BO530" s="38"/>
      <c r="BP530" s="38"/>
      <c r="BQ530" s="38"/>
      <c r="BR530" s="38"/>
      <c r="BS530" s="38"/>
    </row>
    <row r="531" spans="1:71" ht="19.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  <c r="BM531" s="38"/>
      <c r="BN531" s="38"/>
      <c r="BO531" s="38"/>
      <c r="BP531" s="38"/>
      <c r="BQ531" s="38"/>
      <c r="BR531" s="38"/>
      <c r="BS531" s="38"/>
    </row>
    <row r="532" spans="1:71" ht="19.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  <c r="BM532" s="38"/>
      <c r="BN532" s="38"/>
      <c r="BO532" s="38"/>
      <c r="BP532" s="38"/>
      <c r="BQ532" s="38"/>
      <c r="BR532" s="38"/>
      <c r="BS532" s="38"/>
    </row>
    <row r="533" spans="1:71" ht="19.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  <c r="BM533" s="38"/>
      <c r="BN533" s="38"/>
      <c r="BO533" s="38"/>
      <c r="BP533" s="38"/>
      <c r="BQ533" s="38"/>
      <c r="BR533" s="38"/>
      <c r="BS533" s="38"/>
    </row>
    <row r="534" spans="1:71" ht="19.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  <c r="BM534" s="38"/>
      <c r="BN534" s="38"/>
      <c r="BO534" s="38"/>
      <c r="BP534" s="38"/>
      <c r="BQ534" s="38"/>
      <c r="BR534" s="38"/>
      <c r="BS534" s="38"/>
    </row>
    <row r="535" spans="1:71" ht="19.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  <c r="BM535" s="38"/>
      <c r="BN535" s="38"/>
      <c r="BO535" s="38"/>
      <c r="BP535" s="38"/>
      <c r="BQ535" s="38"/>
      <c r="BR535" s="38"/>
      <c r="BS535" s="38"/>
    </row>
    <row r="536" spans="1:71" ht="19.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  <c r="BM536" s="38"/>
      <c r="BN536" s="38"/>
      <c r="BO536" s="38"/>
      <c r="BP536" s="38"/>
      <c r="BQ536" s="38"/>
      <c r="BR536" s="38"/>
      <c r="BS536" s="38"/>
    </row>
    <row r="537" spans="1:71" ht="19.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  <c r="BM537" s="38"/>
      <c r="BN537" s="38"/>
      <c r="BO537" s="38"/>
      <c r="BP537" s="38"/>
      <c r="BQ537" s="38"/>
      <c r="BR537" s="38"/>
      <c r="BS537" s="38"/>
    </row>
    <row r="538" spans="1:71" ht="19.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  <c r="BM538" s="38"/>
      <c r="BN538" s="38"/>
      <c r="BO538" s="38"/>
      <c r="BP538" s="38"/>
      <c r="BQ538" s="38"/>
      <c r="BR538" s="38"/>
      <c r="BS538" s="38"/>
    </row>
    <row r="539" spans="1:71" ht="19.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  <c r="BM539" s="38"/>
      <c r="BN539" s="38"/>
      <c r="BO539" s="38"/>
      <c r="BP539" s="38"/>
      <c r="BQ539" s="38"/>
      <c r="BR539" s="38"/>
      <c r="BS539" s="38"/>
    </row>
    <row r="540" spans="1:71" ht="19.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  <c r="BM540" s="38"/>
      <c r="BN540" s="38"/>
      <c r="BO540" s="38"/>
      <c r="BP540" s="38"/>
      <c r="BQ540" s="38"/>
      <c r="BR540" s="38"/>
      <c r="BS540" s="38"/>
    </row>
    <row r="541" spans="1:71" ht="19.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  <c r="BM541" s="38"/>
      <c r="BN541" s="38"/>
      <c r="BO541" s="38"/>
      <c r="BP541" s="38"/>
      <c r="BQ541" s="38"/>
      <c r="BR541" s="38"/>
      <c r="BS541" s="38"/>
    </row>
    <row r="542" spans="1:71" ht="19.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  <c r="BM542" s="38"/>
      <c r="BN542" s="38"/>
      <c r="BO542" s="38"/>
      <c r="BP542" s="38"/>
      <c r="BQ542" s="38"/>
      <c r="BR542" s="38"/>
      <c r="BS542" s="38"/>
    </row>
    <row r="543" spans="1:71" ht="19.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  <c r="BM543" s="38"/>
      <c r="BN543" s="38"/>
      <c r="BO543" s="38"/>
      <c r="BP543" s="38"/>
      <c r="BQ543" s="38"/>
      <c r="BR543" s="38"/>
      <c r="BS543" s="38"/>
    </row>
    <row r="544" spans="1:71" ht="19.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  <c r="BM544" s="38"/>
      <c r="BN544" s="38"/>
      <c r="BO544" s="38"/>
      <c r="BP544" s="38"/>
      <c r="BQ544" s="38"/>
      <c r="BR544" s="38"/>
      <c r="BS544" s="38"/>
    </row>
    <row r="545" spans="1:71" ht="19.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  <c r="BM545" s="38"/>
      <c r="BN545" s="38"/>
      <c r="BO545" s="38"/>
      <c r="BP545" s="38"/>
      <c r="BQ545" s="38"/>
      <c r="BR545" s="38"/>
      <c r="BS545" s="38"/>
    </row>
    <row r="546" spans="1:71" ht="19.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  <c r="BM546" s="38"/>
      <c r="BN546" s="38"/>
      <c r="BO546" s="38"/>
      <c r="BP546" s="38"/>
      <c r="BQ546" s="38"/>
      <c r="BR546" s="38"/>
      <c r="BS546" s="38"/>
    </row>
    <row r="547" spans="1:71" ht="19.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  <c r="BM547" s="38"/>
      <c r="BN547" s="38"/>
      <c r="BO547" s="38"/>
      <c r="BP547" s="38"/>
      <c r="BQ547" s="38"/>
      <c r="BR547" s="38"/>
      <c r="BS547" s="38"/>
    </row>
    <row r="548" spans="1:71" ht="19.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  <c r="BM548" s="38"/>
      <c r="BN548" s="38"/>
      <c r="BO548" s="38"/>
      <c r="BP548" s="38"/>
      <c r="BQ548" s="38"/>
      <c r="BR548" s="38"/>
      <c r="BS548" s="38"/>
    </row>
    <row r="549" spans="1:71" ht="19.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  <c r="BM549" s="38"/>
      <c r="BN549" s="38"/>
      <c r="BO549" s="38"/>
      <c r="BP549" s="38"/>
      <c r="BQ549" s="38"/>
      <c r="BR549" s="38"/>
      <c r="BS549" s="38"/>
    </row>
    <row r="550" spans="1:71" ht="19.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  <c r="BM550" s="38"/>
      <c r="BN550" s="38"/>
      <c r="BO550" s="38"/>
      <c r="BP550" s="38"/>
      <c r="BQ550" s="38"/>
      <c r="BR550" s="38"/>
      <c r="BS550" s="38"/>
    </row>
    <row r="551" spans="1:71" ht="19.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  <c r="BM551" s="38"/>
      <c r="BN551" s="38"/>
      <c r="BO551" s="38"/>
      <c r="BP551" s="38"/>
      <c r="BQ551" s="38"/>
      <c r="BR551" s="38"/>
      <c r="BS551" s="38"/>
    </row>
    <row r="552" spans="1:71" ht="19.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  <c r="BM552" s="38"/>
      <c r="BN552" s="38"/>
      <c r="BO552" s="38"/>
      <c r="BP552" s="38"/>
      <c r="BQ552" s="38"/>
      <c r="BR552" s="38"/>
      <c r="BS552" s="38"/>
    </row>
    <row r="553" spans="1:71" ht="19.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  <c r="BM553" s="38"/>
      <c r="BN553" s="38"/>
      <c r="BO553" s="38"/>
      <c r="BP553" s="38"/>
      <c r="BQ553" s="38"/>
      <c r="BR553" s="38"/>
      <c r="BS553" s="38"/>
    </row>
    <row r="554" spans="1:71" ht="19.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  <c r="BM554" s="38"/>
      <c r="BN554" s="38"/>
      <c r="BO554" s="38"/>
      <c r="BP554" s="38"/>
      <c r="BQ554" s="38"/>
      <c r="BR554" s="38"/>
      <c r="BS554" s="38"/>
    </row>
    <row r="555" spans="1:71" ht="19.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  <c r="BM555" s="38"/>
      <c r="BN555" s="38"/>
      <c r="BO555" s="38"/>
      <c r="BP555" s="38"/>
      <c r="BQ555" s="38"/>
      <c r="BR555" s="38"/>
      <c r="BS555" s="38"/>
    </row>
    <row r="556" spans="1:71" ht="19.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  <c r="BM556" s="38"/>
      <c r="BN556" s="38"/>
      <c r="BO556" s="38"/>
      <c r="BP556" s="38"/>
      <c r="BQ556" s="38"/>
      <c r="BR556" s="38"/>
      <c r="BS556" s="38"/>
    </row>
    <row r="557" spans="1:71" ht="19.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  <c r="BM557" s="38"/>
      <c r="BN557" s="38"/>
      <c r="BO557" s="38"/>
      <c r="BP557" s="38"/>
      <c r="BQ557" s="38"/>
      <c r="BR557" s="38"/>
      <c r="BS557" s="38"/>
    </row>
    <row r="558" spans="1:71" ht="19.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  <c r="BM558" s="38"/>
      <c r="BN558" s="38"/>
      <c r="BO558" s="38"/>
      <c r="BP558" s="38"/>
      <c r="BQ558" s="38"/>
      <c r="BR558" s="38"/>
      <c r="BS558" s="38"/>
    </row>
    <row r="559" spans="1:71" ht="19.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  <c r="BM559" s="38"/>
      <c r="BN559" s="38"/>
      <c r="BO559" s="38"/>
      <c r="BP559" s="38"/>
      <c r="BQ559" s="38"/>
      <c r="BR559" s="38"/>
      <c r="BS559" s="38"/>
    </row>
    <row r="560" spans="1:71" ht="19.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  <c r="BM560" s="38"/>
      <c r="BN560" s="38"/>
      <c r="BO560" s="38"/>
      <c r="BP560" s="38"/>
      <c r="BQ560" s="38"/>
      <c r="BR560" s="38"/>
      <c r="BS560" s="38"/>
    </row>
    <row r="561" spans="1:71" ht="19.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  <c r="BM561" s="38"/>
      <c r="BN561" s="38"/>
      <c r="BO561" s="38"/>
      <c r="BP561" s="38"/>
      <c r="BQ561" s="38"/>
      <c r="BR561" s="38"/>
      <c r="BS561" s="38"/>
    </row>
    <row r="562" spans="1:71" ht="19.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  <c r="BM562" s="38"/>
      <c r="BN562" s="38"/>
      <c r="BO562" s="38"/>
      <c r="BP562" s="38"/>
      <c r="BQ562" s="38"/>
      <c r="BR562" s="38"/>
      <c r="BS562" s="38"/>
    </row>
    <row r="563" spans="1:71" ht="19.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  <c r="BM563" s="38"/>
      <c r="BN563" s="38"/>
      <c r="BO563" s="38"/>
      <c r="BP563" s="38"/>
      <c r="BQ563" s="38"/>
      <c r="BR563" s="38"/>
      <c r="BS563" s="38"/>
    </row>
    <row r="564" spans="1:71" ht="19.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  <c r="BM564" s="38"/>
      <c r="BN564" s="38"/>
      <c r="BO564" s="38"/>
      <c r="BP564" s="38"/>
      <c r="BQ564" s="38"/>
      <c r="BR564" s="38"/>
      <c r="BS564" s="38"/>
    </row>
    <row r="565" spans="1:71" ht="19.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  <c r="BM565" s="38"/>
      <c r="BN565" s="38"/>
      <c r="BO565" s="38"/>
      <c r="BP565" s="38"/>
      <c r="BQ565" s="38"/>
      <c r="BR565" s="38"/>
      <c r="BS565" s="38"/>
    </row>
    <row r="566" spans="1:71" ht="19.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  <c r="BM566" s="38"/>
      <c r="BN566" s="38"/>
      <c r="BO566" s="38"/>
      <c r="BP566" s="38"/>
      <c r="BQ566" s="38"/>
      <c r="BR566" s="38"/>
      <c r="BS566" s="38"/>
    </row>
    <row r="567" spans="1:71" ht="19.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  <c r="BM567" s="38"/>
      <c r="BN567" s="38"/>
      <c r="BO567" s="38"/>
      <c r="BP567" s="38"/>
      <c r="BQ567" s="38"/>
      <c r="BR567" s="38"/>
      <c r="BS567" s="38"/>
    </row>
    <row r="568" spans="1:71" ht="19.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  <c r="BM568" s="38"/>
      <c r="BN568" s="38"/>
      <c r="BO568" s="38"/>
      <c r="BP568" s="38"/>
      <c r="BQ568" s="38"/>
      <c r="BR568" s="38"/>
      <c r="BS568" s="38"/>
    </row>
    <row r="569" spans="1:71" ht="19.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  <c r="BM569" s="38"/>
      <c r="BN569" s="38"/>
      <c r="BO569" s="38"/>
      <c r="BP569" s="38"/>
      <c r="BQ569" s="38"/>
      <c r="BR569" s="38"/>
      <c r="BS569" s="38"/>
    </row>
    <row r="570" spans="1:71" ht="19.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  <c r="BM570" s="38"/>
      <c r="BN570" s="38"/>
      <c r="BO570" s="38"/>
      <c r="BP570" s="38"/>
      <c r="BQ570" s="38"/>
      <c r="BR570" s="38"/>
      <c r="BS570" s="38"/>
    </row>
    <row r="571" spans="1:71" ht="19.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  <c r="BM571" s="38"/>
      <c r="BN571" s="38"/>
      <c r="BO571" s="38"/>
      <c r="BP571" s="38"/>
      <c r="BQ571" s="38"/>
      <c r="BR571" s="38"/>
      <c r="BS571" s="38"/>
    </row>
    <row r="572" spans="1:71" ht="19.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  <c r="BM572" s="38"/>
      <c r="BN572" s="38"/>
      <c r="BO572" s="38"/>
      <c r="BP572" s="38"/>
      <c r="BQ572" s="38"/>
      <c r="BR572" s="38"/>
      <c r="BS572" s="38"/>
    </row>
    <row r="573" spans="1:71" ht="19.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  <c r="BM573" s="38"/>
      <c r="BN573" s="38"/>
      <c r="BO573" s="38"/>
      <c r="BP573" s="38"/>
      <c r="BQ573" s="38"/>
      <c r="BR573" s="38"/>
      <c r="BS573" s="38"/>
    </row>
    <row r="574" spans="1:71" ht="19.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  <c r="BM574" s="38"/>
      <c r="BN574" s="38"/>
      <c r="BO574" s="38"/>
      <c r="BP574" s="38"/>
      <c r="BQ574" s="38"/>
      <c r="BR574" s="38"/>
      <c r="BS574" s="38"/>
    </row>
    <row r="575" spans="1:71" ht="19.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  <c r="BM575" s="38"/>
      <c r="BN575" s="38"/>
      <c r="BO575" s="38"/>
      <c r="BP575" s="38"/>
      <c r="BQ575" s="38"/>
      <c r="BR575" s="38"/>
      <c r="BS575" s="38"/>
    </row>
    <row r="576" spans="1:71" ht="19.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  <c r="BM576" s="38"/>
      <c r="BN576" s="38"/>
      <c r="BO576" s="38"/>
      <c r="BP576" s="38"/>
      <c r="BQ576" s="38"/>
      <c r="BR576" s="38"/>
      <c r="BS576" s="38"/>
    </row>
    <row r="577" spans="1:71" ht="19.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  <c r="BM577" s="38"/>
      <c r="BN577" s="38"/>
      <c r="BO577" s="38"/>
      <c r="BP577" s="38"/>
      <c r="BQ577" s="38"/>
      <c r="BR577" s="38"/>
      <c r="BS577" s="38"/>
    </row>
    <row r="578" spans="1:71" ht="19.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  <c r="BM578" s="38"/>
      <c r="BN578" s="38"/>
      <c r="BO578" s="38"/>
      <c r="BP578" s="38"/>
      <c r="BQ578" s="38"/>
      <c r="BR578" s="38"/>
      <c r="BS578" s="38"/>
    </row>
    <row r="579" spans="1:71" ht="19.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  <c r="BM579" s="38"/>
      <c r="BN579" s="38"/>
      <c r="BO579" s="38"/>
      <c r="BP579" s="38"/>
      <c r="BQ579" s="38"/>
      <c r="BR579" s="38"/>
      <c r="BS579" s="38"/>
    </row>
    <row r="580" spans="1:71" ht="19.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  <c r="BM580" s="38"/>
      <c r="BN580" s="38"/>
      <c r="BO580" s="38"/>
      <c r="BP580" s="38"/>
      <c r="BQ580" s="38"/>
      <c r="BR580" s="38"/>
      <c r="BS580" s="38"/>
    </row>
    <row r="581" spans="1:71" ht="19.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  <c r="BM581" s="38"/>
      <c r="BN581" s="38"/>
      <c r="BO581" s="38"/>
      <c r="BP581" s="38"/>
      <c r="BQ581" s="38"/>
      <c r="BR581" s="38"/>
      <c r="BS581" s="38"/>
    </row>
    <row r="582" spans="1:71" ht="19.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  <c r="BM582" s="38"/>
      <c r="BN582" s="38"/>
      <c r="BO582" s="38"/>
      <c r="BP582" s="38"/>
      <c r="BQ582" s="38"/>
      <c r="BR582" s="38"/>
      <c r="BS582" s="38"/>
    </row>
    <row r="583" spans="1:71" ht="19.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  <c r="BM583" s="38"/>
      <c r="BN583" s="38"/>
      <c r="BO583" s="38"/>
      <c r="BP583" s="38"/>
      <c r="BQ583" s="38"/>
      <c r="BR583" s="38"/>
      <c r="BS583" s="38"/>
    </row>
    <row r="584" spans="1:71" ht="19.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  <c r="BM584" s="38"/>
      <c r="BN584" s="38"/>
      <c r="BO584" s="38"/>
      <c r="BP584" s="38"/>
      <c r="BQ584" s="38"/>
      <c r="BR584" s="38"/>
      <c r="BS584" s="38"/>
    </row>
    <row r="585" spans="1:71" ht="19.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  <c r="BM585" s="38"/>
      <c r="BN585" s="38"/>
      <c r="BO585" s="38"/>
      <c r="BP585" s="38"/>
      <c r="BQ585" s="38"/>
      <c r="BR585" s="38"/>
      <c r="BS585" s="38"/>
    </row>
    <row r="586" spans="1:71" ht="19.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  <c r="BM586" s="38"/>
      <c r="BN586" s="38"/>
      <c r="BO586" s="38"/>
      <c r="BP586" s="38"/>
      <c r="BQ586" s="38"/>
      <c r="BR586" s="38"/>
      <c r="BS586" s="38"/>
    </row>
    <row r="587" spans="1:71" ht="19.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  <c r="BM587" s="38"/>
      <c r="BN587" s="38"/>
      <c r="BO587" s="38"/>
      <c r="BP587" s="38"/>
      <c r="BQ587" s="38"/>
      <c r="BR587" s="38"/>
      <c r="BS587" s="38"/>
    </row>
    <row r="588" spans="1:71" ht="19.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  <c r="BM588" s="38"/>
      <c r="BN588" s="38"/>
      <c r="BO588" s="38"/>
      <c r="BP588" s="38"/>
      <c r="BQ588" s="38"/>
      <c r="BR588" s="38"/>
      <c r="BS588" s="38"/>
    </row>
    <row r="589" spans="1:71" ht="19.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  <c r="BM589" s="38"/>
      <c r="BN589" s="38"/>
      <c r="BO589" s="38"/>
      <c r="BP589" s="38"/>
      <c r="BQ589" s="38"/>
      <c r="BR589" s="38"/>
      <c r="BS589" s="38"/>
    </row>
    <row r="590" spans="1:71" ht="19.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  <c r="BM590" s="38"/>
      <c r="BN590" s="38"/>
      <c r="BO590" s="38"/>
      <c r="BP590" s="38"/>
      <c r="BQ590" s="38"/>
      <c r="BR590" s="38"/>
      <c r="BS590" s="38"/>
    </row>
    <row r="591" spans="1:71" ht="19.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  <c r="BM591" s="38"/>
      <c r="BN591" s="38"/>
      <c r="BO591" s="38"/>
      <c r="BP591" s="38"/>
      <c r="BQ591" s="38"/>
      <c r="BR591" s="38"/>
      <c r="BS591" s="38"/>
    </row>
    <row r="592" spans="1:71" ht="19.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  <c r="BM592" s="38"/>
      <c r="BN592" s="38"/>
      <c r="BO592" s="38"/>
      <c r="BP592" s="38"/>
      <c r="BQ592" s="38"/>
      <c r="BR592" s="38"/>
      <c r="BS592" s="38"/>
    </row>
    <row r="593" spans="1:71" ht="19.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  <c r="BM593" s="38"/>
      <c r="BN593" s="38"/>
      <c r="BO593" s="38"/>
      <c r="BP593" s="38"/>
      <c r="BQ593" s="38"/>
      <c r="BR593" s="38"/>
      <c r="BS593" s="38"/>
    </row>
    <row r="594" spans="1:71" ht="19.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  <c r="BM594" s="38"/>
      <c r="BN594" s="38"/>
      <c r="BO594" s="38"/>
      <c r="BP594" s="38"/>
      <c r="BQ594" s="38"/>
      <c r="BR594" s="38"/>
      <c r="BS594" s="38"/>
    </row>
    <row r="595" spans="1:71" ht="19.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  <c r="BM595" s="38"/>
      <c r="BN595" s="38"/>
      <c r="BO595" s="38"/>
      <c r="BP595" s="38"/>
      <c r="BQ595" s="38"/>
      <c r="BR595" s="38"/>
      <c r="BS595" s="38"/>
    </row>
    <row r="596" spans="1:71" ht="19.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  <c r="BM596" s="38"/>
      <c r="BN596" s="38"/>
      <c r="BO596" s="38"/>
      <c r="BP596" s="38"/>
      <c r="BQ596" s="38"/>
      <c r="BR596" s="38"/>
      <c r="BS596" s="38"/>
    </row>
    <row r="597" spans="1:71" ht="19.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  <c r="BM597" s="38"/>
      <c r="BN597" s="38"/>
      <c r="BO597" s="38"/>
      <c r="BP597" s="38"/>
      <c r="BQ597" s="38"/>
      <c r="BR597" s="38"/>
      <c r="BS597" s="38"/>
    </row>
    <row r="598" spans="1:71" ht="19.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  <c r="BM598" s="38"/>
      <c r="BN598" s="38"/>
      <c r="BO598" s="38"/>
      <c r="BP598" s="38"/>
      <c r="BQ598" s="38"/>
      <c r="BR598" s="38"/>
      <c r="BS598" s="38"/>
    </row>
    <row r="599" spans="1:71" ht="19.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  <c r="BM599" s="38"/>
      <c r="BN599" s="38"/>
      <c r="BO599" s="38"/>
      <c r="BP599" s="38"/>
      <c r="BQ599" s="38"/>
      <c r="BR599" s="38"/>
      <c r="BS599" s="38"/>
    </row>
    <row r="600" spans="1:71" ht="19.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  <c r="BM600" s="38"/>
      <c r="BN600" s="38"/>
      <c r="BO600" s="38"/>
      <c r="BP600" s="38"/>
      <c r="BQ600" s="38"/>
      <c r="BR600" s="38"/>
      <c r="BS600" s="38"/>
    </row>
    <row r="601" spans="1:71" ht="19.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  <c r="BO601" s="38"/>
      <c r="BP601" s="38"/>
      <c r="BQ601" s="38"/>
      <c r="BR601" s="38"/>
      <c r="BS601" s="38"/>
    </row>
    <row r="602" spans="1:71" ht="19.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  <c r="BO602" s="38"/>
      <c r="BP602" s="38"/>
      <c r="BQ602" s="38"/>
      <c r="BR602" s="38"/>
      <c r="BS602" s="38"/>
    </row>
    <row r="603" spans="1:71" ht="19.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/>
      <c r="BN603" s="38"/>
      <c r="BO603" s="38"/>
      <c r="BP603" s="38"/>
      <c r="BQ603" s="38"/>
      <c r="BR603" s="38"/>
      <c r="BS603" s="38"/>
    </row>
    <row r="604" spans="1:71" ht="19.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  <c r="BM604" s="38"/>
      <c r="BN604" s="38"/>
      <c r="BO604" s="38"/>
      <c r="BP604" s="38"/>
      <c r="BQ604" s="38"/>
      <c r="BR604" s="38"/>
      <c r="BS604" s="38"/>
    </row>
    <row r="605" spans="1:71" ht="19.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  <c r="BM605" s="38"/>
      <c r="BN605" s="38"/>
      <c r="BO605" s="38"/>
      <c r="BP605" s="38"/>
      <c r="BQ605" s="38"/>
      <c r="BR605" s="38"/>
      <c r="BS605" s="38"/>
    </row>
    <row r="606" spans="1:71" ht="19.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  <c r="BM606" s="38"/>
      <c r="BN606" s="38"/>
      <c r="BO606" s="38"/>
      <c r="BP606" s="38"/>
      <c r="BQ606" s="38"/>
      <c r="BR606" s="38"/>
      <c r="BS606" s="38"/>
    </row>
    <row r="607" spans="1:71" ht="19.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  <c r="BM607" s="38"/>
      <c r="BN607" s="38"/>
      <c r="BO607" s="38"/>
      <c r="BP607" s="38"/>
      <c r="BQ607" s="38"/>
      <c r="BR607" s="38"/>
      <c r="BS607" s="38"/>
    </row>
    <row r="608" spans="1:71" ht="19.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/>
      <c r="BN608" s="38"/>
      <c r="BO608" s="38"/>
      <c r="BP608" s="38"/>
      <c r="BQ608" s="38"/>
      <c r="BR608" s="38"/>
      <c r="BS608" s="38"/>
    </row>
    <row r="609" spans="1:71" ht="19.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  <c r="BM609" s="38"/>
      <c r="BN609" s="38"/>
      <c r="BO609" s="38"/>
      <c r="BP609" s="38"/>
      <c r="BQ609" s="38"/>
      <c r="BR609" s="38"/>
      <c r="BS609" s="38"/>
    </row>
    <row r="610" spans="1:71" ht="19.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  <c r="BM610" s="38"/>
      <c r="BN610" s="38"/>
      <c r="BO610" s="38"/>
      <c r="BP610" s="38"/>
      <c r="BQ610" s="38"/>
      <c r="BR610" s="38"/>
      <c r="BS610" s="38"/>
    </row>
    <row r="611" spans="1:71" ht="19.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  <c r="BM611" s="38"/>
      <c r="BN611" s="38"/>
      <c r="BO611" s="38"/>
      <c r="BP611" s="38"/>
      <c r="BQ611" s="38"/>
      <c r="BR611" s="38"/>
      <c r="BS611" s="38"/>
    </row>
    <row r="612" spans="1:71" ht="19.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  <c r="BM612" s="38"/>
      <c r="BN612" s="38"/>
      <c r="BO612" s="38"/>
      <c r="BP612" s="38"/>
      <c r="BQ612" s="38"/>
      <c r="BR612" s="38"/>
      <c r="BS612" s="38"/>
    </row>
    <row r="613" spans="1:71" ht="19.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  <c r="BO613" s="38"/>
      <c r="BP613" s="38"/>
      <c r="BQ613" s="38"/>
      <c r="BR613" s="38"/>
      <c r="BS613" s="38"/>
    </row>
    <row r="614" spans="1:71" ht="19.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  <c r="BP614" s="38"/>
      <c r="BQ614" s="38"/>
      <c r="BR614" s="38"/>
      <c r="BS614" s="38"/>
    </row>
    <row r="615" spans="1:71" ht="19.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  <c r="BO615" s="38"/>
      <c r="BP615" s="38"/>
      <c r="BQ615" s="38"/>
      <c r="BR615" s="38"/>
      <c r="BS615" s="38"/>
    </row>
    <row r="616" spans="1:71" ht="19.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  <c r="BO616" s="38"/>
      <c r="BP616" s="38"/>
      <c r="BQ616" s="38"/>
      <c r="BR616" s="38"/>
      <c r="BS616" s="38"/>
    </row>
    <row r="617" spans="1:71" ht="19.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  <c r="BO617" s="38"/>
      <c r="BP617" s="38"/>
      <c r="BQ617" s="38"/>
      <c r="BR617" s="38"/>
      <c r="BS617" s="38"/>
    </row>
    <row r="618" spans="1:71" ht="19.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  <c r="BO618" s="38"/>
      <c r="BP618" s="38"/>
      <c r="BQ618" s="38"/>
      <c r="BR618" s="38"/>
      <c r="BS618" s="38"/>
    </row>
    <row r="619" spans="1:71" ht="19.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  <c r="BM619" s="38"/>
      <c r="BN619" s="38"/>
      <c r="BO619" s="38"/>
      <c r="BP619" s="38"/>
      <c r="BQ619" s="38"/>
      <c r="BR619" s="38"/>
      <c r="BS619" s="38"/>
    </row>
    <row r="620" spans="1:71" ht="19.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  <c r="BO620" s="38"/>
      <c r="BP620" s="38"/>
      <c r="BQ620" s="38"/>
      <c r="BR620" s="38"/>
      <c r="BS620" s="38"/>
    </row>
    <row r="621" spans="1:71" ht="19.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  <c r="BO621" s="38"/>
      <c r="BP621" s="38"/>
      <c r="BQ621" s="38"/>
      <c r="BR621" s="38"/>
      <c r="BS621" s="38"/>
    </row>
    <row r="622" spans="1:71" ht="19.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  <c r="BO622" s="38"/>
      <c r="BP622" s="38"/>
      <c r="BQ622" s="38"/>
      <c r="BR622" s="38"/>
      <c r="BS622" s="38"/>
    </row>
    <row r="623" spans="1:71" ht="19.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  <c r="BO623" s="38"/>
      <c r="BP623" s="38"/>
      <c r="BQ623" s="38"/>
      <c r="BR623" s="38"/>
      <c r="BS623" s="38"/>
    </row>
    <row r="624" spans="1:71" ht="19.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  <c r="BM624" s="38"/>
      <c r="BN624" s="38"/>
      <c r="BO624" s="38"/>
      <c r="BP624" s="38"/>
      <c r="BQ624" s="38"/>
      <c r="BR624" s="38"/>
      <c r="BS624" s="38"/>
    </row>
    <row r="625" spans="1:71" ht="19.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  <c r="BM625" s="38"/>
      <c r="BN625" s="38"/>
      <c r="BO625" s="38"/>
      <c r="BP625" s="38"/>
      <c r="BQ625" s="38"/>
      <c r="BR625" s="38"/>
      <c r="BS625" s="38"/>
    </row>
    <row r="626" spans="1:71" ht="19.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  <c r="BM626" s="38"/>
      <c r="BN626" s="38"/>
      <c r="BO626" s="38"/>
      <c r="BP626" s="38"/>
      <c r="BQ626" s="38"/>
      <c r="BR626" s="38"/>
      <c r="BS626" s="38"/>
    </row>
    <row r="627" spans="1:71" ht="19.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  <c r="BM627" s="38"/>
      <c r="BN627" s="38"/>
      <c r="BO627" s="38"/>
      <c r="BP627" s="38"/>
      <c r="BQ627" s="38"/>
      <c r="BR627" s="38"/>
      <c r="BS627" s="38"/>
    </row>
    <row r="628" spans="1:71" ht="19.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38"/>
      <c r="BO628" s="38"/>
      <c r="BP628" s="38"/>
      <c r="BQ628" s="38"/>
      <c r="BR628" s="38"/>
      <c r="BS628" s="38"/>
    </row>
    <row r="629" spans="1:71" ht="19.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  <c r="BM629" s="38"/>
      <c r="BN629" s="38"/>
      <c r="BO629" s="38"/>
      <c r="BP629" s="38"/>
      <c r="BQ629" s="38"/>
      <c r="BR629" s="38"/>
      <c r="BS629" s="38"/>
    </row>
    <row r="630" spans="1:71" ht="19.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  <c r="BM630" s="38"/>
      <c r="BN630" s="38"/>
      <c r="BO630" s="38"/>
      <c r="BP630" s="38"/>
      <c r="BQ630" s="38"/>
      <c r="BR630" s="38"/>
      <c r="BS630" s="38"/>
    </row>
    <row r="631" spans="1:71" ht="19.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  <c r="BM631" s="38"/>
      <c r="BN631" s="38"/>
      <c r="BO631" s="38"/>
      <c r="BP631" s="38"/>
      <c r="BQ631" s="38"/>
      <c r="BR631" s="38"/>
      <c r="BS631" s="38"/>
    </row>
    <row r="632" spans="1:71" ht="19.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  <c r="BM632" s="38"/>
      <c r="BN632" s="38"/>
      <c r="BO632" s="38"/>
      <c r="BP632" s="38"/>
      <c r="BQ632" s="38"/>
      <c r="BR632" s="38"/>
      <c r="BS632" s="38"/>
    </row>
    <row r="633" spans="1:71" ht="19.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  <c r="BO633" s="38"/>
      <c r="BP633" s="38"/>
      <c r="BQ633" s="38"/>
      <c r="BR633" s="38"/>
      <c r="BS633" s="38"/>
    </row>
    <row r="634" spans="1:71" ht="19.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  <c r="BM634" s="38"/>
      <c r="BN634" s="38"/>
      <c r="BO634" s="38"/>
      <c r="BP634" s="38"/>
      <c r="BQ634" s="38"/>
      <c r="BR634" s="38"/>
      <c r="BS634" s="38"/>
    </row>
    <row r="635" spans="1:71" ht="19.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  <c r="BM635" s="38"/>
      <c r="BN635" s="38"/>
      <c r="BO635" s="38"/>
      <c r="BP635" s="38"/>
      <c r="BQ635" s="38"/>
      <c r="BR635" s="38"/>
      <c r="BS635" s="38"/>
    </row>
    <row r="636" spans="1:71" ht="19.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  <c r="BM636" s="38"/>
      <c r="BN636" s="38"/>
      <c r="BO636" s="38"/>
      <c r="BP636" s="38"/>
      <c r="BQ636" s="38"/>
      <c r="BR636" s="38"/>
      <c r="BS636" s="38"/>
    </row>
    <row r="637" spans="1:71" ht="19.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38"/>
      <c r="BO637" s="38"/>
      <c r="BP637" s="38"/>
      <c r="BQ637" s="38"/>
      <c r="BR637" s="38"/>
      <c r="BS637" s="38"/>
    </row>
    <row r="638" spans="1:71" ht="19.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  <c r="BO638" s="38"/>
      <c r="BP638" s="38"/>
      <c r="BQ638" s="38"/>
      <c r="BR638" s="38"/>
      <c r="BS638" s="38"/>
    </row>
    <row r="639" spans="1:71" ht="19.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  <c r="BM639" s="38"/>
      <c r="BN639" s="38"/>
      <c r="BO639" s="38"/>
      <c r="BP639" s="38"/>
      <c r="BQ639" s="38"/>
      <c r="BR639" s="38"/>
      <c r="BS639" s="38"/>
    </row>
    <row r="640" spans="1:71" ht="19.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  <c r="BM640" s="38"/>
      <c r="BN640" s="38"/>
      <c r="BO640" s="38"/>
      <c r="BP640" s="38"/>
      <c r="BQ640" s="38"/>
      <c r="BR640" s="38"/>
      <c r="BS640" s="38"/>
    </row>
    <row r="641" spans="1:71" ht="19.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  <c r="BO641" s="38"/>
      <c r="BP641" s="38"/>
      <c r="BQ641" s="38"/>
      <c r="BR641" s="38"/>
      <c r="BS641" s="38"/>
    </row>
    <row r="642" spans="1:71" ht="19.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  <c r="BM642" s="38"/>
      <c r="BN642" s="38"/>
      <c r="BO642" s="38"/>
      <c r="BP642" s="38"/>
      <c r="BQ642" s="38"/>
      <c r="BR642" s="38"/>
      <c r="BS642" s="38"/>
    </row>
    <row r="643" spans="1:71" ht="19.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  <c r="BM643" s="38"/>
      <c r="BN643" s="38"/>
      <c r="BO643" s="38"/>
      <c r="BP643" s="38"/>
      <c r="BQ643" s="38"/>
      <c r="BR643" s="38"/>
      <c r="BS643" s="38"/>
    </row>
    <row r="644" spans="1:71" ht="19.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  <c r="BM644" s="38"/>
      <c r="BN644" s="38"/>
      <c r="BO644" s="38"/>
      <c r="BP644" s="38"/>
      <c r="BQ644" s="38"/>
      <c r="BR644" s="38"/>
      <c r="BS644" s="38"/>
    </row>
    <row r="645" spans="1:71" ht="19.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  <c r="BM645" s="38"/>
      <c r="BN645" s="38"/>
      <c r="BO645" s="38"/>
      <c r="BP645" s="38"/>
      <c r="BQ645" s="38"/>
      <c r="BR645" s="38"/>
      <c r="BS645" s="38"/>
    </row>
    <row r="646" spans="1:71" ht="19.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  <c r="BM646" s="38"/>
      <c r="BN646" s="38"/>
      <c r="BO646" s="38"/>
      <c r="BP646" s="38"/>
      <c r="BQ646" s="38"/>
      <c r="BR646" s="38"/>
      <c r="BS646" s="38"/>
    </row>
    <row r="647" spans="1:71" ht="19.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  <c r="BM647" s="38"/>
      <c r="BN647" s="38"/>
      <c r="BO647" s="38"/>
      <c r="BP647" s="38"/>
      <c r="BQ647" s="38"/>
      <c r="BR647" s="38"/>
      <c r="BS647" s="38"/>
    </row>
    <row r="648" spans="1:71" ht="19.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  <c r="BM648" s="38"/>
      <c r="BN648" s="38"/>
      <c r="BO648" s="38"/>
      <c r="BP648" s="38"/>
      <c r="BQ648" s="38"/>
      <c r="BR648" s="38"/>
      <c r="BS648" s="38"/>
    </row>
    <row r="649" spans="1:71" ht="19.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  <c r="BM649" s="38"/>
      <c r="BN649" s="38"/>
      <c r="BO649" s="38"/>
      <c r="BP649" s="38"/>
      <c r="BQ649" s="38"/>
      <c r="BR649" s="38"/>
      <c r="BS649" s="38"/>
    </row>
    <row r="650" spans="1:71" ht="19.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  <c r="BM650" s="38"/>
      <c r="BN650" s="38"/>
      <c r="BO650" s="38"/>
      <c r="BP650" s="38"/>
      <c r="BQ650" s="38"/>
      <c r="BR650" s="38"/>
      <c r="BS650" s="38"/>
    </row>
    <row r="651" spans="1:71" ht="19.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  <c r="BM651" s="38"/>
      <c r="BN651" s="38"/>
      <c r="BO651" s="38"/>
      <c r="BP651" s="38"/>
      <c r="BQ651" s="38"/>
      <c r="BR651" s="38"/>
      <c r="BS651" s="38"/>
    </row>
    <row r="652" spans="1:71" ht="19.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  <c r="BM652" s="38"/>
      <c r="BN652" s="38"/>
      <c r="BO652" s="38"/>
      <c r="BP652" s="38"/>
      <c r="BQ652" s="38"/>
      <c r="BR652" s="38"/>
      <c r="BS652" s="38"/>
    </row>
    <row r="653" spans="1:71" ht="19.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  <c r="BM653" s="38"/>
      <c r="BN653" s="38"/>
      <c r="BO653" s="38"/>
      <c r="BP653" s="38"/>
      <c r="BQ653" s="38"/>
      <c r="BR653" s="38"/>
      <c r="BS653" s="38"/>
    </row>
    <row r="654" spans="1:71" ht="19.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  <c r="BM654" s="38"/>
      <c r="BN654" s="38"/>
      <c r="BO654" s="38"/>
      <c r="BP654" s="38"/>
      <c r="BQ654" s="38"/>
      <c r="BR654" s="38"/>
      <c r="BS654" s="38"/>
    </row>
    <row r="655" spans="1:71" ht="19.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  <c r="BM655" s="38"/>
      <c r="BN655" s="38"/>
      <c r="BO655" s="38"/>
      <c r="BP655" s="38"/>
      <c r="BQ655" s="38"/>
      <c r="BR655" s="38"/>
      <c r="BS655" s="38"/>
    </row>
    <row r="656" spans="1:71" ht="19.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  <c r="BM656" s="38"/>
      <c r="BN656" s="38"/>
      <c r="BO656" s="38"/>
      <c r="BP656" s="38"/>
      <c r="BQ656" s="38"/>
      <c r="BR656" s="38"/>
      <c r="BS656" s="38"/>
    </row>
    <row r="657" spans="1:71" ht="19.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  <c r="BM657" s="38"/>
      <c r="BN657" s="38"/>
      <c r="BO657" s="38"/>
      <c r="BP657" s="38"/>
      <c r="BQ657" s="38"/>
      <c r="BR657" s="38"/>
      <c r="BS657" s="38"/>
    </row>
    <row r="658" spans="1:71" ht="19.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  <c r="BM658" s="38"/>
      <c r="BN658" s="38"/>
      <c r="BO658" s="38"/>
      <c r="BP658" s="38"/>
      <c r="BQ658" s="38"/>
      <c r="BR658" s="38"/>
      <c r="BS658" s="38"/>
    </row>
    <row r="659" spans="1:71" ht="19.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  <c r="BM659" s="38"/>
      <c r="BN659" s="38"/>
      <c r="BO659" s="38"/>
      <c r="BP659" s="38"/>
      <c r="BQ659" s="38"/>
      <c r="BR659" s="38"/>
      <c r="BS659" s="38"/>
    </row>
    <row r="660" spans="1:71" ht="19.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  <c r="BM660" s="38"/>
      <c r="BN660" s="38"/>
      <c r="BO660" s="38"/>
      <c r="BP660" s="38"/>
      <c r="BQ660" s="38"/>
      <c r="BR660" s="38"/>
      <c r="BS660" s="38"/>
    </row>
    <row r="661" spans="1:71" ht="19.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  <c r="BM661" s="38"/>
      <c r="BN661" s="38"/>
      <c r="BO661" s="38"/>
      <c r="BP661" s="38"/>
      <c r="BQ661" s="38"/>
      <c r="BR661" s="38"/>
      <c r="BS661" s="38"/>
    </row>
    <row r="662" spans="1:71" ht="19.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  <c r="BM662" s="38"/>
      <c r="BN662" s="38"/>
      <c r="BO662" s="38"/>
      <c r="BP662" s="38"/>
      <c r="BQ662" s="38"/>
      <c r="BR662" s="38"/>
      <c r="BS662" s="38"/>
    </row>
    <row r="663" spans="1:71" ht="19.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  <c r="BM663" s="38"/>
      <c r="BN663" s="38"/>
      <c r="BO663" s="38"/>
      <c r="BP663" s="38"/>
      <c r="BQ663" s="38"/>
      <c r="BR663" s="38"/>
      <c r="BS663" s="38"/>
    </row>
    <row r="664" spans="1:71" ht="19.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  <c r="BM664" s="38"/>
      <c r="BN664" s="38"/>
      <c r="BO664" s="38"/>
      <c r="BP664" s="38"/>
      <c r="BQ664" s="38"/>
      <c r="BR664" s="38"/>
      <c r="BS664" s="38"/>
    </row>
    <row r="665" spans="1:71" ht="19.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  <c r="BM665" s="38"/>
      <c r="BN665" s="38"/>
      <c r="BO665" s="38"/>
      <c r="BP665" s="38"/>
      <c r="BQ665" s="38"/>
      <c r="BR665" s="38"/>
      <c r="BS665" s="38"/>
    </row>
    <row r="666" spans="1:71" ht="19.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  <c r="BM666" s="38"/>
      <c r="BN666" s="38"/>
      <c r="BO666" s="38"/>
      <c r="BP666" s="38"/>
      <c r="BQ666" s="38"/>
      <c r="BR666" s="38"/>
      <c r="BS666" s="38"/>
    </row>
    <row r="667" spans="1:71" ht="19.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  <c r="BM667" s="38"/>
      <c r="BN667" s="38"/>
      <c r="BO667" s="38"/>
      <c r="BP667" s="38"/>
      <c r="BQ667" s="38"/>
      <c r="BR667" s="38"/>
      <c r="BS667" s="38"/>
    </row>
    <row r="668" spans="1:71" ht="19.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  <c r="BM668" s="38"/>
      <c r="BN668" s="38"/>
      <c r="BO668" s="38"/>
      <c r="BP668" s="38"/>
      <c r="BQ668" s="38"/>
      <c r="BR668" s="38"/>
      <c r="BS668" s="38"/>
    </row>
    <row r="669" spans="1:71" ht="19.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  <c r="BM669" s="38"/>
      <c r="BN669" s="38"/>
      <c r="BO669" s="38"/>
      <c r="BP669" s="38"/>
      <c r="BQ669" s="38"/>
      <c r="BR669" s="38"/>
      <c r="BS669" s="38"/>
    </row>
    <row r="670" spans="1:71" ht="19.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  <c r="BM670" s="38"/>
      <c r="BN670" s="38"/>
      <c r="BO670" s="38"/>
      <c r="BP670" s="38"/>
      <c r="BQ670" s="38"/>
      <c r="BR670" s="38"/>
      <c r="BS670" s="38"/>
    </row>
    <row r="671" spans="1:71" ht="19.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  <c r="BM671" s="38"/>
      <c r="BN671" s="38"/>
      <c r="BO671" s="38"/>
      <c r="BP671" s="38"/>
      <c r="BQ671" s="38"/>
      <c r="BR671" s="38"/>
      <c r="BS671" s="38"/>
    </row>
    <row r="672" spans="1:71" ht="19.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  <c r="BM672" s="38"/>
      <c r="BN672" s="38"/>
      <c r="BO672" s="38"/>
      <c r="BP672" s="38"/>
      <c r="BQ672" s="38"/>
      <c r="BR672" s="38"/>
      <c r="BS672" s="38"/>
    </row>
    <row r="673" spans="1:71" ht="19.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  <c r="BM673" s="38"/>
      <c r="BN673" s="38"/>
      <c r="BO673" s="38"/>
      <c r="BP673" s="38"/>
      <c r="BQ673" s="38"/>
      <c r="BR673" s="38"/>
      <c r="BS673" s="38"/>
    </row>
    <row r="674" spans="1:71" ht="19.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  <c r="BM674" s="38"/>
      <c r="BN674" s="38"/>
      <c r="BO674" s="38"/>
      <c r="BP674" s="38"/>
      <c r="BQ674" s="38"/>
      <c r="BR674" s="38"/>
      <c r="BS674" s="38"/>
    </row>
    <row r="675" spans="1:71" ht="19.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  <c r="BM675" s="38"/>
      <c r="BN675" s="38"/>
      <c r="BO675" s="38"/>
      <c r="BP675" s="38"/>
      <c r="BQ675" s="38"/>
      <c r="BR675" s="38"/>
      <c r="BS675" s="38"/>
    </row>
    <row r="676" spans="1:71" ht="19.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  <c r="BM676" s="38"/>
      <c r="BN676" s="38"/>
      <c r="BO676" s="38"/>
      <c r="BP676" s="38"/>
      <c r="BQ676" s="38"/>
      <c r="BR676" s="38"/>
      <c r="BS676" s="38"/>
    </row>
    <row r="677" spans="1:71" ht="19.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  <c r="BM677" s="38"/>
      <c r="BN677" s="38"/>
      <c r="BO677" s="38"/>
      <c r="BP677" s="38"/>
      <c r="BQ677" s="38"/>
      <c r="BR677" s="38"/>
      <c r="BS677" s="38"/>
    </row>
    <row r="678" spans="1:71" ht="19.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  <c r="BM678" s="38"/>
      <c r="BN678" s="38"/>
      <c r="BO678" s="38"/>
      <c r="BP678" s="38"/>
      <c r="BQ678" s="38"/>
      <c r="BR678" s="38"/>
      <c r="BS678" s="38"/>
    </row>
    <row r="679" spans="1:71" ht="19.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  <c r="BM679" s="38"/>
      <c r="BN679" s="38"/>
      <c r="BO679" s="38"/>
      <c r="BP679" s="38"/>
      <c r="BQ679" s="38"/>
      <c r="BR679" s="38"/>
      <c r="BS679" s="38"/>
    </row>
    <row r="680" spans="1:71" ht="19.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  <c r="BM680" s="38"/>
      <c r="BN680" s="38"/>
      <c r="BO680" s="38"/>
      <c r="BP680" s="38"/>
      <c r="BQ680" s="38"/>
      <c r="BR680" s="38"/>
      <c r="BS680" s="38"/>
    </row>
    <row r="681" spans="1:71" ht="19.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  <c r="BM681" s="38"/>
      <c r="BN681" s="38"/>
      <c r="BO681" s="38"/>
      <c r="BP681" s="38"/>
      <c r="BQ681" s="38"/>
      <c r="BR681" s="38"/>
      <c r="BS681" s="38"/>
    </row>
    <row r="682" spans="1:71" ht="19.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  <c r="BM682" s="38"/>
      <c r="BN682" s="38"/>
      <c r="BO682" s="38"/>
      <c r="BP682" s="38"/>
      <c r="BQ682" s="38"/>
      <c r="BR682" s="38"/>
      <c r="BS682" s="38"/>
    </row>
    <row r="683" spans="1:71" ht="19.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  <c r="BM683" s="38"/>
      <c r="BN683" s="38"/>
      <c r="BO683" s="38"/>
      <c r="BP683" s="38"/>
      <c r="BQ683" s="38"/>
      <c r="BR683" s="38"/>
      <c r="BS683" s="38"/>
    </row>
    <row r="684" spans="1:71" ht="19.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  <c r="BM684" s="38"/>
      <c r="BN684" s="38"/>
      <c r="BO684" s="38"/>
      <c r="BP684" s="38"/>
      <c r="BQ684" s="38"/>
      <c r="BR684" s="38"/>
      <c r="BS684" s="38"/>
    </row>
    <row r="685" spans="1:71" ht="19.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  <c r="BP685" s="38"/>
      <c r="BQ685" s="38"/>
      <c r="BR685" s="38"/>
      <c r="BS685" s="38"/>
    </row>
    <row r="686" spans="1:71" ht="19.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  <c r="BO686" s="38"/>
      <c r="BP686" s="38"/>
      <c r="BQ686" s="38"/>
      <c r="BR686" s="38"/>
      <c r="BS686" s="38"/>
    </row>
    <row r="687" spans="1:71" ht="19.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  <c r="BM687" s="38"/>
      <c r="BN687" s="38"/>
      <c r="BO687" s="38"/>
      <c r="BP687" s="38"/>
      <c r="BQ687" s="38"/>
      <c r="BR687" s="38"/>
      <c r="BS687" s="38"/>
    </row>
    <row r="688" spans="1:71" ht="19.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  <c r="BM688" s="38"/>
      <c r="BN688" s="38"/>
      <c r="BO688" s="38"/>
      <c r="BP688" s="38"/>
      <c r="BQ688" s="38"/>
      <c r="BR688" s="38"/>
      <c r="BS688" s="38"/>
    </row>
    <row r="689" spans="1:71" ht="19.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  <c r="BO689" s="38"/>
      <c r="BP689" s="38"/>
      <c r="BQ689" s="38"/>
      <c r="BR689" s="38"/>
      <c r="BS689" s="38"/>
    </row>
    <row r="690" spans="1:71" ht="19.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  <c r="BO690" s="38"/>
      <c r="BP690" s="38"/>
      <c r="BQ690" s="38"/>
      <c r="BR690" s="38"/>
      <c r="BS690" s="38"/>
    </row>
    <row r="691" spans="1:71" ht="19.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  <c r="BM691" s="38"/>
      <c r="BN691" s="38"/>
      <c r="BO691" s="38"/>
      <c r="BP691" s="38"/>
      <c r="BQ691" s="38"/>
      <c r="BR691" s="38"/>
      <c r="BS691" s="38"/>
    </row>
    <row r="692" spans="1:71" ht="19.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  <c r="BP692" s="38"/>
      <c r="BQ692" s="38"/>
      <c r="BR692" s="38"/>
      <c r="BS692" s="38"/>
    </row>
    <row r="693" spans="1:71" ht="19.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  <c r="BP693" s="38"/>
      <c r="BQ693" s="38"/>
      <c r="BR693" s="38"/>
      <c r="BS693" s="38"/>
    </row>
    <row r="694" spans="1:71" ht="19.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  <c r="BP694" s="38"/>
      <c r="BQ694" s="38"/>
      <c r="BR694" s="38"/>
      <c r="BS694" s="38"/>
    </row>
    <row r="695" spans="1:71" ht="19.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  <c r="BO695" s="38"/>
      <c r="BP695" s="38"/>
      <c r="BQ695" s="38"/>
      <c r="BR695" s="38"/>
      <c r="BS695" s="38"/>
    </row>
    <row r="696" spans="1:71" ht="19.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  <c r="BO696" s="38"/>
      <c r="BP696" s="38"/>
      <c r="BQ696" s="38"/>
      <c r="BR696" s="38"/>
      <c r="BS696" s="38"/>
    </row>
    <row r="697" spans="1:71" ht="19.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  <c r="BP697" s="38"/>
      <c r="BQ697" s="38"/>
      <c r="BR697" s="38"/>
      <c r="BS697" s="38"/>
    </row>
    <row r="698" spans="1:71" ht="19.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  <c r="BP698" s="38"/>
      <c r="BQ698" s="38"/>
      <c r="BR698" s="38"/>
      <c r="BS698" s="38"/>
    </row>
    <row r="699" spans="1:71" ht="19.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  <c r="BO699" s="38"/>
      <c r="BP699" s="38"/>
      <c r="BQ699" s="38"/>
      <c r="BR699" s="38"/>
      <c r="BS699" s="38"/>
    </row>
    <row r="700" spans="1:71" ht="19.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  <c r="BP700" s="38"/>
      <c r="BQ700" s="38"/>
      <c r="BR700" s="38"/>
      <c r="BS700" s="38"/>
    </row>
    <row r="701" spans="1:71" ht="19.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  <c r="BO701" s="38"/>
      <c r="BP701" s="38"/>
      <c r="BQ701" s="38"/>
      <c r="BR701" s="38"/>
      <c r="BS701" s="38"/>
    </row>
    <row r="702" spans="1:71" ht="19.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  <c r="BP702" s="38"/>
      <c r="BQ702" s="38"/>
      <c r="BR702" s="38"/>
      <c r="BS702" s="38"/>
    </row>
    <row r="703" spans="1:71" ht="19.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  <c r="BP703" s="38"/>
      <c r="BQ703" s="38"/>
      <c r="BR703" s="38"/>
      <c r="BS703" s="38"/>
    </row>
    <row r="704" spans="1:71" ht="19.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  <c r="BM704" s="38"/>
      <c r="BN704" s="38"/>
      <c r="BO704" s="38"/>
      <c r="BP704" s="38"/>
      <c r="BQ704" s="38"/>
      <c r="BR704" s="38"/>
      <c r="BS704" s="38"/>
    </row>
    <row r="705" spans="1:71" ht="19.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  <c r="BM705" s="38"/>
      <c r="BN705" s="38"/>
      <c r="BO705" s="38"/>
      <c r="BP705" s="38"/>
      <c r="BQ705" s="38"/>
      <c r="BR705" s="38"/>
      <c r="BS705" s="38"/>
    </row>
    <row r="706" spans="1:71" ht="19.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  <c r="BP706" s="38"/>
      <c r="BQ706" s="38"/>
      <c r="BR706" s="38"/>
      <c r="BS706" s="38"/>
    </row>
    <row r="707" spans="1:71" ht="19.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  <c r="BP707" s="38"/>
      <c r="BQ707" s="38"/>
      <c r="BR707" s="38"/>
      <c r="BS707" s="38"/>
    </row>
    <row r="708" spans="1:71" ht="19.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  <c r="BO708" s="38"/>
      <c r="BP708" s="38"/>
      <c r="BQ708" s="38"/>
      <c r="BR708" s="38"/>
      <c r="BS708" s="38"/>
    </row>
    <row r="709" spans="1:71" ht="19.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  <c r="BO709" s="38"/>
      <c r="BP709" s="38"/>
      <c r="BQ709" s="38"/>
      <c r="BR709" s="38"/>
      <c r="BS709" s="38"/>
    </row>
    <row r="710" spans="1:71" ht="19.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  <c r="BO710" s="38"/>
      <c r="BP710" s="38"/>
      <c r="BQ710" s="38"/>
      <c r="BR710" s="38"/>
      <c r="BS710" s="38"/>
    </row>
    <row r="711" spans="1:71" ht="19.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  <c r="BM711" s="38"/>
      <c r="BN711" s="38"/>
      <c r="BO711" s="38"/>
      <c r="BP711" s="38"/>
      <c r="BQ711" s="38"/>
      <c r="BR711" s="38"/>
      <c r="BS711" s="38"/>
    </row>
    <row r="712" spans="1:71" ht="19.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  <c r="BM712" s="38"/>
      <c r="BN712" s="38"/>
      <c r="BO712" s="38"/>
      <c r="BP712" s="38"/>
      <c r="BQ712" s="38"/>
      <c r="BR712" s="38"/>
      <c r="BS712" s="38"/>
    </row>
    <row r="713" spans="1:71" ht="19.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  <c r="BO713" s="38"/>
      <c r="BP713" s="38"/>
      <c r="BQ713" s="38"/>
      <c r="BR713" s="38"/>
      <c r="BS713" s="38"/>
    </row>
    <row r="714" spans="1:71" ht="19.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  <c r="BM714" s="38"/>
      <c r="BN714" s="38"/>
      <c r="BO714" s="38"/>
      <c r="BP714" s="38"/>
      <c r="BQ714" s="38"/>
      <c r="BR714" s="38"/>
      <c r="BS714" s="38"/>
    </row>
    <row r="715" spans="1:71" ht="19.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  <c r="BM715" s="38"/>
      <c r="BN715" s="38"/>
      <c r="BO715" s="38"/>
      <c r="BP715" s="38"/>
      <c r="BQ715" s="38"/>
      <c r="BR715" s="38"/>
      <c r="BS715" s="38"/>
    </row>
    <row r="716" spans="1:71" ht="19.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  <c r="BM716" s="38"/>
      <c r="BN716" s="38"/>
      <c r="BO716" s="38"/>
      <c r="BP716" s="38"/>
      <c r="BQ716" s="38"/>
      <c r="BR716" s="38"/>
      <c r="BS716" s="38"/>
    </row>
    <row r="717" spans="1:71" ht="19.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  <c r="BM717" s="38"/>
      <c r="BN717" s="38"/>
      <c r="BO717" s="38"/>
      <c r="BP717" s="38"/>
      <c r="BQ717" s="38"/>
      <c r="BR717" s="38"/>
      <c r="BS717" s="38"/>
    </row>
    <row r="718" spans="1:71" ht="19.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  <c r="BM718" s="38"/>
      <c r="BN718" s="38"/>
      <c r="BO718" s="38"/>
      <c r="BP718" s="38"/>
      <c r="BQ718" s="38"/>
      <c r="BR718" s="38"/>
      <c r="BS718" s="38"/>
    </row>
    <row r="719" spans="1:71" ht="19.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  <c r="BM719" s="38"/>
      <c r="BN719" s="38"/>
      <c r="BO719" s="38"/>
      <c r="BP719" s="38"/>
      <c r="BQ719" s="38"/>
      <c r="BR719" s="38"/>
      <c r="BS719" s="38"/>
    </row>
    <row r="720" spans="1:71" ht="19.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  <c r="BM720" s="38"/>
      <c r="BN720" s="38"/>
      <c r="BO720" s="38"/>
      <c r="BP720" s="38"/>
      <c r="BQ720" s="38"/>
      <c r="BR720" s="38"/>
      <c r="BS720" s="38"/>
    </row>
    <row r="721" spans="1:71" ht="19.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  <c r="BM721" s="38"/>
      <c r="BN721" s="38"/>
      <c r="BO721" s="38"/>
      <c r="BP721" s="38"/>
      <c r="BQ721" s="38"/>
      <c r="BR721" s="38"/>
      <c r="BS721" s="38"/>
    </row>
    <row r="722" spans="1:71" ht="19.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  <c r="BM722" s="38"/>
      <c r="BN722" s="38"/>
      <c r="BO722" s="38"/>
      <c r="BP722" s="38"/>
      <c r="BQ722" s="38"/>
      <c r="BR722" s="38"/>
      <c r="BS722" s="38"/>
    </row>
    <row r="723" spans="1:71" ht="19.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  <c r="BM723" s="38"/>
      <c r="BN723" s="38"/>
      <c r="BO723" s="38"/>
      <c r="BP723" s="38"/>
      <c r="BQ723" s="38"/>
      <c r="BR723" s="38"/>
      <c r="BS723" s="38"/>
    </row>
    <row r="724" spans="1:71" ht="19.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  <c r="BM724" s="38"/>
      <c r="BN724" s="38"/>
      <c r="BO724" s="38"/>
      <c r="BP724" s="38"/>
      <c r="BQ724" s="38"/>
      <c r="BR724" s="38"/>
      <c r="BS724" s="38"/>
    </row>
    <row r="725" spans="1:71" ht="19.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  <c r="BM725" s="38"/>
      <c r="BN725" s="38"/>
      <c r="BO725" s="38"/>
      <c r="BP725" s="38"/>
      <c r="BQ725" s="38"/>
      <c r="BR725" s="38"/>
      <c r="BS725" s="38"/>
    </row>
    <row r="726" spans="1:71" ht="19.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  <c r="BM726" s="38"/>
      <c r="BN726" s="38"/>
      <c r="BO726" s="38"/>
      <c r="BP726" s="38"/>
      <c r="BQ726" s="38"/>
      <c r="BR726" s="38"/>
      <c r="BS726" s="38"/>
    </row>
    <row r="727" spans="1:71" ht="19.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  <c r="BM727" s="38"/>
      <c r="BN727" s="38"/>
      <c r="BO727" s="38"/>
      <c r="BP727" s="38"/>
      <c r="BQ727" s="38"/>
      <c r="BR727" s="38"/>
      <c r="BS727" s="38"/>
    </row>
    <row r="728" spans="1:71" ht="19.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  <c r="BM728" s="38"/>
      <c r="BN728" s="38"/>
      <c r="BO728" s="38"/>
      <c r="BP728" s="38"/>
      <c r="BQ728" s="38"/>
      <c r="BR728" s="38"/>
      <c r="BS728" s="38"/>
    </row>
    <row r="729" spans="1:71" ht="19.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  <c r="BM729" s="38"/>
      <c r="BN729" s="38"/>
      <c r="BO729" s="38"/>
      <c r="BP729" s="38"/>
      <c r="BQ729" s="38"/>
      <c r="BR729" s="38"/>
      <c r="BS729" s="38"/>
    </row>
    <row r="730" spans="1:71" ht="19.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  <c r="BM730" s="38"/>
      <c r="BN730" s="38"/>
      <c r="BO730" s="38"/>
      <c r="BP730" s="38"/>
      <c r="BQ730" s="38"/>
      <c r="BR730" s="38"/>
      <c r="BS730" s="38"/>
    </row>
    <row r="731" spans="1:71" ht="19.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  <c r="BM731" s="38"/>
      <c r="BN731" s="38"/>
      <c r="BO731" s="38"/>
      <c r="BP731" s="38"/>
      <c r="BQ731" s="38"/>
      <c r="BR731" s="38"/>
      <c r="BS731" s="38"/>
    </row>
    <row r="732" spans="1:71" ht="19.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  <c r="BM732" s="38"/>
      <c r="BN732" s="38"/>
      <c r="BO732" s="38"/>
      <c r="BP732" s="38"/>
      <c r="BQ732" s="38"/>
      <c r="BR732" s="38"/>
      <c r="BS732" s="38"/>
    </row>
    <row r="733" spans="1:71" ht="19.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  <c r="BP733" s="38"/>
      <c r="BQ733" s="38"/>
      <c r="BR733" s="38"/>
      <c r="BS733" s="38"/>
    </row>
    <row r="734" spans="1:71" ht="19.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  <c r="BP734" s="38"/>
      <c r="BQ734" s="38"/>
      <c r="BR734" s="38"/>
      <c r="BS734" s="38"/>
    </row>
    <row r="735" spans="1:71" ht="19.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  <c r="BM735" s="38"/>
      <c r="BN735" s="38"/>
      <c r="BO735" s="38"/>
      <c r="BP735" s="38"/>
      <c r="BQ735" s="38"/>
      <c r="BR735" s="38"/>
      <c r="BS735" s="38"/>
    </row>
    <row r="736" spans="1:71" ht="19.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  <c r="BM736" s="38"/>
      <c r="BN736" s="38"/>
      <c r="BO736" s="38"/>
      <c r="BP736" s="38"/>
      <c r="BQ736" s="38"/>
      <c r="BR736" s="38"/>
      <c r="BS736" s="38"/>
    </row>
    <row r="737" spans="1:71" ht="19.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  <c r="BM737" s="38"/>
      <c r="BN737" s="38"/>
      <c r="BO737" s="38"/>
      <c r="BP737" s="38"/>
      <c r="BQ737" s="38"/>
      <c r="BR737" s="38"/>
      <c r="BS737" s="38"/>
    </row>
    <row r="738" spans="1:71" ht="19.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  <c r="BM738" s="38"/>
      <c r="BN738" s="38"/>
      <c r="BO738" s="38"/>
      <c r="BP738" s="38"/>
      <c r="BQ738" s="38"/>
      <c r="BR738" s="38"/>
      <c r="BS738" s="38"/>
    </row>
    <row r="739" spans="1:71" ht="19.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  <c r="BM739" s="38"/>
      <c r="BN739" s="38"/>
      <c r="BO739" s="38"/>
      <c r="BP739" s="38"/>
      <c r="BQ739" s="38"/>
      <c r="BR739" s="38"/>
      <c r="BS739" s="38"/>
    </row>
    <row r="740" spans="1:71" ht="19.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  <c r="BM740" s="38"/>
      <c r="BN740" s="38"/>
      <c r="BO740" s="38"/>
      <c r="BP740" s="38"/>
      <c r="BQ740" s="38"/>
      <c r="BR740" s="38"/>
      <c r="BS740" s="38"/>
    </row>
    <row r="741" spans="1:71" ht="19.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  <c r="BM741" s="38"/>
      <c r="BN741" s="38"/>
      <c r="BO741" s="38"/>
      <c r="BP741" s="38"/>
      <c r="BQ741" s="38"/>
      <c r="BR741" s="38"/>
      <c r="BS741" s="38"/>
    </row>
    <row r="742" spans="1:71" ht="19.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  <c r="BM742" s="38"/>
      <c r="BN742" s="38"/>
      <c r="BO742" s="38"/>
      <c r="BP742" s="38"/>
      <c r="BQ742" s="38"/>
      <c r="BR742" s="38"/>
      <c r="BS742" s="38"/>
    </row>
    <row r="743" spans="1:71" ht="19.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  <c r="BM743" s="38"/>
      <c r="BN743" s="38"/>
      <c r="BO743" s="38"/>
      <c r="BP743" s="38"/>
      <c r="BQ743" s="38"/>
      <c r="BR743" s="38"/>
      <c r="BS743" s="38"/>
    </row>
    <row r="744" spans="1:71" ht="19.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  <c r="BP744" s="38"/>
      <c r="BQ744" s="38"/>
      <c r="BR744" s="38"/>
      <c r="BS744" s="38"/>
    </row>
    <row r="745" spans="1:71" ht="19.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  <c r="BM745" s="38"/>
      <c r="BN745" s="38"/>
      <c r="BO745" s="38"/>
      <c r="BP745" s="38"/>
      <c r="BQ745" s="38"/>
      <c r="BR745" s="38"/>
      <c r="BS745" s="38"/>
    </row>
    <row r="746" spans="1:71" ht="19.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  <c r="BM746" s="38"/>
      <c r="BN746" s="38"/>
      <c r="BO746" s="38"/>
      <c r="BP746" s="38"/>
      <c r="BQ746" s="38"/>
      <c r="BR746" s="38"/>
      <c r="BS746" s="38"/>
    </row>
    <row r="747" spans="1:71" ht="19.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  <c r="BK747" s="38"/>
      <c r="BL747" s="38"/>
      <c r="BM747" s="38"/>
      <c r="BN747" s="38"/>
      <c r="BO747" s="38"/>
      <c r="BP747" s="38"/>
      <c r="BQ747" s="38"/>
      <c r="BR747" s="38"/>
      <c r="BS747" s="38"/>
    </row>
    <row r="748" spans="1:71" ht="19.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  <c r="BM748" s="38"/>
      <c r="BN748" s="38"/>
      <c r="BO748" s="38"/>
      <c r="BP748" s="38"/>
      <c r="BQ748" s="38"/>
      <c r="BR748" s="38"/>
      <c r="BS748" s="38"/>
    </row>
    <row r="749" spans="1:71" ht="19.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  <c r="BM749" s="38"/>
      <c r="BN749" s="38"/>
      <c r="BO749" s="38"/>
      <c r="BP749" s="38"/>
      <c r="BQ749" s="38"/>
      <c r="BR749" s="38"/>
      <c r="BS749" s="38"/>
    </row>
    <row r="750" spans="1:71" ht="19.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  <c r="BK750" s="38"/>
      <c r="BL750" s="38"/>
      <c r="BM750" s="38"/>
      <c r="BN750" s="38"/>
      <c r="BO750" s="38"/>
      <c r="BP750" s="38"/>
      <c r="BQ750" s="38"/>
      <c r="BR750" s="38"/>
      <c r="BS750" s="38"/>
    </row>
    <row r="751" spans="1:71" ht="19.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  <c r="BM751" s="38"/>
      <c r="BN751" s="38"/>
      <c r="BO751" s="38"/>
      <c r="BP751" s="38"/>
      <c r="BQ751" s="38"/>
      <c r="BR751" s="38"/>
      <c r="BS751" s="38"/>
    </row>
    <row r="752" spans="1:71" ht="19.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  <c r="BM752" s="38"/>
      <c r="BN752" s="38"/>
      <c r="BO752" s="38"/>
      <c r="BP752" s="38"/>
      <c r="BQ752" s="38"/>
      <c r="BR752" s="38"/>
      <c r="BS752" s="38"/>
    </row>
    <row r="753" spans="1:71" ht="19.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  <c r="BM753" s="38"/>
      <c r="BN753" s="38"/>
      <c r="BO753" s="38"/>
      <c r="BP753" s="38"/>
      <c r="BQ753" s="38"/>
      <c r="BR753" s="38"/>
      <c r="BS753" s="38"/>
    </row>
    <row r="754" spans="1:71" ht="19.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  <c r="BK754" s="38"/>
      <c r="BL754" s="38"/>
      <c r="BM754" s="38"/>
      <c r="BN754" s="38"/>
      <c r="BO754" s="38"/>
      <c r="BP754" s="38"/>
      <c r="BQ754" s="38"/>
      <c r="BR754" s="38"/>
      <c r="BS754" s="38"/>
    </row>
    <row r="755" spans="1:71" ht="19.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  <c r="BM755" s="38"/>
      <c r="BN755" s="38"/>
      <c r="BO755" s="38"/>
      <c r="BP755" s="38"/>
      <c r="BQ755" s="38"/>
      <c r="BR755" s="38"/>
      <c r="BS755" s="38"/>
    </row>
    <row r="756" spans="1:71" ht="19.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8"/>
      <c r="BN756" s="38"/>
      <c r="BO756" s="38"/>
      <c r="BP756" s="38"/>
      <c r="BQ756" s="38"/>
      <c r="BR756" s="38"/>
      <c r="BS756" s="38"/>
    </row>
    <row r="757" spans="1:71" ht="19.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  <c r="BM757" s="38"/>
      <c r="BN757" s="38"/>
      <c r="BO757" s="38"/>
      <c r="BP757" s="38"/>
      <c r="BQ757" s="38"/>
      <c r="BR757" s="38"/>
      <c r="BS757" s="38"/>
    </row>
    <row r="758" spans="1:71" ht="19.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  <c r="BO758" s="38"/>
      <c r="BP758" s="38"/>
      <c r="BQ758" s="38"/>
      <c r="BR758" s="38"/>
      <c r="BS758" s="38"/>
    </row>
    <row r="759" spans="1:71" ht="19.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8"/>
      <c r="BN759" s="38"/>
      <c r="BO759" s="38"/>
      <c r="BP759" s="38"/>
      <c r="BQ759" s="38"/>
      <c r="BR759" s="38"/>
      <c r="BS759" s="38"/>
    </row>
    <row r="760" spans="1:71" ht="19.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  <c r="BM760" s="38"/>
      <c r="BN760" s="38"/>
      <c r="BO760" s="38"/>
      <c r="BP760" s="38"/>
      <c r="BQ760" s="38"/>
      <c r="BR760" s="38"/>
      <c r="BS760" s="38"/>
    </row>
    <row r="761" spans="1:71" ht="19.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  <c r="BM761" s="38"/>
      <c r="BN761" s="38"/>
      <c r="BO761" s="38"/>
      <c r="BP761" s="38"/>
      <c r="BQ761" s="38"/>
      <c r="BR761" s="38"/>
      <c r="BS761" s="38"/>
    </row>
    <row r="762" spans="1:71" ht="19.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8"/>
      <c r="BN762" s="38"/>
      <c r="BO762" s="38"/>
      <c r="BP762" s="38"/>
      <c r="BQ762" s="38"/>
      <c r="BR762" s="38"/>
      <c r="BS762" s="38"/>
    </row>
    <row r="763" spans="1:71" ht="19.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8"/>
      <c r="BN763" s="38"/>
      <c r="BO763" s="38"/>
      <c r="BP763" s="38"/>
      <c r="BQ763" s="38"/>
      <c r="BR763" s="38"/>
      <c r="BS763" s="38"/>
    </row>
    <row r="764" spans="1:71" ht="19.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  <c r="BM764" s="38"/>
      <c r="BN764" s="38"/>
      <c r="BO764" s="38"/>
      <c r="BP764" s="38"/>
      <c r="BQ764" s="38"/>
      <c r="BR764" s="38"/>
      <c r="BS764" s="38"/>
    </row>
    <row r="765" spans="1:71" ht="19.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  <c r="BM765" s="38"/>
      <c r="BN765" s="38"/>
      <c r="BO765" s="38"/>
      <c r="BP765" s="38"/>
      <c r="BQ765" s="38"/>
      <c r="BR765" s="38"/>
      <c r="BS765" s="38"/>
    </row>
    <row r="766" spans="1:71" ht="19.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  <c r="BM766" s="38"/>
      <c r="BN766" s="38"/>
      <c r="BO766" s="38"/>
      <c r="BP766" s="38"/>
      <c r="BQ766" s="38"/>
      <c r="BR766" s="38"/>
      <c r="BS766" s="38"/>
    </row>
    <row r="767" spans="1:71" ht="19.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  <c r="BM767" s="38"/>
      <c r="BN767" s="38"/>
      <c r="BO767" s="38"/>
      <c r="BP767" s="38"/>
      <c r="BQ767" s="38"/>
      <c r="BR767" s="38"/>
      <c r="BS767" s="38"/>
    </row>
    <row r="768" spans="1:71" ht="19.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8"/>
      <c r="BN768" s="38"/>
      <c r="BO768" s="38"/>
      <c r="BP768" s="38"/>
      <c r="BQ768" s="38"/>
      <c r="BR768" s="38"/>
      <c r="BS768" s="38"/>
    </row>
    <row r="769" spans="1:71" ht="19.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8"/>
      <c r="BN769" s="38"/>
      <c r="BO769" s="38"/>
      <c r="BP769" s="38"/>
      <c r="BQ769" s="38"/>
      <c r="BR769" s="38"/>
      <c r="BS769" s="38"/>
    </row>
    <row r="770" spans="1:71" ht="19.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8"/>
      <c r="BN770" s="38"/>
      <c r="BO770" s="38"/>
      <c r="BP770" s="38"/>
      <c r="BQ770" s="38"/>
      <c r="BR770" s="38"/>
      <c r="BS770" s="38"/>
    </row>
    <row r="771" spans="1:71" ht="19.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  <c r="BM771" s="38"/>
      <c r="BN771" s="38"/>
      <c r="BO771" s="38"/>
      <c r="BP771" s="38"/>
      <c r="BQ771" s="38"/>
      <c r="BR771" s="38"/>
      <c r="BS771" s="38"/>
    </row>
    <row r="772" spans="1:71" ht="19.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  <c r="BM772" s="38"/>
      <c r="BN772" s="38"/>
      <c r="BO772" s="38"/>
      <c r="BP772" s="38"/>
      <c r="BQ772" s="38"/>
      <c r="BR772" s="38"/>
      <c r="BS772" s="38"/>
    </row>
    <row r="773" spans="1:71" ht="19.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8"/>
      <c r="BN773" s="38"/>
      <c r="BO773" s="38"/>
      <c r="BP773" s="38"/>
      <c r="BQ773" s="38"/>
      <c r="BR773" s="38"/>
      <c r="BS773" s="38"/>
    </row>
    <row r="774" spans="1:71" ht="19.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  <c r="BM774" s="38"/>
      <c r="BN774" s="38"/>
      <c r="BO774" s="38"/>
      <c r="BP774" s="38"/>
      <c r="BQ774" s="38"/>
      <c r="BR774" s="38"/>
      <c r="BS774" s="38"/>
    </row>
    <row r="775" spans="1:71" ht="19.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  <c r="BK775" s="38"/>
      <c r="BL775" s="38"/>
      <c r="BM775" s="38"/>
      <c r="BN775" s="38"/>
      <c r="BO775" s="38"/>
      <c r="BP775" s="38"/>
      <c r="BQ775" s="38"/>
      <c r="BR775" s="38"/>
      <c r="BS775" s="38"/>
    </row>
    <row r="776" spans="1:71" ht="19.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  <c r="BM776" s="38"/>
      <c r="BN776" s="38"/>
      <c r="BO776" s="38"/>
      <c r="BP776" s="38"/>
      <c r="BQ776" s="38"/>
      <c r="BR776" s="38"/>
      <c r="BS776" s="38"/>
    </row>
    <row r="777" spans="1:71" ht="19.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  <c r="BK777" s="38"/>
      <c r="BL777" s="38"/>
      <c r="BM777" s="38"/>
      <c r="BN777" s="38"/>
      <c r="BO777" s="38"/>
      <c r="BP777" s="38"/>
      <c r="BQ777" s="38"/>
      <c r="BR777" s="38"/>
      <c r="BS777" s="38"/>
    </row>
    <row r="778" spans="1:71" ht="19.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  <c r="BM778" s="38"/>
      <c r="BN778" s="38"/>
      <c r="BO778" s="38"/>
      <c r="BP778" s="38"/>
      <c r="BQ778" s="38"/>
      <c r="BR778" s="38"/>
      <c r="BS778" s="38"/>
    </row>
    <row r="779" spans="1:71" ht="19.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  <c r="BK779" s="38"/>
      <c r="BL779" s="38"/>
      <c r="BM779" s="38"/>
      <c r="BN779" s="38"/>
      <c r="BO779" s="38"/>
      <c r="BP779" s="38"/>
      <c r="BQ779" s="38"/>
      <c r="BR779" s="38"/>
      <c r="BS779" s="38"/>
    </row>
    <row r="780" spans="1:71" ht="19.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  <c r="BK780" s="38"/>
      <c r="BL780" s="38"/>
      <c r="BM780" s="38"/>
      <c r="BN780" s="38"/>
      <c r="BO780" s="38"/>
      <c r="BP780" s="38"/>
      <c r="BQ780" s="38"/>
      <c r="BR780" s="38"/>
      <c r="BS780" s="38"/>
    </row>
    <row r="781" spans="1:71" ht="19.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  <c r="BM781" s="38"/>
      <c r="BN781" s="38"/>
      <c r="BO781" s="38"/>
      <c r="BP781" s="38"/>
      <c r="BQ781" s="38"/>
      <c r="BR781" s="38"/>
      <c r="BS781" s="38"/>
    </row>
    <row r="782" spans="1:71" ht="19.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  <c r="BM782" s="38"/>
      <c r="BN782" s="38"/>
      <c r="BO782" s="38"/>
      <c r="BP782" s="38"/>
      <c r="BQ782" s="38"/>
      <c r="BR782" s="38"/>
      <c r="BS782" s="38"/>
    </row>
    <row r="783" spans="1:71" ht="19.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  <c r="BM783" s="38"/>
      <c r="BN783" s="38"/>
      <c r="BO783" s="38"/>
      <c r="BP783" s="38"/>
      <c r="BQ783" s="38"/>
      <c r="BR783" s="38"/>
      <c r="BS783" s="38"/>
    </row>
    <row r="784" spans="1:71" ht="19.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  <c r="BK784" s="38"/>
      <c r="BL784" s="38"/>
      <c r="BM784" s="38"/>
      <c r="BN784" s="38"/>
      <c r="BO784" s="38"/>
      <c r="BP784" s="38"/>
      <c r="BQ784" s="38"/>
      <c r="BR784" s="38"/>
      <c r="BS784" s="38"/>
    </row>
    <row r="785" spans="1:71" ht="19.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  <c r="BK785" s="38"/>
      <c r="BL785" s="38"/>
      <c r="BM785" s="38"/>
      <c r="BN785" s="38"/>
      <c r="BO785" s="38"/>
      <c r="BP785" s="38"/>
      <c r="BQ785" s="38"/>
      <c r="BR785" s="38"/>
      <c r="BS785" s="38"/>
    </row>
    <row r="786" spans="1:71" ht="19.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  <c r="BK786" s="38"/>
      <c r="BL786" s="38"/>
      <c r="BM786" s="38"/>
      <c r="BN786" s="38"/>
      <c r="BO786" s="38"/>
      <c r="BP786" s="38"/>
      <c r="BQ786" s="38"/>
      <c r="BR786" s="38"/>
      <c r="BS786" s="38"/>
    </row>
    <row r="787" spans="1:71" ht="19.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  <c r="BK787" s="38"/>
      <c r="BL787" s="38"/>
      <c r="BM787" s="38"/>
      <c r="BN787" s="38"/>
      <c r="BO787" s="38"/>
      <c r="BP787" s="38"/>
      <c r="BQ787" s="38"/>
      <c r="BR787" s="38"/>
      <c r="BS787" s="38"/>
    </row>
    <row r="788" spans="1:71" ht="19.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  <c r="BM788" s="38"/>
      <c r="BN788" s="38"/>
      <c r="BO788" s="38"/>
      <c r="BP788" s="38"/>
      <c r="BQ788" s="38"/>
      <c r="BR788" s="38"/>
      <c r="BS788" s="38"/>
    </row>
    <row r="789" spans="1:71" ht="19.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  <c r="BM789" s="38"/>
      <c r="BN789" s="38"/>
      <c r="BO789" s="38"/>
      <c r="BP789" s="38"/>
      <c r="BQ789" s="38"/>
      <c r="BR789" s="38"/>
      <c r="BS789" s="38"/>
    </row>
    <row r="790" spans="1:71" ht="19.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  <c r="BM790" s="38"/>
      <c r="BN790" s="38"/>
      <c r="BO790" s="38"/>
      <c r="BP790" s="38"/>
      <c r="BQ790" s="38"/>
      <c r="BR790" s="38"/>
      <c r="BS790" s="38"/>
    </row>
    <row r="791" spans="1:71" ht="19.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  <c r="BM791" s="38"/>
      <c r="BN791" s="38"/>
      <c r="BO791" s="38"/>
      <c r="BP791" s="38"/>
      <c r="BQ791" s="38"/>
      <c r="BR791" s="38"/>
      <c r="BS791" s="38"/>
    </row>
    <row r="792" spans="1:71" ht="19.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  <c r="BM792" s="38"/>
      <c r="BN792" s="38"/>
      <c r="BO792" s="38"/>
      <c r="BP792" s="38"/>
      <c r="BQ792" s="38"/>
      <c r="BR792" s="38"/>
      <c r="BS792" s="38"/>
    </row>
    <row r="793" spans="1:71" ht="19.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  <c r="BM793" s="38"/>
      <c r="BN793" s="38"/>
      <c r="BO793" s="38"/>
      <c r="BP793" s="38"/>
      <c r="BQ793" s="38"/>
      <c r="BR793" s="38"/>
      <c r="BS793" s="38"/>
    </row>
    <row r="794" spans="1:71" ht="19.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/>
      <c r="BM794" s="38"/>
      <c r="BN794" s="38"/>
      <c r="BO794" s="38"/>
      <c r="BP794" s="38"/>
      <c r="BQ794" s="38"/>
      <c r="BR794" s="38"/>
      <c r="BS794" s="38"/>
    </row>
    <row r="795" spans="1:71" ht="19.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  <c r="BK795" s="38"/>
      <c r="BL795" s="38"/>
      <c r="BM795" s="38"/>
      <c r="BN795" s="38"/>
      <c r="BO795" s="38"/>
      <c r="BP795" s="38"/>
      <c r="BQ795" s="38"/>
      <c r="BR795" s="38"/>
      <c r="BS795" s="38"/>
    </row>
    <row r="796" spans="1:71" ht="19.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  <c r="BK796" s="38"/>
      <c r="BL796" s="38"/>
      <c r="BM796" s="38"/>
      <c r="BN796" s="38"/>
      <c r="BO796" s="38"/>
      <c r="BP796" s="38"/>
      <c r="BQ796" s="38"/>
      <c r="BR796" s="38"/>
      <c r="BS796" s="38"/>
    </row>
    <row r="797" spans="1:71" ht="19.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  <c r="BK797" s="38"/>
      <c r="BL797" s="38"/>
      <c r="BM797" s="38"/>
      <c r="BN797" s="38"/>
      <c r="BO797" s="38"/>
      <c r="BP797" s="38"/>
      <c r="BQ797" s="38"/>
      <c r="BR797" s="38"/>
      <c r="BS797" s="38"/>
    </row>
    <row r="798" spans="1:71" ht="19.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  <c r="BM798" s="38"/>
      <c r="BN798" s="38"/>
      <c r="BO798" s="38"/>
      <c r="BP798" s="38"/>
      <c r="BQ798" s="38"/>
      <c r="BR798" s="38"/>
      <c r="BS798" s="38"/>
    </row>
    <row r="799" spans="1:71" ht="19.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  <c r="BK799" s="38"/>
      <c r="BL799" s="38"/>
      <c r="BM799" s="38"/>
      <c r="BN799" s="38"/>
      <c r="BO799" s="38"/>
      <c r="BP799" s="38"/>
      <c r="BQ799" s="38"/>
      <c r="BR799" s="38"/>
      <c r="BS799" s="38"/>
    </row>
    <row r="800" spans="1:71" ht="19.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  <c r="BM800" s="38"/>
      <c r="BN800" s="38"/>
      <c r="BO800" s="38"/>
      <c r="BP800" s="38"/>
      <c r="BQ800" s="38"/>
      <c r="BR800" s="38"/>
      <c r="BS800" s="38"/>
    </row>
    <row r="801" spans="1:71" ht="19.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  <c r="BM801" s="38"/>
      <c r="BN801" s="38"/>
      <c r="BO801" s="38"/>
      <c r="BP801" s="38"/>
      <c r="BQ801" s="38"/>
      <c r="BR801" s="38"/>
      <c r="BS801" s="38"/>
    </row>
    <row r="802" spans="1:71" ht="19.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  <c r="BK802" s="38"/>
      <c r="BL802" s="38"/>
      <c r="BM802" s="38"/>
      <c r="BN802" s="38"/>
      <c r="BO802" s="38"/>
      <c r="BP802" s="38"/>
      <c r="BQ802" s="38"/>
      <c r="BR802" s="38"/>
      <c r="BS802" s="38"/>
    </row>
    <row r="803" spans="1:71" ht="19.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  <c r="BM803" s="38"/>
      <c r="BN803" s="38"/>
      <c r="BO803" s="38"/>
      <c r="BP803" s="38"/>
      <c r="BQ803" s="38"/>
      <c r="BR803" s="38"/>
      <c r="BS803" s="38"/>
    </row>
    <row r="804" spans="1:71" ht="19.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  <c r="BK804" s="38"/>
      <c r="BL804" s="38"/>
      <c r="BM804" s="38"/>
      <c r="BN804" s="38"/>
      <c r="BO804" s="38"/>
      <c r="BP804" s="38"/>
      <c r="BQ804" s="38"/>
      <c r="BR804" s="38"/>
      <c r="BS804" s="38"/>
    </row>
    <row r="805" spans="1:71" ht="19.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  <c r="BK805" s="38"/>
      <c r="BL805" s="38"/>
      <c r="BM805" s="38"/>
      <c r="BN805" s="38"/>
      <c r="BO805" s="38"/>
      <c r="BP805" s="38"/>
      <c r="BQ805" s="38"/>
      <c r="BR805" s="38"/>
      <c r="BS805" s="38"/>
    </row>
    <row r="806" spans="1:71" ht="19.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  <c r="BK806" s="38"/>
      <c r="BL806" s="38"/>
      <c r="BM806" s="38"/>
      <c r="BN806" s="38"/>
      <c r="BO806" s="38"/>
      <c r="BP806" s="38"/>
      <c r="BQ806" s="38"/>
      <c r="BR806" s="38"/>
      <c r="BS806" s="38"/>
    </row>
    <row r="807" spans="1:71" ht="19.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  <c r="BK807" s="38"/>
      <c r="BL807" s="38"/>
      <c r="BM807" s="38"/>
      <c r="BN807" s="38"/>
      <c r="BO807" s="38"/>
      <c r="BP807" s="38"/>
      <c r="BQ807" s="38"/>
      <c r="BR807" s="38"/>
      <c r="BS807" s="38"/>
    </row>
    <row r="808" spans="1:71" ht="19.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  <c r="BM808" s="38"/>
      <c r="BN808" s="38"/>
      <c r="BO808" s="38"/>
      <c r="BP808" s="38"/>
      <c r="BQ808" s="38"/>
      <c r="BR808" s="38"/>
      <c r="BS808" s="38"/>
    </row>
    <row r="809" spans="1:71" ht="19.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  <c r="BK809" s="38"/>
      <c r="BL809" s="38"/>
      <c r="BM809" s="38"/>
      <c r="BN809" s="38"/>
      <c r="BO809" s="38"/>
      <c r="BP809" s="38"/>
      <c r="BQ809" s="38"/>
      <c r="BR809" s="38"/>
      <c r="BS809" s="38"/>
    </row>
    <row r="810" spans="1:71" ht="19.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  <c r="BK810" s="38"/>
      <c r="BL810" s="38"/>
      <c r="BM810" s="38"/>
      <c r="BN810" s="38"/>
      <c r="BO810" s="38"/>
      <c r="BP810" s="38"/>
      <c r="BQ810" s="38"/>
      <c r="BR810" s="38"/>
      <c r="BS810" s="38"/>
    </row>
    <row r="811" spans="1:71" ht="19.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  <c r="BM811" s="38"/>
      <c r="BN811" s="38"/>
      <c r="BO811" s="38"/>
      <c r="BP811" s="38"/>
      <c r="BQ811" s="38"/>
      <c r="BR811" s="38"/>
      <c r="BS811" s="38"/>
    </row>
    <row r="812" spans="1:71" ht="19.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  <c r="BK812" s="38"/>
      <c r="BL812" s="38"/>
      <c r="BM812" s="38"/>
      <c r="BN812" s="38"/>
      <c r="BO812" s="38"/>
      <c r="BP812" s="38"/>
      <c r="BQ812" s="38"/>
      <c r="BR812" s="38"/>
      <c r="BS812" s="38"/>
    </row>
    <row r="813" spans="1:71" ht="19.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  <c r="BK813" s="38"/>
      <c r="BL813" s="38"/>
      <c r="BM813" s="38"/>
      <c r="BN813" s="38"/>
      <c r="BO813" s="38"/>
      <c r="BP813" s="38"/>
      <c r="BQ813" s="38"/>
      <c r="BR813" s="38"/>
      <c r="BS813" s="38"/>
    </row>
    <row r="814" spans="1:71" ht="19.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  <c r="BM814" s="38"/>
      <c r="BN814" s="38"/>
      <c r="BO814" s="38"/>
      <c r="BP814" s="38"/>
      <c r="BQ814" s="38"/>
      <c r="BR814" s="38"/>
      <c r="BS814" s="38"/>
    </row>
    <row r="815" spans="1:71" ht="19.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  <c r="BK815" s="38"/>
      <c r="BL815" s="38"/>
      <c r="BM815" s="38"/>
      <c r="BN815" s="38"/>
      <c r="BO815" s="38"/>
      <c r="BP815" s="38"/>
      <c r="BQ815" s="38"/>
      <c r="BR815" s="38"/>
      <c r="BS815" s="38"/>
    </row>
    <row r="816" spans="1:71" ht="19.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  <c r="BM816" s="38"/>
      <c r="BN816" s="38"/>
      <c r="BO816" s="38"/>
      <c r="BP816" s="38"/>
      <c r="BQ816" s="38"/>
      <c r="BR816" s="38"/>
      <c r="BS816" s="38"/>
    </row>
    <row r="817" spans="1:71" ht="19.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  <c r="BL817" s="38"/>
      <c r="BM817" s="38"/>
      <c r="BN817" s="38"/>
      <c r="BO817" s="38"/>
      <c r="BP817" s="38"/>
      <c r="BQ817" s="38"/>
      <c r="BR817" s="38"/>
      <c r="BS817" s="38"/>
    </row>
    <row r="818" spans="1:71" ht="19.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  <c r="BK818" s="38"/>
      <c r="BL818" s="38"/>
      <c r="BM818" s="38"/>
      <c r="BN818" s="38"/>
      <c r="BO818" s="38"/>
      <c r="BP818" s="38"/>
      <c r="BQ818" s="38"/>
      <c r="BR818" s="38"/>
      <c r="BS818" s="38"/>
    </row>
    <row r="819" spans="1:71" ht="19.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/>
      <c r="BL819" s="38"/>
      <c r="BM819" s="38"/>
      <c r="BN819" s="38"/>
      <c r="BO819" s="38"/>
      <c r="BP819" s="38"/>
      <c r="BQ819" s="38"/>
      <c r="BR819" s="38"/>
      <c r="BS819" s="38"/>
    </row>
    <row r="820" spans="1:71" ht="19.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  <c r="BK820" s="38"/>
      <c r="BL820" s="38"/>
      <c r="BM820" s="38"/>
      <c r="BN820" s="38"/>
      <c r="BO820" s="38"/>
      <c r="BP820" s="38"/>
      <c r="BQ820" s="38"/>
      <c r="BR820" s="38"/>
      <c r="BS820" s="38"/>
    </row>
    <row r="821" spans="1:71" ht="19.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  <c r="BK821" s="38"/>
      <c r="BL821" s="38"/>
      <c r="BM821" s="38"/>
      <c r="BN821" s="38"/>
      <c r="BO821" s="38"/>
      <c r="BP821" s="38"/>
      <c r="BQ821" s="38"/>
      <c r="BR821" s="38"/>
      <c r="BS821" s="38"/>
    </row>
    <row r="822" spans="1:71" ht="19.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  <c r="BK822" s="38"/>
      <c r="BL822" s="38"/>
      <c r="BM822" s="38"/>
      <c r="BN822" s="38"/>
      <c r="BO822" s="38"/>
      <c r="BP822" s="38"/>
      <c r="BQ822" s="38"/>
      <c r="BR822" s="38"/>
      <c r="BS822" s="38"/>
    </row>
    <row r="823" spans="1:71" ht="19.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  <c r="BK823" s="38"/>
      <c r="BL823" s="38"/>
      <c r="BM823" s="38"/>
      <c r="BN823" s="38"/>
      <c r="BO823" s="38"/>
      <c r="BP823" s="38"/>
      <c r="BQ823" s="38"/>
      <c r="BR823" s="38"/>
      <c r="BS823" s="38"/>
    </row>
    <row r="824" spans="1:71" ht="19.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  <c r="BK824" s="38"/>
      <c r="BL824" s="38"/>
      <c r="BM824" s="38"/>
      <c r="BN824" s="38"/>
      <c r="BO824" s="38"/>
      <c r="BP824" s="38"/>
      <c r="BQ824" s="38"/>
      <c r="BR824" s="38"/>
      <c r="BS824" s="38"/>
    </row>
    <row r="825" spans="1:71" ht="19.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  <c r="BK825" s="38"/>
      <c r="BL825" s="38"/>
      <c r="BM825" s="38"/>
      <c r="BN825" s="38"/>
      <c r="BO825" s="38"/>
      <c r="BP825" s="38"/>
      <c r="BQ825" s="38"/>
      <c r="BR825" s="38"/>
      <c r="BS825" s="38"/>
    </row>
    <row r="826" spans="1:71" ht="19.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  <c r="BK826" s="38"/>
      <c r="BL826" s="38"/>
      <c r="BM826" s="38"/>
      <c r="BN826" s="38"/>
      <c r="BO826" s="38"/>
      <c r="BP826" s="38"/>
      <c r="BQ826" s="38"/>
      <c r="BR826" s="38"/>
      <c r="BS826" s="38"/>
    </row>
    <row r="827" spans="1:71" ht="19.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  <c r="BM827" s="38"/>
      <c r="BN827" s="38"/>
      <c r="BO827" s="38"/>
      <c r="BP827" s="38"/>
      <c r="BQ827" s="38"/>
      <c r="BR827" s="38"/>
      <c r="BS827" s="38"/>
    </row>
    <row r="828" spans="1:71" ht="19.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  <c r="BK828" s="38"/>
      <c r="BL828" s="38"/>
      <c r="BM828" s="38"/>
      <c r="BN828" s="38"/>
      <c r="BO828" s="38"/>
      <c r="BP828" s="38"/>
      <c r="BQ828" s="38"/>
      <c r="BR828" s="38"/>
      <c r="BS828" s="38"/>
    </row>
    <row r="829" spans="1:71" ht="19.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  <c r="BK829" s="38"/>
      <c r="BL829" s="38"/>
      <c r="BM829" s="38"/>
      <c r="BN829" s="38"/>
      <c r="BO829" s="38"/>
      <c r="BP829" s="38"/>
      <c r="BQ829" s="38"/>
      <c r="BR829" s="38"/>
      <c r="BS829" s="38"/>
    </row>
    <row r="830" spans="1:71" ht="19.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  <c r="BK830" s="38"/>
      <c r="BL830" s="38"/>
      <c r="BM830" s="38"/>
      <c r="BN830" s="38"/>
      <c r="BO830" s="38"/>
      <c r="BP830" s="38"/>
      <c r="BQ830" s="38"/>
      <c r="BR830" s="38"/>
      <c r="BS830" s="38"/>
    </row>
    <row r="831" spans="1:71" ht="19.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  <c r="BK831" s="38"/>
      <c r="BL831" s="38"/>
      <c r="BM831" s="38"/>
      <c r="BN831" s="38"/>
      <c r="BO831" s="38"/>
      <c r="BP831" s="38"/>
      <c r="BQ831" s="38"/>
      <c r="BR831" s="38"/>
      <c r="BS831" s="38"/>
    </row>
    <row r="832" spans="1:71" ht="19.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  <c r="BK832" s="38"/>
      <c r="BL832" s="38"/>
      <c r="BM832" s="38"/>
      <c r="BN832" s="38"/>
      <c r="BO832" s="38"/>
      <c r="BP832" s="38"/>
      <c r="BQ832" s="38"/>
      <c r="BR832" s="38"/>
      <c r="BS832" s="38"/>
    </row>
    <row r="833" spans="1:71" ht="19.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  <c r="BK833" s="38"/>
      <c r="BL833" s="38"/>
      <c r="BM833" s="38"/>
      <c r="BN833" s="38"/>
      <c r="BO833" s="38"/>
      <c r="BP833" s="38"/>
      <c r="BQ833" s="38"/>
      <c r="BR833" s="38"/>
      <c r="BS833" s="38"/>
    </row>
    <row r="834" spans="1:71" ht="19.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  <c r="BK834" s="38"/>
      <c r="BL834" s="38"/>
      <c r="BM834" s="38"/>
      <c r="BN834" s="38"/>
      <c r="BO834" s="38"/>
      <c r="BP834" s="38"/>
      <c r="BQ834" s="38"/>
      <c r="BR834" s="38"/>
      <c r="BS834" s="38"/>
    </row>
    <row r="835" spans="1:71" ht="19.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  <c r="BK835" s="38"/>
      <c r="BL835" s="38"/>
      <c r="BM835" s="38"/>
      <c r="BN835" s="38"/>
      <c r="BO835" s="38"/>
      <c r="BP835" s="38"/>
      <c r="BQ835" s="38"/>
      <c r="BR835" s="38"/>
      <c r="BS835" s="38"/>
    </row>
    <row r="836" spans="1:71" ht="19.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  <c r="BK836" s="38"/>
      <c r="BL836" s="38"/>
      <c r="BM836" s="38"/>
      <c r="BN836" s="38"/>
      <c r="BO836" s="38"/>
      <c r="BP836" s="38"/>
      <c r="BQ836" s="38"/>
      <c r="BR836" s="38"/>
      <c r="BS836" s="38"/>
    </row>
    <row r="837" spans="1:71" ht="19.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  <c r="BK837" s="38"/>
      <c r="BL837" s="38"/>
      <c r="BM837" s="38"/>
      <c r="BN837" s="38"/>
      <c r="BO837" s="38"/>
      <c r="BP837" s="38"/>
      <c r="BQ837" s="38"/>
      <c r="BR837" s="38"/>
      <c r="BS837" s="38"/>
    </row>
    <row r="838" spans="1:71" ht="19.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  <c r="BK838" s="38"/>
      <c r="BL838" s="38"/>
      <c r="BM838" s="38"/>
      <c r="BN838" s="38"/>
      <c r="BO838" s="38"/>
      <c r="BP838" s="38"/>
      <c r="BQ838" s="38"/>
      <c r="BR838" s="38"/>
      <c r="BS838" s="38"/>
    </row>
    <row r="839" spans="1:71" ht="19.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  <c r="BK839" s="38"/>
      <c r="BL839" s="38"/>
      <c r="BM839" s="38"/>
      <c r="BN839" s="38"/>
      <c r="BO839" s="38"/>
      <c r="BP839" s="38"/>
      <c r="BQ839" s="38"/>
      <c r="BR839" s="38"/>
      <c r="BS839" s="38"/>
    </row>
    <row r="840" spans="1:71" ht="19.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  <c r="BK840" s="38"/>
      <c r="BL840" s="38"/>
      <c r="BM840" s="38"/>
      <c r="BN840" s="38"/>
      <c r="BO840" s="38"/>
      <c r="BP840" s="38"/>
      <c r="BQ840" s="38"/>
      <c r="BR840" s="38"/>
      <c r="BS840" s="38"/>
    </row>
    <row r="841" spans="1:71" ht="19.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  <c r="BK841" s="38"/>
      <c r="BL841" s="38"/>
      <c r="BM841" s="38"/>
      <c r="BN841" s="38"/>
      <c r="BO841" s="38"/>
      <c r="BP841" s="38"/>
      <c r="BQ841" s="38"/>
      <c r="BR841" s="38"/>
      <c r="BS841" s="38"/>
    </row>
    <row r="842" spans="1:71" ht="19.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  <c r="BK842" s="38"/>
      <c r="BL842" s="38"/>
      <c r="BM842" s="38"/>
      <c r="BN842" s="38"/>
      <c r="BO842" s="38"/>
      <c r="BP842" s="38"/>
      <c r="BQ842" s="38"/>
      <c r="BR842" s="38"/>
      <c r="BS842" s="38"/>
    </row>
    <row r="843" spans="1:71" ht="19.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  <c r="BK843" s="38"/>
      <c r="BL843" s="38"/>
      <c r="BM843" s="38"/>
      <c r="BN843" s="38"/>
      <c r="BO843" s="38"/>
      <c r="BP843" s="38"/>
      <c r="BQ843" s="38"/>
      <c r="BR843" s="38"/>
      <c r="BS843" s="38"/>
    </row>
    <row r="844" spans="1:71" ht="19.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  <c r="BK844" s="38"/>
      <c r="BL844" s="38"/>
      <c r="BM844" s="38"/>
      <c r="BN844" s="38"/>
      <c r="BO844" s="38"/>
      <c r="BP844" s="38"/>
      <c r="BQ844" s="38"/>
      <c r="BR844" s="38"/>
      <c r="BS844" s="38"/>
    </row>
    <row r="845" spans="1:71" ht="19.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  <c r="BK845" s="38"/>
      <c r="BL845" s="38"/>
      <c r="BM845" s="38"/>
      <c r="BN845" s="38"/>
      <c r="BO845" s="38"/>
      <c r="BP845" s="38"/>
      <c r="BQ845" s="38"/>
      <c r="BR845" s="38"/>
      <c r="BS845" s="38"/>
    </row>
    <row r="846" spans="1:71" ht="19.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  <c r="BK846" s="38"/>
      <c r="BL846" s="38"/>
      <c r="BM846" s="38"/>
      <c r="BN846" s="38"/>
      <c r="BO846" s="38"/>
      <c r="BP846" s="38"/>
      <c r="BQ846" s="38"/>
      <c r="BR846" s="38"/>
      <c r="BS846" s="38"/>
    </row>
    <row r="847" spans="1:71" ht="19.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  <c r="BM847" s="38"/>
      <c r="BN847" s="38"/>
      <c r="BO847" s="38"/>
      <c r="BP847" s="38"/>
      <c r="BQ847" s="38"/>
      <c r="BR847" s="38"/>
      <c r="BS847" s="38"/>
    </row>
    <row r="848" spans="1:71" ht="19.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  <c r="BK848" s="38"/>
      <c r="BL848" s="38"/>
      <c r="BM848" s="38"/>
      <c r="BN848" s="38"/>
      <c r="BO848" s="38"/>
      <c r="BP848" s="38"/>
      <c r="BQ848" s="38"/>
      <c r="BR848" s="38"/>
      <c r="BS848" s="38"/>
    </row>
    <row r="849" spans="1:71" ht="19.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  <c r="BK849" s="38"/>
      <c r="BL849" s="38"/>
      <c r="BM849" s="38"/>
      <c r="BN849" s="38"/>
      <c r="BO849" s="38"/>
      <c r="BP849" s="38"/>
      <c r="BQ849" s="38"/>
      <c r="BR849" s="38"/>
      <c r="BS849" s="38"/>
    </row>
    <row r="850" spans="1:71" ht="19.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  <c r="BK850" s="38"/>
      <c r="BL850" s="38"/>
      <c r="BM850" s="38"/>
      <c r="BN850" s="38"/>
      <c r="BO850" s="38"/>
      <c r="BP850" s="38"/>
      <c r="BQ850" s="38"/>
      <c r="BR850" s="38"/>
      <c r="BS850" s="38"/>
    </row>
    <row r="851" spans="1:71" ht="19.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  <c r="BK851" s="38"/>
      <c r="BL851" s="38"/>
      <c r="BM851" s="38"/>
      <c r="BN851" s="38"/>
      <c r="BO851" s="38"/>
      <c r="BP851" s="38"/>
      <c r="BQ851" s="38"/>
      <c r="BR851" s="38"/>
      <c r="BS851" s="38"/>
    </row>
    <row r="852" spans="1:71" ht="19.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  <c r="BK852" s="38"/>
      <c r="BL852" s="38"/>
      <c r="BM852" s="38"/>
      <c r="BN852" s="38"/>
      <c r="BO852" s="38"/>
      <c r="BP852" s="38"/>
      <c r="BQ852" s="38"/>
      <c r="BR852" s="38"/>
      <c r="BS852" s="38"/>
    </row>
    <row r="853" spans="1:71" ht="19.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  <c r="BM853" s="38"/>
      <c r="BN853" s="38"/>
      <c r="BO853" s="38"/>
      <c r="BP853" s="38"/>
      <c r="BQ853" s="38"/>
      <c r="BR853" s="38"/>
      <c r="BS853" s="38"/>
    </row>
    <row r="854" spans="1:71" ht="19.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  <c r="BM854" s="38"/>
      <c r="BN854" s="38"/>
      <c r="BO854" s="38"/>
      <c r="BP854" s="38"/>
      <c r="BQ854" s="38"/>
      <c r="BR854" s="38"/>
      <c r="BS854" s="38"/>
    </row>
    <row r="855" spans="1:71" ht="19.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  <c r="BM855" s="38"/>
      <c r="BN855" s="38"/>
      <c r="BO855" s="38"/>
      <c r="BP855" s="38"/>
      <c r="BQ855" s="38"/>
      <c r="BR855" s="38"/>
      <c r="BS855" s="38"/>
    </row>
    <row r="856" spans="1:71" ht="19.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  <c r="BM856" s="38"/>
      <c r="BN856" s="38"/>
      <c r="BO856" s="38"/>
      <c r="BP856" s="38"/>
      <c r="BQ856" s="38"/>
      <c r="BR856" s="38"/>
      <c r="BS856" s="38"/>
    </row>
    <row r="857" spans="1:71" ht="19.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  <c r="BM857" s="38"/>
      <c r="BN857" s="38"/>
      <c r="BO857" s="38"/>
      <c r="BP857" s="38"/>
      <c r="BQ857" s="38"/>
      <c r="BR857" s="38"/>
      <c r="BS857" s="38"/>
    </row>
    <row r="858" spans="1:71" ht="19.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  <c r="BM858" s="38"/>
      <c r="BN858" s="38"/>
      <c r="BO858" s="38"/>
      <c r="BP858" s="38"/>
      <c r="BQ858" s="38"/>
      <c r="BR858" s="38"/>
      <c r="BS858" s="38"/>
    </row>
    <row r="859" spans="1:71" ht="19.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  <c r="BK859" s="38"/>
      <c r="BL859" s="38"/>
      <c r="BM859" s="38"/>
      <c r="BN859" s="38"/>
      <c r="BO859" s="38"/>
      <c r="BP859" s="38"/>
      <c r="BQ859" s="38"/>
      <c r="BR859" s="38"/>
      <c r="BS859" s="38"/>
    </row>
    <row r="860" spans="1:71" ht="19.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  <c r="BK860" s="38"/>
      <c r="BL860" s="38"/>
      <c r="BM860" s="38"/>
      <c r="BN860" s="38"/>
      <c r="BO860" s="38"/>
      <c r="BP860" s="38"/>
      <c r="BQ860" s="38"/>
      <c r="BR860" s="38"/>
      <c r="BS860" s="38"/>
    </row>
    <row r="861" spans="1:71" ht="19.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  <c r="BK861" s="38"/>
      <c r="BL861" s="38"/>
      <c r="BM861" s="38"/>
      <c r="BN861" s="38"/>
      <c r="BO861" s="38"/>
      <c r="BP861" s="38"/>
      <c r="BQ861" s="38"/>
      <c r="BR861" s="38"/>
      <c r="BS861" s="38"/>
    </row>
    <row r="862" spans="1:71" ht="19.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  <c r="BK862" s="38"/>
      <c r="BL862" s="38"/>
      <c r="BM862" s="38"/>
      <c r="BN862" s="38"/>
      <c r="BO862" s="38"/>
      <c r="BP862" s="38"/>
      <c r="BQ862" s="38"/>
      <c r="BR862" s="38"/>
      <c r="BS862" s="38"/>
    </row>
    <row r="863" spans="1:71" ht="19.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  <c r="BK863" s="38"/>
      <c r="BL863" s="38"/>
      <c r="BM863" s="38"/>
      <c r="BN863" s="38"/>
      <c r="BO863" s="38"/>
      <c r="BP863" s="38"/>
      <c r="BQ863" s="38"/>
      <c r="BR863" s="38"/>
      <c r="BS863" s="38"/>
    </row>
    <row r="864" spans="1:71" ht="19.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  <c r="BK864" s="38"/>
      <c r="BL864" s="38"/>
      <c r="BM864" s="38"/>
      <c r="BN864" s="38"/>
      <c r="BO864" s="38"/>
      <c r="BP864" s="38"/>
      <c r="BQ864" s="38"/>
      <c r="BR864" s="38"/>
      <c r="BS864" s="38"/>
    </row>
    <row r="865" spans="1:71" ht="19.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  <c r="BK865" s="38"/>
      <c r="BL865" s="38"/>
      <c r="BM865" s="38"/>
      <c r="BN865" s="38"/>
      <c r="BO865" s="38"/>
      <c r="BP865" s="38"/>
      <c r="BQ865" s="38"/>
      <c r="BR865" s="38"/>
      <c r="BS865" s="38"/>
    </row>
    <row r="866" spans="1:71" ht="19.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  <c r="BM866" s="38"/>
      <c r="BN866" s="38"/>
      <c r="BO866" s="38"/>
      <c r="BP866" s="38"/>
      <c r="BQ866" s="38"/>
      <c r="BR866" s="38"/>
      <c r="BS866" s="38"/>
    </row>
    <row r="867" spans="1:71" ht="19.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  <c r="BM867" s="38"/>
      <c r="BN867" s="38"/>
      <c r="BO867" s="38"/>
      <c r="BP867" s="38"/>
      <c r="BQ867" s="38"/>
      <c r="BR867" s="38"/>
      <c r="BS867" s="38"/>
    </row>
    <row r="868" spans="1:71" ht="19.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  <c r="BM868" s="38"/>
      <c r="BN868" s="38"/>
      <c r="BO868" s="38"/>
      <c r="BP868" s="38"/>
      <c r="BQ868" s="38"/>
      <c r="BR868" s="38"/>
      <c r="BS868" s="38"/>
    </row>
    <row r="869" spans="1:71" ht="19.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  <c r="BM869" s="38"/>
      <c r="BN869" s="38"/>
      <c r="BO869" s="38"/>
      <c r="BP869" s="38"/>
      <c r="BQ869" s="38"/>
      <c r="BR869" s="38"/>
      <c r="BS869" s="38"/>
    </row>
    <row r="870" spans="1:71" ht="19.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  <c r="BM870" s="38"/>
      <c r="BN870" s="38"/>
      <c r="BO870" s="38"/>
      <c r="BP870" s="38"/>
      <c r="BQ870" s="38"/>
      <c r="BR870" s="38"/>
      <c r="BS870" s="38"/>
    </row>
    <row r="871" spans="1:71" ht="19.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  <c r="BM871" s="38"/>
      <c r="BN871" s="38"/>
      <c r="BO871" s="38"/>
      <c r="BP871" s="38"/>
      <c r="BQ871" s="38"/>
      <c r="BR871" s="38"/>
      <c r="BS871" s="38"/>
    </row>
    <row r="872" spans="1:71" ht="19.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  <c r="BM872" s="38"/>
      <c r="BN872" s="38"/>
      <c r="BO872" s="38"/>
      <c r="BP872" s="38"/>
      <c r="BQ872" s="38"/>
      <c r="BR872" s="38"/>
      <c r="BS872" s="38"/>
    </row>
    <row r="873" spans="1:71" ht="19.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  <c r="BK873" s="38"/>
      <c r="BL873" s="38"/>
      <c r="BM873" s="38"/>
      <c r="BN873" s="38"/>
      <c r="BO873" s="38"/>
      <c r="BP873" s="38"/>
      <c r="BQ873" s="38"/>
      <c r="BR873" s="38"/>
      <c r="BS873" s="38"/>
    </row>
    <row r="874" spans="1:71" ht="19.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  <c r="BK874" s="38"/>
      <c r="BL874" s="38"/>
      <c r="BM874" s="38"/>
      <c r="BN874" s="38"/>
      <c r="BO874" s="38"/>
      <c r="BP874" s="38"/>
      <c r="BQ874" s="38"/>
      <c r="BR874" s="38"/>
      <c r="BS874" s="38"/>
    </row>
    <row r="875" spans="1:71" ht="19.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  <c r="BK875" s="38"/>
      <c r="BL875" s="38"/>
      <c r="BM875" s="38"/>
      <c r="BN875" s="38"/>
      <c r="BO875" s="38"/>
      <c r="BP875" s="38"/>
      <c r="BQ875" s="38"/>
      <c r="BR875" s="38"/>
      <c r="BS875" s="38"/>
    </row>
    <row r="876" spans="1:71" ht="19.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  <c r="BK876" s="38"/>
      <c r="BL876" s="38"/>
      <c r="BM876" s="38"/>
      <c r="BN876" s="38"/>
      <c r="BO876" s="38"/>
      <c r="BP876" s="38"/>
      <c r="BQ876" s="38"/>
      <c r="BR876" s="38"/>
      <c r="BS876" s="38"/>
    </row>
    <row r="877" spans="1:71" ht="19.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  <c r="BK877" s="38"/>
      <c r="BL877" s="38"/>
      <c r="BM877" s="38"/>
      <c r="BN877" s="38"/>
      <c r="BO877" s="38"/>
      <c r="BP877" s="38"/>
      <c r="BQ877" s="38"/>
      <c r="BR877" s="38"/>
      <c r="BS877" s="38"/>
    </row>
    <row r="878" spans="1:71" ht="19.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  <c r="BK878" s="38"/>
      <c r="BL878" s="38"/>
      <c r="BM878" s="38"/>
      <c r="BN878" s="38"/>
      <c r="BO878" s="38"/>
      <c r="BP878" s="38"/>
      <c r="BQ878" s="38"/>
      <c r="BR878" s="38"/>
      <c r="BS878" s="38"/>
    </row>
    <row r="879" spans="1:71" ht="19.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  <c r="BK879" s="38"/>
      <c r="BL879" s="38"/>
      <c r="BM879" s="38"/>
      <c r="BN879" s="38"/>
      <c r="BO879" s="38"/>
      <c r="BP879" s="38"/>
      <c r="BQ879" s="38"/>
      <c r="BR879" s="38"/>
      <c r="BS879" s="38"/>
    </row>
    <row r="880" spans="1:71" ht="19.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  <c r="BK880" s="38"/>
      <c r="BL880" s="38"/>
      <c r="BM880" s="38"/>
      <c r="BN880" s="38"/>
      <c r="BO880" s="38"/>
      <c r="BP880" s="38"/>
      <c r="BQ880" s="38"/>
      <c r="BR880" s="38"/>
      <c r="BS880" s="38"/>
    </row>
    <row r="881" spans="1:71" ht="19.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/>
      <c r="BL881" s="38"/>
      <c r="BM881" s="38"/>
      <c r="BN881" s="38"/>
      <c r="BO881" s="38"/>
      <c r="BP881" s="38"/>
      <c r="BQ881" s="38"/>
      <c r="BR881" s="38"/>
      <c r="BS881" s="38"/>
    </row>
    <row r="882" spans="1:71" ht="19.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H882" s="38"/>
      <c r="BI882" s="38"/>
      <c r="BJ882" s="38"/>
      <c r="BK882" s="38"/>
      <c r="BL882" s="38"/>
      <c r="BM882" s="38"/>
      <c r="BN882" s="38"/>
      <c r="BO882" s="38"/>
      <c r="BP882" s="38"/>
      <c r="BQ882" s="38"/>
      <c r="BR882" s="38"/>
      <c r="BS882" s="38"/>
    </row>
    <row r="883" spans="1:71" ht="19.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H883" s="38"/>
      <c r="BI883" s="38"/>
      <c r="BJ883" s="38"/>
      <c r="BK883" s="38"/>
      <c r="BL883" s="38"/>
      <c r="BM883" s="38"/>
      <c r="BN883" s="38"/>
      <c r="BO883" s="38"/>
      <c r="BP883" s="38"/>
      <c r="BQ883" s="38"/>
      <c r="BR883" s="38"/>
      <c r="BS883" s="38"/>
    </row>
    <row r="884" spans="1:71" ht="19.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  <c r="BK884" s="38"/>
      <c r="BL884" s="38"/>
      <c r="BM884" s="38"/>
      <c r="BN884" s="38"/>
      <c r="BO884" s="38"/>
      <c r="BP884" s="38"/>
      <c r="BQ884" s="38"/>
      <c r="BR884" s="38"/>
      <c r="BS884" s="38"/>
    </row>
    <row r="885" spans="1:71" ht="19.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H885" s="38"/>
      <c r="BI885" s="38"/>
      <c r="BJ885" s="38"/>
      <c r="BK885" s="38"/>
      <c r="BL885" s="38"/>
      <c r="BM885" s="38"/>
      <c r="BN885" s="38"/>
      <c r="BO885" s="38"/>
      <c r="BP885" s="38"/>
      <c r="BQ885" s="38"/>
      <c r="BR885" s="38"/>
      <c r="BS885" s="38"/>
    </row>
    <row r="886" spans="1:71" ht="19.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H886" s="38"/>
      <c r="BI886" s="38"/>
      <c r="BJ886" s="38"/>
      <c r="BK886" s="38"/>
      <c r="BL886" s="38"/>
      <c r="BM886" s="38"/>
      <c r="BN886" s="38"/>
      <c r="BO886" s="38"/>
      <c r="BP886" s="38"/>
      <c r="BQ886" s="38"/>
      <c r="BR886" s="38"/>
      <c r="BS886" s="38"/>
    </row>
    <row r="887" spans="1:71" ht="19.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H887" s="38"/>
      <c r="BI887" s="38"/>
      <c r="BJ887" s="38"/>
      <c r="BK887" s="38"/>
      <c r="BL887" s="38"/>
      <c r="BM887" s="38"/>
      <c r="BN887" s="38"/>
      <c r="BO887" s="38"/>
      <c r="BP887" s="38"/>
      <c r="BQ887" s="38"/>
      <c r="BR887" s="38"/>
      <c r="BS887" s="38"/>
    </row>
    <row r="888" spans="1:71" ht="19.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H888" s="38"/>
      <c r="BI888" s="38"/>
      <c r="BJ888" s="38"/>
      <c r="BK888" s="38"/>
      <c r="BL888" s="38"/>
      <c r="BM888" s="38"/>
      <c r="BN888" s="38"/>
      <c r="BO888" s="38"/>
      <c r="BP888" s="38"/>
      <c r="BQ888" s="38"/>
      <c r="BR888" s="38"/>
      <c r="BS888" s="38"/>
    </row>
    <row r="889" spans="1:71" ht="19.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  <c r="BM889" s="38"/>
      <c r="BN889" s="38"/>
      <c r="BO889" s="38"/>
      <c r="BP889" s="38"/>
      <c r="BQ889" s="38"/>
      <c r="BR889" s="38"/>
      <c r="BS889" s="38"/>
    </row>
    <row r="890" spans="1:71" ht="19.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H890" s="38"/>
      <c r="BI890" s="38"/>
      <c r="BJ890" s="38"/>
      <c r="BK890" s="38"/>
      <c r="BL890" s="38"/>
      <c r="BM890" s="38"/>
      <c r="BN890" s="38"/>
      <c r="BO890" s="38"/>
      <c r="BP890" s="38"/>
      <c r="BQ890" s="38"/>
      <c r="BR890" s="38"/>
      <c r="BS890" s="38"/>
    </row>
    <row r="891" spans="1:71" ht="19.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H891" s="38"/>
      <c r="BI891" s="38"/>
      <c r="BJ891" s="38"/>
      <c r="BK891" s="38"/>
      <c r="BL891" s="38"/>
      <c r="BM891" s="38"/>
      <c r="BN891" s="38"/>
      <c r="BO891" s="38"/>
      <c r="BP891" s="38"/>
      <c r="BQ891" s="38"/>
      <c r="BR891" s="38"/>
      <c r="BS891" s="38"/>
    </row>
    <row r="892" spans="1:71" ht="19.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H892" s="38"/>
      <c r="BI892" s="38"/>
      <c r="BJ892" s="38"/>
      <c r="BK892" s="38"/>
      <c r="BL892" s="38"/>
      <c r="BM892" s="38"/>
      <c r="BN892" s="38"/>
      <c r="BO892" s="38"/>
      <c r="BP892" s="38"/>
      <c r="BQ892" s="38"/>
      <c r="BR892" s="38"/>
      <c r="BS892" s="38"/>
    </row>
    <row r="893" spans="1:71" ht="19.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H893" s="38"/>
      <c r="BI893" s="38"/>
      <c r="BJ893" s="38"/>
      <c r="BK893" s="38"/>
      <c r="BL893" s="38"/>
      <c r="BM893" s="38"/>
      <c r="BN893" s="38"/>
      <c r="BO893" s="38"/>
      <c r="BP893" s="38"/>
      <c r="BQ893" s="38"/>
      <c r="BR893" s="38"/>
      <c r="BS893" s="38"/>
    </row>
    <row r="894" spans="1:71" ht="19.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H894" s="38"/>
      <c r="BI894" s="38"/>
      <c r="BJ894" s="38"/>
      <c r="BK894" s="38"/>
      <c r="BL894" s="38"/>
      <c r="BM894" s="38"/>
      <c r="BN894" s="38"/>
      <c r="BO894" s="38"/>
      <c r="BP894" s="38"/>
      <c r="BQ894" s="38"/>
      <c r="BR894" s="38"/>
      <c r="BS894" s="38"/>
    </row>
    <row r="895" spans="1:71" ht="19.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H895" s="38"/>
      <c r="BI895" s="38"/>
      <c r="BJ895" s="38"/>
      <c r="BK895" s="38"/>
      <c r="BL895" s="38"/>
      <c r="BM895" s="38"/>
      <c r="BN895" s="38"/>
      <c r="BO895" s="38"/>
      <c r="BP895" s="38"/>
      <c r="BQ895" s="38"/>
      <c r="BR895" s="38"/>
      <c r="BS895" s="38"/>
    </row>
    <row r="896" spans="1:71" ht="19.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H896" s="38"/>
      <c r="BI896" s="38"/>
      <c r="BJ896" s="38"/>
      <c r="BK896" s="38"/>
      <c r="BL896" s="38"/>
      <c r="BM896" s="38"/>
      <c r="BN896" s="38"/>
      <c r="BO896" s="38"/>
      <c r="BP896" s="38"/>
      <c r="BQ896" s="38"/>
      <c r="BR896" s="38"/>
      <c r="BS896" s="38"/>
    </row>
    <row r="897" spans="1:71" ht="19.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H897" s="38"/>
      <c r="BI897" s="38"/>
      <c r="BJ897" s="38"/>
      <c r="BK897" s="38"/>
      <c r="BL897" s="38"/>
      <c r="BM897" s="38"/>
      <c r="BN897" s="38"/>
      <c r="BO897" s="38"/>
      <c r="BP897" s="38"/>
      <c r="BQ897" s="38"/>
      <c r="BR897" s="38"/>
      <c r="BS897" s="38"/>
    </row>
    <row r="898" spans="1:71" ht="19.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H898" s="38"/>
      <c r="BI898" s="38"/>
      <c r="BJ898" s="38"/>
      <c r="BK898" s="38"/>
      <c r="BL898" s="38"/>
      <c r="BM898" s="38"/>
      <c r="BN898" s="38"/>
      <c r="BO898" s="38"/>
      <c r="BP898" s="38"/>
      <c r="BQ898" s="38"/>
      <c r="BR898" s="38"/>
      <c r="BS898" s="38"/>
    </row>
    <row r="899" spans="1:71" ht="19.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  <c r="BM899" s="38"/>
      <c r="BN899" s="38"/>
      <c r="BO899" s="38"/>
      <c r="BP899" s="38"/>
      <c r="BQ899" s="38"/>
      <c r="BR899" s="38"/>
      <c r="BS899" s="38"/>
    </row>
    <row r="900" spans="1:71" ht="19.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  <c r="BM900" s="38"/>
      <c r="BN900" s="38"/>
      <c r="BO900" s="38"/>
      <c r="BP900" s="38"/>
      <c r="BQ900" s="38"/>
      <c r="BR900" s="38"/>
      <c r="BS900" s="38"/>
    </row>
    <row r="901" spans="1:71" ht="19.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  <c r="BM901" s="38"/>
      <c r="BN901" s="38"/>
      <c r="BO901" s="38"/>
      <c r="BP901" s="38"/>
      <c r="BQ901" s="38"/>
      <c r="BR901" s="38"/>
      <c r="BS901" s="38"/>
    </row>
    <row r="902" spans="1:71" ht="19.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  <c r="BM902" s="38"/>
      <c r="BN902" s="38"/>
      <c r="BO902" s="38"/>
      <c r="BP902" s="38"/>
      <c r="BQ902" s="38"/>
      <c r="BR902" s="38"/>
      <c r="BS902" s="38"/>
    </row>
    <row r="903" spans="1:71" ht="19.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  <c r="BM903" s="38"/>
      <c r="BN903" s="38"/>
      <c r="BO903" s="38"/>
      <c r="BP903" s="38"/>
      <c r="BQ903" s="38"/>
      <c r="BR903" s="38"/>
      <c r="BS903" s="38"/>
    </row>
    <row r="904" spans="1:71" ht="19.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  <c r="BP904" s="38"/>
      <c r="BQ904" s="38"/>
      <c r="BR904" s="38"/>
      <c r="BS904" s="38"/>
    </row>
    <row r="905" spans="1:71" ht="19.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  <c r="BP905" s="38"/>
      <c r="BQ905" s="38"/>
      <c r="BR905" s="38"/>
      <c r="BS905" s="38"/>
    </row>
    <row r="906" spans="1:71" ht="19.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  <c r="BP906" s="38"/>
      <c r="BQ906" s="38"/>
      <c r="BR906" s="38"/>
      <c r="BS906" s="38"/>
    </row>
    <row r="907" spans="1:71" ht="19.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  <c r="BP907" s="38"/>
      <c r="BQ907" s="38"/>
      <c r="BR907" s="38"/>
      <c r="BS907" s="38"/>
    </row>
    <row r="908" spans="1:71" ht="19.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  <c r="BP908" s="38"/>
      <c r="BQ908" s="38"/>
      <c r="BR908" s="38"/>
      <c r="BS908" s="38"/>
    </row>
    <row r="909" spans="1:71" ht="19.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  <c r="BP909" s="38"/>
      <c r="BQ909" s="38"/>
      <c r="BR909" s="38"/>
      <c r="BS909" s="38"/>
    </row>
    <row r="910" spans="1:71" ht="19.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  <c r="BP910" s="38"/>
      <c r="BQ910" s="38"/>
      <c r="BR910" s="38"/>
      <c r="BS910" s="38"/>
    </row>
    <row r="911" spans="1:71" ht="19.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  <c r="BP911" s="38"/>
      <c r="BQ911" s="38"/>
      <c r="BR911" s="38"/>
      <c r="BS911" s="38"/>
    </row>
    <row r="912" spans="1:71" ht="19.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  <c r="BP912" s="38"/>
      <c r="BQ912" s="38"/>
      <c r="BR912" s="38"/>
      <c r="BS912" s="38"/>
    </row>
    <row r="913" spans="1:71" ht="19.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  <c r="BP913" s="38"/>
      <c r="BQ913" s="38"/>
      <c r="BR913" s="38"/>
      <c r="BS913" s="38"/>
    </row>
    <row r="914" spans="1:71" ht="19.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  <c r="BP914" s="38"/>
      <c r="BQ914" s="38"/>
      <c r="BR914" s="38"/>
      <c r="BS914" s="38"/>
    </row>
    <row r="915" spans="1:71" ht="19.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  <c r="BP915" s="38"/>
      <c r="BQ915" s="38"/>
      <c r="BR915" s="38"/>
      <c r="BS915" s="38"/>
    </row>
    <row r="916" spans="1:71" ht="19.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  <c r="BP916" s="38"/>
      <c r="BQ916" s="38"/>
      <c r="BR916" s="38"/>
      <c r="BS916" s="38"/>
    </row>
    <row r="917" spans="1:71" ht="19.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  <c r="BP917" s="38"/>
      <c r="BQ917" s="38"/>
      <c r="BR917" s="38"/>
      <c r="BS917" s="38"/>
    </row>
    <row r="918" spans="1:71" ht="19.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  <c r="BP918" s="38"/>
      <c r="BQ918" s="38"/>
      <c r="BR918" s="38"/>
      <c r="BS918" s="38"/>
    </row>
    <row r="919" spans="1:71" ht="19.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  <c r="BP919" s="38"/>
      <c r="BQ919" s="38"/>
      <c r="BR919" s="38"/>
      <c r="BS919" s="38"/>
    </row>
    <row r="920" spans="1:71" ht="19.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  <c r="BP920" s="38"/>
      <c r="BQ920" s="38"/>
      <c r="BR920" s="38"/>
      <c r="BS920" s="38"/>
    </row>
    <row r="921" spans="1:71" ht="19.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  <c r="BP921" s="38"/>
      <c r="BQ921" s="38"/>
      <c r="BR921" s="38"/>
      <c r="BS921" s="38"/>
    </row>
    <row r="922" spans="1:71" ht="19.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  <c r="BP922" s="38"/>
      <c r="BQ922" s="38"/>
      <c r="BR922" s="38"/>
      <c r="BS922" s="38"/>
    </row>
    <row r="923" spans="1:71" ht="19.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  <c r="BP923" s="38"/>
      <c r="BQ923" s="38"/>
      <c r="BR923" s="38"/>
      <c r="BS923" s="38"/>
    </row>
    <row r="924" spans="1:71" ht="19.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  <c r="BP924" s="38"/>
      <c r="BQ924" s="38"/>
      <c r="BR924" s="38"/>
      <c r="BS924" s="38"/>
    </row>
    <row r="925" spans="1:71" ht="19.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  <c r="BP925" s="38"/>
      <c r="BQ925" s="38"/>
      <c r="BR925" s="38"/>
      <c r="BS925" s="38"/>
    </row>
    <row r="926" spans="1:71" ht="19.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  <c r="BP926" s="38"/>
      <c r="BQ926" s="38"/>
      <c r="BR926" s="38"/>
      <c r="BS926" s="38"/>
    </row>
    <row r="927" spans="1:71" ht="19.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  <c r="BP927" s="38"/>
      <c r="BQ927" s="38"/>
      <c r="BR927" s="38"/>
      <c r="BS927" s="38"/>
    </row>
    <row r="928" spans="1:71" ht="19.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  <c r="BP928" s="38"/>
      <c r="BQ928" s="38"/>
      <c r="BR928" s="38"/>
      <c r="BS928" s="38"/>
    </row>
    <row r="929" spans="1:71" ht="19.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  <c r="BP929" s="38"/>
      <c r="BQ929" s="38"/>
      <c r="BR929" s="38"/>
      <c r="BS929" s="38"/>
    </row>
    <row r="930" spans="1:71" ht="19.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  <c r="BP930" s="38"/>
      <c r="BQ930" s="38"/>
      <c r="BR930" s="38"/>
      <c r="BS930" s="38"/>
    </row>
    <row r="931" spans="1:71" ht="19.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  <c r="BP931" s="38"/>
      <c r="BQ931" s="38"/>
      <c r="BR931" s="38"/>
      <c r="BS931" s="38"/>
    </row>
    <row r="932" spans="1:71" ht="19.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  <c r="BP932" s="38"/>
      <c r="BQ932" s="38"/>
      <c r="BR932" s="38"/>
      <c r="BS932" s="38"/>
    </row>
    <row r="933" spans="1:71" ht="19.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  <c r="BP933" s="38"/>
      <c r="BQ933" s="38"/>
      <c r="BR933" s="38"/>
      <c r="BS933" s="38"/>
    </row>
    <row r="934" spans="1:71" ht="19.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  <c r="BP934" s="38"/>
      <c r="BQ934" s="38"/>
      <c r="BR934" s="38"/>
      <c r="BS934" s="38"/>
    </row>
    <row r="935" spans="1:71" ht="19.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  <c r="BP935" s="38"/>
      <c r="BQ935" s="38"/>
      <c r="BR935" s="38"/>
      <c r="BS935" s="38"/>
    </row>
    <row r="936" spans="1:71" ht="19.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  <c r="BP936" s="38"/>
      <c r="BQ936" s="38"/>
      <c r="BR936" s="38"/>
      <c r="BS936" s="38"/>
    </row>
    <row r="937" spans="1:71" ht="19.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  <c r="BP937" s="38"/>
      <c r="BQ937" s="38"/>
      <c r="BR937" s="38"/>
      <c r="BS937" s="38"/>
    </row>
    <row r="938" spans="1:71" ht="19.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  <c r="BP938" s="38"/>
      <c r="BQ938" s="38"/>
      <c r="BR938" s="38"/>
      <c r="BS938" s="38"/>
    </row>
    <row r="939" spans="1:71" ht="19.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  <c r="BP939" s="38"/>
      <c r="BQ939" s="38"/>
      <c r="BR939" s="38"/>
      <c r="BS939" s="38"/>
    </row>
    <row r="940" spans="1:71" ht="19.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  <c r="BP940" s="38"/>
      <c r="BQ940" s="38"/>
      <c r="BR940" s="38"/>
      <c r="BS940" s="38"/>
    </row>
    <row r="941" spans="1:71" ht="19.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  <c r="BP941" s="38"/>
      <c r="BQ941" s="38"/>
      <c r="BR941" s="38"/>
      <c r="BS941" s="38"/>
    </row>
    <row r="942" spans="1:71" ht="19.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  <c r="BP942" s="38"/>
      <c r="BQ942" s="38"/>
      <c r="BR942" s="38"/>
      <c r="BS942" s="38"/>
    </row>
    <row r="943" spans="1:71" ht="19.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  <c r="BP943" s="38"/>
      <c r="BQ943" s="38"/>
      <c r="BR943" s="38"/>
      <c r="BS943" s="38"/>
    </row>
    <row r="944" spans="1:71" ht="19.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  <c r="BP944" s="38"/>
      <c r="BQ944" s="38"/>
      <c r="BR944" s="38"/>
      <c r="BS944" s="38"/>
    </row>
    <row r="945" spans="1:71" ht="19.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  <c r="BP945" s="38"/>
      <c r="BQ945" s="38"/>
      <c r="BR945" s="38"/>
      <c r="BS945" s="38"/>
    </row>
    <row r="946" spans="1:71" ht="19.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  <c r="BP946" s="38"/>
      <c r="BQ946" s="38"/>
      <c r="BR946" s="38"/>
      <c r="BS946" s="38"/>
    </row>
    <row r="947" spans="1:71" ht="19.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  <c r="BP947" s="38"/>
      <c r="BQ947" s="38"/>
      <c r="BR947" s="38"/>
      <c r="BS947" s="38"/>
    </row>
    <row r="948" spans="1:71" ht="19.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  <c r="BP948" s="38"/>
      <c r="BQ948" s="38"/>
      <c r="BR948" s="38"/>
      <c r="BS948" s="38"/>
    </row>
    <row r="949" spans="1:71" ht="19.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  <c r="BP949" s="38"/>
      <c r="BQ949" s="38"/>
      <c r="BR949" s="38"/>
      <c r="BS949" s="38"/>
    </row>
    <row r="950" spans="1:71" ht="19.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  <c r="BP950" s="38"/>
      <c r="BQ950" s="38"/>
      <c r="BR950" s="38"/>
      <c r="BS950" s="38"/>
    </row>
    <row r="951" spans="1:71" ht="19.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  <c r="BP951" s="38"/>
      <c r="BQ951" s="38"/>
      <c r="BR951" s="38"/>
      <c r="BS951" s="38"/>
    </row>
    <row r="952" spans="1:71" ht="19.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  <c r="BP952" s="38"/>
      <c r="BQ952" s="38"/>
      <c r="BR952" s="38"/>
      <c r="BS952" s="38"/>
    </row>
    <row r="953" spans="1:71" ht="19.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  <c r="BP953" s="38"/>
      <c r="BQ953" s="38"/>
      <c r="BR953" s="38"/>
      <c r="BS953" s="38"/>
    </row>
    <row r="954" spans="1:71" ht="19.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  <c r="BP954" s="38"/>
      <c r="BQ954" s="38"/>
      <c r="BR954" s="38"/>
      <c r="BS954" s="38"/>
    </row>
    <row r="955" spans="1:71" ht="19.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  <c r="BP955" s="38"/>
      <c r="BQ955" s="38"/>
      <c r="BR955" s="38"/>
      <c r="BS955" s="38"/>
    </row>
    <row r="956" spans="1:71" ht="19.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  <c r="BP956" s="38"/>
      <c r="BQ956" s="38"/>
      <c r="BR956" s="38"/>
      <c r="BS956" s="38"/>
    </row>
    <row r="957" spans="1:71" ht="19.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  <c r="BP957" s="38"/>
      <c r="BQ957" s="38"/>
      <c r="BR957" s="38"/>
      <c r="BS957" s="38"/>
    </row>
    <row r="958" spans="1:71" ht="19.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  <c r="BP958" s="38"/>
      <c r="BQ958" s="38"/>
      <c r="BR958" s="38"/>
      <c r="BS958" s="38"/>
    </row>
    <row r="959" spans="1:71" ht="19.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  <c r="BP959" s="38"/>
      <c r="BQ959" s="38"/>
      <c r="BR959" s="38"/>
      <c r="BS959" s="38"/>
    </row>
    <row r="960" spans="1:71" ht="19.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  <c r="BP960" s="38"/>
      <c r="BQ960" s="38"/>
      <c r="BR960" s="38"/>
      <c r="BS960" s="38"/>
    </row>
    <row r="961" spans="1:71" ht="19.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  <c r="BP961" s="38"/>
      <c r="BQ961" s="38"/>
      <c r="BR961" s="38"/>
      <c r="BS961" s="38"/>
    </row>
    <row r="962" spans="1:71" ht="19.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  <c r="BP962" s="38"/>
      <c r="BQ962" s="38"/>
      <c r="BR962" s="38"/>
      <c r="BS962" s="38"/>
    </row>
    <row r="963" spans="1:71" ht="19.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  <c r="BP963" s="38"/>
      <c r="BQ963" s="38"/>
      <c r="BR963" s="38"/>
      <c r="BS963" s="38"/>
    </row>
    <row r="964" spans="1:71" ht="19.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  <c r="BP964" s="38"/>
      <c r="BQ964" s="38"/>
      <c r="BR964" s="38"/>
      <c r="BS964" s="38"/>
    </row>
    <row r="965" spans="1:71" ht="19.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  <c r="BP965" s="38"/>
      <c r="BQ965" s="38"/>
      <c r="BR965" s="38"/>
      <c r="BS965" s="38"/>
    </row>
    <row r="966" spans="1:71" ht="19.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  <c r="BP966" s="38"/>
      <c r="BQ966" s="38"/>
      <c r="BR966" s="38"/>
      <c r="BS966" s="38"/>
    </row>
    <row r="967" spans="1:71" ht="19.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  <c r="BP967" s="38"/>
      <c r="BQ967" s="38"/>
      <c r="BR967" s="38"/>
      <c r="BS967" s="38"/>
    </row>
    <row r="968" spans="1:71" ht="19.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  <c r="BP968" s="38"/>
      <c r="BQ968" s="38"/>
      <c r="BR968" s="38"/>
      <c r="BS968" s="38"/>
    </row>
    <row r="969" spans="1:71" ht="19.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  <c r="BP969" s="38"/>
      <c r="BQ969" s="38"/>
      <c r="BR969" s="38"/>
      <c r="BS969" s="38"/>
    </row>
    <row r="970" spans="1:71" ht="19.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  <c r="BP970" s="38"/>
      <c r="BQ970" s="38"/>
      <c r="BR970" s="38"/>
      <c r="BS970" s="38"/>
    </row>
    <row r="971" spans="1:71" ht="19.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  <c r="BP971" s="38"/>
      <c r="BQ971" s="38"/>
      <c r="BR971" s="38"/>
      <c r="BS971" s="38"/>
    </row>
    <row r="972" spans="1:71" ht="19.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  <c r="BP972" s="38"/>
      <c r="BQ972" s="38"/>
      <c r="BR972" s="38"/>
      <c r="BS972" s="38"/>
    </row>
    <row r="973" spans="1:71" ht="19.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  <c r="BP973" s="38"/>
      <c r="BQ973" s="38"/>
      <c r="BR973" s="38"/>
      <c r="BS973" s="38"/>
    </row>
    <row r="974" spans="1:71" ht="19.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  <c r="BP974" s="38"/>
      <c r="BQ974" s="38"/>
      <c r="BR974" s="38"/>
      <c r="BS974" s="38"/>
    </row>
    <row r="975" spans="1:71" ht="19.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  <c r="BP975" s="38"/>
      <c r="BQ975" s="38"/>
      <c r="BR975" s="38"/>
      <c r="BS975" s="38"/>
    </row>
    <row r="976" spans="1:71" ht="19.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  <c r="BP976" s="38"/>
      <c r="BQ976" s="38"/>
      <c r="BR976" s="38"/>
      <c r="BS976" s="38"/>
    </row>
    <row r="977" spans="1:71" ht="19.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  <c r="BP977" s="38"/>
      <c r="BQ977" s="38"/>
      <c r="BR977" s="38"/>
      <c r="BS977" s="38"/>
    </row>
    <row r="978" spans="1:71" ht="19.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  <c r="BP978" s="38"/>
      <c r="BQ978" s="38"/>
      <c r="BR978" s="38"/>
      <c r="BS978" s="38"/>
    </row>
    <row r="979" spans="1:71" ht="19.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  <c r="BP979" s="38"/>
      <c r="BQ979" s="38"/>
      <c r="BR979" s="38"/>
      <c r="BS979" s="38"/>
    </row>
    <row r="980" spans="1:71" ht="19.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  <c r="BP980" s="38"/>
      <c r="BQ980" s="38"/>
      <c r="BR980" s="38"/>
      <c r="BS980" s="38"/>
    </row>
    <row r="981" spans="1:71" ht="19.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  <c r="BP981" s="38"/>
      <c r="BQ981" s="38"/>
      <c r="BR981" s="38"/>
      <c r="BS981" s="38"/>
    </row>
    <row r="982" spans="1:71" ht="19.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  <c r="BP982" s="38"/>
      <c r="BQ982" s="38"/>
      <c r="BR982" s="38"/>
      <c r="BS982" s="38"/>
    </row>
    <row r="983" spans="1:71" ht="19.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  <c r="BP983" s="38"/>
      <c r="BQ983" s="38"/>
      <c r="BR983" s="38"/>
      <c r="BS983" s="38"/>
    </row>
    <row r="984" spans="1:71" ht="19.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  <c r="BP984" s="38"/>
      <c r="BQ984" s="38"/>
      <c r="BR984" s="38"/>
      <c r="BS984" s="38"/>
    </row>
    <row r="985" spans="1:71" ht="19.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  <c r="BP985" s="38"/>
      <c r="BQ985" s="38"/>
      <c r="BR985" s="38"/>
      <c r="BS985" s="38"/>
    </row>
    <row r="986" spans="1:71" ht="19.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  <c r="BP986" s="38"/>
      <c r="BQ986" s="38"/>
      <c r="BR986" s="38"/>
      <c r="BS986" s="38"/>
    </row>
    <row r="987" spans="1:71" ht="19.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  <c r="BP987" s="38"/>
      <c r="BQ987" s="38"/>
      <c r="BR987" s="38"/>
      <c r="BS987" s="38"/>
    </row>
    <row r="988" spans="1:71" ht="19.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  <c r="BP988" s="38"/>
      <c r="BQ988" s="38"/>
      <c r="BR988" s="38"/>
      <c r="BS988" s="38"/>
    </row>
    <row r="989" spans="1:71" ht="19.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38"/>
      <c r="AK989" s="38"/>
      <c r="AL989" s="38"/>
      <c r="AM989" s="38"/>
      <c r="AN989" s="38"/>
      <c r="AO989" s="38"/>
      <c r="AP989" s="38"/>
      <c r="AQ989" s="38"/>
      <c r="AR989" s="38"/>
      <c r="AS989" s="38"/>
      <c r="AT989" s="38"/>
      <c r="AU989" s="38"/>
      <c r="AV989" s="38"/>
      <c r="AW989" s="38"/>
      <c r="AX989" s="38"/>
      <c r="AY989" s="38"/>
      <c r="AZ989" s="38"/>
      <c r="BA989" s="38"/>
      <c r="BB989" s="38"/>
      <c r="BC989" s="38"/>
      <c r="BD989" s="38"/>
      <c r="BE989" s="38"/>
      <c r="BF989" s="38"/>
      <c r="BG989" s="38"/>
      <c r="BH989" s="38"/>
      <c r="BI989" s="38"/>
      <c r="BJ989" s="38"/>
      <c r="BK989" s="38"/>
      <c r="BL989" s="38"/>
      <c r="BM989" s="38"/>
      <c r="BN989" s="38"/>
      <c r="BO989" s="38"/>
      <c r="BP989" s="38"/>
      <c r="BQ989" s="38"/>
      <c r="BR989" s="38"/>
      <c r="BS989" s="38"/>
    </row>
    <row r="990" spans="1:71" ht="19.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38"/>
      <c r="AK990" s="38"/>
      <c r="AL990" s="38"/>
      <c r="AM990" s="38"/>
      <c r="AN990" s="38"/>
      <c r="AO990" s="38"/>
      <c r="AP990" s="38"/>
      <c r="AQ990" s="38"/>
      <c r="AR990" s="38"/>
      <c r="AS990" s="38"/>
      <c r="AT990" s="38"/>
      <c r="AU990" s="38"/>
      <c r="AV990" s="38"/>
      <c r="AW990" s="38"/>
      <c r="AX990" s="38"/>
      <c r="AY990" s="38"/>
      <c r="AZ990" s="38"/>
      <c r="BA990" s="38"/>
      <c r="BB990" s="38"/>
      <c r="BC990" s="38"/>
      <c r="BD990" s="38"/>
      <c r="BE990" s="38"/>
      <c r="BF990" s="38"/>
      <c r="BG990" s="38"/>
      <c r="BH990" s="38"/>
      <c r="BI990" s="38"/>
      <c r="BJ990" s="38"/>
      <c r="BK990" s="38"/>
      <c r="BL990" s="38"/>
      <c r="BM990" s="38"/>
      <c r="BN990" s="38"/>
      <c r="BO990" s="38"/>
      <c r="BP990" s="38"/>
      <c r="BQ990" s="38"/>
      <c r="BR990" s="38"/>
      <c r="BS990" s="38"/>
    </row>
    <row r="991" spans="1:71" ht="19.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38"/>
      <c r="AK991" s="38"/>
      <c r="AL991" s="38"/>
      <c r="AM991" s="38"/>
      <c r="AN991" s="38"/>
      <c r="AO991" s="38"/>
      <c r="AP991" s="38"/>
      <c r="AQ991" s="38"/>
      <c r="AR991" s="38"/>
      <c r="AS991" s="38"/>
      <c r="AT991" s="38"/>
      <c r="AU991" s="38"/>
      <c r="AV991" s="38"/>
      <c r="AW991" s="38"/>
      <c r="AX991" s="38"/>
      <c r="AY991" s="38"/>
      <c r="AZ991" s="38"/>
      <c r="BA991" s="38"/>
      <c r="BB991" s="38"/>
      <c r="BC991" s="38"/>
      <c r="BD991" s="38"/>
      <c r="BE991" s="38"/>
      <c r="BF991" s="38"/>
      <c r="BG991" s="38"/>
      <c r="BH991" s="38"/>
      <c r="BI991" s="38"/>
      <c r="BJ991" s="38"/>
      <c r="BK991" s="38"/>
      <c r="BL991" s="38"/>
      <c r="BM991" s="38"/>
      <c r="BN991" s="38"/>
      <c r="BO991" s="38"/>
      <c r="BP991" s="38"/>
      <c r="BQ991" s="38"/>
      <c r="BR991" s="38"/>
      <c r="BS991" s="38"/>
    </row>
    <row r="992" spans="1:71" ht="19.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38"/>
      <c r="AK992" s="38"/>
      <c r="AL992" s="38"/>
      <c r="AM992" s="38"/>
      <c r="AN992" s="38"/>
      <c r="AO992" s="38"/>
      <c r="AP992" s="38"/>
      <c r="AQ992" s="38"/>
      <c r="AR992" s="38"/>
      <c r="AS992" s="38"/>
      <c r="AT992" s="38"/>
      <c r="AU992" s="38"/>
      <c r="AV992" s="38"/>
      <c r="AW992" s="38"/>
      <c r="AX992" s="38"/>
      <c r="AY992" s="38"/>
      <c r="AZ992" s="38"/>
      <c r="BA992" s="38"/>
      <c r="BB992" s="38"/>
      <c r="BC992" s="38"/>
      <c r="BD992" s="38"/>
      <c r="BE992" s="38"/>
      <c r="BF992" s="38"/>
      <c r="BG992" s="38"/>
      <c r="BH992" s="38"/>
      <c r="BI992" s="38"/>
      <c r="BJ992" s="38"/>
      <c r="BK992" s="38"/>
      <c r="BL992" s="38"/>
      <c r="BM992" s="38"/>
      <c r="BN992" s="38"/>
      <c r="BO992" s="38"/>
      <c r="BP992" s="38"/>
      <c r="BQ992" s="38"/>
      <c r="BR992" s="38"/>
      <c r="BS992" s="38"/>
    </row>
    <row r="993" spans="1:71" ht="19.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38"/>
      <c r="AK993" s="38"/>
      <c r="AL993" s="38"/>
      <c r="AM993" s="38"/>
      <c r="AN993" s="38"/>
      <c r="AO993" s="38"/>
      <c r="AP993" s="38"/>
      <c r="AQ993" s="38"/>
      <c r="AR993" s="38"/>
      <c r="AS993" s="38"/>
      <c r="AT993" s="38"/>
      <c r="AU993" s="38"/>
      <c r="AV993" s="38"/>
      <c r="AW993" s="38"/>
      <c r="AX993" s="38"/>
      <c r="AY993" s="38"/>
      <c r="AZ993" s="38"/>
      <c r="BA993" s="38"/>
      <c r="BB993" s="38"/>
      <c r="BC993" s="38"/>
      <c r="BD993" s="38"/>
      <c r="BE993" s="38"/>
      <c r="BF993" s="38"/>
      <c r="BG993" s="38"/>
      <c r="BH993" s="38"/>
      <c r="BI993" s="38"/>
      <c r="BJ993" s="38"/>
      <c r="BK993" s="38"/>
      <c r="BL993" s="38"/>
      <c r="BM993" s="38"/>
      <c r="BN993" s="38"/>
      <c r="BO993" s="38"/>
      <c r="BP993" s="38"/>
      <c r="BQ993" s="38"/>
      <c r="BR993" s="38"/>
      <c r="BS993" s="38"/>
    </row>
    <row r="994" spans="1:71" ht="19.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38"/>
      <c r="AK994" s="38"/>
      <c r="AL994" s="38"/>
      <c r="AM994" s="38"/>
      <c r="AN994" s="38"/>
      <c r="AO994" s="38"/>
      <c r="AP994" s="38"/>
      <c r="AQ994" s="38"/>
      <c r="AR994" s="38"/>
      <c r="AS994" s="38"/>
      <c r="AT994" s="38"/>
      <c r="AU994" s="38"/>
      <c r="AV994" s="38"/>
      <c r="AW994" s="38"/>
      <c r="AX994" s="38"/>
      <c r="AY994" s="38"/>
      <c r="AZ994" s="38"/>
      <c r="BA994" s="38"/>
      <c r="BB994" s="38"/>
      <c r="BC994" s="38"/>
      <c r="BD994" s="38"/>
      <c r="BE994" s="38"/>
      <c r="BF994" s="38"/>
      <c r="BG994" s="38"/>
      <c r="BH994" s="38"/>
      <c r="BI994" s="38"/>
      <c r="BJ994" s="38"/>
      <c r="BK994" s="38"/>
      <c r="BL994" s="38"/>
      <c r="BM994" s="38"/>
      <c r="BN994" s="38"/>
      <c r="BO994" s="38"/>
      <c r="BP994" s="38"/>
      <c r="BQ994" s="38"/>
      <c r="BR994" s="38"/>
      <c r="BS994" s="38"/>
    </row>
    <row r="995" spans="1:71" ht="19.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38"/>
      <c r="AK995" s="38"/>
      <c r="AL995" s="38"/>
      <c r="AM995" s="38"/>
      <c r="AN995" s="38"/>
      <c r="AO995" s="38"/>
      <c r="AP995" s="38"/>
      <c r="AQ995" s="38"/>
      <c r="AR995" s="38"/>
      <c r="AS995" s="38"/>
      <c r="AT995" s="38"/>
      <c r="AU995" s="38"/>
      <c r="AV995" s="38"/>
      <c r="AW995" s="38"/>
      <c r="AX995" s="38"/>
      <c r="AY995" s="38"/>
      <c r="AZ995" s="38"/>
      <c r="BA995" s="38"/>
      <c r="BB995" s="38"/>
      <c r="BC995" s="38"/>
      <c r="BD995" s="38"/>
      <c r="BE995" s="38"/>
      <c r="BF995" s="38"/>
      <c r="BG995" s="38"/>
      <c r="BH995" s="38"/>
      <c r="BI995" s="38"/>
      <c r="BJ995" s="38"/>
      <c r="BK995" s="38"/>
      <c r="BL995" s="38"/>
      <c r="BM995" s="38"/>
      <c r="BN995" s="38"/>
      <c r="BO995" s="38"/>
      <c r="BP995" s="38"/>
      <c r="BQ995" s="38"/>
      <c r="BR995" s="38"/>
      <c r="BS995" s="38"/>
    </row>
    <row r="996" spans="1:71" ht="19.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  <c r="AZ996" s="38"/>
      <c r="BA996" s="38"/>
      <c r="BB996" s="38"/>
      <c r="BC996" s="38"/>
      <c r="BD996" s="38"/>
      <c r="BE996" s="38"/>
      <c r="BF996" s="38"/>
      <c r="BG996" s="38"/>
      <c r="BH996" s="38"/>
      <c r="BI996" s="38"/>
      <c r="BJ996" s="38"/>
      <c r="BK996" s="38"/>
      <c r="BL996" s="38"/>
      <c r="BM996" s="38"/>
      <c r="BN996" s="38"/>
      <c r="BO996" s="38"/>
      <c r="BP996" s="38"/>
      <c r="BQ996" s="38"/>
      <c r="BR996" s="38"/>
      <c r="BS996" s="38"/>
    </row>
    <row r="997" spans="1:71" ht="19.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38"/>
      <c r="AK997" s="38"/>
      <c r="AL997" s="38"/>
      <c r="AM997" s="38"/>
      <c r="AN997" s="38"/>
      <c r="AO997" s="38"/>
      <c r="AP997" s="38"/>
      <c r="AQ997" s="38"/>
      <c r="AR997" s="38"/>
      <c r="AS997" s="38"/>
      <c r="AT997" s="38"/>
      <c r="AU997" s="38"/>
      <c r="AV997" s="38"/>
      <c r="AW997" s="38"/>
      <c r="AX997" s="38"/>
      <c r="AY997" s="38"/>
      <c r="AZ997" s="38"/>
      <c r="BA997" s="38"/>
      <c r="BB997" s="38"/>
      <c r="BC997" s="38"/>
      <c r="BD997" s="38"/>
      <c r="BE997" s="38"/>
      <c r="BF997" s="38"/>
      <c r="BG997" s="38"/>
      <c r="BH997" s="38"/>
      <c r="BI997" s="38"/>
      <c r="BJ997" s="38"/>
      <c r="BK997" s="38"/>
      <c r="BL997" s="38"/>
      <c r="BM997" s="38"/>
      <c r="BN997" s="38"/>
      <c r="BO997" s="38"/>
      <c r="BP997" s="38"/>
      <c r="BQ997" s="38"/>
      <c r="BR997" s="38"/>
      <c r="BS997" s="38"/>
    </row>
    <row r="998" spans="1:71" ht="19.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38"/>
      <c r="AK998" s="38"/>
      <c r="AL998" s="38"/>
      <c r="AM998" s="38"/>
      <c r="AN998" s="38"/>
      <c r="AO998" s="38"/>
      <c r="AP998" s="38"/>
      <c r="AQ998" s="38"/>
      <c r="AR998" s="38"/>
      <c r="AS998" s="38"/>
      <c r="AT998" s="38"/>
      <c r="AU998" s="38"/>
      <c r="AV998" s="38"/>
      <c r="AW998" s="38"/>
      <c r="AX998" s="38"/>
      <c r="AY998" s="38"/>
      <c r="AZ998" s="38"/>
      <c r="BA998" s="38"/>
      <c r="BB998" s="38"/>
      <c r="BC998" s="38"/>
      <c r="BD998" s="38"/>
      <c r="BE998" s="38"/>
      <c r="BF998" s="38"/>
      <c r="BG998" s="38"/>
      <c r="BH998" s="38"/>
      <c r="BI998" s="38"/>
      <c r="BJ998" s="38"/>
      <c r="BK998" s="38"/>
      <c r="BL998" s="38"/>
      <c r="BM998" s="38"/>
      <c r="BN998" s="38"/>
      <c r="BO998" s="38"/>
      <c r="BP998" s="38"/>
      <c r="BQ998" s="38"/>
      <c r="BR998" s="38"/>
      <c r="BS998" s="38"/>
    </row>
    <row r="999" spans="1:71" ht="19.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38"/>
      <c r="AK999" s="38"/>
      <c r="AL999" s="38"/>
      <c r="AM999" s="38"/>
      <c r="AN999" s="38"/>
      <c r="AO999" s="38"/>
      <c r="AP999" s="38"/>
      <c r="AQ999" s="38"/>
      <c r="AR999" s="38"/>
      <c r="AS999" s="38"/>
      <c r="AT999" s="38"/>
      <c r="AU999" s="38"/>
      <c r="AV999" s="38"/>
      <c r="AW999" s="38"/>
      <c r="AX999" s="38"/>
      <c r="AY999" s="38"/>
      <c r="AZ999" s="38"/>
      <c r="BA999" s="38"/>
      <c r="BB999" s="38"/>
      <c r="BC999" s="38"/>
      <c r="BD999" s="38"/>
      <c r="BE999" s="38"/>
      <c r="BF999" s="38"/>
      <c r="BG999" s="38"/>
      <c r="BH999" s="38"/>
      <c r="BI999" s="38"/>
      <c r="BJ999" s="38"/>
      <c r="BK999" s="38"/>
      <c r="BL999" s="38"/>
      <c r="BM999" s="38"/>
      <c r="BN999" s="38"/>
      <c r="BO999" s="38"/>
      <c r="BP999" s="38"/>
      <c r="BQ999" s="38"/>
      <c r="BR999" s="38"/>
      <c r="BS999" s="38"/>
    </row>
    <row r="1000" spans="1:71" ht="19.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38"/>
      <c r="AK1000" s="38"/>
      <c r="AL1000" s="38"/>
      <c r="AM1000" s="38"/>
      <c r="AN1000" s="38"/>
      <c r="AO1000" s="38"/>
      <c r="AP1000" s="38"/>
      <c r="AQ1000" s="38"/>
      <c r="AR1000" s="38"/>
      <c r="AS1000" s="38"/>
      <c r="AT1000" s="38"/>
      <c r="AU1000" s="38"/>
      <c r="AV1000" s="38"/>
      <c r="AW1000" s="38"/>
      <c r="AX1000" s="38"/>
      <c r="AY1000" s="38"/>
      <c r="AZ1000" s="38"/>
      <c r="BA1000" s="38"/>
      <c r="BB1000" s="38"/>
      <c r="BC1000" s="38"/>
      <c r="BD1000" s="38"/>
      <c r="BE1000" s="38"/>
      <c r="BF1000" s="38"/>
      <c r="BG1000" s="38"/>
      <c r="BH1000" s="38"/>
      <c r="BI1000" s="38"/>
      <c r="BJ1000" s="38"/>
      <c r="BK1000" s="38"/>
      <c r="BL1000" s="38"/>
      <c r="BM1000" s="38"/>
      <c r="BN1000" s="38"/>
      <c r="BO1000" s="38"/>
      <c r="BP1000" s="38"/>
      <c r="BQ1000" s="38"/>
      <c r="BR1000" s="38"/>
      <c r="BS1000" s="38"/>
    </row>
    <row r="1001" spans="1:71" ht="19.5" customHeight="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  <c r="L1001" s="38"/>
      <c r="M1001" s="38"/>
      <c r="N1001" s="38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38"/>
      <c r="AK1001" s="38"/>
      <c r="AL1001" s="38"/>
      <c r="AM1001" s="38"/>
      <c r="AN1001" s="38"/>
      <c r="AO1001" s="38"/>
      <c r="AP1001" s="38"/>
      <c r="AQ1001" s="38"/>
      <c r="AR1001" s="38"/>
      <c r="AS1001" s="38"/>
      <c r="AT1001" s="38"/>
      <c r="AU1001" s="38"/>
      <c r="AV1001" s="38"/>
      <c r="AW1001" s="38"/>
      <c r="AX1001" s="38"/>
      <c r="AY1001" s="38"/>
      <c r="AZ1001" s="38"/>
      <c r="BA1001" s="38"/>
      <c r="BB1001" s="38"/>
      <c r="BC1001" s="38"/>
      <c r="BD1001" s="38"/>
      <c r="BE1001" s="38"/>
      <c r="BF1001" s="38"/>
      <c r="BG1001" s="38"/>
      <c r="BH1001" s="38"/>
      <c r="BI1001" s="38"/>
      <c r="BJ1001" s="38"/>
      <c r="BK1001" s="38"/>
      <c r="BL1001" s="38"/>
      <c r="BM1001" s="38"/>
      <c r="BN1001" s="38"/>
      <c r="BO1001" s="38"/>
      <c r="BP1001" s="38"/>
      <c r="BQ1001" s="38"/>
      <c r="BR1001" s="38"/>
      <c r="BS1001" s="38"/>
    </row>
    <row r="1002" spans="1:71" ht="19.5" customHeight="1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  <c r="L1002" s="38"/>
      <c r="M1002" s="38"/>
      <c r="N1002" s="38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38"/>
      <c r="AK1002" s="38"/>
      <c r="AL1002" s="38"/>
      <c r="AM1002" s="38"/>
      <c r="AN1002" s="38"/>
      <c r="AO1002" s="38"/>
      <c r="AP1002" s="38"/>
      <c r="AQ1002" s="38"/>
      <c r="AR1002" s="38"/>
      <c r="AS1002" s="38"/>
      <c r="AT1002" s="38"/>
      <c r="AU1002" s="38"/>
      <c r="AV1002" s="38"/>
      <c r="AW1002" s="38"/>
      <c r="AX1002" s="38"/>
      <c r="AY1002" s="38"/>
      <c r="AZ1002" s="38"/>
      <c r="BA1002" s="38"/>
      <c r="BB1002" s="38"/>
      <c r="BC1002" s="38"/>
      <c r="BD1002" s="38"/>
      <c r="BE1002" s="38"/>
      <c r="BF1002" s="38"/>
      <c r="BG1002" s="38"/>
      <c r="BH1002" s="38"/>
      <c r="BI1002" s="38"/>
      <c r="BJ1002" s="38"/>
      <c r="BK1002" s="38"/>
      <c r="BL1002" s="38"/>
      <c r="BM1002" s="38"/>
      <c r="BN1002" s="38"/>
      <c r="BO1002" s="38"/>
      <c r="BP1002" s="38"/>
      <c r="BQ1002" s="38"/>
      <c r="BR1002" s="38"/>
      <c r="BS1002" s="38"/>
    </row>
    <row r="1003" spans="1:71" ht="19.5" customHeight="1">
      <c r="A1003" s="38"/>
      <c r="B1003" s="38"/>
      <c r="C1003" s="38"/>
      <c r="D1003" s="38"/>
      <c r="E1003" s="38"/>
      <c r="F1003" s="38"/>
      <c r="G1003" s="38"/>
      <c r="H1003" s="38"/>
      <c r="I1003" s="38"/>
      <c r="J1003" s="38"/>
      <c r="K1003" s="38"/>
      <c r="L1003" s="38"/>
      <c r="M1003" s="38"/>
      <c r="N1003" s="38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38"/>
      <c r="AK1003" s="38"/>
      <c r="AL1003" s="38"/>
      <c r="AM1003" s="38"/>
      <c r="AN1003" s="38"/>
      <c r="AO1003" s="38"/>
      <c r="AP1003" s="38"/>
      <c r="AQ1003" s="38"/>
      <c r="AR1003" s="38"/>
      <c r="AS1003" s="38"/>
      <c r="AT1003" s="38"/>
      <c r="AU1003" s="38"/>
      <c r="AV1003" s="38"/>
      <c r="AW1003" s="38"/>
      <c r="AX1003" s="38"/>
      <c r="AY1003" s="38"/>
      <c r="AZ1003" s="38"/>
      <c r="BA1003" s="38"/>
      <c r="BB1003" s="38"/>
      <c r="BC1003" s="38"/>
      <c r="BD1003" s="38"/>
      <c r="BE1003" s="38"/>
      <c r="BF1003" s="38"/>
      <c r="BG1003" s="38"/>
      <c r="BH1003" s="38"/>
      <c r="BI1003" s="38"/>
      <c r="BJ1003" s="38"/>
      <c r="BK1003" s="38"/>
      <c r="BL1003" s="38"/>
      <c r="BM1003" s="38"/>
      <c r="BN1003" s="38"/>
      <c r="BO1003" s="38"/>
      <c r="BP1003" s="38"/>
      <c r="BQ1003" s="38"/>
      <c r="BR1003" s="38"/>
      <c r="BS1003" s="38"/>
    </row>
    <row r="1004" spans="1:71" ht="19.5" customHeight="1">
      <c r="A1004" s="38"/>
      <c r="B1004" s="38"/>
      <c r="C1004" s="38"/>
      <c r="D1004" s="38"/>
      <c r="E1004" s="38"/>
      <c r="F1004" s="38"/>
      <c r="G1004" s="38"/>
      <c r="H1004" s="38"/>
      <c r="I1004" s="38"/>
      <c r="J1004" s="38"/>
      <c r="K1004" s="38"/>
      <c r="L1004" s="38"/>
      <c r="M1004" s="38"/>
      <c r="N1004" s="38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38"/>
      <c r="AK1004" s="38"/>
      <c r="AL1004" s="38"/>
      <c r="AM1004" s="38"/>
      <c r="AN1004" s="38"/>
      <c r="AO1004" s="38"/>
      <c r="AP1004" s="38"/>
      <c r="AQ1004" s="38"/>
      <c r="AR1004" s="38"/>
      <c r="AS1004" s="38"/>
      <c r="AT1004" s="38"/>
      <c r="AU1004" s="38"/>
      <c r="AV1004" s="38"/>
      <c r="AW1004" s="38"/>
      <c r="AX1004" s="38"/>
      <c r="AY1004" s="38"/>
      <c r="AZ1004" s="38"/>
      <c r="BA1004" s="38"/>
      <c r="BB1004" s="38"/>
      <c r="BC1004" s="38"/>
      <c r="BD1004" s="38"/>
      <c r="BE1004" s="38"/>
      <c r="BF1004" s="38"/>
      <c r="BG1004" s="38"/>
      <c r="BH1004" s="38"/>
      <c r="BI1004" s="38"/>
      <c r="BJ1004" s="38"/>
      <c r="BK1004" s="38"/>
      <c r="BL1004" s="38"/>
      <c r="BM1004" s="38"/>
      <c r="BN1004" s="38"/>
      <c r="BO1004" s="38"/>
      <c r="BP1004" s="38"/>
      <c r="BQ1004" s="38"/>
      <c r="BR1004" s="38"/>
      <c r="BS1004" s="38"/>
    </row>
    <row r="1005" spans="1:71" ht="19.5" customHeight="1">
      <c r="A1005" s="38"/>
      <c r="B1005" s="38"/>
      <c r="C1005" s="38"/>
      <c r="D1005" s="38"/>
      <c r="E1005" s="38"/>
      <c r="F1005" s="38"/>
      <c r="G1005" s="38"/>
      <c r="H1005" s="38"/>
      <c r="I1005" s="38"/>
      <c r="J1005" s="38"/>
      <c r="K1005" s="38"/>
      <c r="L1005" s="38"/>
      <c r="M1005" s="38"/>
      <c r="N1005" s="38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38"/>
      <c r="AK1005" s="38"/>
      <c r="AL1005" s="38"/>
      <c r="AM1005" s="38"/>
      <c r="AN1005" s="38"/>
      <c r="AO1005" s="38"/>
      <c r="AP1005" s="38"/>
      <c r="AQ1005" s="38"/>
      <c r="AR1005" s="38"/>
      <c r="AS1005" s="38"/>
      <c r="AT1005" s="38"/>
      <c r="AU1005" s="38"/>
      <c r="AV1005" s="38"/>
      <c r="AW1005" s="38"/>
      <c r="AX1005" s="38"/>
      <c r="AY1005" s="38"/>
      <c r="AZ1005" s="38"/>
      <c r="BA1005" s="38"/>
      <c r="BB1005" s="38"/>
      <c r="BC1005" s="38"/>
      <c r="BD1005" s="38"/>
      <c r="BE1005" s="38"/>
      <c r="BF1005" s="38"/>
      <c r="BG1005" s="38"/>
      <c r="BH1005" s="38"/>
      <c r="BI1005" s="38"/>
      <c r="BJ1005" s="38"/>
      <c r="BK1005" s="38"/>
      <c r="BL1005" s="38"/>
      <c r="BM1005" s="38"/>
      <c r="BN1005" s="38"/>
      <c r="BO1005" s="38"/>
      <c r="BP1005" s="38"/>
      <c r="BQ1005" s="38"/>
      <c r="BR1005" s="38"/>
      <c r="BS1005" s="38"/>
    </row>
    <row r="1006" spans="1:71" ht="19.5" customHeight="1">
      <c r="A1006" s="38"/>
      <c r="B1006" s="38"/>
      <c r="C1006" s="38"/>
      <c r="D1006" s="38"/>
      <c r="E1006" s="38"/>
      <c r="F1006" s="38"/>
      <c r="G1006" s="38"/>
      <c r="H1006" s="38"/>
      <c r="I1006" s="38"/>
      <c r="J1006" s="38"/>
      <c r="K1006" s="38"/>
      <c r="L1006" s="38"/>
      <c r="M1006" s="38"/>
      <c r="N1006" s="38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38"/>
      <c r="AK1006" s="38"/>
      <c r="AL1006" s="38"/>
      <c r="AM1006" s="38"/>
      <c r="AN1006" s="38"/>
      <c r="AO1006" s="38"/>
      <c r="AP1006" s="38"/>
      <c r="AQ1006" s="38"/>
      <c r="AR1006" s="38"/>
      <c r="AS1006" s="38"/>
      <c r="AT1006" s="38"/>
      <c r="AU1006" s="38"/>
      <c r="AV1006" s="38"/>
      <c r="AW1006" s="38"/>
      <c r="AX1006" s="38"/>
      <c r="AY1006" s="38"/>
      <c r="AZ1006" s="38"/>
      <c r="BA1006" s="38"/>
      <c r="BB1006" s="38"/>
      <c r="BC1006" s="38"/>
      <c r="BD1006" s="38"/>
      <c r="BE1006" s="38"/>
      <c r="BF1006" s="38"/>
      <c r="BG1006" s="38"/>
      <c r="BH1006" s="38"/>
      <c r="BI1006" s="38"/>
      <c r="BJ1006" s="38"/>
      <c r="BK1006" s="38"/>
      <c r="BL1006" s="38"/>
      <c r="BM1006" s="38"/>
      <c r="BN1006" s="38"/>
      <c r="BO1006" s="38"/>
      <c r="BP1006" s="38"/>
      <c r="BQ1006" s="38"/>
      <c r="BR1006" s="38"/>
      <c r="BS1006" s="38"/>
    </row>
    <row r="1007" spans="1:71" ht="19.5" customHeight="1">
      <c r="A1007" s="38"/>
      <c r="B1007" s="38"/>
      <c r="C1007" s="38"/>
      <c r="D1007" s="38"/>
      <c r="E1007" s="38"/>
      <c r="F1007" s="38"/>
      <c r="G1007" s="38"/>
      <c r="H1007" s="38"/>
      <c r="I1007" s="38"/>
      <c r="J1007" s="38"/>
      <c r="K1007" s="38"/>
      <c r="L1007" s="38"/>
      <c r="M1007" s="38"/>
      <c r="N1007" s="38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38"/>
      <c r="AK1007" s="38"/>
      <c r="AL1007" s="38"/>
      <c r="AM1007" s="38"/>
      <c r="AN1007" s="38"/>
      <c r="AO1007" s="38"/>
      <c r="AP1007" s="38"/>
      <c r="AQ1007" s="38"/>
      <c r="AR1007" s="38"/>
      <c r="AS1007" s="38"/>
      <c r="AT1007" s="38"/>
      <c r="AU1007" s="38"/>
      <c r="AV1007" s="38"/>
      <c r="AW1007" s="38"/>
      <c r="AX1007" s="38"/>
      <c r="AY1007" s="38"/>
      <c r="AZ1007" s="38"/>
      <c r="BA1007" s="38"/>
      <c r="BB1007" s="38"/>
      <c r="BC1007" s="38"/>
      <c r="BD1007" s="38"/>
      <c r="BE1007" s="38"/>
      <c r="BF1007" s="38"/>
      <c r="BG1007" s="38"/>
      <c r="BH1007" s="38"/>
      <c r="BI1007" s="38"/>
      <c r="BJ1007" s="38"/>
      <c r="BK1007" s="38"/>
      <c r="BL1007" s="38"/>
      <c r="BM1007" s="38"/>
      <c r="BN1007" s="38"/>
      <c r="BO1007" s="38"/>
      <c r="BP1007" s="38"/>
      <c r="BQ1007" s="38"/>
      <c r="BR1007" s="38"/>
      <c r="BS1007" s="38"/>
    </row>
    <row r="1008" spans="1:71" ht="19.5" customHeight="1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38"/>
      <c r="AK1008" s="38"/>
      <c r="AL1008" s="38"/>
      <c r="AM1008" s="38"/>
      <c r="AN1008" s="38"/>
      <c r="AO1008" s="38"/>
      <c r="AP1008" s="38"/>
      <c r="AQ1008" s="38"/>
      <c r="AR1008" s="38"/>
      <c r="AS1008" s="38"/>
      <c r="AT1008" s="38"/>
      <c r="AU1008" s="38"/>
      <c r="AV1008" s="38"/>
      <c r="AW1008" s="38"/>
      <c r="AX1008" s="38"/>
      <c r="AY1008" s="38"/>
      <c r="AZ1008" s="38"/>
      <c r="BA1008" s="38"/>
      <c r="BB1008" s="38"/>
      <c r="BC1008" s="38"/>
      <c r="BD1008" s="38"/>
      <c r="BE1008" s="38"/>
      <c r="BF1008" s="38"/>
      <c r="BG1008" s="38"/>
      <c r="BH1008" s="38"/>
      <c r="BI1008" s="38"/>
      <c r="BJ1008" s="38"/>
      <c r="BK1008" s="38"/>
      <c r="BL1008" s="38"/>
      <c r="BM1008" s="38"/>
      <c r="BN1008" s="38"/>
      <c r="BO1008" s="38"/>
      <c r="BP1008" s="38"/>
      <c r="BQ1008" s="38"/>
      <c r="BR1008" s="38"/>
      <c r="BS1008" s="38"/>
    </row>
    <row r="1009" spans="1:71" ht="19.5" customHeight="1">
      <c r="A1009" s="38"/>
      <c r="B1009" s="38"/>
      <c r="C1009" s="38"/>
      <c r="D1009" s="38"/>
      <c r="E1009" s="38"/>
      <c r="F1009" s="38"/>
      <c r="G1009" s="38"/>
      <c r="H1009" s="38"/>
      <c r="I1009" s="38"/>
      <c r="J1009" s="38"/>
      <c r="K1009" s="38"/>
      <c r="L1009" s="38"/>
      <c r="M1009" s="38"/>
      <c r="N1009" s="38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38"/>
      <c r="AK1009" s="38"/>
      <c r="AL1009" s="38"/>
      <c r="AM1009" s="38"/>
      <c r="AN1009" s="38"/>
      <c r="AO1009" s="38"/>
      <c r="AP1009" s="38"/>
      <c r="AQ1009" s="38"/>
      <c r="AR1009" s="38"/>
      <c r="AS1009" s="38"/>
      <c r="AT1009" s="38"/>
      <c r="AU1009" s="38"/>
      <c r="AV1009" s="38"/>
      <c r="AW1009" s="38"/>
      <c r="AX1009" s="38"/>
      <c r="AY1009" s="38"/>
      <c r="AZ1009" s="38"/>
      <c r="BA1009" s="38"/>
      <c r="BB1009" s="38"/>
      <c r="BC1009" s="38"/>
      <c r="BD1009" s="38"/>
      <c r="BE1009" s="38"/>
      <c r="BF1009" s="38"/>
      <c r="BG1009" s="38"/>
      <c r="BH1009" s="38"/>
      <c r="BI1009" s="38"/>
      <c r="BJ1009" s="38"/>
      <c r="BK1009" s="38"/>
      <c r="BL1009" s="38"/>
      <c r="BM1009" s="38"/>
      <c r="BN1009" s="38"/>
      <c r="BO1009" s="38"/>
      <c r="BP1009" s="38"/>
      <c r="BQ1009" s="38"/>
      <c r="BR1009" s="38"/>
      <c r="BS1009" s="38"/>
    </row>
    <row r="1010" spans="1:71" ht="19.5" customHeight="1">
      <c r="A1010" s="38"/>
      <c r="B1010" s="38"/>
      <c r="C1010" s="38"/>
      <c r="D1010" s="38"/>
      <c r="E1010" s="38"/>
      <c r="F1010" s="38"/>
      <c r="G1010" s="38"/>
      <c r="H1010" s="38"/>
      <c r="I1010" s="38"/>
      <c r="J1010" s="38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38"/>
      <c r="AK1010" s="38"/>
      <c r="AL1010" s="38"/>
      <c r="AM1010" s="38"/>
      <c r="AN1010" s="38"/>
      <c r="AO1010" s="38"/>
      <c r="AP1010" s="38"/>
      <c r="AQ1010" s="38"/>
      <c r="AR1010" s="38"/>
      <c r="AS1010" s="38"/>
      <c r="AT1010" s="38"/>
      <c r="AU1010" s="38"/>
      <c r="AV1010" s="38"/>
      <c r="AW1010" s="38"/>
      <c r="AX1010" s="38"/>
      <c r="AY1010" s="38"/>
      <c r="AZ1010" s="38"/>
      <c r="BA1010" s="38"/>
      <c r="BB1010" s="38"/>
      <c r="BC1010" s="38"/>
      <c r="BD1010" s="38"/>
      <c r="BE1010" s="38"/>
      <c r="BF1010" s="38"/>
      <c r="BG1010" s="38"/>
      <c r="BH1010" s="38"/>
      <c r="BI1010" s="38"/>
      <c r="BJ1010" s="38"/>
      <c r="BK1010" s="38"/>
      <c r="BL1010" s="38"/>
      <c r="BM1010" s="38"/>
      <c r="BN1010" s="38"/>
      <c r="BO1010" s="38"/>
      <c r="BP1010" s="38"/>
      <c r="BQ1010" s="38"/>
      <c r="BR1010" s="38"/>
      <c r="BS1010" s="38"/>
    </row>
    <row r="1011" spans="1:71" ht="19.5" customHeight="1">
      <c r="A1011" s="38"/>
      <c r="B1011" s="38"/>
      <c r="C1011" s="38"/>
      <c r="D1011" s="38"/>
      <c r="E1011" s="38"/>
      <c r="F1011" s="38"/>
      <c r="G1011" s="38"/>
      <c r="H1011" s="38"/>
      <c r="I1011" s="38"/>
      <c r="J1011" s="38"/>
      <c r="K1011" s="38"/>
      <c r="L1011" s="38"/>
      <c r="M1011" s="38"/>
      <c r="N1011" s="38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38"/>
      <c r="AJ1011" s="38"/>
      <c r="AK1011" s="38"/>
      <c r="AL1011" s="38"/>
      <c r="AM1011" s="38"/>
      <c r="AN1011" s="38"/>
      <c r="AO1011" s="38"/>
      <c r="AP1011" s="38"/>
      <c r="AQ1011" s="38"/>
      <c r="AR1011" s="38"/>
      <c r="AS1011" s="38"/>
      <c r="AT1011" s="38"/>
      <c r="AU1011" s="38"/>
      <c r="AV1011" s="38"/>
      <c r="AW1011" s="38"/>
      <c r="AX1011" s="38"/>
      <c r="AY1011" s="38"/>
      <c r="AZ1011" s="38"/>
      <c r="BA1011" s="38"/>
      <c r="BB1011" s="38"/>
      <c r="BC1011" s="38"/>
      <c r="BD1011" s="38"/>
      <c r="BE1011" s="38"/>
      <c r="BF1011" s="38"/>
      <c r="BG1011" s="38"/>
      <c r="BH1011" s="38"/>
      <c r="BI1011" s="38"/>
      <c r="BJ1011" s="38"/>
      <c r="BK1011" s="38"/>
      <c r="BL1011" s="38"/>
      <c r="BM1011" s="38"/>
      <c r="BN1011" s="38"/>
      <c r="BO1011" s="38"/>
      <c r="BP1011" s="38"/>
      <c r="BQ1011" s="38"/>
      <c r="BR1011" s="38"/>
      <c r="BS1011" s="38"/>
    </row>
    <row r="1012" spans="1:71" ht="19.5" customHeight="1">
      <c r="A1012" s="38"/>
      <c r="B1012" s="38"/>
      <c r="C1012" s="38"/>
      <c r="D1012" s="38"/>
      <c r="E1012" s="38"/>
      <c r="F1012" s="38"/>
      <c r="G1012" s="38"/>
      <c r="H1012" s="38"/>
      <c r="I1012" s="38"/>
      <c r="J1012" s="38"/>
      <c r="K1012" s="38"/>
      <c r="L1012" s="38"/>
      <c r="M1012" s="38"/>
      <c r="N1012" s="38"/>
      <c r="O1012" s="38"/>
      <c r="P1012" s="38"/>
      <c r="Q1012" s="38"/>
      <c r="R1012" s="38"/>
      <c r="S1012" s="38"/>
      <c r="T1012" s="38"/>
      <c r="U1012" s="38"/>
      <c r="V1012" s="38"/>
      <c r="W1012" s="38"/>
      <c r="X1012" s="38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38"/>
      <c r="AJ1012" s="38"/>
      <c r="AK1012" s="38"/>
      <c r="AL1012" s="38"/>
      <c r="AM1012" s="38"/>
      <c r="AN1012" s="38"/>
      <c r="AO1012" s="38"/>
      <c r="AP1012" s="38"/>
      <c r="AQ1012" s="38"/>
      <c r="AR1012" s="38"/>
      <c r="AS1012" s="38"/>
      <c r="AT1012" s="38"/>
      <c r="AU1012" s="38"/>
      <c r="AV1012" s="38"/>
      <c r="AW1012" s="38"/>
      <c r="AX1012" s="38"/>
      <c r="AY1012" s="38"/>
      <c r="AZ1012" s="38"/>
      <c r="BA1012" s="38"/>
      <c r="BB1012" s="38"/>
      <c r="BC1012" s="38"/>
      <c r="BD1012" s="38"/>
      <c r="BE1012" s="38"/>
      <c r="BF1012" s="38"/>
      <c r="BG1012" s="38"/>
      <c r="BH1012" s="38"/>
      <c r="BI1012" s="38"/>
      <c r="BJ1012" s="38"/>
      <c r="BK1012" s="38"/>
      <c r="BL1012" s="38"/>
      <c r="BM1012" s="38"/>
      <c r="BN1012" s="38"/>
      <c r="BO1012" s="38"/>
      <c r="BP1012" s="38"/>
      <c r="BQ1012" s="38"/>
      <c r="BR1012" s="38"/>
      <c r="BS1012" s="38"/>
    </row>
    <row r="1013" spans="1:71" ht="19.5" customHeight="1">
      <c r="A1013" s="38"/>
      <c r="B1013" s="38"/>
      <c r="C1013" s="38"/>
      <c r="D1013" s="38"/>
      <c r="E1013" s="38"/>
      <c r="F1013" s="38"/>
      <c r="G1013" s="38"/>
      <c r="H1013" s="38"/>
      <c r="I1013" s="38"/>
      <c r="J1013" s="38"/>
      <c r="K1013" s="38"/>
      <c r="L1013" s="38"/>
      <c r="M1013" s="38"/>
      <c r="N1013" s="38"/>
      <c r="O1013" s="38"/>
      <c r="P1013" s="38"/>
      <c r="Q1013" s="38"/>
      <c r="R1013" s="38"/>
      <c r="S1013" s="38"/>
      <c r="T1013" s="38"/>
      <c r="U1013" s="38"/>
      <c r="V1013" s="38"/>
      <c r="W1013" s="38"/>
      <c r="X1013" s="38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38"/>
      <c r="AJ1013" s="38"/>
      <c r="AK1013" s="38"/>
      <c r="AL1013" s="38"/>
      <c r="AM1013" s="38"/>
      <c r="AN1013" s="38"/>
      <c r="AO1013" s="38"/>
      <c r="AP1013" s="38"/>
      <c r="AQ1013" s="38"/>
      <c r="AR1013" s="38"/>
      <c r="AS1013" s="38"/>
      <c r="AT1013" s="38"/>
      <c r="AU1013" s="38"/>
      <c r="AV1013" s="38"/>
      <c r="AW1013" s="38"/>
      <c r="AX1013" s="38"/>
      <c r="AY1013" s="38"/>
      <c r="AZ1013" s="38"/>
      <c r="BA1013" s="38"/>
      <c r="BB1013" s="38"/>
      <c r="BC1013" s="38"/>
      <c r="BD1013" s="38"/>
      <c r="BE1013" s="38"/>
      <c r="BF1013" s="38"/>
      <c r="BG1013" s="38"/>
      <c r="BH1013" s="38"/>
      <c r="BI1013" s="38"/>
      <c r="BJ1013" s="38"/>
      <c r="BK1013" s="38"/>
      <c r="BL1013" s="38"/>
      <c r="BM1013" s="38"/>
      <c r="BN1013" s="38"/>
      <c r="BO1013" s="38"/>
      <c r="BP1013" s="38"/>
      <c r="BQ1013" s="38"/>
      <c r="BR1013" s="38"/>
      <c r="BS1013" s="38"/>
    </row>
    <row r="1014" spans="1:71" ht="19.5" customHeight="1">
      <c r="A1014" s="38"/>
      <c r="B1014" s="38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38"/>
      <c r="AJ1014" s="38"/>
      <c r="AK1014" s="38"/>
      <c r="AL1014" s="38"/>
      <c r="AM1014" s="38"/>
      <c r="AN1014" s="38"/>
      <c r="AO1014" s="38"/>
      <c r="AP1014" s="38"/>
      <c r="AQ1014" s="38"/>
      <c r="AR1014" s="38"/>
      <c r="AS1014" s="38"/>
      <c r="AT1014" s="38"/>
      <c r="AU1014" s="38"/>
      <c r="AV1014" s="38"/>
      <c r="AW1014" s="38"/>
      <c r="AX1014" s="38"/>
      <c r="AY1014" s="38"/>
      <c r="AZ1014" s="38"/>
      <c r="BA1014" s="38"/>
      <c r="BB1014" s="38"/>
      <c r="BC1014" s="38"/>
      <c r="BD1014" s="38"/>
      <c r="BE1014" s="38"/>
      <c r="BF1014" s="38"/>
      <c r="BG1014" s="38"/>
      <c r="BH1014" s="38"/>
      <c r="BI1014" s="38"/>
      <c r="BJ1014" s="38"/>
      <c r="BK1014" s="38"/>
      <c r="BL1014" s="38"/>
      <c r="BM1014" s="38"/>
      <c r="BN1014" s="38"/>
      <c r="BO1014" s="38"/>
      <c r="BP1014" s="38"/>
      <c r="BQ1014" s="38"/>
      <c r="BR1014" s="38"/>
      <c r="BS1014" s="38"/>
    </row>
    <row r="1015" spans="1:71" ht="19.5" customHeight="1">
      <c r="A1015" s="38"/>
      <c r="B1015" s="38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38"/>
      <c r="AJ1015" s="38"/>
      <c r="AK1015" s="38"/>
      <c r="AL1015" s="38"/>
      <c r="AM1015" s="38"/>
      <c r="AN1015" s="38"/>
      <c r="AO1015" s="38"/>
      <c r="AP1015" s="38"/>
      <c r="AQ1015" s="38"/>
      <c r="AR1015" s="38"/>
      <c r="AS1015" s="38"/>
      <c r="AT1015" s="38"/>
      <c r="AU1015" s="38"/>
      <c r="AV1015" s="38"/>
      <c r="AW1015" s="38"/>
      <c r="AX1015" s="38"/>
      <c r="AY1015" s="38"/>
      <c r="AZ1015" s="38"/>
      <c r="BA1015" s="38"/>
      <c r="BB1015" s="38"/>
      <c r="BC1015" s="38"/>
      <c r="BD1015" s="38"/>
      <c r="BE1015" s="38"/>
      <c r="BF1015" s="38"/>
      <c r="BG1015" s="38"/>
      <c r="BH1015" s="38"/>
      <c r="BI1015" s="38"/>
      <c r="BJ1015" s="38"/>
      <c r="BK1015" s="38"/>
      <c r="BL1015" s="38"/>
      <c r="BM1015" s="38"/>
      <c r="BN1015" s="38"/>
      <c r="BO1015" s="38"/>
      <c r="BP1015" s="38"/>
      <c r="BQ1015" s="38"/>
      <c r="BR1015" s="38"/>
      <c r="BS1015" s="38"/>
    </row>
    <row r="1016" spans="1:71" ht="19.5" customHeight="1">
      <c r="A1016" s="38"/>
      <c r="B1016" s="38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38"/>
      <c r="AJ1016" s="38"/>
      <c r="AK1016" s="38"/>
      <c r="AL1016" s="38"/>
      <c r="AM1016" s="38"/>
      <c r="AN1016" s="38"/>
      <c r="AO1016" s="38"/>
      <c r="AP1016" s="38"/>
      <c r="AQ1016" s="38"/>
      <c r="AR1016" s="38"/>
      <c r="AS1016" s="38"/>
      <c r="AT1016" s="38"/>
      <c r="AU1016" s="38"/>
      <c r="AV1016" s="38"/>
      <c r="AW1016" s="38"/>
      <c r="AX1016" s="38"/>
      <c r="AY1016" s="38"/>
      <c r="AZ1016" s="38"/>
      <c r="BA1016" s="38"/>
      <c r="BB1016" s="38"/>
      <c r="BC1016" s="38"/>
      <c r="BD1016" s="38"/>
      <c r="BE1016" s="38"/>
      <c r="BF1016" s="38"/>
      <c r="BG1016" s="38"/>
      <c r="BH1016" s="38"/>
      <c r="BI1016" s="38"/>
      <c r="BJ1016" s="38"/>
      <c r="BK1016" s="38"/>
      <c r="BL1016" s="38"/>
      <c r="BM1016" s="38"/>
      <c r="BN1016" s="38"/>
      <c r="BO1016" s="38"/>
      <c r="BP1016" s="38"/>
      <c r="BQ1016" s="38"/>
      <c r="BR1016" s="38"/>
      <c r="BS1016" s="38"/>
    </row>
    <row r="1017" spans="1:71" ht="19.5" customHeight="1">
      <c r="A1017" s="38"/>
      <c r="B1017" s="38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38"/>
      <c r="AJ1017" s="38"/>
      <c r="AK1017" s="38"/>
      <c r="AL1017" s="38"/>
      <c r="AM1017" s="38"/>
      <c r="AN1017" s="38"/>
      <c r="AO1017" s="38"/>
      <c r="AP1017" s="38"/>
      <c r="AQ1017" s="38"/>
      <c r="AR1017" s="38"/>
      <c r="AS1017" s="38"/>
      <c r="AT1017" s="38"/>
      <c r="AU1017" s="38"/>
      <c r="AV1017" s="38"/>
      <c r="AW1017" s="38"/>
      <c r="AX1017" s="38"/>
      <c r="AY1017" s="38"/>
      <c r="AZ1017" s="38"/>
      <c r="BA1017" s="38"/>
      <c r="BB1017" s="38"/>
      <c r="BC1017" s="38"/>
      <c r="BD1017" s="38"/>
      <c r="BE1017" s="38"/>
      <c r="BF1017" s="38"/>
      <c r="BG1017" s="38"/>
      <c r="BH1017" s="38"/>
      <c r="BI1017" s="38"/>
      <c r="BJ1017" s="38"/>
      <c r="BK1017" s="38"/>
      <c r="BL1017" s="38"/>
      <c r="BM1017" s="38"/>
      <c r="BN1017" s="38"/>
      <c r="BO1017" s="38"/>
      <c r="BP1017" s="38"/>
      <c r="BQ1017" s="38"/>
      <c r="BR1017" s="38"/>
      <c r="BS1017" s="38"/>
    </row>
    <row r="1018" spans="1:71" ht="19.5" customHeight="1">
      <c r="A1018" s="38"/>
      <c r="B1018" s="38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38"/>
      <c r="AJ1018" s="38"/>
      <c r="AK1018" s="38"/>
      <c r="AL1018" s="38"/>
      <c r="AM1018" s="38"/>
      <c r="AN1018" s="38"/>
      <c r="AO1018" s="38"/>
      <c r="AP1018" s="38"/>
      <c r="AQ1018" s="38"/>
      <c r="AR1018" s="38"/>
      <c r="AS1018" s="38"/>
      <c r="AT1018" s="38"/>
      <c r="AU1018" s="38"/>
      <c r="AV1018" s="38"/>
      <c r="AW1018" s="38"/>
      <c r="AX1018" s="38"/>
      <c r="AY1018" s="38"/>
      <c r="AZ1018" s="38"/>
      <c r="BA1018" s="38"/>
      <c r="BB1018" s="38"/>
      <c r="BC1018" s="38"/>
      <c r="BD1018" s="38"/>
      <c r="BE1018" s="38"/>
      <c r="BF1018" s="38"/>
      <c r="BG1018" s="38"/>
      <c r="BH1018" s="38"/>
      <c r="BI1018" s="38"/>
      <c r="BJ1018" s="38"/>
      <c r="BK1018" s="38"/>
      <c r="BL1018" s="38"/>
      <c r="BM1018" s="38"/>
      <c r="BN1018" s="38"/>
      <c r="BO1018" s="38"/>
      <c r="BP1018" s="38"/>
      <c r="BQ1018" s="38"/>
      <c r="BR1018" s="38"/>
      <c r="BS1018" s="38"/>
    </row>
    <row r="1019" spans="1:71" ht="19.5" customHeight="1">
      <c r="A1019" s="38"/>
      <c r="B1019" s="38"/>
      <c r="C1019" s="38"/>
      <c r="D1019" s="38"/>
      <c r="E1019" s="38"/>
      <c r="F1019" s="38"/>
      <c r="G1019" s="38"/>
      <c r="H1019" s="38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38"/>
      <c r="AI1019" s="38"/>
      <c r="AJ1019" s="38"/>
      <c r="AK1019" s="38"/>
      <c r="AL1019" s="38"/>
      <c r="AM1019" s="38"/>
      <c r="AN1019" s="38"/>
      <c r="AO1019" s="38"/>
      <c r="AP1019" s="38"/>
      <c r="AQ1019" s="38"/>
      <c r="AR1019" s="38"/>
      <c r="AS1019" s="38"/>
      <c r="AT1019" s="38"/>
      <c r="AU1019" s="38"/>
      <c r="AV1019" s="38"/>
      <c r="AW1019" s="38"/>
      <c r="AX1019" s="38"/>
      <c r="AY1019" s="38"/>
      <c r="AZ1019" s="38"/>
      <c r="BA1019" s="38"/>
      <c r="BB1019" s="38"/>
      <c r="BC1019" s="38"/>
      <c r="BD1019" s="38"/>
      <c r="BE1019" s="38"/>
      <c r="BF1019" s="38"/>
      <c r="BG1019" s="38"/>
      <c r="BH1019" s="38"/>
      <c r="BI1019" s="38"/>
      <c r="BJ1019" s="38"/>
      <c r="BK1019" s="38"/>
      <c r="BL1019" s="38"/>
      <c r="BM1019" s="38"/>
      <c r="BN1019" s="38"/>
      <c r="BO1019" s="38"/>
      <c r="BP1019" s="38"/>
      <c r="BQ1019" s="38"/>
      <c r="BR1019" s="38"/>
      <c r="BS1019" s="38"/>
    </row>
    <row r="1020" spans="1:71" ht="19.5" customHeight="1">
      <c r="A1020" s="38"/>
      <c r="B1020" s="38"/>
      <c r="C1020" s="38"/>
      <c r="D1020" s="38"/>
      <c r="E1020" s="38"/>
      <c r="F1020" s="38"/>
      <c r="G1020" s="38"/>
      <c r="H1020" s="38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38"/>
      <c r="AI1020" s="38"/>
      <c r="AJ1020" s="38"/>
      <c r="AK1020" s="38"/>
      <c r="AL1020" s="38"/>
      <c r="AM1020" s="38"/>
      <c r="AN1020" s="38"/>
      <c r="AO1020" s="38"/>
      <c r="AP1020" s="38"/>
      <c r="AQ1020" s="38"/>
      <c r="AR1020" s="38"/>
      <c r="AS1020" s="38"/>
      <c r="AT1020" s="38"/>
      <c r="AU1020" s="38"/>
      <c r="AV1020" s="38"/>
      <c r="AW1020" s="38"/>
      <c r="AX1020" s="38"/>
      <c r="AY1020" s="38"/>
      <c r="AZ1020" s="38"/>
      <c r="BA1020" s="38"/>
      <c r="BB1020" s="38"/>
      <c r="BC1020" s="38"/>
      <c r="BD1020" s="38"/>
      <c r="BE1020" s="38"/>
      <c r="BF1020" s="38"/>
      <c r="BG1020" s="38"/>
      <c r="BH1020" s="38"/>
      <c r="BI1020" s="38"/>
      <c r="BJ1020" s="38"/>
      <c r="BK1020" s="38"/>
      <c r="BL1020" s="38"/>
      <c r="BM1020" s="38"/>
      <c r="BN1020" s="38"/>
      <c r="BO1020" s="38"/>
      <c r="BP1020" s="38"/>
      <c r="BQ1020" s="38"/>
      <c r="BR1020" s="38"/>
      <c r="BS1020" s="38"/>
    </row>
    <row r="1021" spans="1:71" ht="19.5" customHeight="1">
      <c r="A1021" s="38"/>
      <c r="B1021" s="38"/>
      <c r="C1021" s="38"/>
      <c r="D1021" s="38"/>
      <c r="E1021" s="38"/>
      <c r="F1021" s="38"/>
      <c r="G1021" s="38"/>
      <c r="H1021" s="38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38"/>
      <c r="AI1021" s="38"/>
      <c r="AJ1021" s="38"/>
      <c r="AK1021" s="38"/>
      <c r="AL1021" s="38"/>
      <c r="AM1021" s="38"/>
      <c r="AN1021" s="38"/>
      <c r="AO1021" s="38"/>
      <c r="AP1021" s="38"/>
      <c r="AQ1021" s="38"/>
      <c r="AR1021" s="38"/>
      <c r="AS1021" s="38"/>
      <c r="AT1021" s="38"/>
      <c r="AU1021" s="38"/>
      <c r="AV1021" s="38"/>
      <c r="AW1021" s="38"/>
      <c r="AX1021" s="38"/>
      <c r="AY1021" s="38"/>
      <c r="AZ1021" s="38"/>
      <c r="BA1021" s="38"/>
      <c r="BB1021" s="38"/>
      <c r="BC1021" s="38"/>
      <c r="BD1021" s="38"/>
      <c r="BE1021" s="38"/>
      <c r="BF1021" s="38"/>
      <c r="BG1021" s="38"/>
      <c r="BH1021" s="38"/>
      <c r="BI1021" s="38"/>
      <c r="BJ1021" s="38"/>
      <c r="BK1021" s="38"/>
      <c r="BL1021" s="38"/>
      <c r="BM1021" s="38"/>
      <c r="BN1021" s="38"/>
      <c r="BO1021" s="38"/>
      <c r="BP1021" s="38"/>
      <c r="BQ1021" s="38"/>
      <c r="BR1021" s="38"/>
      <c r="BS1021" s="38"/>
    </row>
    <row r="1022" spans="1:71" ht="19.5" customHeight="1">
      <c r="A1022" s="38"/>
      <c r="B1022" s="38"/>
      <c r="C1022" s="38"/>
      <c r="D1022" s="38"/>
      <c r="E1022" s="38"/>
      <c r="F1022" s="38"/>
      <c r="G1022" s="38"/>
      <c r="H1022" s="38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38"/>
      <c r="AI1022" s="38"/>
      <c r="AJ1022" s="38"/>
      <c r="AK1022" s="38"/>
      <c r="AL1022" s="38"/>
      <c r="AM1022" s="38"/>
      <c r="AN1022" s="38"/>
      <c r="AO1022" s="38"/>
      <c r="AP1022" s="38"/>
      <c r="AQ1022" s="38"/>
      <c r="AR1022" s="38"/>
      <c r="AS1022" s="38"/>
      <c r="AT1022" s="38"/>
      <c r="AU1022" s="38"/>
      <c r="AV1022" s="38"/>
      <c r="AW1022" s="38"/>
      <c r="AX1022" s="38"/>
      <c r="AY1022" s="38"/>
      <c r="AZ1022" s="38"/>
      <c r="BA1022" s="38"/>
      <c r="BB1022" s="38"/>
      <c r="BC1022" s="38"/>
      <c r="BD1022" s="38"/>
      <c r="BE1022" s="38"/>
      <c r="BF1022" s="38"/>
      <c r="BG1022" s="38"/>
      <c r="BH1022" s="38"/>
      <c r="BI1022" s="38"/>
      <c r="BJ1022" s="38"/>
      <c r="BK1022" s="38"/>
      <c r="BL1022" s="38"/>
      <c r="BM1022" s="38"/>
      <c r="BN1022" s="38"/>
      <c r="BO1022" s="38"/>
      <c r="BP1022" s="38"/>
      <c r="BQ1022" s="38"/>
      <c r="BR1022" s="38"/>
      <c r="BS1022" s="38"/>
    </row>
    <row r="1023" spans="1:71" ht="19.5" customHeight="1">
      <c r="A1023" s="38"/>
      <c r="B1023" s="38"/>
      <c r="C1023" s="38"/>
      <c r="D1023" s="38"/>
      <c r="E1023" s="38"/>
      <c r="F1023" s="38"/>
      <c r="G1023" s="38"/>
      <c r="H1023" s="38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  <c r="AA1023" s="38"/>
      <c r="AB1023" s="38"/>
      <c r="AC1023" s="38"/>
      <c r="AD1023" s="38"/>
      <c r="AE1023" s="38"/>
      <c r="AF1023" s="38"/>
      <c r="AG1023" s="38"/>
      <c r="AH1023" s="38"/>
      <c r="AI1023" s="38"/>
      <c r="AJ1023" s="38"/>
      <c r="AK1023" s="38"/>
      <c r="AL1023" s="38"/>
      <c r="AM1023" s="38"/>
      <c r="AN1023" s="38"/>
      <c r="AO1023" s="38"/>
      <c r="AP1023" s="38"/>
      <c r="AQ1023" s="38"/>
      <c r="AR1023" s="38"/>
      <c r="AS1023" s="38"/>
      <c r="AT1023" s="38"/>
      <c r="AU1023" s="38"/>
      <c r="AV1023" s="38"/>
      <c r="AW1023" s="38"/>
      <c r="AX1023" s="38"/>
      <c r="AY1023" s="38"/>
      <c r="AZ1023" s="38"/>
      <c r="BA1023" s="38"/>
      <c r="BB1023" s="38"/>
      <c r="BC1023" s="38"/>
      <c r="BD1023" s="38"/>
      <c r="BE1023" s="38"/>
      <c r="BF1023" s="38"/>
      <c r="BG1023" s="38"/>
      <c r="BH1023" s="38"/>
      <c r="BI1023" s="38"/>
      <c r="BJ1023" s="38"/>
      <c r="BK1023" s="38"/>
      <c r="BL1023" s="38"/>
      <c r="BM1023" s="38"/>
      <c r="BN1023" s="38"/>
      <c r="BO1023" s="38"/>
      <c r="BP1023" s="38"/>
      <c r="BQ1023" s="38"/>
      <c r="BR1023" s="38"/>
      <c r="BS1023" s="38"/>
    </row>
  </sheetData>
  <mergeCells count="60">
    <mergeCell ref="C75:D81"/>
    <mergeCell ref="E87:E89"/>
    <mergeCell ref="C82:D90"/>
    <mergeCell ref="D100:D106"/>
    <mergeCell ref="H127:I127"/>
    <mergeCell ref="G118:H118"/>
    <mergeCell ref="G119:H119"/>
    <mergeCell ref="G120:H120"/>
    <mergeCell ref="C91:C107"/>
    <mergeCell ref="C108:D125"/>
    <mergeCell ref="E113:E117"/>
    <mergeCell ref="C127:D128"/>
    <mergeCell ref="D91:D95"/>
    <mergeCell ref="G20:K21"/>
    <mergeCell ref="M20:M21"/>
    <mergeCell ref="B6:B9"/>
    <mergeCell ref="C9:D9"/>
    <mergeCell ref="B10:B12"/>
    <mergeCell ref="C10:D10"/>
    <mergeCell ref="C11:D11"/>
    <mergeCell ref="C12:D12"/>
    <mergeCell ref="K11:K12"/>
    <mergeCell ref="G7:G8"/>
    <mergeCell ref="C15:D15"/>
    <mergeCell ref="L15:M15"/>
    <mergeCell ref="B2:D3"/>
    <mergeCell ref="E2:I3"/>
    <mergeCell ref="J2:L3"/>
    <mergeCell ref="B4:D4"/>
    <mergeCell ref="B5:D5"/>
    <mergeCell ref="E5:G5"/>
    <mergeCell ref="F179:F180"/>
    <mergeCell ref="C6:D6"/>
    <mergeCell ref="C7:D8"/>
    <mergeCell ref="E7:E8"/>
    <mergeCell ref="F7:F8"/>
    <mergeCell ref="B20:F21"/>
    <mergeCell ref="B22:B69"/>
    <mergeCell ref="C58:F58"/>
    <mergeCell ref="C59:F59"/>
    <mergeCell ref="C60:F60"/>
    <mergeCell ref="C69:F69"/>
    <mergeCell ref="B145:F145"/>
    <mergeCell ref="B146:F146"/>
    <mergeCell ref="C22:C37"/>
    <mergeCell ref="E65:E67"/>
    <mergeCell ref="C70:D74"/>
    <mergeCell ref="C137:D143"/>
    <mergeCell ref="E137:E143"/>
    <mergeCell ref="F137:F138"/>
    <mergeCell ref="D96:D99"/>
    <mergeCell ref="C126:F126"/>
    <mergeCell ref="E102:E104"/>
    <mergeCell ref="F142:F143"/>
    <mergeCell ref="O39:O48"/>
    <mergeCell ref="C49:C53"/>
    <mergeCell ref="C61:D68"/>
    <mergeCell ref="E61:E64"/>
    <mergeCell ref="C39:C48"/>
    <mergeCell ref="C54:C57"/>
  </mergeCells>
  <phoneticPr fontId="102" type="noConversion"/>
  <conditionalFormatting sqref="P16:T16">
    <cfRule type="cellIs" dxfId="4" priority="1" stopIfTrue="1" operator="greaterThan">
      <formula>$D$17</formula>
    </cfRule>
  </conditionalFormatting>
  <conditionalFormatting sqref="P17:BP17">
    <cfRule type="cellIs" dxfId="3" priority="2" stopIfTrue="1" operator="equal">
      <formula>0</formula>
    </cfRule>
  </conditionalFormatting>
  <conditionalFormatting sqref="R13:BP15">
    <cfRule type="cellIs" dxfId="2" priority="3" stopIfTrue="1" operator="greaterThan">
      <formula>5</formula>
    </cfRule>
  </conditionalFormatting>
  <conditionalFormatting sqref="U16:W16">
    <cfRule type="cellIs" dxfId="1" priority="4" stopIfTrue="1" operator="greaterThan">
      <formula>$D$12</formula>
    </cfRule>
  </conditionalFormatting>
  <conditionalFormatting sqref="X16:BP16">
    <cfRule type="cellIs" dxfId="0" priority="5" stopIfTrue="1" operator="greaterThan">
      <formula>$D$17</formula>
    </cfRule>
  </conditionalFormatting>
  <printOptions horizontalCentered="1" verticalCentered="1"/>
  <pageMargins left="0.23622047244094491" right="0.23622047244094491" top="0.74803149606299213" bottom="0.74803149606299213" header="0" footer="0"/>
  <pageSetup paperSize="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xSplit="5" topLeftCell="F1" activePane="topRight" state="frozen"/>
      <selection pane="topRight" activeCell="G2" sqref="G2"/>
    </sheetView>
  </sheetViews>
  <sheetFormatPr defaultColWidth="14.453125" defaultRowHeight="15" customHeight="1"/>
  <cols>
    <col min="1" max="1" width="0.54296875" customWidth="1"/>
    <col min="2" max="16" width="10.54296875" customWidth="1"/>
    <col min="17" max="17" width="17.453125" customWidth="1"/>
    <col min="18" max="26" width="8.54296875" customWidth="1"/>
  </cols>
  <sheetData>
    <row r="1" spans="1:26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7.5" customHeight="1">
      <c r="A2" s="1"/>
      <c r="B2" s="42" t="str">
        <f>사업검토!B2</f>
        <v>사  업  명</v>
      </c>
      <c r="C2" s="1"/>
      <c r="D2" s="1"/>
      <c r="E2" s="1"/>
      <c r="F2" s="1"/>
      <c r="G2" s="1"/>
      <c r="H2" s="1"/>
      <c r="I2" s="43" t="s">
        <v>358</v>
      </c>
      <c r="J2" s="44">
        <f>사업검토!L14</f>
        <v>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.75" customHeight="1">
      <c r="A3" s="1"/>
      <c r="B3" s="45"/>
      <c r="C3" s="1"/>
      <c r="D3" s="1"/>
      <c r="E3" s="1"/>
      <c r="F3" s="1"/>
      <c r="G3" s="1"/>
      <c r="H3" s="1"/>
      <c r="I3" s="43" t="s">
        <v>359</v>
      </c>
      <c r="J3" s="46">
        <f ca="1">+TODAY()</f>
        <v>45993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>
      <c r="A4" s="1"/>
      <c r="B4" s="45" t="s">
        <v>360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47" t="s">
        <v>361</v>
      </c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39"/>
      <c r="B6" s="1624" t="s">
        <v>362</v>
      </c>
      <c r="C6" s="1625"/>
      <c r="D6" s="1499"/>
      <c r="E6" s="1628" t="s">
        <v>34</v>
      </c>
      <c r="F6" s="48" t="s">
        <v>363</v>
      </c>
      <c r="G6" s="49">
        <v>1</v>
      </c>
      <c r="H6" s="49">
        <f t="shared" ref="H6:O6" si="0">G6+1</f>
        <v>2</v>
      </c>
      <c r="I6" s="49">
        <f t="shared" si="0"/>
        <v>3</v>
      </c>
      <c r="J6" s="49">
        <f t="shared" si="0"/>
        <v>4</v>
      </c>
      <c r="K6" s="49">
        <f t="shared" si="0"/>
        <v>5</v>
      </c>
      <c r="L6" s="49">
        <f t="shared" si="0"/>
        <v>6</v>
      </c>
      <c r="M6" s="49">
        <f t="shared" si="0"/>
        <v>7</v>
      </c>
      <c r="N6" s="49">
        <f t="shared" si="0"/>
        <v>8</v>
      </c>
      <c r="O6" s="49">
        <f t="shared" si="0"/>
        <v>9</v>
      </c>
      <c r="P6" s="49"/>
      <c r="Q6" s="1628" t="s">
        <v>35</v>
      </c>
      <c r="R6" s="39"/>
      <c r="S6" s="39"/>
      <c r="T6" s="39"/>
      <c r="U6" s="39"/>
      <c r="V6" s="39"/>
      <c r="W6" s="39"/>
      <c r="X6" s="39"/>
      <c r="Y6" s="39"/>
      <c r="Z6" s="39"/>
    </row>
    <row r="7" spans="1:26" ht="13.5" customHeight="1">
      <c r="A7" s="39"/>
      <c r="B7" s="1520"/>
      <c r="C7" s="1626"/>
      <c r="D7" s="1627"/>
      <c r="E7" s="1532"/>
      <c r="F7" s="1629" t="s">
        <v>364</v>
      </c>
      <c r="G7" s="1492"/>
      <c r="H7" s="1492"/>
      <c r="I7" s="1491"/>
      <c r="J7" s="1629"/>
      <c r="K7" s="1492"/>
      <c r="L7" s="1492"/>
      <c r="M7" s="1492"/>
      <c r="N7" s="1492"/>
      <c r="O7" s="1491"/>
      <c r="P7" s="48"/>
      <c r="Q7" s="1532"/>
      <c r="R7" s="39"/>
      <c r="S7" s="39"/>
      <c r="T7" s="39"/>
      <c r="U7" s="39"/>
      <c r="V7" s="39"/>
      <c r="W7" s="39"/>
      <c r="X7" s="39"/>
      <c r="Y7" s="39"/>
      <c r="Z7" s="39"/>
    </row>
    <row r="8" spans="1:26" ht="13.5" customHeight="1">
      <c r="A8" s="39"/>
      <c r="B8" s="1520"/>
      <c r="C8" s="1626"/>
      <c r="D8" s="1627"/>
      <c r="E8" s="1532"/>
      <c r="F8" s="1630">
        <v>39661</v>
      </c>
      <c r="G8" s="50">
        <f>F8+31</f>
        <v>39692</v>
      </c>
      <c r="H8" s="50">
        <f t="shared" ref="H8:O8" si="1">G8+365.25</f>
        <v>40057.25</v>
      </c>
      <c r="I8" s="50">
        <f t="shared" si="1"/>
        <v>40422.5</v>
      </c>
      <c r="J8" s="50">
        <f t="shared" si="1"/>
        <v>40787.75</v>
      </c>
      <c r="K8" s="50">
        <f t="shared" si="1"/>
        <v>41153</v>
      </c>
      <c r="L8" s="50">
        <f t="shared" si="1"/>
        <v>41518.25</v>
      </c>
      <c r="M8" s="50">
        <f t="shared" si="1"/>
        <v>41883.5</v>
      </c>
      <c r="N8" s="50">
        <f t="shared" si="1"/>
        <v>42248.75</v>
      </c>
      <c r="O8" s="50">
        <f t="shared" si="1"/>
        <v>42614</v>
      </c>
      <c r="P8" s="50"/>
      <c r="Q8" s="1532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>
      <c r="A9" s="39"/>
      <c r="B9" s="1500"/>
      <c r="C9" s="1578"/>
      <c r="D9" s="1501"/>
      <c r="E9" s="1508"/>
      <c r="F9" s="1508"/>
      <c r="G9" s="50">
        <f t="shared" ref="G9:O9" si="2">G8+364</f>
        <v>40056</v>
      </c>
      <c r="H9" s="50">
        <f t="shared" si="2"/>
        <v>40421.25</v>
      </c>
      <c r="I9" s="50">
        <f t="shared" si="2"/>
        <v>40786.5</v>
      </c>
      <c r="J9" s="50">
        <f t="shared" si="2"/>
        <v>41151.75</v>
      </c>
      <c r="K9" s="50">
        <f t="shared" si="2"/>
        <v>41517</v>
      </c>
      <c r="L9" s="50">
        <f t="shared" si="2"/>
        <v>41882.25</v>
      </c>
      <c r="M9" s="50">
        <f t="shared" si="2"/>
        <v>42247.5</v>
      </c>
      <c r="N9" s="50">
        <f t="shared" si="2"/>
        <v>42612.75</v>
      </c>
      <c r="O9" s="50">
        <f t="shared" si="2"/>
        <v>42978</v>
      </c>
      <c r="P9" s="50"/>
      <c r="Q9" s="1508"/>
      <c r="R9" s="39"/>
      <c r="S9" s="39"/>
      <c r="T9" s="39"/>
      <c r="U9" s="39"/>
      <c r="V9" s="39"/>
      <c r="W9" s="39"/>
      <c r="X9" s="39"/>
      <c r="Y9" s="39"/>
      <c r="Z9" s="39"/>
    </row>
    <row r="10" spans="1:26" ht="13.5" hidden="1" customHeight="1">
      <c r="A10" s="1"/>
      <c r="B10" s="1631" t="s">
        <v>365</v>
      </c>
      <c r="C10" s="51" t="e">
        <f>사업검토!#REF!</f>
        <v>#REF!</v>
      </c>
      <c r="D10" s="52"/>
      <c r="E10" s="53" t="e">
        <f t="shared" ref="E10:E24" si="3">SUM(F10:M10)</f>
        <v>#REF!</v>
      </c>
      <c r="F10" s="54" t="e">
        <f>SUM(사업검토!#REF!)</f>
        <v>#REF!</v>
      </c>
      <c r="G10" s="54" t="e">
        <f>SUM(사업검토!#REF!)</f>
        <v>#REF!</v>
      </c>
      <c r="H10" s="54" t="e">
        <f>SUM(사업검토!#REF!)</f>
        <v>#REF!</v>
      </c>
      <c r="I10" s="54" t="e">
        <f>SUM(사업검토!#REF!)</f>
        <v>#REF!</v>
      </c>
      <c r="J10" s="54" t="e">
        <f>SUM(사업검토!#REF!)</f>
        <v>#REF!</v>
      </c>
      <c r="K10" s="54"/>
      <c r="L10" s="54"/>
      <c r="M10" s="54"/>
      <c r="N10" s="54"/>
      <c r="O10" s="54"/>
      <c r="P10" s="54"/>
      <c r="Q10" s="55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>
      <c r="A11" s="1"/>
      <c r="B11" s="1532"/>
      <c r="C11" s="56" t="e">
        <f>사업검토!#REF!</f>
        <v>#REF!</v>
      </c>
      <c r="D11" s="52"/>
      <c r="E11" s="53" t="e">
        <f t="shared" si="3"/>
        <v>#REF!</v>
      </c>
      <c r="F11" s="54" t="e">
        <f>SUM(사업검토!#REF!)</f>
        <v>#REF!</v>
      </c>
      <c r="G11" s="54" t="e">
        <f>SUM(사업검토!#REF!)</f>
        <v>#REF!</v>
      </c>
      <c r="H11" s="54" t="e">
        <f>SUM(사업검토!#REF!)</f>
        <v>#REF!</v>
      </c>
      <c r="I11" s="54" t="e">
        <f>SUM(사업검토!#REF!)</f>
        <v>#REF!</v>
      </c>
      <c r="J11" s="54" t="e">
        <f>SUM(사업검토!#REF!)</f>
        <v>#REF!</v>
      </c>
      <c r="K11" s="54"/>
      <c r="L11" s="54"/>
      <c r="M11" s="54"/>
      <c r="N11" s="54"/>
      <c r="O11" s="54"/>
      <c r="P11" s="54"/>
      <c r="Q11" s="55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532"/>
      <c r="C12" s="57" t="str">
        <f>사업검토!C22</f>
        <v>일반분양</v>
      </c>
      <c r="D12" s="52"/>
      <c r="E12" s="53" t="e">
        <f t="shared" si="3"/>
        <v>#REF!</v>
      </c>
      <c r="F12" s="54">
        <f>SUM(사업검토!AD22)</f>
        <v>0</v>
      </c>
      <c r="G12" s="54">
        <f>SUM(사업검토!AE22:AR22)</f>
        <v>135351096.70499998</v>
      </c>
      <c r="H12" s="54">
        <f>SUM(사업검토!AS22:BD22)</f>
        <v>135351096.70499998</v>
      </c>
      <c r="I12" s="54">
        <f>SUM(사업검토!BE22:BP22)</f>
        <v>270702193.40999997</v>
      </c>
      <c r="J12" s="54" t="e">
        <f>SUM(사업검토!#REF!)</f>
        <v>#REF!</v>
      </c>
      <c r="K12" s="54"/>
      <c r="L12" s="54"/>
      <c r="M12" s="54"/>
      <c r="N12" s="54"/>
      <c r="O12" s="54"/>
      <c r="P12" s="54"/>
      <c r="Q12" s="55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532"/>
      <c r="C13" s="51" t="str">
        <f>사업검토!C54</f>
        <v>근생시설</v>
      </c>
      <c r="D13" s="52"/>
      <c r="E13" s="53" t="e">
        <f t="shared" si="3"/>
        <v>#REF!</v>
      </c>
      <c r="F13" s="54">
        <f>SUM(사업검토!AD54)</f>
        <v>0</v>
      </c>
      <c r="G13" s="54">
        <f>SUM(사업검토!AE54:AR54)</f>
        <v>7178884.3345999997</v>
      </c>
      <c r="H13" s="54">
        <f>SUM(사업검토!AS54:BD54)</f>
        <v>7178884.3345999997</v>
      </c>
      <c r="I13" s="54">
        <f>SUM(사업검토!BE54:BP54)</f>
        <v>17947210.8365</v>
      </c>
      <c r="J13" s="54" t="e">
        <f>SUM(사업검토!#REF!)</f>
        <v>#REF!</v>
      </c>
      <c r="K13" s="54"/>
      <c r="L13" s="54"/>
      <c r="M13" s="54"/>
      <c r="N13" s="54"/>
      <c r="O13" s="54"/>
      <c r="P13" s="54"/>
      <c r="Q13" s="55"/>
      <c r="R13" s="1"/>
      <c r="S13" s="1"/>
      <c r="T13" s="1"/>
      <c r="U13" s="1"/>
      <c r="V13" s="1"/>
      <c r="W13" s="1"/>
      <c r="X13" s="1"/>
      <c r="Y13" s="1"/>
      <c r="Z13" s="1"/>
    </row>
    <row r="14" spans="1:26" ht="13.5" hidden="1" customHeight="1">
      <c r="A14" s="1"/>
      <c r="B14" s="1532"/>
      <c r="C14" s="56" t="e">
        <f>사업검토!#REF!</f>
        <v>#REF!</v>
      </c>
      <c r="D14" s="52"/>
      <c r="E14" s="53" t="e">
        <f t="shared" si="3"/>
        <v>#REF!</v>
      </c>
      <c r="F14" s="54" t="e">
        <f>SUM(사업검토!#REF!)</f>
        <v>#REF!</v>
      </c>
      <c r="G14" s="54" t="e">
        <f>SUM(사업검토!#REF!)</f>
        <v>#REF!</v>
      </c>
      <c r="H14" s="54" t="e">
        <f>SUM(사업검토!#REF!)</f>
        <v>#REF!</v>
      </c>
      <c r="I14" s="54" t="e">
        <f>SUM(사업검토!#REF!)</f>
        <v>#REF!</v>
      </c>
      <c r="J14" s="54" t="e">
        <f>SUM(사업검토!#REF!)</f>
        <v>#REF!</v>
      </c>
      <c r="K14" s="54"/>
      <c r="L14" s="54"/>
      <c r="M14" s="54"/>
      <c r="N14" s="54"/>
      <c r="O14" s="54"/>
      <c r="P14" s="54"/>
      <c r="Q14" s="55"/>
      <c r="R14" s="1"/>
      <c r="S14" s="1"/>
      <c r="T14" s="1"/>
      <c r="U14" s="1"/>
      <c r="V14" s="1"/>
      <c r="W14" s="1"/>
      <c r="X14" s="1"/>
      <c r="Y14" s="1"/>
      <c r="Z14" s="1"/>
    </row>
    <row r="15" spans="1:26" ht="13.5" hidden="1" customHeight="1">
      <c r="A15" s="1"/>
      <c r="B15" s="1532"/>
      <c r="C15" s="56" t="e">
        <f>사업검토!#REF!</f>
        <v>#REF!</v>
      </c>
      <c r="D15" s="52"/>
      <c r="E15" s="53" t="e">
        <f t="shared" si="3"/>
        <v>#REF!</v>
      </c>
      <c r="F15" s="54" t="e">
        <f>SUM(사업검토!#REF!)</f>
        <v>#REF!</v>
      </c>
      <c r="G15" s="54" t="e">
        <f>SUM(사업검토!#REF!)</f>
        <v>#REF!</v>
      </c>
      <c r="H15" s="54" t="e">
        <f>SUM(사업검토!#REF!)</f>
        <v>#REF!</v>
      </c>
      <c r="I15" s="54" t="e">
        <f>SUM(사업검토!#REF!)</f>
        <v>#REF!</v>
      </c>
      <c r="J15" s="54" t="e">
        <f>SUM(사업검토!#REF!)</f>
        <v>#REF!</v>
      </c>
      <c r="K15" s="54"/>
      <c r="L15" s="54"/>
      <c r="M15" s="54"/>
      <c r="N15" s="54"/>
      <c r="O15" s="54"/>
      <c r="P15" s="54"/>
      <c r="Q15" s="55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508"/>
      <c r="C16" s="56" t="s">
        <v>366</v>
      </c>
      <c r="D16" s="52"/>
      <c r="E16" s="53" t="e">
        <f t="shared" si="3"/>
        <v>#REF!</v>
      </c>
      <c r="F16" s="54">
        <f>SUM(사업검토!AD58)</f>
        <v>0</v>
      </c>
      <c r="G16" s="54">
        <f>SUM(사업검토!AE58:AR58)</f>
        <v>184713036.03006163</v>
      </c>
      <c r="H16" s="54">
        <f>SUM(사업검토!AS58:BD58)</f>
        <v>184713036.03006163</v>
      </c>
      <c r="I16" s="54">
        <f>SUM(사업검토!BE58:BP58)</f>
        <v>366064787.32219249</v>
      </c>
      <c r="J16" s="54" t="e">
        <f>SUM(사업검토!#REF!)</f>
        <v>#REF!</v>
      </c>
      <c r="K16" s="54"/>
      <c r="L16" s="54"/>
      <c r="M16" s="54"/>
      <c r="N16" s="54"/>
      <c r="O16" s="54"/>
      <c r="P16" s="54"/>
      <c r="Q16" s="55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629" t="s">
        <v>367</v>
      </c>
      <c r="C17" s="1492"/>
      <c r="D17" s="52"/>
      <c r="E17" s="53" t="e">
        <f t="shared" si="3"/>
        <v>#REF!</v>
      </c>
      <c r="F17" s="54">
        <f>SUM(사업검토!AD59)</f>
        <v>0</v>
      </c>
      <c r="G17" s="54">
        <f>SUM(사업검토!AE59:AR59)</f>
        <v>2848223.2092875028</v>
      </c>
      <c r="H17" s="54">
        <f>SUM(사업검토!AS59:BD59)</f>
        <v>2848223.2092875028</v>
      </c>
      <c r="I17" s="54">
        <f>SUM(사업검토!BE59:BP59)</f>
        <v>6055390.635305007</v>
      </c>
      <c r="J17" s="54" t="e">
        <f>SUM(사업검토!#REF!)</f>
        <v>#REF!</v>
      </c>
      <c r="K17" s="54"/>
      <c r="L17" s="54"/>
      <c r="M17" s="54"/>
      <c r="N17" s="54"/>
      <c r="O17" s="54"/>
      <c r="P17" s="54"/>
      <c r="Q17" s="55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629" t="s">
        <v>368</v>
      </c>
      <c r="C18" s="1492"/>
      <c r="D18" s="52"/>
      <c r="E18" s="53">
        <f t="shared" si="3"/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/>
      <c r="L18" s="54"/>
      <c r="M18" s="54"/>
      <c r="N18" s="54"/>
      <c r="O18" s="54"/>
      <c r="P18" s="54"/>
      <c r="Q18" s="55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1"/>
      <c r="B19" s="1629" t="s">
        <v>369</v>
      </c>
      <c r="C19" s="1492"/>
      <c r="D19" s="52"/>
      <c r="E19" s="53" t="e">
        <f t="shared" si="3"/>
        <v>#REF!</v>
      </c>
      <c r="F19" s="58">
        <f t="shared" ref="F19:J19" si="4">F16-F17+F18</f>
        <v>0</v>
      </c>
      <c r="G19" s="58">
        <f t="shared" si="4"/>
        <v>181864812.82077414</v>
      </c>
      <c r="H19" s="58">
        <f t="shared" si="4"/>
        <v>181864812.82077414</v>
      </c>
      <c r="I19" s="58">
        <f t="shared" si="4"/>
        <v>360009396.6868875</v>
      </c>
      <c r="J19" s="58" t="e">
        <f t="shared" si="4"/>
        <v>#REF!</v>
      </c>
      <c r="K19" s="58"/>
      <c r="L19" s="58"/>
      <c r="M19" s="58"/>
      <c r="N19" s="58"/>
      <c r="O19" s="58"/>
      <c r="P19" s="58"/>
      <c r="Q19" s="59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631" t="s">
        <v>370</v>
      </c>
      <c r="C20" s="56" t="s">
        <v>371</v>
      </c>
      <c r="D20" s="52"/>
      <c r="E20" s="53" t="e">
        <f t="shared" si="3"/>
        <v>#REF!</v>
      </c>
      <c r="F20" s="54">
        <f>-SUM(사업검토!AD74)</f>
        <v>0</v>
      </c>
      <c r="G20" s="54">
        <f>-SUM(사업검토!AE74:AR74)</f>
        <v>0</v>
      </c>
      <c r="H20" s="54">
        <f>-SUM(사업검토!AS74:BD74)</f>
        <v>0</v>
      </c>
      <c r="I20" s="54">
        <f>-SUM(사업검토!BE74:BP74)</f>
        <v>0</v>
      </c>
      <c r="J20" s="54" t="e">
        <f>-SUM(사업검토!#REF!)</f>
        <v>#REF!</v>
      </c>
      <c r="K20" s="54"/>
      <c r="L20" s="54"/>
      <c r="M20" s="54"/>
      <c r="N20" s="54"/>
      <c r="O20" s="54"/>
      <c r="P20" s="54"/>
      <c r="Q20" s="60" t="s">
        <v>372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532"/>
      <c r="C21" s="56" t="s">
        <v>373</v>
      </c>
      <c r="D21" s="52"/>
      <c r="E21" s="53" t="e">
        <f t="shared" si="3"/>
        <v>#REF!</v>
      </c>
      <c r="F21" s="54">
        <f>-SUM(사업검토!AD81)</f>
        <v>-2211699.2865000004</v>
      </c>
      <c r="G21" s="54">
        <f>-SUM(사업검토!AE81:AR81)</f>
        <v>-198455880.79449999</v>
      </c>
      <c r="H21" s="54">
        <f>-SUM(사업검토!AS81:BD81)</f>
        <v>-196104003.403</v>
      </c>
      <c r="I21" s="54">
        <f>-SUM(사업검토!BE81:BP81)</f>
        <v>-77689831.237500012</v>
      </c>
      <c r="J21" s="54" t="e">
        <f>-SUM(사업검토!#REF!)</f>
        <v>#REF!</v>
      </c>
      <c r="K21" s="54"/>
      <c r="L21" s="54"/>
      <c r="M21" s="54"/>
      <c r="N21" s="54"/>
      <c r="O21" s="54"/>
      <c r="P21" s="54"/>
      <c r="Q21" s="60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532"/>
      <c r="C22" s="56" t="s">
        <v>374</v>
      </c>
      <c r="D22" s="52"/>
      <c r="E22" s="53" t="e">
        <f t="shared" si="3"/>
        <v>#REF!</v>
      </c>
      <c r="F22" s="54">
        <f>-SUM(사업검토!AD90)</f>
        <v>-421492.20442602277</v>
      </c>
      <c r="G22" s="54">
        <f>-SUM(사업검토!AE90:AR90)</f>
        <v>-8492689.6569388211</v>
      </c>
      <c r="H22" s="54">
        <f>-SUM(사업검토!AS90:BD90)</f>
        <v>-7649705.2480867757</v>
      </c>
      <c r="I22" s="54">
        <f>-SUM(사업검토!BE90:BP90)</f>
        <v>-3884374.8885476366</v>
      </c>
      <c r="J22" s="54" t="e">
        <f>-SUM(사업검토!#REF!)</f>
        <v>#REF!</v>
      </c>
      <c r="K22" s="54"/>
      <c r="L22" s="54"/>
      <c r="M22" s="54"/>
      <c r="N22" s="54"/>
      <c r="O22" s="54"/>
      <c r="P22" s="54"/>
      <c r="Q22" s="60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532"/>
      <c r="C23" s="56" t="s">
        <v>375</v>
      </c>
      <c r="D23" s="52"/>
      <c r="E23" s="53" t="e">
        <f t="shared" si="3"/>
        <v>#REF!</v>
      </c>
      <c r="F23" s="54">
        <f>-SUM(사업검토!AD107)</f>
        <v>-170000</v>
      </c>
      <c r="G23" s="54">
        <f>-SUM(사업검토!AE107:AR107)</f>
        <v>-600733.06007599994</v>
      </c>
      <c r="H23" s="54">
        <f>-SUM(사업검토!AS107:BD107)</f>
        <v>-430733.06007599999</v>
      </c>
      <c r="I23" s="54">
        <f>-SUM(사업검토!BE107:BP107)</f>
        <v>-1076832.65019</v>
      </c>
      <c r="J23" s="54" t="e">
        <f>-SUM(사업검토!#REF!)</f>
        <v>#REF!</v>
      </c>
      <c r="K23" s="54"/>
      <c r="L23" s="54"/>
      <c r="M23" s="54"/>
      <c r="N23" s="54"/>
      <c r="O23" s="54"/>
      <c r="P23" s="54"/>
      <c r="Q23" s="60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532"/>
      <c r="C24" s="56" t="s">
        <v>376</v>
      </c>
      <c r="D24" s="52"/>
      <c r="E24" s="53" t="e">
        <f t="shared" si="3"/>
        <v>#REF!</v>
      </c>
      <c r="F24" s="54">
        <f>-SUM(사업검토!AD125)</f>
        <v>-532730.49163856287</v>
      </c>
      <c r="G24" s="54">
        <f>-SUM(사업검토!AE125:AR125)</f>
        <v>-7458226.8829398779</v>
      </c>
      <c r="H24" s="54">
        <f>-SUM(사업검토!AS125:BD125)</f>
        <v>-25880836.593805969</v>
      </c>
      <c r="I24" s="54">
        <f>-SUM(사업검토!BE125:BP125)</f>
        <v>-3196382.9498313768</v>
      </c>
      <c r="J24" s="54" t="e">
        <f>-SUM(사업검토!#REF!)</f>
        <v>#REF!</v>
      </c>
      <c r="K24" s="54"/>
      <c r="L24" s="54"/>
      <c r="M24" s="54"/>
      <c r="N24" s="54"/>
      <c r="O24" s="54"/>
      <c r="P24" s="54"/>
      <c r="Q24" s="60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532"/>
      <c r="C25" s="56" t="s">
        <v>377</v>
      </c>
      <c r="D25" s="52"/>
      <c r="E25" s="53" t="e">
        <f t="shared" ref="E25:E28" si="5">SUM(F25:N25)</f>
        <v>#REF!</v>
      </c>
      <c r="F25" s="54">
        <f>-SUM(사업검토!AD126)</f>
        <v>0</v>
      </c>
      <c r="G25" s="54">
        <f>-SUM(사업검토!AE126:AR126)</f>
        <v>-10000000</v>
      </c>
      <c r="H25" s="54">
        <f>-SUM(사업검토!AS126:BD126)</f>
        <v>0</v>
      </c>
      <c r="I25" s="54">
        <f>-SUM(사업검토!BE126:BP126)</f>
        <v>0</v>
      </c>
      <c r="J25" s="54" t="e">
        <f>-SUM(사업검토!#REF!)</f>
        <v>#REF!</v>
      </c>
      <c r="K25" s="54"/>
      <c r="L25" s="54"/>
      <c r="M25" s="54"/>
      <c r="N25" s="54"/>
      <c r="O25" s="54"/>
      <c r="P25" s="54"/>
      <c r="Q25" s="60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>
      <c r="A26" s="1"/>
      <c r="B26" s="1532"/>
      <c r="C26" s="56" t="s">
        <v>366</v>
      </c>
      <c r="D26" s="52"/>
      <c r="E26" s="53" t="e">
        <f t="shared" si="5"/>
        <v>#REF!</v>
      </c>
      <c r="F26" s="54">
        <f>-SUM(사업검토!AD153)</f>
        <v>-3335921.9825645862</v>
      </c>
      <c r="G26" s="54">
        <f>-SUM(사업검토!AE153:AR153)</f>
        <v>-225007530.39445472</v>
      </c>
      <c r="H26" s="54">
        <f>-SUM(사업검토!AS153:BD153)</f>
        <v>-230065278.30496877</v>
      </c>
      <c r="I26" s="54">
        <f>-SUM(사업검토!BE153:BP153)</f>
        <v>-85847421.726069033</v>
      </c>
      <c r="J26" s="54" t="e">
        <f>-SUM(사업검토!#REF!)</f>
        <v>#REF!</v>
      </c>
      <c r="K26" s="54"/>
      <c r="L26" s="54"/>
      <c r="M26" s="54"/>
      <c r="N26" s="54"/>
      <c r="O26" s="54"/>
      <c r="P26" s="54"/>
      <c r="Q26" s="60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532"/>
      <c r="C27" s="56" t="s">
        <v>295</v>
      </c>
      <c r="D27" s="52"/>
      <c r="E27" s="53" t="e">
        <f t="shared" si="5"/>
        <v>#REF!</v>
      </c>
      <c r="F27" s="54">
        <f>SUM(사업검토!AD142)</f>
        <v>1969567.3956286137</v>
      </c>
      <c r="G27" s="54">
        <f>SUM(사업검토!AE142:AR142)</f>
        <v>23607291.465168778</v>
      </c>
      <c r="H27" s="54">
        <f>SUM(사업검토!AS142:BD142)</f>
        <v>13757550.257236391</v>
      </c>
      <c r="I27" s="54">
        <f>SUM(사업검토!BE142:BP142)</f>
        <v>3181786.6118314378</v>
      </c>
      <c r="J27" s="54" t="e">
        <f>-SUM(사업검토!#REF!)</f>
        <v>#REF!</v>
      </c>
      <c r="K27" s="54"/>
      <c r="L27" s="54"/>
      <c r="M27" s="54"/>
      <c r="N27" s="54"/>
      <c r="O27" s="54"/>
      <c r="P27" s="54"/>
      <c r="Q27" s="60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532"/>
      <c r="C28" s="56" t="s">
        <v>378</v>
      </c>
      <c r="D28" s="52"/>
      <c r="E28" s="53" t="e">
        <f t="shared" si="5"/>
        <v>#REF!</v>
      </c>
      <c r="F28" s="54" t="e">
        <f>-SUM(사업검토!#REF!)</f>
        <v>#REF!</v>
      </c>
      <c r="G28" s="54" t="e">
        <f>-SUM(사업검토!#REF!)</f>
        <v>#REF!</v>
      </c>
      <c r="H28" s="54" t="e">
        <f>-SUM(사업검토!#REF!)</f>
        <v>#REF!</v>
      </c>
      <c r="I28" s="54" t="e">
        <f>-SUM(사업검토!#REF!)</f>
        <v>#REF!</v>
      </c>
      <c r="J28" s="54" t="e">
        <f>-SUM(사업검토!#REF!)</f>
        <v>#REF!</v>
      </c>
      <c r="K28" s="54"/>
      <c r="L28" s="54"/>
      <c r="M28" s="54"/>
      <c r="N28" s="54"/>
      <c r="O28" s="54"/>
      <c r="P28" s="54"/>
      <c r="Q28" s="60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>
      <c r="A29" s="1"/>
      <c r="B29" s="1508"/>
      <c r="C29" s="56" t="s">
        <v>379</v>
      </c>
      <c r="D29" s="52"/>
      <c r="E29" s="53" t="e">
        <f t="shared" ref="E29:J29" si="6">E26+E27+E28</f>
        <v>#REF!</v>
      </c>
      <c r="F29" s="53" t="e">
        <f t="shared" si="6"/>
        <v>#REF!</v>
      </c>
      <c r="G29" s="53" t="e">
        <f t="shared" si="6"/>
        <v>#REF!</v>
      </c>
      <c r="H29" s="53" t="e">
        <f t="shared" si="6"/>
        <v>#REF!</v>
      </c>
      <c r="I29" s="53" t="e">
        <f t="shared" si="6"/>
        <v>#REF!</v>
      </c>
      <c r="J29" s="53" t="e">
        <f t="shared" si="6"/>
        <v>#REF!</v>
      </c>
      <c r="K29" s="61"/>
      <c r="L29" s="61"/>
      <c r="M29" s="61"/>
      <c r="N29" s="61"/>
      <c r="O29" s="61"/>
      <c r="P29" s="61"/>
      <c r="Q29" s="62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632" t="s">
        <v>380</v>
      </c>
      <c r="C30" s="1624" t="s">
        <v>336</v>
      </c>
      <c r="D30" s="56" t="s">
        <v>371</v>
      </c>
      <c r="E30" s="53" t="e">
        <f t="shared" ref="E30:E38" si="7">SUM(F30:N30)</f>
        <v>#REF!</v>
      </c>
      <c r="F30" s="54" t="e">
        <f>SUM(사업검토!#REF!)</f>
        <v>#REF!</v>
      </c>
      <c r="G30" s="54" t="e">
        <f>SUM(사업검토!#REF!)</f>
        <v>#REF!</v>
      </c>
      <c r="H30" s="54" t="e">
        <f>SUM(사업검토!#REF!)</f>
        <v>#REF!</v>
      </c>
      <c r="I30" s="54" t="e">
        <f>SUM(사업검토!#REF!)</f>
        <v>#REF!</v>
      </c>
      <c r="J30" s="54" t="e">
        <f>SUM(사업검토!#REF!)</f>
        <v>#REF!</v>
      </c>
      <c r="K30" s="54"/>
      <c r="L30" s="54"/>
      <c r="M30" s="54"/>
      <c r="N30" s="54"/>
      <c r="O30" s="54"/>
      <c r="P30" s="54"/>
      <c r="Q30" s="60" t="s">
        <v>381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520"/>
      <c r="C31" s="1520"/>
      <c r="D31" s="56" t="s">
        <v>382</v>
      </c>
      <c r="E31" s="53" t="e">
        <f t="shared" si="7"/>
        <v>#REF!</v>
      </c>
      <c r="F31" s="54" t="e">
        <f>SUM(사업검토!#REF!)</f>
        <v>#REF!</v>
      </c>
      <c r="G31" s="54" t="e">
        <f>SUM(사업검토!#REF!)</f>
        <v>#REF!</v>
      </c>
      <c r="H31" s="54" t="e">
        <f>SUM(사업검토!#REF!)</f>
        <v>#REF!</v>
      </c>
      <c r="I31" s="54" t="e">
        <f>SUM(사업검토!#REF!)</f>
        <v>#REF!</v>
      </c>
      <c r="J31" s="54" t="e">
        <f>SUM(사업검토!#REF!)</f>
        <v>#REF!</v>
      </c>
      <c r="K31" s="54"/>
      <c r="L31" s="54"/>
      <c r="M31" s="54"/>
      <c r="N31" s="54"/>
      <c r="O31" s="54"/>
      <c r="P31" s="54"/>
      <c r="Q31" s="60" t="s">
        <v>383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520"/>
      <c r="C32" s="1500"/>
      <c r="D32" s="52" t="s">
        <v>253</v>
      </c>
      <c r="E32" s="53" t="e">
        <f t="shared" si="7"/>
        <v>#REF!</v>
      </c>
      <c r="F32" s="54" t="e">
        <f t="shared" ref="F32:J32" si="8">F30+F31</f>
        <v>#REF!</v>
      </c>
      <c r="G32" s="54" t="e">
        <f t="shared" si="8"/>
        <v>#REF!</v>
      </c>
      <c r="H32" s="54" t="e">
        <f t="shared" si="8"/>
        <v>#REF!</v>
      </c>
      <c r="I32" s="54" t="e">
        <f t="shared" si="8"/>
        <v>#REF!</v>
      </c>
      <c r="J32" s="54" t="e">
        <f t="shared" si="8"/>
        <v>#REF!</v>
      </c>
      <c r="K32" s="54"/>
      <c r="L32" s="54"/>
      <c r="M32" s="54"/>
      <c r="N32" s="54"/>
      <c r="O32" s="54"/>
      <c r="P32" s="54"/>
      <c r="Q32" s="60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520"/>
      <c r="C33" s="1628" t="s">
        <v>384</v>
      </c>
      <c r="D33" s="48" t="s">
        <v>385</v>
      </c>
      <c r="E33" s="53" t="e">
        <f t="shared" si="7"/>
        <v>#REF!</v>
      </c>
      <c r="F33" s="54" t="e">
        <f>SUM(사업검토!#REF!)</f>
        <v>#REF!</v>
      </c>
      <c r="G33" s="54" t="e">
        <f>SUM(사업검토!#REF!)</f>
        <v>#REF!</v>
      </c>
      <c r="H33" s="54" t="e">
        <f>SUM(사업검토!#REF!)</f>
        <v>#REF!</v>
      </c>
      <c r="I33" s="54" t="e">
        <f>SUM(사업검토!#REF!)</f>
        <v>#REF!</v>
      </c>
      <c r="J33" s="54" t="e">
        <f>SUM(사업검토!#REF!)</f>
        <v>#REF!</v>
      </c>
      <c r="K33" s="54"/>
      <c r="L33" s="54"/>
      <c r="M33" s="54"/>
      <c r="N33" s="54"/>
      <c r="O33" s="54"/>
      <c r="P33" s="54"/>
      <c r="Q33" s="60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520"/>
      <c r="C34" s="1532"/>
      <c r="D34" s="48" t="s">
        <v>386</v>
      </c>
      <c r="E34" s="53" t="e">
        <f t="shared" si="7"/>
        <v>#REF!</v>
      </c>
      <c r="F34" s="54" t="e">
        <f>SUM(사업검토!#REF!)</f>
        <v>#REF!</v>
      </c>
      <c r="G34" s="54" t="e">
        <f>SUM(사업검토!#REF!)</f>
        <v>#REF!</v>
      </c>
      <c r="H34" s="54" t="e">
        <f>SUM(사업검토!#REF!)</f>
        <v>#REF!</v>
      </c>
      <c r="I34" s="54" t="e">
        <f>SUM(사업검토!#REF!)</f>
        <v>#REF!</v>
      </c>
      <c r="J34" s="54" t="e">
        <f>SUM(사업검토!#REF!)</f>
        <v>#REF!</v>
      </c>
      <c r="K34" s="54"/>
      <c r="L34" s="54"/>
      <c r="M34" s="54"/>
      <c r="N34" s="54"/>
      <c r="O34" s="54"/>
      <c r="P34" s="54"/>
      <c r="Q34" s="60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520"/>
      <c r="C35" s="1508"/>
      <c r="D35" s="52" t="s">
        <v>253</v>
      </c>
      <c r="E35" s="53" t="e">
        <f t="shared" si="7"/>
        <v>#REF!</v>
      </c>
      <c r="F35" s="54" t="e">
        <f t="shared" ref="F35:J35" si="9">F33+F34</f>
        <v>#REF!</v>
      </c>
      <c r="G35" s="54" t="e">
        <f t="shared" si="9"/>
        <v>#REF!</v>
      </c>
      <c r="H35" s="54" t="e">
        <f t="shared" si="9"/>
        <v>#REF!</v>
      </c>
      <c r="I35" s="54" t="e">
        <f t="shared" si="9"/>
        <v>#REF!</v>
      </c>
      <c r="J35" s="54" t="e">
        <f t="shared" si="9"/>
        <v>#REF!</v>
      </c>
      <c r="K35" s="54"/>
      <c r="L35" s="54"/>
      <c r="M35" s="54"/>
      <c r="N35" s="54"/>
      <c r="O35" s="54"/>
      <c r="P35" s="54"/>
      <c r="Q35" s="60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500"/>
      <c r="C36" s="56" t="s">
        <v>338</v>
      </c>
      <c r="D36" s="52"/>
      <c r="E36" s="53" t="e">
        <f t="shared" si="7"/>
        <v>#REF!</v>
      </c>
      <c r="F36" s="54" t="e">
        <f>SUM(사업검토!#REF!)</f>
        <v>#REF!</v>
      </c>
      <c r="G36" s="54" t="e">
        <f>SUM(사업검토!#REF!)</f>
        <v>#REF!</v>
      </c>
      <c r="H36" s="54" t="e">
        <f>SUM(사업검토!#REF!)</f>
        <v>#REF!</v>
      </c>
      <c r="I36" s="54" t="e">
        <f>SUM(사업검토!#REF!)</f>
        <v>#REF!</v>
      </c>
      <c r="J36" s="54"/>
      <c r="K36" s="54"/>
      <c r="L36" s="54"/>
      <c r="M36" s="54"/>
      <c r="N36" s="54"/>
      <c r="O36" s="54"/>
      <c r="P36" s="54"/>
      <c r="Q36" s="60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633" t="s">
        <v>387</v>
      </c>
      <c r="C37" s="1492"/>
      <c r="D37" s="1491"/>
      <c r="E37" s="53" t="e">
        <f t="shared" si="7"/>
        <v>#REF!</v>
      </c>
      <c r="F37" s="54" t="e">
        <f>SUM(사업검토!#REF!)</f>
        <v>#REF!</v>
      </c>
      <c r="G37" s="54" t="e">
        <f>SUM(사업검토!#REF!)</f>
        <v>#REF!</v>
      </c>
      <c r="H37" s="54" t="e">
        <f>SUM(사업검토!#REF!)</f>
        <v>#REF!</v>
      </c>
      <c r="I37" s="54" t="e">
        <f>SUM(사업검토!#REF!)</f>
        <v>#REF!</v>
      </c>
      <c r="J37" s="54" t="e">
        <f>SUM(사업검토!#REF!)</f>
        <v>#REF!</v>
      </c>
      <c r="K37" s="54"/>
      <c r="L37" s="54"/>
      <c r="M37" s="54"/>
      <c r="N37" s="54"/>
      <c r="O37" s="54"/>
      <c r="P37" s="54"/>
      <c r="Q37" s="60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>
      <c r="A38" s="1"/>
      <c r="B38" s="1629" t="s">
        <v>388</v>
      </c>
      <c r="C38" s="1492"/>
      <c r="D38" s="1491"/>
      <c r="E38" s="53" t="e">
        <f t="shared" si="7"/>
        <v>#REF!</v>
      </c>
      <c r="F38" s="53">
        <f>SUM(사업검토!AD146)</f>
        <v>-5305489.3781931996</v>
      </c>
      <c r="G38" s="53">
        <f>SUM(사업검토!AE146:AR146)</f>
        <v>-66750009.038849384</v>
      </c>
      <c r="H38" s="53">
        <f>SUM(사업검토!AS146:BD146)</f>
        <v>-61958015.741431005</v>
      </c>
      <c r="I38" s="53">
        <f>SUM(사업검토!BE146:BP146)</f>
        <v>270980188.34898698</v>
      </c>
      <c r="J38" s="53" t="e">
        <f>SUM(사업검토!#REF!)</f>
        <v>#REF!</v>
      </c>
      <c r="K38" s="61"/>
      <c r="L38" s="61"/>
      <c r="M38" s="61"/>
      <c r="N38" s="61"/>
      <c r="O38" s="61"/>
      <c r="P38" s="61"/>
      <c r="Q38" s="62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3" customHeight="1">
      <c r="A40" s="1"/>
      <c r="B40" s="1634" t="s">
        <v>354</v>
      </c>
      <c r="C40" s="1492"/>
      <c r="D40" s="1491"/>
      <c r="E40" s="63" t="e">
        <f>IRR(F38:N38)</f>
        <v>#VALUE!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>
      <c r="A42" s="64"/>
      <c r="B42" s="45" t="s">
        <v>389</v>
      </c>
      <c r="C42" s="65"/>
      <c r="D42" s="65"/>
      <c r="E42" s="65"/>
      <c r="F42" s="65"/>
      <c r="G42" s="65"/>
      <c r="H42" s="65"/>
      <c r="I42" s="65"/>
      <c r="J42" s="64"/>
      <c r="K42" s="64"/>
      <c r="L42" s="66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3.5" customHeight="1">
      <c r="A43" s="64"/>
      <c r="B43" s="65"/>
      <c r="C43" s="65"/>
      <c r="D43" s="65"/>
      <c r="E43" s="65"/>
      <c r="F43" s="65"/>
      <c r="G43" s="65"/>
      <c r="H43" s="65"/>
      <c r="I43" s="67"/>
      <c r="J43" s="64"/>
      <c r="K43" s="64"/>
      <c r="L43" s="66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3.5" customHeight="1">
      <c r="A44" s="64"/>
      <c r="B44" s="68" t="s">
        <v>390</v>
      </c>
      <c r="C44" s="65"/>
      <c r="D44" s="65"/>
      <c r="E44" s="65"/>
      <c r="F44" s="65"/>
      <c r="G44" s="65"/>
      <c r="H44" s="67"/>
      <c r="I44" s="68" t="s">
        <v>391</v>
      </c>
      <c r="J44" s="65"/>
      <c r="K44" s="65"/>
      <c r="L44" s="65"/>
      <c r="M44" s="65"/>
      <c r="N44" s="65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3.5" customHeight="1">
      <c r="A45" s="64"/>
      <c r="B45" s="65"/>
      <c r="C45" s="65"/>
      <c r="D45" s="65"/>
      <c r="E45" s="65"/>
      <c r="F45" s="65"/>
      <c r="G45" s="65"/>
      <c r="H45" s="67"/>
      <c r="I45" s="65"/>
      <c r="J45" s="65"/>
      <c r="K45" s="65"/>
      <c r="L45" s="65"/>
      <c r="M45" s="65"/>
      <c r="N45" s="65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3.5" customHeight="1">
      <c r="A46" s="64"/>
      <c r="B46" s="69" t="s">
        <v>392</v>
      </c>
      <c r="C46" s="70"/>
      <c r="D46" s="1399"/>
      <c r="E46" s="1400" t="s">
        <v>393</v>
      </c>
      <c r="F46" s="1399"/>
      <c r="G46" s="1401"/>
      <c r="H46" s="65"/>
      <c r="I46" s="69" t="s">
        <v>392</v>
      </c>
      <c r="J46" s="70"/>
      <c r="K46" s="1399"/>
      <c r="L46" s="1400" t="s">
        <v>373</v>
      </c>
      <c r="M46" s="1399"/>
      <c r="N46" s="1401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3.5" customHeight="1">
      <c r="A47" s="64"/>
      <c r="B47" s="1402" t="e">
        <f>$E$40</f>
        <v>#VALUE!</v>
      </c>
      <c r="C47" s="71">
        <f t="shared" ref="C47:D47" si="10">D47-500</f>
        <v>10000</v>
      </c>
      <c r="D47" s="71">
        <f t="shared" si="10"/>
        <v>10500</v>
      </c>
      <c r="E47" s="1403">
        <v>11000</v>
      </c>
      <c r="F47" s="71">
        <f t="shared" ref="F47:G47" si="11">E47+500</f>
        <v>11500</v>
      </c>
      <c r="G47" s="71">
        <f t="shared" si="11"/>
        <v>12000</v>
      </c>
      <c r="H47" s="65"/>
      <c r="I47" s="1402" t="e">
        <f>$E$40</f>
        <v>#VALUE!</v>
      </c>
      <c r="J47" s="71">
        <f t="shared" ref="J47:K47" si="12">K47-500</f>
        <v>4000</v>
      </c>
      <c r="K47" s="71">
        <f t="shared" si="12"/>
        <v>4500</v>
      </c>
      <c r="L47" s="1403">
        <v>5000</v>
      </c>
      <c r="M47" s="71">
        <f t="shared" ref="M47:N47" si="13">L47+500</f>
        <v>5500</v>
      </c>
      <c r="N47" s="71">
        <f t="shared" si="13"/>
        <v>6000</v>
      </c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3.5" customHeight="1">
      <c r="A48" s="64"/>
      <c r="B48" s="1404">
        <f t="shared" ref="B48:B49" si="14">B49-1000000</f>
        <v>15000000</v>
      </c>
      <c r="C48" s="1405"/>
      <c r="D48" s="72"/>
      <c r="E48" s="1406"/>
      <c r="F48" s="72"/>
      <c r="G48" s="1407"/>
      <c r="H48" s="65"/>
      <c r="I48" s="1404">
        <f t="shared" ref="I48:I49" si="15">I49-1000000</f>
        <v>15000000</v>
      </c>
      <c r="J48" s="1405"/>
      <c r="K48" s="72"/>
      <c r="L48" s="1406"/>
      <c r="M48" s="72"/>
      <c r="N48" s="1407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3.5" customHeight="1">
      <c r="A49" s="64"/>
      <c r="B49" s="1404">
        <f t="shared" si="14"/>
        <v>16000000</v>
      </c>
      <c r="C49" s="1408"/>
      <c r="D49" s="73"/>
      <c r="E49" s="1409"/>
      <c r="F49" s="73"/>
      <c r="G49" s="1410"/>
      <c r="H49" s="65"/>
      <c r="I49" s="1404">
        <f t="shared" si="15"/>
        <v>16000000</v>
      </c>
      <c r="J49" s="1408"/>
      <c r="K49" s="73"/>
      <c r="L49" s="1409"/>
      <c r="M49" s="73"/>
      <c r="N49" s="1410"/>
      <c r="O49" s="74"/>
      <c r="P49" s="7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3.5" customHeight="1">
      <c r="A50" s="64"/>
      <c r="B50" s="1404">
        <v>17000000</v>
      </c>
      <c r="C50" s="1408"/>
      <c r="D50" s="73"/>
      <c r="E50" s="1411"/>
      <c r="F50" s="73"/>
      <c r="G50" s="1410"/>
      <c r="H50" s="65"/>
      <c r="I50" s="1404">
        <v>17000000</v>
      </c>
      <c r="J50" s="1408"/>
      <c r="K50" s="73"/>
      <c r="L50" s="1411"/>
      <c r="M50" s="73"/>
      <c r="N50" s="1410"/>
      <c r="O50" s="74"/>
      <c r="P50" s="7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3.5" customHeight="1">
      <c r="A51" s="64"/>
      <c r="B51" s="1404">
        <f t="shared" ref="B51:B52" si="16">B50+1000000</f>
        <v>18000000</v>
      </c>
      <c r="C51" s="1408"/>
      <c r="D51" s="73"/>
      <c r="E51" s="1409"/>
      <c r="F51" s="73"/>
      <c r="G51" s="1410"/>
      <c r="H51" s="65"/>
      <c r="I51" s="1404">
        <f t="shared" ref="I51:I52" si="17">I50+1000000</f>
        <v>18000000</v>
      </c>
      <c r="J51" s="1408"/>
      <c r="K51" s="73"/>
      <c r="L51" s="1409"/>
      <c r="M51" s="73"/>
      <c r="N51" s="1410"/>
      <c r="O51" s="74"/>
      <c r="P51" s="7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3.5" customHeight="1">
      <c r="A52" s="64"/>
      <c r="B52" s="1404">
        <f t="shared" si="16"/>
        <v>19000000</v>
      </c>
      <c r="C52" s="1412"/>
      <c r="D52" s="75"/>
      <c r="E52" s="76"/>
      <c r="F52" s="75"/>
      <c r="G52" s="1413"/>
      <c r="H52" s="65"/>
      <c r="I52" s="1404">
        <f t="shared" si="17"/>
        <v>19000000</v>
      </c>
      <c r="J52" s="1412"/>
      <c r="K52" s="75"/>
      <c r="L52" s="76"/>
      <c r="M52" s="75"/>
      <c r="N52" s="1413"/>
      <c r="O52" s="74"/>
      <c r="P52" s="7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3.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33.75" customHeight="1">
      <c r="A54" s="1"/>
      <c r="B54" s="45" t="s">
        <v>394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77" t="s">
        <v>395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6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78" t="s">
        <v>396</v>
      </c>
      <c r="C57" s="78" t="s">
        <v>397</v>
      </c>
      <c r="D57" s="78" t="s">
        <v>398</v>
      </c>
      <c r="E57" s="79" t="s">
        <v>399</v>
      </c>
      <c r="F57" s="78" t="s">
        <v>400</v>
      </c>
      <c r="G57" s="80" t="s">
        <v>401</v>
      </c>
      <c r="H57" s="80" t="s">
        <v>402</v>
      </c>
      <c r="I57" s="78" t="s">
        <v>403</v>
      </c>
      <c r="J57" s="80" t="s">
        <v>331</v>
      </c>
      <c r="K57" s="80" t="s">
        <v>404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81" t="e">
        <f>#REF!</f>
        <v>#REF!</v>
      </c>
      <c r="C58" s="1414">
        <v>0.05</v>
      </c>
      <c r="D58" s="1414">
        <v>0.03</v>
      </c>
      <c r="E58" s="1415">
        <v>0.7</v>
      </c>
      <c r="F58" s="1416">
        <v>10000</v>
      </c>
      <c r="G58" s="1415">
        <v>0.3</v>
      </c>
      <c r="H58" s="1414">
        <v>0.05</v>
      </c>
      <c r="I58" s="1414">
        <v>0.12</v>
      </c>
      <c r="J58" s="1414">
        <v>6.5000000000000002E-2</v>
      </c>
      <c r="K58" s="1414">
        <v>5.2999999999999999E-2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hidden="1" customHeight="1">
      <c r="A59" s="1"/>
      <c r="B59" s="78"/>
      <c r="C59" s="78"/>
      <c r="D59" s="78"/>
      <c r="E59" s="79"/>
      <c r="F59" s="78"/>
      <c r="G59" s="80"/>
      <c r="H59" s="80"/>
      <c r="I59" s="78"/>
      <c r="J59" s="80"/>
      <c r="K59" s="8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hidden="1" customHeight="1">
      <c r="A60" s="1"/>
      <c r="B60" s="1414"/>
      <c r="C60" s="1414"/>
      <c r="D60" s="1414"/>
      <c r="E60" s="1415"/>
      <c r="F60" s="1416"/>
      <c r="G60" s="1415"/>
      <c r="H60" s="1414"/>
      <c r="I60" s="1414"/>
      <c r="J60" s="1414"/>
      <c r="K60" s="141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77"/>
      <c r="C61" s="1"/>
      <c r="D61" s="1"/>
      <c r="E61" s="1"/>
      <c r="F61" s="1"/>
      <c r="G61" s="1"/>
      <c r="H61" s="1"/>
      <c r="I61" s="1"/>
      <c r="J61" s="1"/>
      <c r="K61" s="1"/>
      <c r="L61" s="82"/>
      <c r="M61" s="82"/>
      <c r="N61" s="1"/>
      <c r="O61" s="1"/>
      <c r="P61" s="1"/>
      <c r="Q61" s="82" t="s">
        <v>405</v>
      </c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624" t="s">
        <v>406</v>
      </c>
      <c r="C62" s="1625"/>
      <c r="D62" s="1625"/>
      <c r="E62" s="1636"/>
      <c r="F62" s="48" t="s">
        <v>363</v>
      </c>
      <c r="G62" s="49">
        <v>1</v>
      </c>
      <c r="H62" s="49">
        <f t="shared" ref="H62:O62" si="18">G62+1</f>
        <v>2</v>
      </c>
      <c r="I62" s="49">
        <f t="shared" si="18"/>
        <v>3</v>
      </c>
      <c r="J62" s="49">
        <f t="shared" si="18"/>
        <v>4</v>
      </c>
      <c r="K62" s="49">
        <f t="shared" si="18"/>
        <v>5</v>
      </c>
      <c r="L62" s="49">
        <f t="shared" si="18"/>
        <v>6</v>
      </c>
      <c r="M62" s="49">
        <f t="shared" si="18"/>
        <v>7</v>
      </c>
      <c r="N62" s="49">
        <f t="shared" si="18"/>
        <v>8</v>
      </c>
      <c r="O62" s="49">
        <f t="shared" si="18"/>
        <v>9</v>
      </c>
      <c r="P62" s="49"/>
      <c r="Q62" s="1628" t="s">
        <v>35</v>
      </c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520"/>
      <c r="C63" s="1626"/>
      <c r="D63" s="1495"/>
      <c r="E63" s="1627"/>
      <c r="F63" s="1629" t="s">
        <v>364</v>
      </c>
      <c r="G63" s="1492"/>
      <c r="H63" s="1491"/>
      <c r="I63" s="1635" t="s">
        <v>407</v>
      </c>
      <c r="J63" s="1492"/>
      <c r="K63" s="1492"/>
      <c r="L63" s="1492"/>
      <c r="M63" s="1492"/>
      <c r="N63" s="83"/>
      <c r="O63" s="83"/>
      <c r="P63" s="83"/>
      <c r="Q63" s="1532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520"/>
      <c r="C64" s="1626"/>
      <c r="D64" s="1495"/>
      <c r="E64" s="1627"/>
      <c r="F64" s="1630">
        <v>39661</v>
      </c>
      <c r="G64" s="50">
        <f>F64+31</f>
        <v>39692</v>
      </c>
      <c r="H64" s="50">
        <f t="shared" ref="H64:O64" si="19">G64+365.25</f>
        <v>40057.25</v>
      </c>
      <c r="I64" s="50">
        <f t="shared" si="19"/>
        <v>40422.5</v>
      </c>
      <c r="J64" s="50">
        <f t="shared" si="19"/>
        <v>40787.75</v>
      </c>
      <c r="K64" s="50">
        <f t="shared" si="19"/>
        <v>41153</v>
      </c>
      <c r="L64" s="50">
        <f t="shared" si="19"/>
        <v>41518.25</v>
      </c>
      <c r="M64" s="50">
        <f t="shared" si="19"/>
        <v>41883.5</v>
      </c>
      <c r="N64" s="50">
        <f t="shared" si="19"/>
        <v>42248.75</v>
      </c>
      <c r="O64" s="50">
        <f t="shared" si="19"/>
        <v>42614</v>
      </c>
      <c r="P64" s="50"/>
      <c r="Q64" s="1508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500"/>
      <c r="C65" s="1578"/>
      <c r="D65" s="1578"/>
      <c r="E65" s="1501"/>
      <c r="F65" s="1508"/>
      <c r="G65" s="50">
        <f t="shared" ref="G65:O65" si="20">G64+364</f>
        <v>40056</v>
      </c>
      <c r="H65" s="50">
        <f t="shared" si="20"/>
        <v>40421.25</v>
      </c>
      <c r="I65" s="50">
        <f t="shared" si="20"/>
        <v>40786.5</v>
      </c>
      <c r="J65" s="50">
        <f t="shared" si="20"/>
        <v>41151.75</v>
      </c>
      <c r="K65" s="50">
        <f t="shared" si="20"/>
        <v>41517</v>
      </c>
      <c r="L65" s="50">
        <f t="shared" si="20"/>
        <v>41882.25</v>
      </c>
      <c r="M65" s="50">
        <f t="shared" si="20"/>
        <v>42247.5</v>
      </c>
      <c r="N65" s="50">
        <f t="shared" si="20"/>
        <v>42612.75</v>
      </c>
      <c r="O65" s="50">
        <f t="shared" si="20"/>
        <v>42978</v>
      </c>
      <c r="P65" s="50"/>
      <c r="Q65" s="48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624" t="s">
        <v>408</v>
      </c>
      <c r="C66" s="56" t="s">
        <v>409</v>
      </c>
      <c r="D66" s="52"/>
      <c r="E66" s="84" t="e">
        <f>#REF!</f>
        <v>#REF!</v>
      </c>
      <c r="F66" s="85">
        <f>F76*10</f>
        <v>650</v>
      </c>
      <c r="G66" s="85">
        <f t="shared" ref="G66:O66" si="21">F66*(1+$C$58)</f>
        <v>682.5</v>
      </c>
      <c r="H66" s="85">
        <f t="shared" si="21"/>
        <v>716.625</v>
      </c>
      <c r="I66" s="85">
        <f t="shared" si="21"/>
        <v>752.45625000000007</v>
      </c>
      <c r="J66" s="85">
        <f t="shared" si="21"/>
        <v>790.07906250000008</v>
      </c>
      <c r="K66" s="85">
        <f t="shared" si="21"/>
        <v>829.58301562500014</v>
      </c>
      <c r="L66" s="85">
        <f t="shared" si="21"/>
        <v>871.06216640625018</v>
      </c>
      <c r="M66" s="85">
        <f t="shared" si="21"/>
        <v>914.61527472656269</v>
      </c>
      <c r="N66" s="85">
        <f t="shared" si="21"/>
        <v>960.34603846289087</v>
      </c>
      <c r="O66" s="85">
        <f t="shared" si="21"/>
        <v>1008.3633403860355</v>
      </c>
      <c r="P66" s="85"/>
      <c r="Q66" s="86"/>
      <c r="R66" s="1"/>
      <c r="S66" s="1"/>
      <c r="T66" s="1"/>
      <c r="U66" s="1"/>
      <c r="V66" s="1"/>
      <c r="W66" s="1"/>
      <c r="X66" s="1"/>
      <c r="Y66" s="1"/>
      <c r="Z66" s="1"/>
    </row>
    <row r="67" spans="1:26" ht="13.5" hidden="1" customHeight="1">
      <c r="A67" s="1"/>
      <c r="B67" s="1520"/>
      <c r="C67" s="1628" t="s">
        <v>410</v>
      </c>
      <c r="D67" s="87" t="e">
        <f t="shared" ref="D67:E67" si="22">#REF!</f>
        <v>#REF!</v>
      </c>
      <c r="E67" s="88" t="e">
        <f t="shared" si="22"/>
        <v>#REF!</v>
      </c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90"/>
      <c r="R67" s="1"/>
      <c r="S67" s="1"/>
      <c r="T67" s="1"/>
      <c r="U67" s="1"/>
      <c r="V67" s="1"/>
      <c r="W67" s="1"/>
      <c r="X67" s="1"/>
      <c r="Y67" s="1"/>
      <c r="Z67" s="1"/>
    </row>
    <row r="68" spans="1:26" ht="13.5" hidden="1" customHeight="1">
      <c r="A68" s="1"/>
      <c r="B68" s="1520"/>
      <c r="C68" s="1532"/>
      <c r="D68" s="87" t="e">
        <f t="shared" ref="D68:E68" si="23">#REF!</f>
        <v>#REF!</v>
      </c>
      <c r="E68" s="88" t="e">
        <f t="shared" si="23"/>
        <v>#REF!</v>
      </c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90"/>
      <c r="R68" s="1"/>
      <c r="S68" s="1"/>
      <c r="T68" s="1"/>
      <c r="U68" s="1"/>
      <c r="V68" s="1"/>
      <c r="W68" s="1"/>
      <c r="X68" s="1"/>
      <c r="Y68" s="1"/>
      <c r="Z68" s="1"/>
    </row>
    <row r="69" spans="1:26" ht="13.5" hidden="1" customHeight="1">
      <c r="A69" s="1"/>
      <c r="B69" s="1520"/>
      <c r="C69" s="1532"/>
      <c r="D69" s="87" t="e">
        <f t="shared" ref="D69:E69" si="24">#REF!</f>
        <v>#REF!</v>
      </c>
      <c r="E69" s="88" t="e">
        <f t="shared" si="24"/>
        <v>#REF!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90"/>
      <c r="R69" s="1"/>
      <c r="S69" s="1"/>
      <c r="T69" s="1"/>
      <c r="U69" s="1"/>
      <c r="V69" s="1"/>
      <c r="W69" s="1"/>
      <c r="X69" s="1"/>
      <c r="Y69" s="1"/>
      <c r="Z69" s="1"/>
    </row>
    <row r="70" spans="1:26" ht="13.5" hidden="1" customHeight="1">
      <c r="A70" s="1"/>
      <c r="B70" s="1520"/>
      <c r="C70" s="1532"/>
      <c r="D70" s="87" t="e">
        <f t="shared" ref="D70:E70" si="25">#REF!</f>
        <v>#REF!</v>
      </c>
      <c r="E70" s="88" t="e">
        <f t="shared" si="25"/>
        <v>#REF!</v>
      </c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90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520"/>
      <c r="C71" s="1532"/>
      <c r="D71" s="87" t="e">
        <f t="shared" ref="D71:E71" si="26">#REF!</f>
        <v>#REF!</v>
      </c>
      <c r="E71" s="88" t="e">
        <f t="shared" si="26"/>
        <v>#REF!</v>
      </c>
      <c r="F71" s="89">
        <f t="shared" ref="F71:F72" si="27">F81*10</f>
        <v>1500</v>
      </c>
      <c r="G71" s="89">
        <f t="shared" ref="G71:O71" si="28">F71*(1+$C$58)</f>
        <v>1575</v>
      </c>
      <c r="H71" s="89">
        <f t="shared" si="28"/>
        <v>1653.75</v>
      </c>
      <c r="I71" s="89">
        <f t="shared" si="28"/>
        <v>1736.4375</v>
      </c>
      <c r="J71" s="89">
        <f t="shared" si="28"/>
        <v>1823.2593750000001</v>
      </c>
      <c r="K71" s="89">
        <f t="shared" si="28"/>
        <v>1914.4223437500002</v>
      </c>
      <c r="L71" s="89">
        <f t="shared" si="28"/>
        <v>2010.1434609375003</v>
      </c>
      <c r="M71" s="89">
        <f t="shared" si="28"/>
        <v>2110.6506339843754</v>
      </c>
      <c r="N71" s="89">
        <f t="shared" si="28"/>
        <v>2216.1831656835943</v>
      </c>
      <c r="O71" s="89">
        <f t="shared" si="28"/>
        <v>2326.9923239677742</v>
      </c>
      <c r="P71" s="89"/>
      <c r="Q71" s="90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520"/>
      <c r="C72" s="1532"/>
      <c r="D72" s="87" t="e">
        <f t="shared" ref="D72:E72" si="29">#REF!</f>
        <v>#REF!</v>
      </c>
      <c r="E72" s="88" t="e">
        <f t="shared" si="29"/>
        <v>#REF!</v>
      </c>
      <c r="F72" s="89">
        <f t="shared" si="27"/>
        <v>500</v>
      </c>
      <c r="G72" s="89">
        <f t="shared" ref="G72:O72" si="30">F72*(1+$C$58)</f>
        <v>525</v>
      </c>
      <c r="H72" s="89">
        <f t="shared" si="30"/>
        <v>551.25</v>
      </c>
      <c r="I72" s="89">
        <f t="shared" si="30"/>
        <v>578.8125</v>
      </c>
      <c r="J72" s="89">
        <f t="shared" si="30"/>
        <v>607.75312500000007</v>
      </c>
      <c r="K72" s="89">
        <f t="shared" si="30"/>
        <v>638.14078125000015</v>
      </c>
      <c r="L72" s="89">
        <f t="shared" si="30"/>
        <v>670.04782031250022</v>
      </c>
      <c r="M72" s="89">
        <f t="shared" si="30"/>
        <v>703.55021132812522</v>
      </c>
      <c r="N72" s="89">
        <f t="shared" si="30"/>
        <v>738.72772189453156</v>
      </c>
      <c r="O72" s="89">
        <f t="shared" si="30"/>
        <v>775.66410798925813</v>
      </c>
      <c r="P72" s="89"/>
      <c r="Q72" s="90"/>
      <c r="R72" s="1"/>
      <c r="S72" s="1"/>
      <c r="T72" s="1"/>
      <c r="U72" s="1"/>
      <c r="V72" s="1"/>
      <c r="W72" s="1"/>
      <c r="X72" s="1"/>
      <c r="Y72" s="1"/>
      <c r="Z72" s="1"/>
    </row>
    <row r="73" spans="1:26" ht="13.5" hidden="1" customHeight="1">
      <c r="A73" s="1"/>
      <c r="B73" s="1520"/>
      <c r="C73" s="1532"/>
      <c r="D73" s="87" t="e">
        <f t="shared" ref="D73:E73" si="31">#REF!</f>
        <v>#REF!</v>
      </c>
      <c r="E73" s="88" t="e">
        <f t="shared" si="31"/>
        <v>#REF!</v>
      </c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90"/>
      <c r="R73" s="1"/>
      <c r="S73" s="1"/>
      <c r="T73" s="1"/>
      <c r="U73" s="1"/>
      <c r="V73" s="1"/>
      <c r="W73" s="1"/>
      <c r="X73" s="1"/>
      <c r="Y73" s="1"/>
      <c r="Z73" s="1"/>
    </row>
    <row r="74" spans="1:26" ht="13.5" hidden="1" customHeight="1">
      <c r="A74" s="1"/>
      <c r="B74" s="1520"/>
      <c r="C74" s="1508"/>
      <c r="D74" s="87" t="e">
        <f t="shared" ref="D74:E74" si="32">#REF!</f>
        <v>#REF!</v>
      </c>
      <c r="E74" s="91" t="e">
        <f t="shared" si="32"/>
        <v>#REF!</v>
      </c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3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500"/>
      <c r="C75" s="94" t="s">
        <v>38</v>
      </c>
      <c r="D75" s="52"/>
      <c r="E75" s="95"/>
      <c r="F75" s="95" t="e">
        <f t="shared" ref="F75:O75" si="33">SUMPRODUCT($E66:$E74,F66:F74)</f>
        <v>#REF!</v>
      </c>
      <c r="G75" s="95" t="e">
        <f t="shared" si="33"/>
        <v>#REF!</v>
      </c>
      <c r="H75" s="95" t="e">
        <f t="shared" si="33"/>
        <v>#REF!</v>
      </c>
      <c r="I75" s="95" t="e">
        <f t="shared" si="33"/>
        <v>#REF!</v>
      </c>
      <c r="J75" s="95" t="e">
        <f t="shared" si="33"/>
        <v>#REF!</v>
      </c>
      <c r="K75" s="95" t="e">
        <f t="shared" si="33"/>
        <v>#REF!</v>
      </c>
      <c r="L75" s="95" t="e">
        <f t="shared" si="33"/>
        <v>#REF!</v>
      </c>
      <c r="M75" s="95" t="e">
        <f t="shared" si="33"/>
        <v>#REF!</v>
      </c>
      <c r="N75" s="95" t="e">
        <f t="shared" si="33"/>
        <v>#REF!</v>
      </c>
      <c r="O75" s="95" t="e">
        <f t="shared" si="33"/>
        <v>#REF!</v>
      </c>
      <c r="P75" s="95"/>
      <c r="Q75" s="96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624" t="s">
        <v>411</v>
      </c>
      <c r="C76" s="56" t="s">
        <v>409</v>
      </c>
      <c r="D76" s="52"/>
      <c r="E76" s="84" t="e">
        <f>E66</f>
        <v>#REF!</v>
      </c>
      <c r="F76" s="97">
        <v>65</v>
      </c>
      <c r="G76" s="85">
        <f t="shared" ref="G76:O76" si="34">F76*(1+$C$58)</f>
        <v>68.25</v>
      </c>
      <c r="H76" s="85">
        <f t="shared" si="34"/>
        <v>71.662500000000009</v>
      </c>
      <c r="I76" s="85">
        <f t="shared" si="34"/>
        <v>75.245625000000018</v>
      </c>
      <c r="J76" s="85">
        <f t="shared" si="34"/>
        <v>79.007906250000019</v>
      </c>
      <c r="K76" s="85">
        <f t="shared" si="34"/>
        <v>82.958301562500026</v>
      </c>
      <c r="L76" s="85">
        <f t="shared" si="34"/>
        <v>87.106216640625036</v>
      </c>
      <c r="M76" s="85">
        <f t="shared" si="34"/>
        <v>91.461527472656286</v>
      </c>
      <c r="N76" s="85">
        <f t="shared" si="34"/>
        <v>96.034603846289102</v>
      </c>
      <c r="O76" s="85">
        <f t="shared" si="34"/>
        <v>100.83633403860357</v>
      </c>
      <c r="P76" s="85"/>
      <c r="Q76" s="86"/>
      <c r="R76" s="1"/>
      <c r="S76" s="1"/>
      <c r="T76" s="1"/>
      <c r="U76" s="1"/>
      <c r="V76" s="1"/>
      <c r="W76" s="1"/>
      <c r="X76" s="1"/>
      <c r="Y76" s="1"/>
      <c r="Z76" s="1"/>
    </row>
    <row r="77" spans="1:26" ht="13.5" hidden="1" customHeight="1">
      <c r="A77" s="1"/>
      <c r="B77" s="1520"/>
      <c r="C77" s="1628" t="s">
        <v>410</v>
      </c>
      <c r="D77" s="98" t="e">
        <f t="shared" ref="D77:E77" si="35">D67</f>
        <v>#REF!</v>
      </c>
      <c r="E77" s="99" t="e">
        <f t="shared" si="35"/>
        <v>#REF!</v>
      </c>
      <c r="F77" s="100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90"/>
      <c r="R77" s="1"/>
      <c r="S77" s="1"/>
      <c r="T77" s="1"/>
      <c r="U77" s="1"/>
      <c r="V77" s="1"/>
      <c r="W77" s="1"/>
      <c r="X77" s="1"/>
      <c r="Y77" s="1"/>
      <c r="Z77" s="1"/>
    </row>
    <row r="78" spans="1:26" ht="13.5" hidden="1" customHeight="1">
      <c r="A78" s="1"/>
      <c r="B78" s="1520"/>
      <c r="C78" s="1532"/>
      <c r="D78" s="98" t="e">
        <f t="shared" ref="D78:E78" si="36">D68</f>
        <v>#REF!</v>
      </c>
      <c r="E78" s="99" t="e">
        <f t="shared" si="36"/>
        <v>#REF!</v>
      </c>
      <c r="F78" s="100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90"/>
      <c r="R78" s="1"/>
      <c r="S78" s="1"/>
      <c r="T78" s="1"/>
      <c r="U78" s="1"/>
      <c r="V78" s="1"/>
      <c r="W78" s="1"/>
      <c r="X78" s="1"/>
      <c r="Y78" s="1"/>
      <c r="Z78" s="1"/>
    </row>
    <row r="79" spans="1:26" ht="13.5" hidden="1" customHeight="1">
      <c r="A79" s="1"/>
      <c r="B79" s="1520"/>
      <c r="C79" s="1532"/>
      <c r="D79" s="98" t="e">
        <f t="shared" ref="D79:E79" si="37">D69</f>
        <v>#REF!</v>
      </c>
      <c r="E79" s="99" t="e">
        <f t="shared" si="37"/>
        <v>#REF!</v>
      </c>
      <c r="F79" s="100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90"/>
      <c r="R79" s="1"/>
      <c r="S79" s="1"/>
      <c r="T79" s="1"/>
      <c r="U79" s="1"/>
      <c r="V79" s="1"/>
      <c r="W79" s="1"/>
      <c r="X79" s="1"/>
      <c r="Y79" s="1"/>
      <c r="Z79" s="1"/>
    </row>
    <row r="80" spans="1:26" ht="13.5" hidden="1" customHeight="1">
      <c r="A80" s="1"/>
      <c r="B80" s="1520"/>
      <c r="C80" s="1532"/>
      <c r="D80" s="98" t="e">
        <f t="shared" ref="D80:E80" si="38">D70</f>
        <v>#REF!</v>
      </c>
      <c r="E80" s="99" t="e">
        <f t="shared" si="38"/>
        <v>#REF!</v>
      </c>
      <c r="F80" s="100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90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520"/>
      <c r="C81" s="1532"/>
      <c r="D81" s="98" t="e">
        <f t="shared" ref="D81:E81" si="39">D71</f>
        <v>#REF!</v>
      </c>
      <c r="E81" s="99" t="e">
        <f t="shared" si="39"/>
        <v>#REF!</v>
      </c>
      <c r="F81" s="101">
        <v>150</v>
      </c>
      <c r="G81" s="89">
        <f t="shared" ref="G81:O81" si="40">F81*(1+$C$58)</f>
        <v>157.5</v>
      </c>
      <c r="H81" s="89">
        <f t="shared" si="40"/>
        <v>165.375</v>
      </c>
      <c r="I81" s="89">
        <f t="shared" si="40"/>
        <v>173.64375000000001</v>
      </c>
      <c r="J81" s="89">
        <f t="shared" si="40"/>
        <v>182.32593750000001</v>
      </c>
      <c r="K81" s="89">
        <f t="shared" si="40"/>
        <v>191.44223437500003</v>
      </c>
      <c r="L81" s="89">
        <f t="shared" si="40"/>
        <v>201.01434609375005</v>
      </c>
      <c r="M81" s="89">
        <f t="shared" si="40"/>
        <v>211.06506339843756</v>
      </c>
      <c r="N81" s="89">
        <f t="shared" si="40"/>
        <v>221.61831656835943</v>
      </c>
      <c r="O81" s="89">
        <f t="shared" si="40"/>
        <v>232.6992323967774</v>
      </c>
      <c r="P81" s="89"/>
      <c r="Q81" s="90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520"/>
      <c r="C82" s="1532"/>
      <c r="D82" s="98" t="e">
        <f t="shared" ref="D82:E82" si="41">D72</f>
        <v>#REF!</v>
      </c>
      <c r="E82" s="99" t="e">
        <f t="shared" si="41"/>
        <v>#REF!</v>
      </c>
      <c r="F82" s="101">
        <v>50</v>
      </c>
      <c r="G82" s="89">
        <f t="shared" ref="G82:O82" si="42">F82*(1+$C$58)</f>
        <v>52.5</v>
      </c>
      <c r="H82" s="89">
        <f t="shared" si="42"/>
        <v>55.125</v>
      </c>
      <c r="I82" s="89">
        <f t="shared" si="42"/>
        <v>57.881250000000001</v>
      </c>
      <c r="J82" s="89">
        <f t="shared" si="42"/>
        <v>60.775312500000005</v>
      </c>
      <c r="K82" s="89">
        <f t="shared" si="42"/>
        <v>63.814078125000009</v>
      </c>
      <c r="L82" s="89">
        <f t="shared" si="42"/>
        <v>67.004782031250016</v>
      </c>
      <c r="M82" s="89">
        <f t="shared" si="42"/>
        <v>70.355021132812524</v>
      </c>
      <c r="N82" s="89">
        <f t="shared" si="42"/>
        <v>73.872772189453158</v>
      </c>
      <c r="O82" s="89">
        <f t="shared" si="42"/>
        <v>77.566410798925816</v>
      </c>
      <c r="P82" s="89"/>
      <c r="Q82" s="90"/>
      <c r="R82" s="1"/>
      <c r="S82" s="1"/>
      <c r="T82" s="1"/>
      <c r="U82" s="1"/>
      <c r="V82" s="1"/>
      <c r="W82" s="1"/>
      <c r="X82" s="1"/>
      <c r="Y82" s="1"/>
      <c r="Z82" s="1"/>
    </row>
    <row r="83" spans="1:26" ht="13.5" hidden="1" customHeight="1">
      <c r="A83" s="1"/>
      <c r="B83" s="1520"/>
      <c r="C83" s="1532"/>
      <c r="D83" s="98" t="e">
        <f t="shared" ref="D83:E83" si="43">D73</f>
        <v>#REF!</v>
      </c>
      <c r="E83" s="99" t="e">
        <f t="shared" si="43"/>
        <v>#REF!</v>
      </c>
      <c r="F83" s="100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90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>
      <c r="A84" s="1"/>
      <c r="B84" s="1520"/>
      <c r="C84" s="1532"/>
      <c r="D84" s="98" t="e">
        <f t="shared" ref="D84:E84" si="44">D74</f>
        <v>#REF!</v>
      </c>
      <c r="E84" s="102" t="e">
        <f t="shared" si="44"/>
        <v>#REF!</v>
      </c>
      <c r="F84" s="103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3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500"/>
      <c r="C85" s="94" t="s">
        <v>38</v>
      </c>
      <c r="D85" s="52"/>
      <c r="E85" s="95"/>
      <c r="F85" s="95" t="e">
        <f t="shared" ref="F85:O85" si="45">SUMPRODUCT($E76:$E84,F76:F84)</f>
        <v>#REF!</v>
      </c>
      <c r="G85" s="95" t="e">
        <f t="shared" si="45"/>
        <v>#REF!</v>
      </c>
      <c r="H85" s="95" t="e">
        <f t="shared" si="45"/>
        <v>#REF!</v>
      </c>
      <c r="I85" s="95" t="e">
        <f t="shared" si="45"/>
        <v>#REF!</v>
      </c>
      <c r="J85" s="95" t="e">
        <f t="shared" si="45"/>
        <v>#REF!</v>
      </c>
      <c r="K85" s="95" t="e">
        <f t="shared" si="45"/>
        <v>#REF!</v>
      </c>
      <c r="L85" s="95" t="e">
        <f t="shared" si="45"/>
        <v>#REF!</v>
      </c>
      <c r="M85" s="95" t="e">
        <f t="shared" si="45"/>
        <v>#REF!</v>
      </c>
      <c r="N85" s="95" t="e">
        <f t="shared" si="45"/>
        <v>#REF!</v>
      </c>
      <c r="O85" s="95" t="e">
        <f t="shared" si="45"/>
        <v>#REF!</v>
      </c>
      <c r="P85" s="95"/>
      <c r="Q85" s="96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624" t="s">
        <v>412</v>
      </c>
      <c r="C86" s="56" t="s">
        <v>409</v>
      </c>
      <c r="D86" s="52"/>
      <c r="E86" s="84" t="e">
        <f>E76</f>
        <v>#REF!</v>
      </c>
      <c r="F86" s="97">
        <v>27</v>
      </c>
      <c r="G86" s="85">
        <f t="shared" ref="G86:O86" si="46">F86*(1+$C$58)</f>
        <v>28.35</v>
      </c>
      <c r="H86" s="85">
        <f t="shared" si="46"/>
        <v>29.767500000000002</v>
      </c>
      <c r="I86" s="85">
        <f t="shared" si="46"/>
        <v>31.255875000000003</v>
      </c>
      <c r="J86" s="85">
        <f t="shared" si="46"/>
        <v>32.818668750000008</v>
      </c>
      <c r="K86" s="85">
        <f t="shared" si="46"/>
        <v>34.45960218750001</v>
      </c>
      <c r="L86" s="85">
        <f t="shared" si="46"/>
        <v>36.182582296875012</v>
      </c>
      <c r="M86" s="85">
        <f t="shared" si="46"/>
        <v>37.991711411718761</v>
      </c>
      <c r="N86" s="85">
        <f t="shared" si="46"/>
        <v>39.891296982304702</v>
      </c>
      <c r="O86" s="85">
        <f t="shared" si="46"/>
        <v>41.885861831419938</v>
      </c>
      <c r="P86" s="85"/>
      <c r="Q86" s="86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520"/>
      <c r="C87" s="56" t="s">
        <v>410</v>
      </c>
      <c r="D87" s="52"/>
      <c r="E87" s="91" t="e">
        <f>SUM(E77:E84)</f>
        <v>#REF!</v>
      </c>
      <c r="F87" s="104">
        <v>15</v>
      </c>
      <c r="G87" s="92">
        <f t="shared" ref="G87:O87" si="47">F87*(1+$C$58)</f>
        <v>15.75</v>
      </c>
      <c r="H87" s="92">
        <f t="shared" si="47"/>
        <v>16.537500000000001</v>
      </c>
      <c r="I87" s="92">
        <f t="shared" si="47"/>
        <v>17.364375000000003</v>
      </c>
      <c r="J87" s="92">
        <f t="shared" si="47"/>
        <v>18.232593750000003</v>
      </c>
      <c r="K87" s="92">
        <f t="shared" si="47"/>
        <v>19.144223437500003</v>
      </c>
      <c r="L87" s="92">
        <f t="shared" si="47"/>
        <v>20.101434609375005</v>
      </c>
      <c r="M87" s="92">
        <f t="shared" si="47"/>
        <v>21.106506339843754</v>
      </c>
      <c r="N87" s="92">
        <f t="shared" si="47"/>
        <v>22.161831656835943</v>
      </c>
      <c r="O87" s="92">
        <f t="shared" si="47"/>
        <v>23.269923239677741</v>
      </c>
      <c r="P87" s="92"/>
      <c r="Q87" s="93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500"/>
      <c r="C88" s="94" t="s">
        <v>38</v>
      </c>
      <c r="D88" s="52"/>
      <c r="E88" s="95"/>
      <c r="F88" s="1417" t="e">
        <f t="shared" ref="F88:O88" si="48">SUMPRODUCT($E86:$E87,F86:F87)</f>
        <v>#REF!</v>
      </c>
      <c r="G88" s="1417" t="e">
        <f t="shared" si="48"/>
        <v>#REF!</v>
      </c>
      <c r="H88" s="1417" t="e">
        <f t="shared" si="48"/>
        <v>#REF!</v>
      </c>
      <c r="I88" s="1417" t="e">
        <f t="shared" si="48"/>
        <v>#REF!</v>
      </c>
      <c r="J88" s="1417" t="e">
        <f t="shared" si="48"/>
        <v>#REF!</v>
      </c>
      <c r="K88" s="1417" t="e">
        <f t="shared" si="48"/>
        <v>#REF!</v>
      </c>
      <c r="L88" s="1417" t="e">
        <f t="shared" si="48"/>
        <v>#REF!</v>
      </c>
      <c r="M88" s="1417" t="e">
        <f t="shared" si="48"/>
        <v>#REF!</v>
      </c>
      <c r="N88" s="1417" t="e">
        <f t="shared" si="48"/>
        <v>#REF!</v>
      </c>
      <c r="O88" s="1417" t="e">
        <f t="shared" si="48"/>
        <v>#REF!</v>
      </c>
      <c r="P88" s="1418"/>
      <c r="Q88" s="96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632" t="s">
        <v>413</v>
      </c>
      <c r="C89" s="56" t="s">
        <v>409</v>
      </c>
      <c r="D89" s="52"/>
      <c r="E89" s="84" t="e">
        <f>E66</f>
        <v>#REF!</v>
      </c>
      <c r="F89" s="85">
        <f t="shared" ref="F89:F97" si="49">F76*12/$I$58+F66</f>
        <v>7150</v>
      </c>
      <c r="G89" s="85">
        <f t="shared" ref="G89:O89" si="50">F89*(1+$C$58)</f>
        <v>7507.5</v>
      </c>
      <c r="H89" s="85">
        <f t="shared" si="50"/>
        <v>7882.875</v>
      </c>
      <c r="I89" s="85">
        <f t="shared" si="50"/>
        <v>8277.0187500000011</v>
      </c>
      <c r="J89" s="85">
        <f t="shared" si="50"/>
        <v>8690.8696875000023</v>
      </c>
      <c r="K89" s="85">
        <f t="shared" si="50"/>
        <v>9125.4131718750032</v>
      </c>
      <c r="L89" s="85">
        <f t="shared" si="50"/>
        <v>9581.6838304687535</v>
      </c>
      <c r="M89" s="85">
        <f t="shared" si="50"/>
        <v>10060.768021992191</v>
      </c>
      <c r="N89" s="85">
        <f t="shared" si="50"/>
        <v>10563.806423091801</v>
      </c>
      <c r="O89" s="85">
        <f t="shared" si="50"/>
        <v>11091.996744246391</v>
      </c>
      <c r="P89" s="85"/>
      <c r="Q89" s="86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>
      <c r="A90" s="1"/>
      <c r="B90" s="1520"/>
      <c r="C90" s="1628" t="s">
        <v>410</v>
      </c>
      <c r="D90" s="98" t="e">
        <f t="shared" ref="D90:E90" si="51">D67</f>
        <v>#REF!</v>
      </c>
      <c r="E90" s="99" t="e">
        <f t="shared" si="51"/>
        <v>#REF!</v>
      </c>
      <c r="F90" s="89">
        <f t="shared" si="49"/>
        <v>0</v>
      </c>
      <c r="G90" s="89">
        <f t="shared" ref="G90:O90" si="52">F90*(1+$C$58)</f>
        <v>0</v>
      </c>
      <c r="H90" s="89">
        <f t="shared" si="52"/>
        <v>0</v>
      </c>
      <c r="I90" s="89">
        <f t="shared" si="52"/>
        <v>0</v>
      </c>
      <c r="J90" s="89">
        <f t="shared" si="52"/>
        <v>0</v>
      </c>
      <c r="K90" s="89">
        <f t="shared" si="52"/>
        <v>0</v>
      </c>
      <c r="L90" s="89">
        <f t="shared" si="52"/>
        <v>0</v>
      </c>
      <c r="M90" s="89">
        <f t="shared" si="52"/>
        <v>0</v>
      </c>
      <c r="N90" s="89">
        <f t="shared" si="52"/>
        <v>0</v>
      </c>
      <c r="O90" s="89">
        <f t="shared" si="52"/>
        <v>0</v>
      </c>
      <c r="P90" s="89"/>
      <c r="Q90" s="90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>
      <c r="A91" s="1"/>
      <c r="B91" s="1520"/>
      <c r="C91" s="1532"/>
      <c r="D91" s="98" t="e">
        <f t="shared" ref="D91:E91" si="53">D68</f>
        <v>#REF!</v>
      </c>
      <c r="E91" s="99" t="e">
        <f t="shared" si="53"/>
        <v>#REF!</v>
      </c>
      <c r="F91" s="89">
        <f t="shared" si="49"/>
        <v>0</v>
      </c>
      <c r="G91" s="89">
        <f t="shared" ref="G91:O91" si="54">F91*(1+$C$58)</f>
        <v>0</v>
      </c>
      <c r="H91" s="89">
        <f t="shared" si="54"/>
        <v>0</v>
      </c>
      <c r="I91" s="89">
        <f t="shared" si="54"/>
        <v>0</v>
      </c>
      <c r="J91" s="89">
        <f t="shared" si="54"/>
        <v>0</v>
      </c>
      <c r="K91" s="89">
        <f t="shared" si="54"/>
        <v>0</v>
      </c>
      <c r="L91" s="89">
        <f t="shared" si="54"/>
        <v>0</v>
      </c>
      <c r="M91" s="89">
        <f t="shared" si="54"/>
        <v>0</v>
      </c>
      <c r="N91" s="89">
        <f t="shared" si="54"/>
        <v>0</v>
      </c>
      <c r="O91" s="89">
        <f t="shared" si="54"/>
        <v>0</v>
      </c>
      <c r="P91" s="89"/>
      <c r="Q91" s="90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>
      <c r="A92" s="1"/>
      <c r="B92" s="1520"/>
      <c r="C92" s="1532"/>
      <c r="D92" s="98" t="e">
        <f t="shared" ref="D92:E92" si="55">D69</f>
        <v>#REF!</v>
      </c>
      <c r="E92" s="99" t="e">
        <f t="shared" si="55"/>
        <v>#REF!</v>
      </c>
      <c r="F92" s="89">
        <f t="shared" si="49"/>
        <v>0</v>
      </c>
      <c r="G92" s="89">
        <f t="shared" ref="G92:O92" si="56">F92*(1+$C$58)</f>
        <v>0</v>
      </c>
      <c r="H92" s="89">
        <f t="shared" si="56"/>
        <v>0</v>
      </c>
      <c r="I92" s="89">
        <f t="shared" si="56"/>
        <v>0</v>
      </c>
      <c r="J92" s="89">
        <f t="shared" si="56"/>
        <v>0</v>
      </c>
      <c r="K92" s="89">
        <f t="shared" si="56"/>
        <v>0</v>
      </c>
      <c r="L92" s="89">
        <f t="shared" si="56"/>
        <v>0</v>
      </c>
      <c r="M92" s="89">
        <f t="shared" si="56"/>
        <v>0</v>
      </c>
      <c r="N92" s="89">
        <f t="shared" si="56"/>
        <v>0</v>
      </c>
      <c r="O92" s="89">
        <f t="shared" si="56"/>
        <v>0</v>
      </c>
      <c r="P92" s="89"/>
      <c r="Q92" s="90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>
      <c r="A93" s="1"/>
      <c r="B93" s="1520"/>
      <c r="C93" s="1532"/>
      <c r="D93" s="98" t="e">
        <f t="shared" ref="D93:E93" si="57">D70</f>
        <v>#REF!</v>
      </c>
      <c r="E93" s="99" t="e">
        <f t="shared" si="57"/>
        <v>#REF!</v>
      </c>
      <c r="F93" s="89">
        <f t="shared" si="49"/>
        <v>0</v>
      </c>
      <c r="G93" s="89">
        <f t="shared" ref="G93:O93" si="58">F93*(1+$C$58)</f>
        <v>0</v>
      </c>
      <c r="H93" s="89">
        <f t="shared" si="58"/>
        <v>0</v>
      </c>
      <c r="I93" s="89">
        <f t="shared" si="58"/>
        <v>0</v>
      </c>
      <c r="J93" s="89">
        <f t="shared" si="58"/>
        <v>0</v>
      </c>
      <c r="K93" s="89">
        <f t="shared" si="58"/>
        <v>0</v>
      </c>
      <c r="L93" s="89">
        <f t="shared" si="58"/>
        <v>0</v>
      </c>
      <c r="M93" s="89">
        <f t="shared" si="58"/>
        <v>0</v>
      </c>
      <c r="N93" s="89">
        <f t="shared" si="58"/>
        <v>0</v>
      </c>
      <c r="O93" s="89">
        <f t="shared" si="58"/>
        <v>0</v>
      </c>
      <c r="P93" s="89"/>
      <c r="Q93" s="90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520"/>
      <c r="C94" s="1532"/>
      <c r="D94" s="98" t="e">
        <f t="shared" ref="D94:E94" si="59">D71</f>
        <v>#REF!</v>
      </c>
      <c r="E94" s="99" t="e">
        <f t="shared" si="59"/>
        <v>#REF!</v>
      </c>
      <c r="F94" s="89">
        <f t="shared" si="49"/>
        <v>16500</v>
      </c>
      <c r="G94" s="89">
        <f t="shared" ref="G94:O94" si="60">F94*(1+$C$58)</f>
        <v>17325</v>
      </c>
      <c r="H94" s="89">
        <f t="shared" si="60"/>
        <v>18191.25</v>
      </c>
      <c r="I94" s="89">
        <f t="shared" si="60"/>
        <v>19100.8125</v>
      </c>
      <c r="J94" s="89">
        <f t="shared" si="60"/>
        <v>20055.853125000001</v>
      </c>
      <c r="K94" s="89">
        <f t="shared" si="60"/>
        <v>21058.645781250001</v>
      </c>
      <c r="L94" s="89">
        <f t="shared" si="60"/>
        <v>22111.578070312502</v>
      </c>
      <c r="M94" s="89">
        <f t="shared" si="60"/>
        <v>23217.156973828129</v>
      </c>
      <c r="N94" s="89">
        <f t="shared" si="60"/>
        <v>24378.014822519537</v>
      </c>
      <c r="O94" s="89">
        <f t="shared" si="60"/>
        <v>25596.915563645514</v>
      </c>
      <c r="P94" s="89"/>
      <c r="Q94" s="90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520"/>
      <c r="C95" s="1532"/>
      <c r="D95" s="98" t="e">
        <f t="shared" ref="D95:E95" si="61">D72</f>
        <v>#REF!</v>
      </c>
      <c r="E95" s="99" t="e">
        <f t="shared" si="61"/>
        <v>#REF!</v>
      </c>
      <c r="F95" s="89">
        <f t="shared" si="49"/>
        <v>5500</v>
      </c>
      <c r="G95" s="89">
        <f t="shared" ref="G95:O95" si="62">F95*(1+$C$58)</f>
        <v>5775</v>
      </c>
      <c r="H95" s="89">
        <f t="shared" si="62"/>
        <v>6063.75</v>
      </c>
      <c r="I95" s="89">
        <f t="shared" si="62"/>
        <v>6366.9375</v>
      </c>
      <c r="J95" s="89">
        <f t="shared" si="62"/>
        <v>6685.2843750000002</v>
      </c>
      <c r="K95" s="89">
        <f t="shared" si="62"/>
        <v>7019.5485937500007</v>
      </c>
      <c r="L95" s="89">
        <f t="shared" si="62"/>
        <v>7370.526023437501</v>
      </c>
      <c r="M95" s="89">
        <f t="shared" si="62"/>
        <v>7739.0523246093762</v>
      </c>
      <c r="N95" s="89">
        <f t="shared" si="62"/>
        <v>8126.0049408398454</v>
      </c>
      <c r="O95" s="89">
        <f t="shared" si="62"/>
        <v>8532.3051878818387</v>
      </c>
      <c r="P95" s="89"/>
      <c r="Q95" s="90"/>
      <c r="R95" s="1"/>
      <c r="S95" s="1"/>
      <c r="T95" s="1"/>
      <c r="U95" s="1"/>
      <c r="V95" s="1"/>
      <c r="W95" s="1"/>
      <c r="X95" s="1"/>
      <c r="Y95" s="1"/>
      <c r="Z95" s="1"/>
    </row>
    <row r="96" spans="1:26" ht="13.5" hidden="1" customHeight="1">
      <c r="A96" s="1"/>
      <c r="B96" s="1520"/>
      <c r="C96" s="1532"/>
      <c r="D96" s="98" t="e">
        <f t="shared" ref="D96:E96" si="63">D73</f>
        <v>#REF!</v>
      </c>
      <c r="E96" s="99" t="e">
        <f t="shared" si="63"/>
        <v>#REF!</v>
      </c>
      <c r="F96" s="89">
        <f t="shared" si="49"/>
        <v>0</v>
      </c>
      <c r="G96" s="89">
        <f t="shared" ref="G96:O96" si="64">F96*(1+$C$58)</f>
        <v>0</v>
      </c>
      <c r="H96" s="89">
        <f t="shared" si="64"/>
        <v>0</v>
      </c>
      <c r="I96" s="89">
        <f t="shared" si="64"/>
        <v>0</v>
      </c>
      <c r="J96" s="89">
        <f t="shared" si="64"/>
        <v>0</v>
      </c>
      <c r="K96" s="89">
        <f t="shared" si="64"/>
        <v>0</v>
      </c>
      <c r="L96" s="89">
        <f t="shared" si="64"/>
        <v>0</v>
      </c>
      <c r="M96" s="89">
        <f t="shared" si="64"/>
        <v>0</v>
      </c>
      <c r="N96" s="89">
        <f t="shared" si="64"/>
        <v>0</v>
      </c>
      <c r="O96" s="89">
        <f t="shared" si="64"/>
        <v>0</v>
      </c>
      <c r="P96" s="89"/>
      <c r="Q96" s="90"/>
      <c r="R96" s="1"/>
      <c r="S96" s="1"/>
      <c r="T96" s="1"/>
      <c r="U96" s="1"/>
      <c r="V96" s="1"/>
      <c r="W96" s="1"/>
      <c r="X96" s="1"/>
      <c r="Y96" s="1"/>
      <c r="Z96" s="1"/>
    </row>
    <row r="97" spans="1:26" ht="13.5" hidden="1" customHeight="1">
      <c r="A97" s="1"/>
      <c r="B97" s="1520"/>
      <c r="C97" s="1532"/>
      <c r="D97" s="98" t="e">
        <f t="shared" ref="D97:E97" si="65">D74</f>
        <v>#REF!</v>
      </c>
      <c r="E97" s="102" t="e">
        <f t="shared" si="65"/>
        <v>#REF!</v>
      </c>
      <c r="F97" s="92">
        <f t="shared" si="49"/>
        <v>0</v>
      </c>
      <c r="G97" s="92">
        <f t="shared" ref="G97:O97" si="66">F97*(1+$C$58)</f>
        <v>0</v>
      </c>
      <c r="H97" s="92">
        <f t="shared" si="66"/>
        <v>0</v>
      </c>
      <c r="I97" s="92">
        <f t="shared" si="66"/>
        <v>0</v>
      </c>
      <c r="J97" s="92">
        <f t="shared" si="66"/>
        <v>0</v>
      </c>
      <c r="K97" s="92">
        <f t="shared" si="66"/>
        <v>0</v>
      </c>
      <c r="L97" s="92">
        <f t="shared" si="66"/>
        <v>0</v>
      </c>
      <c r="M97" s="92">
        <f t="shared" si="66"/>
        <v>0</v>
      </c>
      <c r="N97" s="92">
        <f t="shared" si="66"/>
        <v>0</v>
      </c>
      <c r="O97" s="92">
        <f t="shared" si="66"/>
        <v>0</v>
      </c>
      <c r="P97" s="92"/>
      <c r="Q97" s="93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500"/>
      <c r="C98" s="94" t="s">
        <v>38</v>
      </c>
      <c r="D98" s="52"/>
      <c r="E98" s="95"/>
      <c r="F98" s="95" t="e">
        <f t="shared" ref="F98:O98" si="67">SUMPRODUCT($E89:$E97,F89:F97)</f>
        <v>#REF!</v>
      </c>
      <c r="G98" s="95" t="e">
        <f t="shared" si="67"/>
        <v>#REF!</v>
      </c>
      <c r="H98" s="95" t="e">
        <f t="shared" si="67"/>
        <v>#REF!</v>
      </c>
      <c r="I98" s="95" t="e">
        <f t="shared" si="67"/>
        <v>#REF!</v>
      </c>
      <c r="J98" s="95" t="e">
        <f t="shared" si="67"/>
        <v>#REF!</v>
      </c>
      <c r="K98" s="95" t="e">
        <f t="shared" si="67"/>
        <v>#REF!</v>
      </c>
      <c r="L98" s="95" t="e">
        <f t="shared" si="67"/>
        <v>#REF!</v>
      </c>
      <c r="M98" s="95" t="e">
        <f t="shared" si="67"/>
        <v>#REF!</v>
      </c>
      <c r="N98" s="95" t="e">
        <f t="shared" si="67"/>
        <v>#REF!</v>
      </c>
      <c r="O98" s="95" t="e">
        <f t="shared" si="67"/>
        <v>#REF!</v>
      </c>
      <c r="P98" s="95"/>
      <c r="Q98" s="96"/>
      <c r="R98" s="1"/>
      <c r="S98" s="1"/>
      <c r="T98" s="1"/>
      <c r="U98" s="1"/>
      <c r="V98" s="1"/>
      <c r="W98" s="1"/>
      <c r="X98" s="1"/>
      <c r="Y98" s="1"/>
      <c r="Z98" s="1"/>
    </row>
    <row r="99" spans="1:26" ht="6" customHeight="1">
      <c r="A99" s="1"/>
      <c r="B99" s="1"/>
      <c r="C99" s="1"/>
      <c r="D99" s="1"/>
      <c r="E99" s="1"/>
      <c r="F99" s="1"/>
      <c r="G99" s="1"/>
      <c r="H99" s="1"/>
      <c r="I99" s="105"/>
      <c r="J99" s="105"/>
      <c r="K99" s="105"/>
      <c r="L99" s="105"/>
      <c r="M99" s="105"/>
      <c r="N99" s="105"/>
      <c r="O99" s="105"/>
      <c r="P99" s="105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.75" customHeight="1">
      <c r="A100" s="1"/>
      <c r="B100" s="1629" t="s">
        <v>414</v>
      </c>
      <c r="C100" s="1492"/>
      <c r="D100" s="1491"/>
      <c r="E100" s="84"/>
      <c r="F100" s="106"/>
      <c r="G100" s="106"/>
      <c r="H100" s="107">
        <v>0</v>
      </c>
      <c r="I100" s="107">
        <v>1</v>
      </c>
      <c r="J100" s="107">
        <v>12</v>
      </c>
      <c r="K100" s="107">
        <f t="shared" ref="K100:O100" si="68">J100</f>
        <v>12</v>
      </c>
      <c r="L100" s="107">
        <f t="shared" si="68"/>
        <v>12</v>
      </c>
      <c r="M100" s="107">
        <f t="shared" si="68"/>
        <v>12</v>
      </c>
      <c r="N100" s="107">
        <f t="shared" si="68"/>
        <v>12</v>
      </c>
      <c r="O100" s="107">
        <f t="shared" si="68"/>
        <v>12</v>
      </c>
      <c r="P100" s="107"/>
      <c r="Q100" s="108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639" t="s">
        <v>415</v>
      </c>
      <c r="C101" s="109" t="s">
        <v>409</v>
      </c>
      <c r="D101" s="52"/>
      <c r="E101" s="110" t="e">
        <f>E66</f>
        <v>#REF!</v>
      </c>
      <c r="F101" s="111"/>
      <c r="G101" s="111"/>
      <c r="H101" s="112" t="e">
        <f t="shared" ref="H101:O101" si="69">$E101*H$100</f>
        <v>#REF!</v>
      </c>
      <c r="I101" s="112" t="e">
        <f t="shared" si="69"/>
        <v>#REF!</v>
      </c>
      <c r="J101" s="112" t="e">
        <f t="shared" si="69"/>
        <v>#REF!</v>
      </c>
      <c r="K101" s="112" t="e">
        <f t="shared" si="69"/>
        <v>#REF!</v>
      </c>
      <c r="L101" s="112" t="e">
        <f t="shared" si="69"/>
        <v>#REF!</v>
      </c>
      <c r="M101" s="112" t="e">
        <f t="shared" si="69"/>
        <v>#REF!</v>
      </c>
      <c r="N101" s="112" t="e">
        <f t="shared" si="69"/>
        <v>#REF!</v>
      </c>
      <c r="O101" s="112" t="e">
        <f t="shared" si="69"/>
        <v>#REF!</v>
      </c>
      <c r="P101" s="112"/>
      <c r="Q101" s="113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hidden="1" customHeight="1">
      <c r="A102" s="1"/>
      <c r="B102" s="1520"/>
      <c r="C102" s="1628" t="s">
        <v>416</v>
      </c>
      <c r="D102" s="98" t="e">
        <f t="shared" ref="D102:E102" si="70">D67</f>
        <v>#REF!</v>
      </c>
      <c r="E102" s="99" t="e">
        <f t="shared" si="70"/>
        <v>#REF!</v>
      </c>
      <c r="F102" s="114"/>
      <c r="G102" s="114"/>
      <c r="H102" s="112" t="e">
        <f t="shared" ref="H102:O102" si="71">$E102*H$100</f>
        <v>#REF!</v>
      </c>
      <c r="I102" s="112" t="e">
        <f t="shared" si="71"/>
        <v>#REF!</v>
      </c>
      <c r="J102" s="112" t="e">
        <f t="shared" si="71"/>
        <v>#REF!</v>
      </c>
      <c r="K102" s="112" t="e">
        <f t="shared" si="71"/>
        <v>#REF!</v>
      </c>
      <c r="L102" s="112" t="e">
        <f t="shared" si="71"/>
        <v>#REF!</v>
      </c>
      <c r="M102" s="112" t="e">
        <f t="shared" si="71"/>
        <v>#REF!</v>
      </c>
      <c r="N102" s="112" t="e">
        <f t="shared" si="71"/>
        <v>#REF!</v>
      </c>
      <c r="O102" s="112" t="e">
        <f t="shared" si="71"/>
        <v>#REF!</v>
      </c>
      <c r="P102" s="115"/>
      <c r="Q102" s="116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hidden="1" customHeight="1">
      <c r="A103" s="1"/>
      <c r="B103" s="1520"/>
      <c r="C103" s="1532"/>
      <c r="D103" s="98" t="e">
        <f t="shared" ref="D103:E103" si="72">D68</f>
        <v>#REF!</v>
      </c>
      <c r="E103" s="99" t="e">
        <f t="shared" si="72"/>
        <v>#REF!</v>
      </c>
      <c r="F103" s="114"/>
      <c r="G103" s="114"/>
      <c r="H103" s="112" t="e">
        <f t="shared" ref="H103:O103" si="73">$E103*H$100</f>
        <v>#REF!</v>
      </c>
      <c r="I103" s="112" t="e">
        <f t="shared" si="73"/>
        <v>#REF!</v>
      </c>
      <c r="J103" s="112" t="e">
        <f t="shared" si="73"/>
        <v>#REF!</v>
      </c>
      <c r="K103" s="112" t="e">
        <f t="shared" si="73"/>
        <v>#REF!</v>
      </c>
      <c r="L103" s="112" t="e">
        <f t="shared" si="73"/>
        <v>#REF!</v>
      </c>
      <c r="M103" s="112" t="e">
        <f t="shared" si="73"/>
        <v>#REF!</v>
      </c>
      <c r="N103" s="112" t="e">
        <f t="shared" si="73"/>
        <v>#REF!</v>
      </c>
      <c r="O103" s="112" t="e">
        <f t="shared" si="73"/>
        <v>#REF!</v>
      </c>
      <c r="P103" s="115"/>
      <c r="Q103" s="116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hidden="1" customHeight="1">
      <c r="A104" s="1"/>
      <c r="B104" s="1520"/>
      <c r="C104" s="1532"/>
      <c r="D104" s="98" t="e">
        <f t="shared" ref="D104:E104" si="74">D69</f>
        <v>#REF!</v>
      </c>
      <c r="E104" s="99" t="e">
        <f t="shared" si="74"/>
        <v>#REF!</v>
      </c>
      <c r="F104" s="114"/>
      <c r="G104" s="114"/>
      <c r="H104" s="112" t="e">
        <f t="shared" ref="H104:O104" si="75">$E104*H$100</f>
        <v>#REF!</v>
      </c>
      <c r="I104" s="112" t="e">
        <f t="shared" si="75"/>
        <v>#REF!</v>
      </c>
      <c r="J104" s="112" t="e">
        <f t="shared" si="75"/>
        <v>#REF!</v>
      </c>
      <c r="K104" s="112" t="e">
        <f t="shared" si="75"/>
        <v>#REF!</v>
      </c>
      <c r="L104" s="112" t="e">
        <f t="shared" si="75"/>
        <v>#REF!</v>
      </c>
      <c r="M104" s="112" t="e">
        <f t="shared" si="75"/>
        <v>#REF!</v>
      </c>
      <c r="N104" s="112" t="e">
        <f t="shared" si="75"/>
        <v>#REF!</v>
      </c>
      <c r="O104" s="112" t="e">
        <f t="shared" si="75"/>
        <v>#REF!</v>
      </c>
      <c r="P104" s="115"/>
      <c r="Q104" s="116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hidden="1" customHeight="1">
      <c r="A105" s="1"/>
      <c r="B105" s="1520"/>
      <c r="C105" s="1532"/>
      <c r="D105" s="98" t="e">
        <f t="shared" ref="D105:E105" si="76">D70</f>
        <v>#REF!</v>
      </c>
      <c r="E105" s="99" t="e">
        <f t="shared" si="76"/>
        <v>#REF!</v>
      </c>
      <c r="F105" s="114"/>
      <c r="G105" s="114"/>
      <c r="H105" s="112" t="e">
        <f t="shared" ref="H105:O105" si="77">$E105*H$100</f>
        <v>#REF!</v>
      </c>
      <c r="I105" s="112" t="e">
        <f t="shared" si="77"/>
        <v>#REF!</v>
      </c>
      <c r="J105" s="112" t="e">
        <f t="shared" si="77"/>
        <v>#REF!</v>
      </c>
      <c r="K105" s="112" t="e">
        <f t="shared" si="77"/>
        <v>#REF!</v>
      </c>
      <c r="L105" s="112" t="e">
        <f t="shared" si="77"/>
        <v>#REF!</v>
      </c>
      <c r="M105" s="112" t="e">
        <f t="shared" si="77"/>
        <v>#REF!</v>
      </c>
      <c r="N105" s="112" t="e">
        <f t="shared" si="77"/>
        <v>#REF!</v>
      </c>
      <c r="O105" s="112" t="e">
        <f t="shared" si="77"/>
        <v>#REF!</v>
      </c>
      <c r="P105" s="115"/>
      <c r="Q105" s="116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520"/>
      <c r="C106" s="1532"/>
      <c r="D106" s="98" t="e">
        <f t="shared" ref="D106:E106" si="78">D71</f>
        <v>#REF!</v>
      </c>
      <c r="E106" s="99" t="e">
        <f t="shared" si="78"/>
        <v>#REF!</v>
      </c>
      <c r="F106" s="114"/>
      <c r="G106" s="114"/>
      <c r="H106" s="112" t="e">
        <f t="shared" ref="H106:O106" si="79">$E106*H$100</f>
        <v>#REF!</v>
      </c>
      <c r="I106" s="112" t="e">
        <f t="shared" si="79"/>
        <v>#REF!</v>
      </c>
      <c r="J106" s="112" t="e">
        <f t="shared" si="79"/>
        <v>#REF!</v>
      </c>
      <c r="K106" s="112" t="e">
        <f t="shared" si="79"/>
        <v>#REF!</v>
      </c>
      <c r="L106" s="112" t="e">
        <f t="shared" si="79"/>
        <v>#REF!</v>
      </c>
      <c r="M106" s="112" t="e">
        <f t="shared" si="79"/>
        <v>#REF!</v>
      </c>
      <c r="N106" s="112" t="e">
        <f t="shared" si="79"/>
        <v>#REF!</v>
      </c>
      <c r="O106" s="112" t="e">
        <f t="shared" si="79"/>
        <v>#REF!</v>
      </c>
      <c r="P106" s="115"/>
      <c r="Q106" s="116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520"/>
      <c r="C107" s="1532"/>
      <c r="D107" s="98" t="e">
        <f t="shared" ref="D107:E107" si="80">D72</f>
        <v>#REF!</v>
      </c>
      <c r="E107" s="99" t="e">
        <f t="shared" si="80"/>
        <v>#REF!</v>
      </c>
      <c r="F107" s="114"/>
      <c r="G107" s="114"/>
      <c r="H107" s="112" t="e">
        <f t="shared" ref="H107:O107" si="81">$E107*H$100</f>
        <v>#REF!</v>
      </c>
      <c r="I107" s="112" t="e">
        <f t="shared" si="81"/>
        <v>#REF!</v>
      </c>
      <c r="J107" s="112" t="e">
        <f t="shared" si="81"/>
        <v>#REF!</v>
      </c>
      <c r="K107" s="112" t="e">
        <f t="shared" si="81"/>
        <v>#REF!</v>
      </c>
      <c r="L107" s="112" t="e">
        <f t="shared" si="81"/>
        <v>#REF!</v>
      </c>
      <c r="M107" s="112" t="e">
        <f t="shared" si="81"/>
        <v>#REF!</v>
      </c>
      <c r="N107" s="112" t="e">
        <f t="shared" si="81"/>
        <v>#REF!</v>
      </c>
      <c r="O107" s="112" t="e">
        <f t="shared" si="81"/>
        <v>#REF!</v>
      </c>
      <c r="P107" s="115"/>
      <c r="Q107" s="116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520"/>
      <c r="C108" s="1532"/>
      <c r="D108" s="98" t="e">
        <f t="shared" ref="D108:E108" si="82">D73</f>
        <v>#REF!</v>
      </c>
      <c r="E108" s="99" t="e">
        <f t="shared" si="82"/>
        <v>#REF!</v>
      </c>
      <c r="F108" s="114"/>
      <c r="G108" s="114"/>
      <c r="H108" s="112" t="e">
        <f t="shared" ref="H108:O108" si="83">$E108*H$100</f>
        <v>#REF!</v>
      </c>
      <c r="I108" s="112" t="e">
        <f t="shared" si="83"/>
        <v>#REF!</v>
      </c>
      <c r="J108" s="112" t="e">
        <f t="shared" si="83"/>
        <v>#REF!</v>
      </c>
      <c r="K108" s="112" t="e">
        <f t="shared" si="83"/>
        <v>#REF!</v>
      </c>
      <c r="L108" s="112" t="e">
        <f t="shared" si="83"/>
        <v>#REF!</v>
      </c>
      <c r="M108" s="112" t="e">
        <f t="shared" si="83"/>
        <v>#REF!</v>
      </c>
      <c r="N108" s="112" t="e">
        <f t="shared" si="83"/>
        <v>#REF!</v>
      </c>
      <c r="O108" s="112" t="e">
        <f t="shared" si="83"/>
        <v>#REF!</v>
      </c>
      <c r="P108" s="115"/>
      <c r="Q108" s="116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520"/>
      <c r="C109" s="1508"/>
      <c r="D109" s="98" t="e">
        <f t="shared" ref="D109:E109" si="84">D74</f>
        <v>#REF!</v>
      </c>
      <c r="E109" s="102" t="e">
        <f t="shared" si="84"/>
        <v>#REF!</v>
      </c>
      <c r="F109" s="117"/>
      <c r="G109" s="117"/>
      <c r="H109" s="112" t="e">
        <f t="shared" ref="H109:O109" si="85">$E109*H$100</f>
        <v>#REF!</v>
      </c>
      <c r="I109" s="112" t="e">
        <f t="shared" si="85"/>
        <v>#REF!</v>
      </c>
      <c r="J109" s="112" t="e">
        <f t="shared" si="85"/>
        <v>#REF!</v>
      </c>
      <c r="K109" s="112" t="e">
        <f t="shared" si="85"/>
        <v>#REF!</v>
      </c>
      <c r="L109" s="112" t="e">
        <f t="shared" si="85"/>
        <v>#REF!</v>
      </c>
      <c r="M109" s="112" t="e">
        <f t="shared" si="85"/>
        <v>#REF!</v>
      </c>
      <c r="N109" s="112" t="e">
        <f t="shared" si="85"/>
        <v>#REF!</v>
      </c>
      <c r="O109" s="112" t="e">
        <f t="shared" si="85"/>
        <v>#REF!</v>
      </c>
      <c r="P109" s="118"/>
      <c r="Q109" s="119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500"/>
      <c r="C110" s="94" t="s">
        <v>38</v>
      </c>
      <c r="D110" s="120"/>
      <c r="E110" s="121" t="e">
        <f>SUM(E101:E109)</f>
        <v>#REF!</v>
      </c>
      <c r="F110" s="122"/>
      <c r="G110" s="122"/>
      <c r="H110" s="121" t="e">
        <f t="shared" ref="H110:O110" si="86">SUM(H101:H109)</f>
        <v>#REF!</v>
      </c>
      <c r="I110" s="121" t="e">
        <f t="shared" si="86"/>
        <v>#REF!</v>
      </c>
      <c r="J110" s="121" t="e">
        <f t="shared" si="86"/>
        <v>#REF!</v>
      </c>
      <c r="K110" s="121" t="e">
        <f t="shared" si="86"/>
        <v>#REF!</v>
      </c>
      <c r="L110" s="121" t="e">
        <f t="shared" si="86"/>
        <v>#REF!</v>
      </c>
      <c r="M110" s="121" t="e">
        <f t="shared" si="86"/>
        <v>#REF!</v>
      </c>
      <c r="N110" s="121" t="e">
        <f t="shared" si="86"/>
        <v>#REF!</v>
      </c>
      <c r="O110" s="121" t="e">
        <f t="shared" si="86"/>
        <v>#REF!</v>
      </c>
      <c r="P110" s="121"/>
      <c r="Q110" s="123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644" t="s">
        <v>417</v>
      </c>
      <c r="C111" s="1492"/>
      <c r="D111" s="1491"/>
      <c r="E111" s="121"/>
      <c r="F111" s="122"/>
      <c r="G111" s="122"/>
      <c r="H111" s="121" t="e">
        <f t="shared" ref="H111:O111" si="87">SUMPRODUCT(H76:H84,H101:H109)</f>
        <v>#REF!</v>
      </c>
      <c r="I111" s="121" t="e">
        <f t="shared" si="87"/>
        <v>#REF!</v>
      </c>
      <c r="J111" s="121" t="e">
        <f t="shared" si="87"/>
        <v>#REF!</v>
      </c>
      <c r="K111" s="121" t="e">
        <f t="shared" si="87"/>
        <v>#REF!</v>
      </c>
      <c r="L111" s="121" t="e">
        <f t="shared" si="87"/>
        <v>#REF!</v>
      </c>
      <c r="M111" s="121" t="e">
        <f t="shared" si="87"/>
        <v>#REF!</v>
      </c>
      <c r="N111" s="121" t="e">
        <f t="shared" si="87"/>
        <v>#REF!</v>
      </c>
      <c r="O111" s="121" t="e">
        <f t="shared" si="87"/>
        <v>#REF!</v>
      </c>
      <c r="P111" s="121"/>
      <c r="Q111" s="123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77" t="s">
        <v>418</v>
      </c>
      <c r="C113" s="1"/>
      <c r="D113" s="1"/>
      <c r="E113" s="1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77"/>
      <c r="C114" s="1"/>
      <c r="D114" s="1"/>
      <c r="E114" s="1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78" t="s">
        <v>419</v>
      </c>
      <c r="C115" s="78" t="s">
        <v>420</v>
      </c>
      <c r="D115" s="78" t="s">
        <v>337</v>
      </c>
      <c r="E115" s="65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25" t="e">
        <f>-E131</f>
        <v>#REF!</v>
      </c>
      <c r="C116" s="1416" t="e">
        <f>B116/B58</f>
        <v>#REF!</v>
      </c>
      <c r="D116" s="1414">
        <v>0.67733684305786457</v>
      </c>
      <c r="E116" s="126" t="e">
        <f>E157</f>
        <v>#VALUE!</v>
      </c>
      <c r="F116" s="124"/>
      <c r="G116" s="127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24"/>
      <c r="G117" s="124"/>
      <c r="H117" s="124"/>
      <c r="I117" s="124"/>
      <c r="J117" s="124"/>
      <c r="K117" s="124"/>
      <c r="L117" s="124"/>
      <c r="M117" s="124"/>
      <c r="N117" s="1"/>
      <c r="O117" s="1"/>
      <c r="P117" s="1"/>
      <c r="Q117" s="82" t="s">
        <v>405</v>
      </c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624" t="s">
        <v>362</v>
      </c>
      <c r="C118" s="1625"/>
      <c r="D118" s="1499"/>
      <c r="E118" s="1628" t="s">
        <v>34</v>
      </c>
      <c r="F118" s="52" t="s">
        <v>363</v>
      </c>
      <c r="G118" s="49">
        <v>1</v>
      </c>
      <c r="H118" s="49">
        <f t="shared" ref="H118:O118" si="88">G118+1</f>
        <v>2</v>
      </c>
      <c r="I118" s="49">
        <f t="shared" si="88"/>
        <v>3</v>
      </c>
      <c r="J118" s="49">
        <f t="shared" si="88"/>
        <v>4</v>
      </c>
      <c r="K118" s="49">
        <f t="shared" si="88"/>
        <v>5</v>
      </c>
      <c r="L118" s="49">
        <f t="shared" si="88"/>
        <v>6</v>
      </c>
      <c r="M118" s="49">
        <f t="shared" si="88"/>
        <v>7</v>
      </c>
      <c r="N118" s="49">
        <f t="shared" si="88"/>
        <v>8</v>
      </c>
      <c r="O118" s="49">
        <f t="shared" si="88"/>
        <v>9</v>
      </c>
      <c r="P118" s="128"/>
      <c r="Q118" s="1628" t="s">
        <v>35</v>
      </c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520"/>
      <c r="C119" s="1626"/>
      <c r="D119" s="1627"/>
      <c r="E119" s="1532"/>
      <c r="F119" s="1635" t="s">
        <v>364</v>
      </c>
      <c r="G119" s="1492"/>
      <c r="H119" s="1491"/>
      <c r="I119" s="1635" t="s">
        <v>407</v>
      </c>
      <c r="J119" s="1492"/>
      <c r="K119" s="1492"/>
      <c r="L119" s="1492"/>
      <c r="M119" s="1492"/>
      <c r="N119" s="83"/>
      <c r="O119" s="83"/>
      <c r="P119" s="56"/>
      <c r="Q119" s="1532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520"/>
      <c r="C120" s="1626"/>
      <c r="D120" s="1627"/>
      <c r="E120" s="1532"/>
      <c r="F120" s="1638">
        <v>39661</v>
      </c>
      <c r="G120" s="50">
        <f>F120+31</f>
        <v>39692</v>
      </c>
      <c r="H120" s="50">
        <f t="shared" ref="H120:O120" si="89">G120+365.25</f>
        <v>40057.25</v>
      </c>
      <c r="I120" s="50">
        <f t="shared" si="89"/>
        <v>40422.5</v>
      </c>
      <c r="J120" s="50">
        <f t="shared" si="89"/>
        <v>40787.75</v>
      </c>
      <c r="K120" s="50">
        <f t="shared" si="89"/>
        <v>41153</v>
      </c>
      <c r="L120" s="50">
        <f t="shared" si="89"/>
        <v>41518.25</v>
      </c>
      <c r="M120" s="50">
        <f t="shared" si="89"/>
        <v>41883.5</v>
      </c>
      <c r="N120" s="50">
        <f t="shared" si="89"/>
        <v>42248.75</v>
      </c>
      <c r="O120" s="50">
        <f t="shared" si="89"/>
        <v>42614</v>
      </c>
      <c r="P120" s="129"/>
      <c r="Q120" s="1508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645"/>
      <c r="C121" s="1646"/>
      <c r="D121" s="1647"/>
      <c r="E121" s="1637"/>
      <c r="F121" s="1501"/>
      <c r="G121" s="50">
        <f t="shared" ref="G121:O121" si="90">G120+364</f>
        <v>40056</v>
      </c>
      <c r="H121" s="50">
        <f t="shared" si="90"/>
        <v>40421.25</v>
      </c>
      <c r="I121" s="50">
        <f t="shared" si="90"/>
        <v>40786.5</v>
      </c>
      <c r="J121" s="50">
        <f t="shared" si="90"/>
        <v>41151.75</v>
      </c>
      <c r="K121" s="50">
        <f t="shared" si="90"/>
        <v>41517</v>
      </c>
      <c r="L121" s="50">
        <f t="shared" si="90"/>
        <v>41882.25</v>
      </c>
      <c r="M121" s="50">
        <f t="shared" si="90"/>
        <v>42247.5</v>
      </c>
      <c r="N121" s="50">
        <f t="shared" si="90"/>
        <v>42612.75</v>
      </c>
      <c r="O121" s="50">
        <f t="shared" si="90"/>
        <v>42978</v>
      </c>
      <c r="P121" s="129"/>
      <c r="Q121" s="130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648" t="s">
        <v>421</v>
      </c>
      <c r="C122" s="1419" t="s">
        <v>371</v>
      </c>
      <c r="D122" s="1420"/>
      <c r="E122" s="1421" t="e">
        <f t="shared" ref="E122:E126" si="91">SUM(F122:M122)</f>
        <v>#REF!</v>
      </c>
      <c r="F122" s="131">
        <f t="shared" ref="F122:J122" si="92">F20</f>
        <v>0</v>
      </c>
      <c r="G122" s="132">
        <f t="shared" si="92"/>
        <v>0</v>
      </c>
      <c r="H122" s="132">
        <f t="shared" si="92"/>
        <v>0</v>
      </c>
      <c r="I122" s="132">
        <f t="shared" si="92"/>
        <v>0</v>
      </c>
      <c r="J122" s="132" t="e">
        <f t="shared" si="92"/>
        <v>#REF!</v>
      </c>
      <c r="K122" s="132"/>
      <c r="L122" s="132"/>
      <c r="M122" s="132"/>
      <c r="N122" s="132"/>
      <c r="O122" s="132"/>
      <c r="P122" s="1422"/>
      <c r="Q122" s="133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532"/>
      <c r="C123" s="134" t="s">
        <v>373</v>
      </c>
      <c r="D123" s="135"/>
      <c r="E123" s="136" t="e">
        <f t="shared" si="91"/>
        <v>#REF!</v>
      </c>
      <c r="F123" s="1423">
        <f t="shared" ref="F123:J123" si="93">F21</f>
        <v>-2211699.2865000004</v>
      </c>
      <c r="G123" s="137">
        <f t="shared" si="93"/>
        <v>-198455880.79449999</v>
      </c>
      <c r="H123" s="137">
        <f t="shared" si="93"/>
        <v>-196104003.403</v>
      </c>
      <c r="I123" s="137">
        <f t="shared" si="93"/>
        <v>-77689831.237500012</v>
      </c>
      <c r="J123" s="137" t="e">
        <f t="shared" si="93"/>
        <v>#REF!</v>
      </c>
      <c r="K123" s="137"/>
      <c r="L123" s="137"/>
      <c r="M123" s="137"/>
      <c r="N123" s="137"/>
      <c r="O123" s="137"/>
      <c r="P123" s="1424"/>
      <c r="Q123" s="138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532"/>
      <c r="C124" s="134" t="s">
        <v>374</v>
      </c>
      <c r="D124" s="135"/>
      <c r="E124" s="136" t="e">
        <f t="shared" si="91"/>
        <v>#REF!</v>
      </c>
      <c r="F124" s="1423">
        <f t="shared" ref="F124:J124" si="94">F22</f>
        <v>-421492.20442602277</v>
      </c>
      <c r="G124" s="137">
        <f t="shared" si="94"/>
        <v>-8492689.6569388211</v>
      </c>
      <c r="H124" s="137">
        <f t="shared" si="94"/>
        <v>-7649705.2480867757</v>
      </c>
      <c r="I124" s="137">
        <f t="shared" si="94"/>
        <v>-3884374.8885476366</v>
      </c>
      <c r="J124" s="137" t="e">
        <f t="shared" si="94"/>
        <v>#REF!</v>
      </c>
      <c r="K124" s="137"/>
      <c r="L124" s="137"/>
      <c r="M124" s="137"/>
      <c r="N124" s="137"/>
      <c r="O124" s="137"/>
      <c r="P124" s="1424"/>
      <c r="Q124" s="138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532"/>
      <c r="C125" s="134" t="s">
        <v>375</v>
      </c>
      <c r="D125" s="135"/>
      <c r="E125" s="136" t="e">
        <f t="shared" si="91"/>
        <v>#REF!</v>
      </c>
      <c r="F125" s="1423">
        <f t="shared" ref="F125:J125" si="95">F23</f>
        <v>-170000</v>
      </c>
      <c r="G125" s="137">
        <f t="shared" si="95"/>
        <v>-600733.06007599994</v>
      </c>
      <c r="H125" s="137">
        <f t="shared" si="95"/>
        <v>-430733.06007599999</v>
      </c>
      <c r="I125" s="137">
        <f t="shared" si="95"/>
        <v>-1076832.65019</v>
      </c>
      <c r="J125" s="137" t="e">
        <f t="shared" si="95"/>
        <v>#REF!</v>
      </c>
      <c r="K125" s="137"/>
      <c r="L125" s="137"/>
      <c r="M125" s="137"/>
      <c r="N125" s="137"/>
      <c r="O125" s="137"/>
      <c r="P125" s="1424"/>
      <c r="Q125" s="138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532"/>
      <c r="C126" s="134" t="s">
        <v>376</v>
      </c>
      <c r="D126" s="135"/>
      <c r="E126" s="136" t="e">
        <f t="shared" si="91"/>
        <v>#REF!</v>
      </c>
      <c r="F126" s="1423">
        <f t="shared" ref="F126:J126" si="96">F24</f>
        <v>-532730.49163856287</v>
      </c>
      <c r="G126" s="137">
        <f t="shared" si="96"/>
        <v>-7458226.8829398779</v>
      </c>
      <c r="H126" s="137">
        <f t="shared" si="96"/>
        <v>-25880836.593805969</v>
      </c>
      <c r="I126" s="137">
        <f t="shared" si="96"/>
        <v>-3196382.9498313768</v>
      </c>
      <c r="J126" s="137" t="e">
        <f t="shared" si="96"/>
        <v>#REF!</v>
      </c>
      <c r="K126" s="137"/>
      <c r="L126" s="137"/>
      <c r="M126" s="137"/>
      <c r="N126" s="137"/>
      <c r="O126" s="137"/>
      <c r="P126" s="1424"/>
      <c r="Q126" s="138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532"/>
      <c r="C127" s="134" t="s">
        <v>377</v>
      </c>
      <c r="D127" s="135"/>
      <c r="E127" s="136" t="e">
        <f t="shared" ref="E127:E130" si="97">SUM(F127:N127)</f>
        <v>#REF!</v>
      </c>
      <c r="F127" s="1423">
        <f t="shared" ref="F127:J127" si="98">F25</f>
        <v>0</v>
      </c>
      <c r="G127" s="137">
        <f t="shared" si="98"/>
        <v>-10000000</v>
      </c>
      <c r="H127" s="137">
        <f t="shared" si="98"/>
        <v>0</v>
      </c>
      <c r="I127" s="137">
        <f t="shared" si="98"/>
        <v>0</v>
      </c>
      <c r="J127" s="137" t="e">
        <f t="shared" si="98"/>
        <v>#REF!</v>
      </c>
      <c r="K127" s="137"/>
      <c r="L127" s="137"/>
      <c r="M127" s="137"/>
      <c r="N127" s="137"/>
      <c r="O127" s="137"/>
      <c r="P127" s="1424"/>
      <c r="Q127" s="138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532"/>
      <c r="C128" s="134" t="s">
        <v>366</v>
      </c>
      <c r="D128" s="135"/>
      <c r="E128" s="136" t="e">
        <f t="shared" si="97"/>
        <v>#REF!</v>
      </c>
      <c r="F128" s="1423">
        <f t="shared" ref="F128:J128" si="99">F26</f>
        <v>-3335921.9825645862</v>
      </c>
      <c r="G128" s="137">
        <f t="shared" si="99"/>
        <v>-225007530.39445472</v>
      </c>
      <c r="H128" s="137">
        <f t="shared" si="99"/>
        <v>-230065278.30496877</v>
      </c>
      <c r="I128" s="137">
        <f t="shared" si="99"/>
        <v>-85847421.726069033</v>
      </c>
      <c r="J128" s="137" t="e">
        <f t="shared" si="99"/>
        <v>#REF!</v>
      </c>
      <c r="K128" s="137"/>
      <c r="L128" s="137"/>
      <c r="M128" s="137"/>
      <c r="N128" s="137"/>
      <c r="O128" s="137"/>
      <c r="P128" s="1424"/>
      <c r="Q128" s="138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532"/>
      <c r="C129" s="134" t="s">
        <v>295</v>
      </c>
      <c r="D129" s="135"/>
      <c r="E129" s="136" t="e">
        <f t="shared" si="97"/>
        <v>#REF!</v>
      </c>
      <c r="F129" s="1423">
        <f t="shared" ref="F129:J129" si="100">F27</f>
        <v>1969567.3956286137</v>
      </c>
      <c r="G129" s="137">
        <f t="shared" si="100"/>
        <v>23607291.465168778</v>
      </c>
      <c r="H129" s="137">
        <f t="shared" si="100"/>
        <v>13757550.257236391</v>
      </c>
      <c r="I129" s="137">
        <f t="shared" si="100"/>
        <v>3181786.6118314378</v>
      </c>
      <c r="J129" s="137" t="e">
        <f t="shared" si="100"/>
        <v>#REF!</v>
      </c>
      <c r="K129" s="137"/>
      <c r="L129" s="137"/>
      <c r="M129" s="137"/>
      <c r="N129" s="137"/>
      <c r="O129" s="137"/>
      <c r="P129" s="1424"/>
      <c r="Q129" s="138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532"/>
      <c r="C130" s="139" t="s">
        <v>378</v>
      </c>
      <c r="D130" s="140"/>
      <c r="E130" s="141" t="e">
        <f t="shared" si="97"/>
        <v>#REF!</v>
      </c>
      <c r="F130" s="1425" t="e">
        <f t="shared" ref="F130:J130" si="101">F28</f>
        <v>#REF!</v>
      </c>
      <c r="G130" s="142" t="e">
        <f t="shared" si="101"/>
        <v>#REF!</v>
      </c>
      <c r="H130" s="142" t="e">
        <f t="shared" si="101"/>
        <v>#REF!</v>
      </c>
      <c r="I130" s="142" t="e">
        <f t="shared" si="101"/>
        <v>#REF!</v>
      </c>
      <c r="J130" s="142" t="e">
        <f t="shared" si="101"/>
        <v>#REF!</v>
      </c>
      <c r="K130" s="142"/>
      <c r="L130" s="142"/>
      <c r="M130" s="142"/>
      <c r="N130" s="142"/>
      <c r="O130" s="142"/>
      <c r="P130" s="1426"/>
      <c r="Q130" s="143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9.5" customHeight="1">
      <c r="A131" s="1"/>
      <c r="B131" s="1508"/>
      <c r="C131" s="56" t="s">
        <v>379</v>
      </c>
      <c r="D131" s="52"/>
      <c r="E131" s="53" t="e">
        <f>E128+E129+E130</f>
        <v>#REF!</v>
      </c>
      <c r="F131" s="144" t="e">
        <f t="shared" ref="F131:J131" si="102">F29</f>
        <v>#REF!</v>
      </c>
      <c r="G131" s="53" t="e">
        <f t="shared" si="102"/>
        <v>#REF!</v>
      </c>
      <c r="H131" s="53" t="e">
        <f t="shared" si="102"/>
        <v>#REF!</v>
      </c>
      <c r="I131" s="53" t="e">
        <f t="shared" si="102"/>
        <v>#REF!</v>
      </c>
      <c r="J131" s="53" t="e">
        <f t="shared" si="102"/>
        <v>#REF!</v>
      </c>
      <c r="K131" s="61"/>
      <c r="L131" s="61"/>
      <c r="M131" s="61"/>
      <c r="N131" s="61"/>
      <c r="O131" s="61"/>
      <c r="P131" s="145"/>
      <c r="Q131" s="62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9.5" customHeight="1">
      <c r="A132" s="1"/>
      <c r="B132" s="1632" t="s">
        <v>422</v>
      </c>
      <c r="C132" s="56" t="s">
        <v>423</v>
      </c>
      <c r="D132" s="146"/>
      <c r="E132" s="53" t="e">
        <f>-$E$131*$D$116</f>
        <v>#REF!</v>
      </c>
      <c r="F132" s="1427" t="e">
        <f t="shared" ref="F132:I132" si="103">F32+F35+F36</f>
        <v>#REF!</v>
      </c>
      <c r="G132" s="147" t="e">
        <f t="shared" si="103"/>
        <v>#REF!</v>
      </c>
      <c r="H132" s="147" t="e">
        <f t="shared" si="103"/>
        <v>#REF!</v>
      </c>
      <c r="I132" s="53" t="e">
        <f t="shared" si="103"/>
        <v>#REF!</v>
      </c>
      <c r="J132" s="61"/>
      <c r="K132" s="61"/>
      <c r="L132" s="148"/>
      <c r="M132" s="148"/>
      <c r="N132" s="148"/>
      <c r="O132" s="148"/>
      <c r="P132" s="149"/>
      <c r="Q132" s="150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9.5" customHeight="1">
      <c r="A133" s="1"/>
      <c r="B133" s="1500"/>
      <c r="C133" s="56" t="s">
        <v>424</v>
      </c>
      <c r="D133" s="151"/>
      <c r="E133" s="53"/>
      <c r="F133" s="1427"/>
      <c r="G133" s="147"/>
      <c r="H133" s="147"/>
      <c r="I133" s="147" t="e">
        <f>-$E$131*$D$116</f>
        <v>#REF!</v>
      </c>
      <c r="J133" s="61"/>
      <c r="K133" s="61"/>
      <c r="L133" s="148"/>
      <c r="M133" s="148"/>
      <c r="N133" s="148"/>
      <c r="O133" s="148"/>
      <c r="P133" s="149"/>
      <c r="Q133" s="150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9.5" customHeight="1">
      <c r="A134" s="1"/>
      <c r="B134" s="1633" t="s">
        <v>425</v>
      </c>
      <c r="C134" s="1492"/>
      <c r="D134" s="1491"/>
      <c r="E134" s="1421" t="e">
        <f>SUM(F134:N134)</f>
        <v>#REF!</v>
      </c>
      <c r="F134" s="1427" t="e">
        <f t="shared" ref="F134:I134" si="104">SUM(F131:F133)</f>
        <v>#REF!</v>
      </c>
      <c r="G134" s="147" t="e">
        <f t="shared" si="104"/>
        <v>#REF!</v>
      </c>
      <c r="H134" s="147" t="e">
        <f t="shared" si="104"/>
        <v>#REF!</v>
      </c>
      <c r="I134" s="147" t="e">
        <f t="shared" si="104"/>
        <v>#REF!</v>
      </c>
      <c r="J134" s="61"/>
      <c r="K134" s="61"/>
      <c r="L134" s="148"/>
      <c r="M134" s="148"/>
      <c r="N134" s="148"/>
      <c r="O134" s="148"/>
      <c r="P134" s="149"/>
      <c r="Q134" s="150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52"/>
      <c r="C135" s="153" t="s">
        <v>426</v>
      </c>
      <c r="D135" s="154"/>
      <c r="E135" s="155"/>
      <c r="F135" s="1428"/>
      <c r="G135" s="156"/>
      <c r="H135" s="156"/>
      <c r="I135" s="156" t="e">
        <f>I75</f>
        <v>#REF!</v>
      </c>
      <c r="J135" s="156" t="e">
        <f t="shared" ref="J135:O135" si="105">I135*(1+$C$58)</f>
        <v>#REF!</v>
      </c>
      <c r="K135" s="156" t="e">
        <f t="shared" si="105"/>
        <v>#REF!</v>
      </c>
      <c r="L135" s="156" t="e">
        <f t="shared" si="105"/>
        <v>#REF!</v>
      </c>
      <c r="M135" s="156" t="e">
        <f t="shared" si="105"/>
        <v>#REF!</v>
      </c>
      <c r="N135" s="156" t="e">
        <f t="shared" si="105"/>
        <v>#REF!</v>
      </c>
      <c r="O135" s="156" t="e">
        <f t="shared" si="105"/>
        <v>#REF!</v>
      </c>
      <c r="P135" s="1429"/>
      <c r="Q135" s="156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430"/>
      <c r="C136" s="157" t="s">
        <v>404</v>
      </c>
      <c r="D136" s="158"/>
      <c r="E136" s="159"/>
      <c r="F136" s="1431"/>
      <c r="G136" s="160"/>
      <c r="H136" s="160">
        <f>H135*$K$58</f>
        <v>0</v>
      </c>
      <c r="I136" s="160" t="e">
        <f t="shared" ref="I136:N136" si="106">(I135-H135)*$K$58*I100/12</f>
        <v>#REF!</v>
      </c>
      <c r="J136" s="160" t="e">
        <f t="shared" si="106"/>
        <v>#REF!</v>
      </c>
      <c r="K136" s="160" t="e">
        <f t="shared" si="106"/>
        <v>#REF!</v>
      </c>
      <c r="L136" s="160" t="e">
        <f t="shared" si="106"/>
        <v>#REF!</v>
      </c>
      <c r="M136" s="160" t="e">
        <f t="shared" si="106"/>
        <v>#REF!</v>
      </c>
      <c r="N136" s="160" t="e">
        <f t="shared" si="106"/>
        <v>#REF!</v>
      </c>
      <c r="O136" s="160" t="e">
        <f>O135*$K$58</f>
        <v>#REF!</v>
      </c>
      <c r="P136" s="1432"/>
      <c r="Q136" s="160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430"/>
      <c r="C137" s="157" t="s">
        <v>194</v>
      </c>
      <c r="D137" s="158"/>
      <c r="E137" s="159"/>
      <c r="F137" s="1431"/>
      <c r="G137" s="160"/>
      <c r="H137" s="89" t="e">
        <f t="shared" ref="H137:O137" si="107">SUMPRODUCT(H76:H84,H101:H109)</f>
        <v>#REF!</v>
      </c>
      <c r="I137" s="89" t="e">
        <f t="shared" si="107"/>
        <v>#REF!</v>
      </c>
      <c r="J137" s="89" t="e">
        <f t="shared" si="107"/>
        <v>#REF!</v>
      </c>
      <c r="K137" s="89" t="e">
        <f t="shared" si="107"/>
        <v>#REF!</v>
      </c>
      <c r="L137" s="89" t="e">
        <f t="shared" si="107"/>
        <v>#REF!</v>
      </c>
      <c r="M137" s="89" t="e">
        <f t="shared" si="107"/>
        <v>#REF!</v>
      </c>
      <c r="N137" s="89" t="e">
        <f t="shared" si="107"/>
        <v>#REF!</v>
      </c>
      <c r="O137" s="89" t="e">
        <f t="shared" si="107"/>
        <v>#REF!</v>
      </c>
      <c r="P137" s="1433"/>
      <c r="Q137" s="160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430" t="s">
        <v>427</v>
      </c>
      <c r="C138" s="157" t="s">
        <v>428</v>
      </c>
      <c r="D138" s="158"/>
      <c r="E138" s="159"/>
      <c r="F138" s="1431"/>
      <c r="G138" s="160"/>
      <c r="H138" s="160" t="e">
        <f t="shared" ref="H138:O138" si="108">SUMPRODUCT($E86:$E87,H86:H87)*H100</f>
        <v>#REF!</v>
      </c>
      <c r="I138" s="160" t="e">
        <f t="shared" si="108"/>
        <v>#REF!</v>
      </c>
      <c r="J138" s="160" t="e">
        <f t="shared" si="108"/>
        <v>#REF!</v>
      </c>
      <c r="K138" s="160" t="e">
        <f t="shared" si="108"/>
        <v>#REF!</v>
      </c>
      <c r="L138" s="160" t="e">
        <f t="shared" si="108"/>
        <v>#REF!</v>
      </c>
      <c r="M138" s="160" t="e">
        <f t="shared" si="108"/>
        <v>#REF!</v>
      </c>
      <c r="N138" s="160" t="e">
        <f t="shared" si="108"/>
        <v>#REF!</v>
      </c>
      <c r="O138" s="160" t="e">
        <f t="shared" si="108"/>
        <v>#REF!</v>
      </c>
      <c r="P138" s="1432"/>
      <c r="Q138" s="160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430" t="s">
        <v>429</v>
      </c>
      <c r="C139" s="157" t="s">
        <v>430</v>
      </c>
      <c r="D139" s="158"/>
      <c r="E139" s="159"/>
      <c r="F139" s="1431"/>
      <c r="G139" s="160"/>
      <c r="H139" s="160">
        <f t="shared" ref="H139:O139" si="109">$F$58*H100</f>
        <v>0</v>
      </c>
      <c r="I139" s="160">
        <f t="shared" si="109"/>
        <v>10000</v>
      </c>
      <c r="J139" s="160">
        <f t="shared" si="109"/>
        <v>120000</v>
      </c>
      <c r="K139" s="160">
        <f t="shared" si="109"/>
        <v>120000</v>
      </c>
      <c r="L139" s="160">
        <f t="shared" si="109"/>
        <v>120000</v>
      </c>
      <c r="M139" s="160">
        <f t="shared" si="109"/>
        <v>120000</v>
      </c>
      <c r="N139" s="160">
        <f t="shared" si="109"/>
        <v>120000</v>
      </c>
      <c r="O139" s="160">
        <f t="shared" si="109"/>
        <v>120000</v>
      </c>
      <c r="P139" s="1432"/>
      <c r="Q139" s="160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430"/>
      <c r="C140" s="157" t="s">
        <v>431</v>
      </c>
      <c r="D140" s="158"/>
      <c r="E140" s="159"/>
      <c r="F140" s="1431"/>
      <c r="G140" s="160"/>
      <c r="H140" s="160" t="e">
        <f t="shared" ref="H140:O140" si="110">SUM(H136:H139)</f>
        <v>#REF!</v>
      </c>
      <c r="I140" s="160" t="e">
        <f t="shared" si="110"/>
        <v>#REF!</v>
      </c>
      <c r="J140" s="160" t="e">
        <f t="shared" si="110"/>
        <v>#REF!</v>
      </c>
      <c r="K140" s="160" t="e">
        <f t="shared" si="110"/>
        <v>#REF!</v>
      </c>
      <c r="L140" s="160" t="e">
        <f t="shared" si="110"/>
        <v>#REF!</v>
      </c>
      <c r="M140" s="160" t="e">
        <f t="shared" si="110"/>
        <v>#REF!</v>
      </c>
      <c r="N140" s="160" t="e">
        <f t="shared" si="110"/>
        <v>#REF!</v>
      </c>
      <c r="O140" s="160" t="e">
        <f t="shared" si="110"/>
        <v>#REF!</v>
      </c>
      <c r="P140" s="1432"/>
      <c r="Q140" s="160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430"/>
      <c r="C141" s="1434" t="s">
        <v>398</v>
      </c>
      <c r="D141" s="1435"/>
      <c r="E141" s="159"/>
      <c r="F141" s="1436"/>
      <c r="G141" s="161"/>
      <c r="H141" s="162"/>
      <c r="I141" s="162">
        <v>0.5</v>
      </c>
      <c r="J141" s="163">
        <v>0.03</v>
      </c>
      <c r="K141" s="164">
        <f t="shared" ref="K141:O141" si="111">$D$58</f>
        <v>0.03</v>
      </c>
      <c r="L141" s="164">
        <f t="shared" si="111"/>
        <v>0.03</v>
      </c>
      <c r="M141" s="164">
        <f t="shared" si="111"/>
        <v>0.03</v>
      </c>
      <c r="N141" s="164">
        <f t="shared" si="111"/>
        <v>0.03</v>
      </c>
      <c r="O141" s="164">
        <f t="shared" si="111"/>
        <v>0.03</v>
      </c>
      <c r="P141" s="1437"/>
      <c r="Q141" s="164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65"/>
      <c r="C142" s="166" t="s">
        <v>432</v>
      </c>
      <c r="D142" s="1438"/>
      <c r="E142" s="167"/>
      <c r="F142" s="168"/>
      <c r="G142" s="169"/>
      <c r="H142" s="169" t="e">
        <f t="shared" ref="H142:O142" si="112">H140*(1-H141)</f>
        <v>#REF!</v>
      </c>
      <c r="I142" s="169" t="e">
        <f t="shared" si="112"/>
        <v>#REF!</v>
      </c>
      <c r="J142" s="169" t="e">
        <f t="shared" si="112"/>
        <v>#REF!</v>
      </c>
      <c r="K142" s="169" t="e">
        <f t="shared" si="112"/>
        <v>#REF!</v>
      </c>
      <c r="L142" s="169" t="e">
        <f t="shared" si="112"/>
        <v>#REF!</v>
      </c>
      <c r="M142" s="169" t="e">
        <f t="shared" si="112"/>
        <v>#REF!</v>
      </c>
      <c r="N142" s="169" t="e">
        <f t="shared" si="112"/>
        <v>#REF!</v>
      </c>
      <c r="O142" s="169" t="e">
        <f t="shared" si="112"/>
        <v>#REF!</v>
      </c>
      <c r="P142" s="170"/>
      <c r="Q142" s="169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430"/>
      <c r="C143" s="153" t="s">
        <v>433</v>
      </c>
      <c r="D143" s="154"/>
      <c r="E143" s="171"/>
      <c r="F143" s="1428"/>
      <c r="G143" s="156"/>
      <c r="H143" s="156" t="e">
        <f t="shared" ref="H143:O143" si="113">-(H142*3%)</f>
        <v>#REF!</v>
      </c>
      <c r="I143" s="156" t="e">
        <f t="shared" si="113"/>
        <v>#REF!</v>
      </c>
      <c r="J143" s="156" t="e">
        <f t="shared" si="113"/>
        <v>#REF!</v>
      </c>
      <c r="K143" s="156" t="e">
        <f t="shared" si="113"/>
        <v>#REF!</v>
      </c>
      <c r="L143" s="156" t="e">
        <f t="shared" si="113"/>
        <v>#REF!</v>
      </c>
      <c r="M143" s="156" t="e">
        <f t="shared" si="113"/>
        <v>#REF!</v>
      </c>
      <c r="N143" s="156" t="e">
        <f t="shared" si="113"/>
        <v>#REF!</v>
      </c>
      <c r="O143" s="156" t="e">
        <f t="shared" si="113"/>
        <v>#REF!</v>
      </c>
      <c r="P143" s="1429"/>
      <c r="Q143" s="156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430" t="s">
        <v>427</v>
      </c>
      <c r="C144" s="157" t="s">
        <v>434</v>
      </c>
      <c r="D144" s="158"/>
      <c r="E144" s="159"/>
      <c r="F144" s="1431"/>
      <c r="G144" s="160"/>
      <c r="H144" s="160" t="e">
        <f t="shared" ref="H144:O144" si="114">-$B$58*5*H100/12</f>
        <v>#REF!</v>
      </c>
      <c r="I144" s="160" t="e">
        <f t="shared" si="114"/>
        <v>#REF!</v>
      </c>
      <c r="J144" s="160" t="e">
        <f t="shared" si="114"/>
        <v>#REF!</v>
      </c>
      <c r="K144" s="160" t="e">
        <f t="shared" si="114"/>
        <v>#REF!</v>
      </c>
      <c r="L144" s="160" t="e">
        <f t="shared" si="114"/>
        <v>#REF!</v>
      </c>
      <c r="M144" s="160" t="e">
        <f t="shared" si="114"/>
        <v>#REF!</v>
      </c>
      <c r="N144" s="160" t="e">
        <f t="shared" si="114"/>
        <v>#REF!</v>
      </c>
      <c r="O144" s="160" t="e">
        <f t="shared" si="114"/>
        <v>#REF!</v>
      </c>
      <c r="P144" s="1432"/>
      <c r="Q144" s="160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430" t="s">
        <v>435</v>
      </c>
      <c r="C145" s="157" t="s">
        <v>399</v>
      </c>
      <c r="D145" s="158"/>
      <c r="E145" s="159"/>
      <c r="F145" s="1431"/>
      <c r="G145" s="160"/>
      <c r="H145" s="160" t="e">
        <f t="shared" ref="H145:O145" si="115">-H138*$E$58</f>
        <v>#REF!</v>
      </c>
      <c r="I145" s="160" t="e">
        <f t="shared" si="115"/>
        <v>#REF!</v>
      </c>
      <c r="J145" s="160" t="e">
        <f t="shared" si="115"/>
        <v>#REF!</v>
      </c>
      <c r="K145" s="160" t="e">
        <f t="shared" si="115"/>
        <v>#REF!</v>
      </c>
      <c r="L145" s="160" t="e">
        <f t="shared" si="115"/>
        <v>#REF!</v>
      </c>
      <c r="M145" s="160" t="e">
        <f t="shared" si="115"/>
        <v>#REF!</v>
      </c>
      <c r="N145" s="160" t="e">
        <f t="shared" si="115"/>
        <v>#REF!</v>
      </c>
      <c r="O145" s="160" t="e">
        <f t="shared" si="115"/>
        <v>#REF!</v>
      </c>
      <c r="P145" s="1432"/>
      <c r="Q145" s="160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430"/>
      <c r="C146" s="172" t="s">
        <v>401</v>
      </c>
      <c r="D146" s="173"/>
      <c r="E146" s="174"/>
      <c r="F146" s="1436"/>
      <c r="G146" s="161"/>
      <c r="H146" s="161">
        <f t="shared" ref="H146:O146" si="116">-H139*$G$58</f>
        <v>0</v>
      </c>
      <c r="I146" s="161">
        <f t="shared" si="116"/>
        <v>-3000</v>
      </c>
      <c r="J146" s="161">
        <f t="shared" si="116"/>
        <v>-36000</v>
      </c>
      <c r="K146" s="161">
        <f t="shared" si="116"/>
        <v>-36000</v>
      </c>
      <c r="L146" s="161">
        <f t="shared" si="116"/>
        <v>-36000</v>
      </c>
      <c r="M146" s="161">
        <f t="shared" si="116"/>
        <v>-36000</v>
      </c>
      <c r="N146" s="161">
        <f t="shared" si="116"/>
        <v>-36000</v>
      </c>
      <c r="O146" s="161">
        <f t="shared" si="116"/>
        <v>-36000</v>
      </c>
      <c r="P146" s="1439"/>
      <c r="Q146" s="160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65"/>
      <c r="C147" s="166" t="s">
        <v>436</v>
      </c>
      <c r="D147" s="1438"/>
      <c r="E147" s="167"/>
      <c r="F147" s="1440"/>
      <c r="G147" s="175"/>
      <c r="H147" s="175" t="e">
        <f t="shared" ref="H147:O147" si="117">SUM(H143:H146)</f>
        <v>#REF!</v>
      </c>
      <c r="I147" s="175" t="e">
        <f t="shared" si="117"/>
        <v>#REF!</v>
      </c>
      <c r="J147" s="175" t="e">
        <f t="shared" si="117"/>
        <v>#REF!</v>
      </c>
      <c r="K147" s="175" t="e">
        <f t="shared" si="117"/>
        <v>#REF!</v>
      </c>
      <c r="L147" s="175" t="e">
        <f t="shared" si="117"/>
        <v>#REF!</v>
      </c>
      <c r="M147" s="175" t="e">
        <f t="shared" si="117"/>
        <v>#REF!</v>
      </c>
      <c r="N147" s="175" t="e">
        <f t="shared" si="117"/>
        <v>#REF!</v>
      </c>
      <c r="O147" s="175" t="e">
        <f t="shared" si="117"/>
        <v>#REF!</v>
      </c>
      <c r="P147" s="1441"/>
      <c r="Q147" s="175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640" t="s">
        <v>437</v>
      </c>
      <c r="C148" s="1492"/>
      <c r="D148" s="1438"/>
      <c r="E148" s="167"/>
      <c r="F148" s="168"/>
      <c r="G148" s="169"/>
      <c r="H148" s="176" t="e">
        <f t="shared" ref="H148:O148" si="118">H142+H147</f>
        <v>#REF!</v>
      </c>
      <c r="I148" s="176" t="e">
        <f t="shared" si="118"/>
        <v>#REF!</v>
      </c>
      <c r="J148" s="176" t="e">
        <f t="shared" si="118"/>
        <v>#REF!</v>
      </c>
      <c r="K148" s="176" t="e">
        <f t="shared" si="118"/>
        <v>#REF!</v>
      </c>
      <c r="L148" s="176" t="e">
        <f t="shared" si="118"/>
        <v>#REF!</v>
      </c>
      <c r="M148" s="176" t="e">
        <f t="shared" si="118"/>
        <v>#REF!</v>
      </c>
      <c r="N148" s="176" t="e">
        <f t="shared" si="118"/>
        <v>#REF!</v>
      </c>
      <c r="O148" s="176" t="e">
        <f t="shared" si="118"/>
        <v>#REF!</v>
      </c>
      <c r="P148" s="177"/>
      <c r="Q148" s="176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640" t="s">
        <v>438</v>
      </c>
      <c r="C149" s="1492"/>
      <c r="D149" s="1438"/>
      <c r="E149" s="167"/>
      <c r="F149" s="1442"/>
      <c r="G149" s="175"/>
      <c r="H149" s="175">
        <v>0</v>
      </c>
      <c r="I149" s="175">
        <f t="shared" ref="I149:O149" si="119">H149</f>
        <v>0</v>
      </c>
      <c r="J149" s="175">
        <f t="shared" si="119"/>
        <v>0</v>
      </c>
      <c r="K149" s="175">
        <f t="shared" si="119"/>
        <v>0</v>
      </c>
      <c r="L149" s="175">
        <f t="shared" si="119"/>
        <v>0</v>
      </c>
      <c r="M149" s="175">
        <f t="shared" si="119"/>
        <v>0</v>
      </c>
      <c r="N149" s="175">
        <f t="shared" si="119"/>
        <v>0</v>
      </c>
      <c r="O149" s="175">
        <f t="shared" si="119"/>
        <v>0</v>
      </c>
      <c r="P149" s="1441"/>
      <c r="Q149" s="54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78" t="s">
        <v>439</v>
      </c>
      <c r="C150" s="56" t="s">
        <v>440</v>
      </c>
      <c r="D150" s="1095"/>
      <c r="E150" s="167"/>
      <c r="F150" s="1440"/>
      <c r="G150" s="175"/>
      <c r="H150" s="175"/>
      <c r="I150" s="175" t="e">
        <f>-$I$133*$J$58</f>
        <v>#REF!</v>
      </c>
      <c r="J150" s="175" t="e">
        <f t="shared" ref="J150:O150" si="120">I150</f>
        <v>#REF!</v>
      </c>
      <c r="K150" s="175" t="e">
        <f t="shared" si="120"/>
        <v>#REF!</v>
      </c>
      <c r="L150" s="175" t="e">
        <f t="shared" si="120"/>
        <v>#REF!</v>
      </c>
      <c r="M150" s="175" t="e">
        <f t="shared" si="120"/>
        <v>#REF!</v>
      </c>
      <c r="N150" s="175" t="e">
        <f t="shared" si="120"/>
        <v>#REF!</v>
      </c>
      <c r="O150" s="175" t="e">
        <f t="shared" si="120"/>
        <v>#REF!</v>
      </c>
      <c r="P150" s="1441"/>
      <c r="Q150" s="54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79" t="s">
        <v>435</v>
      </c>
      <c r="C151" s="56" t="s">
        <v>441</v>
      </c>
      <c r="D151" s="1095"/>
      <c r="E151" s="167"/>
      <c r="F151" s="1440"/>
      <c r="G151" s="180"/>
      <c r="H151" s="180"/>
      <c r="I151" s="180"/>
      <c r="J151" s="175"/>
      <c r="K151" s="175"/>
      <c r="L151" s="175"/>
      <c r="M151" s="175"/>
      <c r="N151" s="175" t="e">
        <f>-SUM($F133:I133)</f>
        <v>#REF!</v>
      </c>
      <c r="O151" s="175"/>
      <c r="P151" s="1441"/>
      <c r="Q151" s="54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81" t="s">
        <v>442</v>
      </c>
      <c r="C152" s="182" t="s">
        <v>443</v>
      </c>
      <c r="D152" s="1438"/>
      <c r="E152" s="167"/>
      <c r="F152" s="1442"/>
      <c r="G152" s="180"/>
      <c r="H152" s="180"/>
      <c r="I152" s="175"/>
      <c r="J152" s="175"/>
      <c r="K152" s="175"/>
      <c r="L152" s="175"/>
      <c r="M152" s="175"/>
      <c r="N152" s="175" t="e">
        <f>-N135</f>
        <v>#REF!</v>
      </c>
      <c r="O152" s="175"/>
      <c r="P152" s="1441"/>
      <c r="Q152" s="54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443" t="s">
        <v>435</v>
      </c>
      <c r="C153" s="182" t="s">
        <v>444</v>
      </c>
      <c r="D153" s="1438"/>
      <c r="E153" s="167"/>
      <c r="F153" s="1442"/>
      <c r="G153" s="108"/>
      <c r="H153" s="108"/>
      <c r="I153" s="108"/>
      <c r="J153" s="108"/>
      <c r="K153" s="108"/>
      <c r="L153" s="108"/>
      <c r="M153" s="108"/>
      <c r="N153" s="175" t="e">
        <f>-N154*1%</f>
        <v>#REF!</v>
      </c>
      <c r="O153" s="107"/>
      <c r="P153" s="1444"/>
      <c r="Q153" s="183" t="s">
        <v>445</v>
      </c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430"/>
      <c r="C154" s="1445" t="s">
        <v>446</v>
      </c>
      <c r="D154" s="1438"/>
      <c r="E154" s="167"/>
      <c r="F154" s="1446"/>
      <c r="G154" s="1447"/>
      <c r="H154" s="1447"/>
      <c r="I154" s="1447"/>
      <c r="J154" s="1447"/>
      <c r="K154" s="1447"/>
      <c r="L154" s="1447"/>
      <c r="M154" s="1447"/>
      <c r="N154" s="1448" t="e">
        <f>O148/$H$58</f>
        <v>#REF!</v>
      </c>
      <c r="O154" s="1448"/>
      <c r="P154" s="1449"/>
      <c r="Q154" s="1450" t="e">
        <f>N154/B58</f>
        <v>#REF!</v>
      </c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.25" customHeight="1">
      <c r="A155" s="1"/>
      <c r="B155" s="1640" t="s">
        <v>447</v>
      </c>
      <c r="C155" s="1492"/>
      <c r="D155" s="184"/>
      <c r="E155" s="176" t="e">
        <f>SUM(F155:N155)</f>
        <v>#REF!</v>
      </c>
      <c r="F155" s="185" t="e">
        <f t="shared" ref="F155:I155" si="121">F134+F135+SUM(F148:F154)</f>
        <v>#REF!</v>
      </c>
      <c r="G155" s="186" t="e">
        <f t="shared" si="121"/>
        <v>#REF!</v>
      </c>
      <c r="H155" s="186" t="e">
        <f t="shared" si="121"/>
        <v>#REF!</v>
      </c>
      <c r="I155" s="186" t="e">
        <f t="shared" si="121"/>
        <v>#REF!</v>
      </c>
      <c r="J155" s="186" t="e">
        <f t="shared" ref="J155:N155" si="122">J134+SUM(J148:J154)</f>
        <v>#REF!</v>
      </c>
      <c r="K155" s="186" t="e">
        <f t="shared" si="122"/>
        <v>#REF!</v>
      </c>
      <c r="L155" s="186" t="e">
        <f t="shared" si="122"/>
        <v>#REF!</v>
      </c>
      <c r="M155" s="186" t="e">
        <f t="shared" si="122"/>
        <v>#REF!</v>
      </c>
      <c r="N155" s="186" t="e">
        <f t="shared" si="122"/>
        <v>#REF!</v>
      </c>
      <c r="O155" s="186"/>
      <c r="P155" s="187"/>
      <c r="Q155" s="188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9.5" customHeight="1">
      <c r="A157" s="1"/>
      <c r="B157" s="1641" t="s">
        <v>354</v>
      </c>
      <c r="C157" s="1642"/>
      <c r="D157" s="1643"/>
      <c r="E157" s="189" t="e">
        <f>IRR(F155:N155)</f>
        <v>#VALUE!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1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9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"/>
      <c r="B159" s="191" t="s">
        <v>448</v>
      </c>
      <c r="C159" s="192"/>
      <c r="D159" s="1"/>
      <c r="E159" s="1"/>
      <c r="F159" s="1"/>
      <c r="G159" s="193" t="e">
        <f t="shared" ref="G159:N159" si="123">G148/$B$116</f>
        <v>#REF!</v>
      </c>
      <c r="H159" s="193" t="e">
        <f t="shared" si="123"/>
        <v>#REF!</v>
      </c>
      <c r="I159" s="193" t="e">
        <f t="shared" si="123"/>
        <v>#REF!</v>
      </c>
      <c r="J159" s="193" t="e">
        <f t="shared" si="123"/>
        <v>#REF!</v>
      </c>
      <c r="K159" s="193" t="e">
        <f t="shared" si="123"/>
        <v>#REF!</v>
      </c>
      <c r="L159" s="193" t="e">
        <f t="shared" si="123"/>
        <v>#REF!</v>
      </c>
      <c r="M159" s="193" t="e">
        <f t="shared" si="123"/>
        <v>#REF!</v>
      </c>
      <c r="N159" s="193" t="e">
        <f t="shared" si="123"/>
        <v>#REF!</v>
      </c>
      <c r="O159" s="193"/>
      <c r="P159" s="19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>
      <c r="A160" s="1"/>
      <c r="B160" s="191"/>
      <c r="C160" s="192"/>
      <c r="D160" s="1"/>
      <c r="E160" s="1"/>
      <c r="F160" s="1"/>
      <c r="G160" s="193"/>
      <c r="H160" s="193"/>
      <c r="I160" s="193"/>
      <c r="J160" s="193"/>
      <c r="K160" s="193"/>
      <c r="L160" s="193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"/>
      <c r="B161" s="194" t="s">
        <v>449</v>
      </c>
      <c r="C161" s="192"/>
      <c r="D161" s="1"/>
      <c r="E161" s="1"/>
      <c r="F161" s="1"/>
      <c r="G161" s="193" t="e">
        <f t="shared" ref="G161:N161" si="124">(G148+G150)/-$E$134</f>
        <v>#REF!</v>
      </c>
      <c r="H161" s="193" t="e">
        <f t="shared" si="124"/>
        <v>#REF!</v>
      </c>
      <c r="I161" s="193" t="e">
        <f t="shared" si="124"/>
        <v>#REF!</v>
      </c>
      <c r="J161" s="193" t="e">
        <f t="shared" si="124"/>
        <v>#REF!</v>
      </c>
      <c r="K161" s="193" t="e">
        <f t="shared" si="124"/>
        <v>#REF!</v>
      </c>
      <c r="L161" s="193" t="e">
        <f t="shared" si="124"/>
        <v>#REF!</v>
      </c>
      <c r="M161" s="193" t="e">
        <f t="shared" si="124"/>
        <v>#REF!</v>
      </c>
      <c r="N161" s="193" t="e">
        <f t="shared" si="124"/>
        <v>#REF!</v>
      </c>
      <c r="O161" s="193"/>
      <c r="P161" s="19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>
      <c r="A162" s="1"/>
      <c r="B162" s="194"/>
      <c r="C162" s="194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>
      <c r="A163" s="1"/>
      <c r="B163" s="1451"/>
      <c r="C163" s="1452"/>
      <c r="D163" s="1452"/>
      <c r="E163" s="1452"/>
      <c r="F163" s="1452"/>
      <c r="G163" s="1452"/>
      <c r="H163" s="1452"/>
      <c r="I163" s="1452"/>
      <c r="J163" s="1452"/>
      <c r="K163" s="1452"/>
      <c r="L163" s="1452"/>
      <c r="M163" s="1452"/>
      <c r="N163" s="1452"/>
      <c r="O163" s="1452"/>
      <c r="P163" s="1452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75" customHeight="1">
      <c r="A164" s="1"/>
      <c r="B164" s="195" t="s">
        <v>450</v>
      </c>
      <c r="C164" s="192"/>
      <c r="D164" s="1"/>
      <c r="E164" s="1"/>
      <c r="F164" s="1"/>
      <c r="G164" s="196" t="e">
        <f>-SUM(I155:P155)/SUM(F155:H155)</f>
        <v>#REF!</v>
      </c>
      <c r="H164" s="192"/>
      <c r="I164" s="192"/>
      <c r="J164" s="124"/>
      <c r="K164" s="197" t="s">
        <v>451</v>
      </c>
      <c r="L164" s="198" t="e">
        <f>J148/$H$58</f>
        <v>#REF!</v>
      </c>
      <c r="M164" s="199" t="s">
        <v>263</v>
      </c>
      <c r="N164" s="198" t="e">
        <f>L164/$B$58</f>
        <v>#REF!</v>
      </c>
      <c r="O164" s="124" t="s">
        <v>183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>
      <c r="A165" s="1"/>
      <c r="B165" s="195"/>
      <c r="C165" s="192"/>
      <c r="D165" s="1"/>
      <c r="E165" s="1"/>
      <c r="F165" s="1"/>
      <c r="G165" s="196"/>
      <c r="H165" s="192"/>
      <c r="I165" s="192"/>
      <c r="J165" s="192"/>
      <c r="K165" s="200"/>
      <c r="L165" s="20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"/>
      <c r="B166" s="195" t="s">
        <v>452</v>
      </c>
      <c r="C166" s="192"/>
      <c r="D166" s="1"/>
      <c r="E166" s="1"/>
      <c r="F166" s="1"/>
      <c r="G166" s="202" t="e">
        <f>B116/H98</f>
        <v>#REF!</v>
      </c>
      <c r="H166" s="192"/>
      <c r="I166" s="192"/>
      <c r="J166" s="192"/>
      <c r="K166" s="200"/>
      <c r="L166" s="20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7.5" customHeight="1">
      <c r="A167" s="1"/>
      <c r="B167" s="203"/>
      <c r="C167" s="203"/>
      <c r="D167" s="1"/>
      <c r="E167" s="1"/>
      <c r="F167" s="1"/>
      <c r="G167" s="204"/>
      <c r="H167" s="203"/>
      <c r="I167" s="203"/>
      <c r="J167" s="203"/>
      <c r="K167" s="205"/>
      <c r="L167" s="206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"/>
      <c r="B168" s="195" t="s">
        <v>453</v>
      </c>
      <c r="C168" s="192"/>
      <c r="D168" s="1"/>
      <c r="E168" s="1"/>
      <c r="F168" s="1"/>
      <c r="G168" s="202" t="e">
        <f>N154/$B$116</f>
        <v>#REF!</v>
      </c>
      <c r="H168" s="207"/>
      <c r="I168" s="192"/>
      <c r="J168" s="192"/>
      <c r="K168" s="200"/>
      <c r="L168" s="20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208"/>
      <c r="K169" s="19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"/>
      <c r="B171" s="77" t="s">
        <v>454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"/>
      <c r="B173" s="77" t="s">
        <v>455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7.5" customHeight="1">
      <c r="A174" s="1"/>
      <c r="B174" s="7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"/>
      <c r="B175" s="1620" t="s">
        <v>380</v>
      </c>
      <c r="C175" s="209" t="s">
        <v>456</v>
      </c>
      <c r="D175" s="210"/>
      <c r="E175" s="54" t="e">
        <f t="shared" ref="E175:E176" si="125">E30+E33</f>
        <v>#REF!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"/>
      <c r="B176" s="1520"/>
      <c r="C176" s="209" t="s">
        <v>457</v>
      </c>
      <c r="D176" s="210"/>
      <c r="E176" s="54" t="e">
        <f t="shared" si="125"/>
        <v>#REF!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"/>
      <c r="B177" s="1500"/>
      <c r="C177" s="211" t="s">
        <v>458</v>
      </c>
      <c r="D177" s="210"/>
      <c r="E177" s="212" t="e">
        <f>SUM(E175:E176)</f>
        <v>#REF!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"/>
      <c r="B178" s="1621" t="s">
        <v>459</v>
      </c>
      <c r="C178" s="1492"/>
      <c r="D178" s="210"/>
      <c r="E178" s="212" t="e">
        <f>-E37</f>
        <v>#REF!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hidden="1" customHeight="1">
      <c r="A179" s="1"/>
      <c r="B179" s="1620" t="s">
        <v>460</v>
      </c>
      <c r="C179" s="213" t="s">
        <v>32</v>
      </c>
      <c r="D179" s="210"/>
      <c r="E179" s="54" t="e">
        <f t="shared" ref="E179:E180" si="126">E10</f>
        <v>#REF!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hidden="1" customHeight="1">
      <c r="A180" s="1"/>
      <c r="B180" s="1520"/>
      <c r="C180" s="214" t="s">
        <v>461</v>
      </c>
      <c r="D180" s="210"/>
      <c r="E180" s="54" t="e">
        <f t="shared" si="126"/>
        <v>#REF!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"/>
      <c r="B181" s="1520"/>
      <c r="C181" s="214" t="s">
        <v>462</v>
      </c>
      <c r="D181" s="210"/>
      <c r="E181" s="54" t="e">
        <f t="shared" ref="E181:E182" si="127">E12*95%</f>
        <v>#REF!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"/>
      <c r="B182" s="1520"/>
      <c r="C182" s="214" t="s">
        <v>463</v>
      </c>
      <c r="D182" s="210"/>
      <c r="E182" s="54" t="e">
        <f t="shared" si="127"/>
        <v>#REF!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hidden="1" customHeight="1">
      <c r="A183" s="1"/>
      <c r="B183" s="1520"/>
      <c r="C183" s="214" t="s">
        <v>464</v>
      </c>
      <c r="D183" s="210"/>
      <c r="E183" s="54" t="e">
        <f t="shared" ref="E183:E184" si="128">E14</f>
        <v>#REF!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hidden="1" customHeight="1">
      <c r="A184" s="1"/>
      <c r="B184" s="1520"/>
      <c r="C184" s="214" t="s">
        <v>465</v>
      </c>
      <c r="D184" s="210"/>
      <c r="E184" s="54" t="e">
        <f t="shared" si="128"/>
        <v>#REF!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"/>
      <c r="B185" s="1500"/>
      <c r="C185" s="211" t="s">
        <v>458</v>
      </c>
      <c r="D185" s="210"/>
      <c r="E185" s="212" t="e">
        <f>SUM(E179:E184)</f>
        <v>#REF!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"/>
      <c r="B186" s="1622" t="s">
        <v>466</v>
      </c>
      <c r="C186" s="1492"/>
      <c r="D186" s="1491"/>
      <c r="E186" s="215" t="e">
        <f>E177+E178+E185</f>
        <v>#REF!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"/>
      <c r="B188" s="77" t="s">
        <v>467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" customHeight="1">
      <c r="A189" s="1"/>
      <c r="B189" s="7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"/>
      <c r="B190" s="1623" t="s">
        <v>468</v>
      </c>
      <c r="C190" s="214" t="s">
        <v>469</v>
      </c>
      <c r="D190" s="216"/>
      <c r="E190" s="54" t="e">
        <f t="shared" ref="E190:E199" si="129">-E20</f>
        <v>#REF!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"/>
      <c r="B191" s="1520"/>
      <c r="C191" s="214" t="s">
        <v>470</v>
      </c>
      <c r="D191" s="216"/>
      <c r="E191" s="54" t="e">
        <f t="shared" si="129"/>
        <v>#REF!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"/>
      <c r="B192" s="1520"/>
      <c r="C192" s="214" t="s">
        <v>471</v>
      </c>
      <c r="D192" s="216"/>
      <c r="E192" s="54" t="e">
        <f t="shared" si="129"/>
        <v>#REF!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"/>
      <c r="B193" s="1520"/>
      <c r="C193" s="214" t="s">
        <v>472</v>
      </c>
      <c r="D193" s="216"/>
      <c r="E193" s="54" t="e">
        <f t="shared" si="129"/>
        <v>#REF!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"/>
      <c r="B194" s="1520"/>
      <c r="C194" s="214" t="s">
        <v>473</v>
      </c>
      <c r="D194" s="216"/>
      <c r="E194" s="54" t="e">
        <f t="shared" si="129"/>
        <v>#REF!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"/>
      <c r="B195" s="1520"/>
      <c r="C195" s="214" t="s">
        <v>474</v>
      </c>
      <c r="D195" s="216"/>
      <c r="E195" s="54" t="e">
        <f t="shared" si="129"/>
        <v>#REF!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hidden="1" customHeight="1">
      <c r="A196" s="1"/>
      <c r="B196" s="1520"/>
      <c r="C196" s="214" t="s">
        <v>458</v>
      </c>
      <c r="D196" s="216"/>
      <c r="E196" s="54" t="e">
        <f t="shared" si="129"/>
        <v>#REF!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"/>
      <c r="B197" s="1520"/>
      <c r="C197" s="214" t="s">
        <v>475</v>
      </c>
      <c r="D197" s="216"/>
      <c r="E197" s="54" t="e">
        <f t="shared" si="129"/>
        <v>#REF!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"/>
      <c r="B198" s="1520"/>
      <c r="C198" s="214" t="s">
        <v>476</v>
      </c>
      <c r="D198" s="216"/>
      <c r="E198" s="54" t="e">
        <f t="shared" si="129"/>
        <v>#REF!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"/>
      <c r="B199" s="1500"/>
      <c r="C199" s="211" t="s">
        <v>458</v>
      </c>
      <c r="D199" s="216"/>
      <c r="E199" s="212" t="e">
        <f t="shared" si="129"/>
        <v>#REF!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"/>
      <c r="B200" s="1623" t="s">
        <v>477</v>
      </c>
      <c r="C200" s="214" t="s">
        <v>469</v>
      </c>
      <c r="D200" s="211"/>
      <c r="E200" s="54" t="e">
        <f t="shared" ref="E200:E202" si="130">E30</f>
        <v>#REF!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"/>
      <c r="B201" s="1520"/>
      <c r="C201" s="214" t="s">
        <v>478</v>
      </c>
      <c r="D201" s="211"/>
      <c r="E201" s="54" t="e">
        <f t="shared" si="130"/>
        <v>#REF!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"/>
      <c r="B202" s="1520"/>
      <c r="C202" s="211" t="s">
        <v>458</v>
      </c>
      <c r="D202" s="216"/>
      <c r="E202" s="212" t="e">
        <f t="shared" si="130"/>
        <v>#REF!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hidden="1" customHeight="1">
      <c r="A203" s="1"/>
      <c r="B203" s="217" t="s">
        <v>479</v>
      </c>
      <c r="C203" s="214"/>
      <c r="D203" s="216"/>
      <c r="E203" s="5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hidden="1" customHeight="1">
      <c r="A204" s="1"/>
      <c r="B204" s="1453"/>
      <c r="C204" s="214"/>
      <c r="D204" s="216"/>
      <c r="E204" s="5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hidden="1" customHeight="1">
      <c r="A205" s="1"/>
      <c r="B205" s="218"/>
      <c r="C205" s="211" t="s">
        <v>458</v>
      </c>
      <c r="D205" s="216"/>
      <c r="E205" s="21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>
      <c r="A206" s="1"/>
      <c r="B206" s="1622" t="s">
        <v>466</v>
      </c>
      <c r="C206" s="1492"/>
      <c r="D206" s="1491"/>
      <c r="E206" s="215" t="e">
        <f>E199+E202+E205</f>
        <v>#REF!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>
      <c r="A208" s="1"/>
      <c r="B208" s="77" t="s">
        <v>480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" customHeight="1">
      <c r="A209" s="1"/>
      <c r="B209" s="7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>
      <c r="A210" s="1"/>
      <c r="B210" s="1618" t="s">
        <v>481</v>
      </c>
      <c r="C210" s="1492"/>
      <c r="D210" s="1491"/>
      <c r="E210" s="215" t="e">
        <f>E186-E206</f>
        <v>#REF!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619" t="s">
        <v>459</v>
      </c>
      <c r="C211" s="1492"/>
      <c r="D211" s="1491"/>
      <c r="E211" s="212" t="e">
        <f>E178</f>
        <v>#REF!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619" t="s">
        <v>482</v>
      </c>
      <c r="C212" s="1492"/>
      <c r="D212" s="1491"/>
      <c r="E212" s="212" t="e">
        <f>E210-E211</f>
        <v>#REF!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7">
    <mergeCell ref="B148:C148"/>
    <mergeCell ref="B149:C149"/>
    <mergeCell ref="B155:C155"/>
    <mergeCell ref="B157:D157"/>
    <mergeCell ref="B111:D111"/>
    <mergeCell ref="B118:D121"/>
    <mergeCell ref="B122:B131"/>
    <mergeCell ref="B132:B133"/>
    <mergeCell ref="B134:D134"/>
    <mergeCell ref="B89:B98"/>
    <mergeCell ref="C90:C97"/>
    <mergeCell ref="B100:D100"/>
    <mergeCell ref="B101:B110"/>
    <mergeCell ref="C102:C109"/>
    <mergeCell ref="E118:E121"/>
    <mergeCell ref="Q118:Q120"/>
    <mergeCell ref="F119:H119"/>
    <mergeCell ref="I119:M119"/>
    <mergeCell ref="F120:F121"/>
    <mergeCell ref="B66:B75"/>
    <mergeCell ref="C67:C74"/>
    <mergeCell ref="B76:B85"/>
    <mergeCell ref="C77:C84"/>
    <mergeCell ref="B86:B88"/>
    <mergeCell ref="B40:D40"/>
    <mergeCell ref="B62:D65"/>
    <mergeCell ref="Q62:Q64"/>
    <mergeCell ref="F63:H63"/>
    <mergeCell ref="I63:M63"/>
    <mergeCell ref="E62:E65"/>
    <mergeCell ref="F64:F65"/>
    <mergeCell ref="B30:B36"/>
    <mergeCell ref="C30:C32"/>
    <mergeCell ref="C33:C35"/>
    <mergeCell ref="B37:D37"/>
    <mergeCell ref="B38:D38"/>
    <mergeCell ref="B10:B16"/>
    <mergeCell ref="B17:C17"/>
    <mergeCell ref="B18:C18"/>
    <mergeCell ref="B19:C19"/>
    <mergeCell ref="B20:B29"/>
    <mergeCell ref="B6:D9"/>
    <mergeCell ref="E6:E9"/>
    <mergeCell ref="Q6:Q9"/>
    <mergeCell ref="F7:I7"/>
    <mergeCell ref="J7:O7"/>
    <mergeCell ref="F8:F9"/>
    <mergeCell ref="B210:D210"/>
    <mergeCell ref="B211:D211"/>
    <mergeCell ref="B212:D212"/>
    <mergeCell ref="B175:B177"/>
    <mergeCell ref="B178:C178"/>
    <mergeCell ref="B179:B185"/>
    <mergeCell ref="B186:D186"/>
    <mergeCell ref="B190:B199"/>
    <mergeCell ref="B200:B202"/>
    <mergeCell ref="B206:D206"/>
  </mergeCells>
  <phoneticPr fontId="102" type="noConversion"/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workbookViewId="0">
      <pane xSplit="4" topLeftCell="E1" activePane="topRight" state="frozen"/>
      <selection pane="topRight" activeCell="F2" sqref="F2"/>
    </sheetView>
  </sheetViews>
  <sheetFormatPr defaultColWidth="14.453125" defaultRowHeight="15" customHeight="1"/>
  <cols>
    <col min="1" max="1" width="0.54296875" customWidth="1"/>
    <col min="2" max="9" width="10.54296875" customWidth="1"/>
    <col min="10" max="16" width="10.54296875" hidden="1" customWidth="1"/>
    <col min="17" max="17" width="25.54296875" customWidth="1"/>
    <col min="18" max="19" width="8.81640625" customWidth="1"/>
    <col min="20" max="27" width="9.54296875" customWidth="1"/>
    <col min="28" max="28" width="8.81640625" customWidth="1"/>
  </cols>
  <sheetData>
    <row r="1" spans="1:28" ht="21.75" customHeight="1">
      <c r="A1" s="1"/>
      <c r="B1" s="45" t="s">
        <v>360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47" t="s">
        <v>483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3.5" customHeight="1">
      <c r="A3" s="39"/>
      <c r="B3" s="1649"/>
      <c r="C3" s="1625"/>
      <c r="D3" s="1499"/>
      <c r="E3" s="1650" t="s">
        <v>466</v>
      </c>
      <c r="F3" s="219" t="s">
        <v>363</v>
      </c>
      <c r="G3" s="220">
        <v>1</v>
      </c>
      <c r="H3" s="220">
        <f t="shared" ref="H3:O3" si="0">G3+1</f>
        <v>2</v>
      </c>
      <c r="I3" s="220">
        <f t="shared" si="0"/>
        <v>3</v>
      </c>
      <c r="J3" s="220">
        <f t="shared" si="0"/>
        <v>4</v>
      </c>
      <c r="K3" s="220">
        <f t="shared" si="0"/>
        <v>5</v>
      </c>
      <c r="L3" s="220">
        <f t="shared" si="0"/>
        <v>6</v>
      </c>
      <c r="M3" s="220">
        <f t="shared" si="0"/>
        <v>7</v>
      </c>
      <c r="N3" s="220">
        <f t="shared" si="0"/>
        <v>8</v>
      </c>
      <c r="O3" s="220">
        <f t="shared" si="0"/>
        <v>9</v>
      </c>
      <c r="P3" s="220"/>
      <c r="Q3" s="1650" t="s">
        <v>484</v>
      </c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</row>
    <row r="4" spans="1:28" ht="13.5" customHeight="1">
      <c r="A4" s="39"/>
      <c r="B4" s="1520"/>
      <c r="C4" s="1626"/>
      <c r="D4" s="1627"/>
      <c r="E4" s="1532"/>
      <c r="F4" s="1651" t="s">
        <v>485</v>
      </c>
      <c r="G4" s="1492"/>
      <c r="H4" s="1492"/>
      <c r="I4" s="1491"/>
      <c r="J4" s="1651" t="s">
        <v>486</v>
      </c>
      <c r="K4" s="1492"/>
      <c r="L4" s="1492"/>
      <c r="M4" s="1492"/>
      <c r="N4" s="1492"/>
      <c r="O4" s="1491"/>
      <c r="P4" s="219"/>
      <c r="Q4" s="1532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</row>
    <row r="5" spans="1:28" ht="13.5" customHeight="1">
      <c r="A5" s="39"/>
      <c r="B5" s="1520"/>
      <c r="C5" s="1626"/>
      <c r="D5" s="1627"/>
      <c r="E5" s="1532"/>
      <c r="F5" s="1652">
        <v>39661</v>
      </c>
      <c r="G5" s="221">
        <f>F5+31</f>
        <v>39692</v>
      </c>
      <c r="H5" s="221">
        <f t="shared" ref="H5:O5" si="1">G5+365.25</f>
        <v>40057.25</v>
      </c>
      <c r="I5" s="221">
        <f t="shared" si="1"/>
        <v>40422.5</v>
      </c>
      <c r="J5" s="221">
        <f t="shared" si="1"/>
        <v>40787.75</v>
      </c>
      <c r="K5" s="221">
        <f t="shared" si="1"/>
        <v>41153</v>
      </c>
      <c r="L5" s="221">
        <f t="shared" si="1"/>
        <v>41518.25</v>
      </c>
      <c r="M5" s="221">
        <f t="shared" si="1"/>
        <v>41883.5</v>
      </c>
      <c r="N5" s="221">
        <f t="shared" si="1"/>
        <v>42248.75</v>
      </c>
      <c r="O5" s="221">
        <f t="shared" si="1"/>
        <v>42614</v>
      </c>
      <c r="P5" s="221"/>
      <c r="Q5" s="1532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</row>
    <row r="6" spans="1:28" ht="13.5" customHeight="1">
      <c r="A6" s="39"/>
      <c r="B6" s="1500"/>
      <c r="C6" s="1578"/>
      <c r="D6" s="1501"/>
      <c r="E6" s="1508"/>
      <c r="F6" s="1508"/>
      <c r="G6" s="221">
        <f t="shared" ref="G6:O6" si="2">G5+364</f>
        <v>40056</v>
      </c>
      <c r="H6" s="221">
        <f t="shared" si="2"/>
        <v>40421.25</v>
      </c>
      <c r="I6" s="221">
        <f t="shared" si="2"/>
        <v>40786.5</v>
      </c>
      <c r="J6" s="221">
        <f t="shared" si="2"/>
        <v>41151.75</v>
      </c>
      <c r="K6" s="221">
        <f t="shared" si="2"/>
        <v>41517</v>
      </c>
      <c r="L6" s="221">
        <f t="shared" si="2"/>
        <v>41882.25</v>
      </c>
      <c r="M6" s="221">
        <f t="shared" si="2"/>
        <v>42247.5</v>
      </c>
      <c r="N6" s="221">
        <f t="shared" si="2"/>
        <v>42612.75</v>
      </c>
      <c r="O6" s="221">
        <f t="shared" si="2"/>
        <v>42978</v>
      </c>
      <c r="P6" s="221"/>
      <c r="Q6" s="1508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</row>
    <row r="7" spans="1:28" ht="13.5" hidden="1" customHeight="1">
      <c r="A7" s="1"/>
      <c r="B7" s="1653" t="s">
        <v>487</v>
      </c>
      <c r="C7" s="222" t="e">
        <f>사업검토!#REF!</f>
        <v>#REF!</v>
      </c>
      <c r="D7" s="223"/>
      <c r="E7" s="53" t="e">
        <f t="shared" ref="E7:E8" si="3">SUM(F7:M7)</f>
        <v>#REF!</v>
      </c>
      <c r="F7" s="54" t="e">
        <f>SUM(사업검토!#REF!)</f>
        <v>#REF!</v>
      </c>
      <c r="G7" s="54" t="e">
        <f>SUM(사업검토!#REF!)</f>
        <v>#REF!</v>
      </c>
      <c r="H7" s="54" t="e">
        <f>SUM(사업검토!#REF!)</f>
        <v>#REF!</v>
      </c>
      <c r="I7" s="54" t="e">
        <f>SUM(사업검토!#REF!)</f>
        <v>#REF!</v>
      </c>
      <c r="J7" s="54" t="e">
        <f>SUM(사업검토!#REF!)</f>
        <v>#REF!</v>
      </c>
      <c r="K7" s="54"/>
      <c r="L7" s="54"/>
      <c r="M7" s="54"/>
      <c r="N7" s="54"/>
      <c r="O7" s="54"/>
      <c r="P7" s="54"/>
      <c r="Q7" s="55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3.5" hidden="1" customHeight="1">
      <c r="A8" s="1"/>
      <c r="B8" s="1532"/>
      <c r="C8" s="224" t="e">
        <f>사업검토!#REF!</f>
        <v>#REF!</v>
      </c>
      <c r="D8" s="223"/>
      <c r="E8" s="53" t="e">
        <f t="shared" si="3"/>
        <v>#REF!</v>
      </c>
      <c r="F8" s="54" t="e">
        <f>SUM(사업검토!#REF!)</f>
        <v>#REF!</v>
      </c>
      <c r="G8" s="54" t="e">
        <f>SUM(사업검토!#REF!)</f>
        <v>#REF!</v>
      </c>
      <c r="H8" s="54" t="e">
        <f>SUM(사업검토!#REF!)</f>
        <v>#REF!</v>
      </c>
      <c r="I8" s="54" t="e">
        <f>SUM(사업검토!#REF!)</f>
        <v>#REF!</v>
      </c>
      <c r="J8" s="54" t="e">
        <f>SUM(사업검토!#REF!)</f>
        <v>#REF!</v>
      </c>
      <c r="K8" s="54"/>
      <c r="L8" s="54"/>
      <c r="M8" s="54"/>
      <c r="N8" s="54"/>
      <c r="O8" s="54"/>
      <c r="P8" s="54"/>
      <c r="Q8" s="55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3.5" customHeight="1">
      <c r="A9" s="1"/>
      <c r="B9" s="1532"/>
      <c r="C9" s="214" t="s">
        <v>462</v>
      </c>
      <c r="D9" s="223"/>
      <c r="E9" s="53">
        <v>215720213.18610215</v>
      </c>
      <c r="F9" s="54">
        <v>0</v>
      </c>
      <c r="G9" s="54">
        <v>0</v>
      </c>
      <c r="H9" s="54">
        <v>0</v>
      </c>
      <c r="I9" s="54">
        <v>215720213.18610215</v>
      </c>
      <c r="J9" s="54">
        <v>0</v>
      </c>
      <c r="K9" s="54"/>
      <c r="L9" s="54"/>
      <c r="M9" s="54"/>
      <c r="N9" s="54"/>
      <c r="O9" s="54"/>
      <c r="P9" s="54"/>
      <c r="Q9" s="225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3.5" customHeight="1">
      <c r="A10" s="1"/>
      <c r="B10" s="1532"/>
      <c r="C10" s="214" t="s">
        <v>463</v>
      </c>
      <c r="D10" s="223"/>
      <c r="E10" s="53">
        <v>43200910.813340217</v>
      </c>
      <c r="F10" s="54">
        <v>0</v>
      </c>
      <c r="G10" s="54">
        <v>0</v>
      </c>
      <c r="H10" s="54">
        <v>0</v>
      </c>
      <c r="I10" s="54">
        <v>43200910.813340217</v>
      </c>
      <c r="J10" s="54">
        <v>0</v>
      </c>
      <c r="K10" s="54"/>
      <c r="L10" s="54"/>
      <c r="M10" s="54"/>
      <c r="N10" s="54"/>
      <c r="O10" s="54"/>
      <c r="P10" s="54"/>
      <c r="Q10" s="225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3.5" hidden="1" customHeight="1">
      <c r="A11" s="1"/>
      <c r="B11" s="1532"/>
      <c r="C11" s="214" t="e">
        <f>사업검토!#REF!</f>
        <v>#REF!</v>
      </c>
      <c r="D11" s="223"/>
      <c r="E11" s="53">
        <v>0</v>
      </c>
      <c r="F11" s="54">
        <v>0</v>
      </c>
      <c r="G11" s="54">
        <v>0</v>
      </c>
      <c r="H11" s="54">
        <v>0</v>
      </c>
      <c r="I11" s="54">
        <v>0</v>
      </c>
      <c r="J11" s="54">
        <v>0</v>
      </c>
      <c r="K11" s="54"/>
      <c r="L11" s="54"/>
      <c r="M11" s="54"/>
      <c r="N11" s="54"/>
      <c r="O11" s="54"/>
      <c r="P11" s="54"/>
      <c r="Q11" s="225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3.5" hidden="1" customHeight="1">
      <c r="A12" s="1"/>
      <c r="B12" s="1532"/>
      <c r="C12" s="214" t="e">
        <f>사업검토!#REF!</f>
        <v>#REF!</v>
      </c>
      <c r="D12" s="223"/>
      <c r="E12" s="53">
        <v>0</v>
      </c>
      <c r="F12" s="54">
        <v>0</v>
      </c>
      <c r="G12" s="54">
        <v>0</v>
      </c>
      <c r="H12" s="54">
        <v>0</v>
      </c>
      <c r="I12" s="54">
        <v>0</v>
      </c>
      <c r="J12" s="54">
        <v>0</v>
      </c>
      <c r="K12" s="54"/>
      <c r="L12" s="54"/>
      <c r="M12" s="54"/>
      <c r="N12" s="54"/>
      <c r="O12" s="54"/>
      <c r="P12" s="54"/>
      <c r="Q12" s="225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3.5" customHeight="1">
      <c r="A13" s="1"/>
      <c r="B13" s="1508"/>
      <c r="C13" s="214" t="s">
        <v>458</v>
      </c>
      <c r="D13" s="223"/>
      <c r="E13" s="53">
        <v>258921123.99944237</v>
      </c>
      <c r="F13" s="54">
        <v>0</v>
      </c>
      <c r="G13" s="54">
        <v>0</v>
      </c>
      <c r="H13" s="54">
        <v>0</v>
      </c>
      <c r="I13" s="54">
        <v>258921123.99944237</v>
      </c>
      <c r="J13" s="54">
        <v>0</v>
      </c>
      <c r="K13" s="54"/>
      <c r="L13" s="54"/>
      <c r="M13" s="54"/>
      <c r="N13" s="54"/>
      <c r="O13" s="54"/>
      <c r="P13" s="54"/>
      <c r="Q13" s="225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3.5" customHeight="1">
      <c r="A14" s="1"/>
      <c r="B14" s="1621" t="s">
        <v>488</v>
      </c>
      <c r="C14" s="1492"/>
      <c r="D14" s="223"/>
      <c r="E14" s="53">
        <v>12946056.199972093</v>
      </c>
      <c r="F14" s="54">
        <v>0</v>
      </c>
      <c r="G14" s="54">
        <v>0</v>
      </c>
      <c r="H14" s="54">
        <v>0</v>
      </c>
      <c r="I14" s="54">
        <v>12946056.199972093</v>
      </c>
      <c r="J14" s="54">
        <v>0</v>
      </c>
      <c r="K14" s="54"/>
      <c r="L14" s="54"/>
      <c r="M14" s="54"/>
      <c r="N14" s="54"/>
      <c r="O14" s="54"/>
      <c r="P14" s="54"/>
      <c r="Q14" s="225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3.5" customHeight="1">
      <c r="A15" s="1"/>
      <c r="B15" s="1621" t="s">
        <v>489</v>
      </c>
      <c r="C15" s="1492"/>
      <c r="D15" s="223"/>
      <c r="E15" s="53">
        <v>0</v>
      </c>
      <c r="F15" s="54">
        <v>0</v>
      </c>
      <c r="G15" s="54">
        <v>0</v>
      </c>
      <c r="H15" s="54">
        <v>0</v>
      </c>
      <c r="I15" s="54">
        <v>0</v>
      </c>
      <c r="J15" s="54">
        <v>0</v>
      </c>
      <c r="K15" s="54"/>
      <c r="L15" s="54"/>
      <c r="M15" s="54"/>
      <c r="N15" s="54"/>
      <c r="O15" s="54"/>
      <c r="P15" s="54"/>
      <c r="Q15" s="225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4.75" customHeight="1">
      <c r="A16" s="1"/>
      <c r="B16" s="1621" t="s">
        <v>490</v>
      </c>
      <c r="C16" s="1492"/>
      <c r="D16" s="223"/>
      <c r="E16" s="53">
        <v>245975067.79947028</v>
      </c>
      <c r="F16" s="58">
        <v>0</v>
      </c>
      <c r="G16" s="58">
        <v>0</v>
      </c>
      <c r="H16" s="58">
        <v>0</v>
      </c>
      <c r="I16" s="58">
        <v>245975067.79947028</v>
      </c>
      <c r="J16" s="58">
        <v>0</v>
      </c>
      <c r="K16" s="215"/>
      <c r="L16" s="215"/>
      <c r="M16" s="215"/>
      <c r="N16" s="215"/>
      <c r="O16" s="215"/>
      <c r="P16" s="215"/>
      <c r="Q16" s="226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3.5" customHeight="1">
      <c r="A17" s="1"/>
      <c r="B17" s="1653" t="s">
        <v>468</v>
      </c>
      <c r="C17" s="214" t="s">
        <v>469</v>
      </c>
      <c r="D17" s="223"/>
      <c r="E17" s="53">
        <v>-124307590.40000001</v>
      </c>
      <c r="F17" s="54">
        <v>-9636122.062946666</v>
      </c>
      <c r="G17" s="54">
        <v>-114671468.33705334</v>
      </c>
      <c r="H17" s="54">
        <v>0</v>
      </c>
      <c r="I17" s="54">
        <v>0</v>
      </c>
      <c r="J17" s="54">
        <v>0</v>
      </c>
      <c r="K17" s="54"/>
      <c r="L17" s="54"/>
      <c r="M17" s="54"/>
      <c r="N17" s="54"/>
      <c r="O17" s="54"/>
      <c r="P17" s="54"/>
      <c r="Q17" s="227" t="s">
        <v>491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.5" customHeight="1">
      <c r="A18" s="1"/>
      <c r="B18" s="1532"/>
      <c r="C18" s="214" t="s">
        <v>470</v>
      </c>
      <c r="D18" s="223"/>
      <c r="E18" s="53">
        <v>-52413867.056203574</v>
      </c>
      <c r="F18" s="54">
        <v>0</v>
      </c>
      <c r="G18" s="54">
        <v>-6390637.2639868958</v>
      </c>
      <c r="H18" s="54">
        <v>-23204511.132830027</v>
      </c>
      <c r="I18" s="54">
        <v>-22818718.65938665</v>
      </c>
      <c r="J18" s="54">
        <v>0</v>
      </c>
      <c r="K18" s="54"/>
      <c r="L18" s="54"/>
      <c r="M18" s="54"/>
      <c r="N18" s="54"/>
      <c r="O18" s="54"/>
      <c r="P18" s="54"/>
      <c r="Q18" s="227" t="s">
        <v>492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3.5" customHeight="1">
      <c r="A19" s="1"/>
      <c r="B19" s="1532"/>
      <c r="C19" s="214" t="s">
        <v>471</v>
      </c>
      <c r="D19" s="223"/>
      <c r="E19" s="53">
        <v>-2200829.5539952605</v>
      </c>
      <c r="F19" s="54">
        <v>-129460.56199972121</v>
      </c>
      <c r="G19" s="54">
        <v>-1359335.9009970729</v>
      </c>
      <c r="H19" s="54">
        <v>-291286.26449937269</v>
      </c>
      <c r="I19" s="54">
        <v>-420746.82649909391</v>
      </c>
      <c r="J19" s="54">
        <v>0</v>
      </c>
      <c r="K19" s="54"/>
      <c r="L19" s="54"/>
      <c r="M19" s="54"/>
      <c r="N19" s="54"/>
      <c r="O19" s="54"/>
      <c r="P19" s="54"/>
      <c r="Q19" s="227" t="s">
        <v>493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.5" customHeight="1">
      <c r="A20" s="1"/>
      <c r="B20" s="1532"/>
      <c r="C20" s="214" t="s">
        <v>472</v>
      </c>
      <c r="D20" s="223"/>
      <c r="E20" s="53">
        <v>-2459750.6779947029</v>
      </c>
      <c r="F20" s="54">
        <v>0</v>
      </c>
      <c r="G20" s="54">
        <v>0</v>
      </c>
      <c r="H20" s="54">
        <v>0</v>
      </c>
      <c r="I20" s="54">
        <v>-2459750.6779947029</v>
      </c>
      <c r="J20" s="54">
        <v>0</v>
      </c>
      <c r="K20" s="54"/>
      <c r="L20" s="54"/>
      <c r="M20" s="54"/>
      <c r="N20" s="54"/>
      <c r="O20" s="54"/>
      <c r="P20" s="54"/>
      <c r="Q20" s="227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3.5" customHeight="1">
      <c r="A21" s="1"/>
      <c r="B21" s="1532"/>
      <c r="C21" s="214" t="s">
        <v>473</v>
      </c>
      <c r="D21" s="223"/>
      <c r="E21" s="53">
        <v>-36520221.069404781</v>
      </c>
      <c r="F21" s="54">
        <v>-2702.7027027027025</v>
      </c>
      <c r="G21" s="54">
        <v>-11100427.978364239</v>
      </c>
      <c r="H21" s="54">
        <v>-9820607.6064534578</v>
      </c>
      <c r="I21" s="54">
        <v>-15596482.781884376</v>
      </c>
      <c r="J21" s="54">
        <v>0</v>
      </c>
      <c r="K21" s="54"/>
      <c r="L21" s="54"/>
      <c r="M21" s="54"/>
      <c r="N21" s="54"/>
      <c r="O21" s="54"/>
      <c r="P21" s="54"/>
      <c r="Q21" s="227" t="s">
        <v>494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3.5" customHeight="1">
      <c r="A22" s="1"/>
      <c r="B22" s="1532"/>
      <c r="C22" s="214" t="s">
        <v>474</v>
      </c>
      <c r="D22" s="223"/>
      <c r="E22" s="53">
        <v>-1000000.0000000005</v>
      </c>
      <c r="F22" s="54">
        <v>-27027.027027027027</v>
      </c>
      <c r="G22" s="54">
        <v>-324324.32432432444</v>
      </c>
      <c r="H22" s="54">
        <v>-324324.32432432444</v>
      </c>
      <c r="I22" s="54">
        <v>-324324.32432432444</v>
      </c>
      <c r="J22" s="54">
        <v>0</v>
      </c>
      <c r="K22" s="54"/>
      <c r="L22" s="54"/>
      <c r="M22" s="54"/>
      <c r="N22" s="54"/>
      <c r="O22" s="54"/>
      <c r="P22" s="54"/>
      <c r="Q22" s="227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3.5" hidden="1" customHeight="1">
      <c r="A23" s="1"/>
      <c r="B23" s="1532"/>
      <c r="C23" s="214" t="s">
        <v>458</v>
      </c>
      <c r="D23" s="223"/>
      <c r="E23" s="53">
        <v>-218902258.75759828</v>
      </c>
      <c r="F23" s="54">
        <v>-9795312.3546761181</v>
      </c>
      <c r="G23" s="54">
        <v>-133846193.80472586</v>
      </c>
      <c r="H23" s="54">
        <v>-33640729.328107178</v>
      </c>
      <c r="I23" s="54">
        <v>-41620023.270089135</v>
      </c>
      <c r="J23" s="54">
        <v>0</v>
      </c>
      <c r="K23" s="54"/>
      <c r="L23" s="54"/>
      <c r="M23" s="54"/>
      <c r="N23" s="54"/>
      <c r="O23" s="54"/>
      <c r="P23" s="54"/>
      <c r="Q23" s="227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3.5" customHeight="1">
      <c r="A24" s="1"/>
      <c r="B24" s="1532"/>
      <c r="C24" s="214" t="s">
        <v>475</v>
      </c>
      <c r="D24" s="223"/>
      <c r="E24" s="53">
        <v>-7146350.6816562293</v>
      </c>
      <c r="F24" s="54">
        <v>-30610.351108362869</v>
      </c>
      <c r="G24" s="54">
        <v>-1358268.9571689602</v>
      </c>
      <c r="H24" s="54">
        <v>-2365453.2683104784</v>
      </c>
      <c r="I24" s="54">
        <v>-3392018.1050684275</v>
      </c>
      <c r="J24" s="54">
        <v>0</v>
      </c>
      <c r="K24" s="54"/>
      <c r="L24" s="54"/>
      <c r="M24" s="54"/>
      <c r="N24" s="54"/>
      <c r="O24" s="54"/>
      <c r="P24" s="54"/>
      <c r="Q24" s="227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3.5" customHeight="1">
      <c r="A25" s="1"/>
      <c r="B25" s="1532"/>
      <c r="C25" s="214" t="s">
        <v>476</v>
      </c>
      <c r="D25" s="223"/>
      <c r="E25" s="53">
        <v>-3689626.0169920539</v>
      </c>
      <c r="F25" s="54">
        <v>-99719.62208086632</v>
      </c>
      <c r="G25" s="54">
        <v>-1196635.4649703959</v>
      </c>
      <c r="H25" s="54">
        <v>-1196635.4649703959</v>
      </c>
      <c r="I25" s="54">
        <v>-1196635.4649703959</v>
      </c>
      <c r="J25" s="54">
        <v>0</v>
      </c>
      <c r="K25" s="54"/>
      <c r="L25" s="54"/>
      <c r="M25" s="54"/>
      <c r="N25" s="54"/>
      <c r="O25" s="54"/>
      <c r="P25" s="54"/>
      <c r="Q25" s="227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4.75" customHeight="1">
      <c r="A26" s="1"/>
      <c r="B26" s="1508"/>
      <c r="C26" s="214" t="s">
        <v>466</v>
      </c>
      <c r="D26" s="223"/>
      <c r="E26" s="53">
        <v>-229738235.45624658</v>
      </c>
      <c r="F26" s="53">
        <v>-9925642.3278653473</v>
      </c>
      <c r="G26" s="53">
        <v>-136401098.22686523</v>
      </c>
      <c r="H26" s="53">
        <v>-37202818.061388053</v>
      </c>
      <c r="I26" s="53">
        <v>-46208676.84012796</v>
      </c>
      <c r="J26" s="53">
        <v>0</v>
      </c>
      <c r="K26" s="228"/>
      <c r="L26" s="228"/>
      <c r="M26" s="228"/>
      <c r="N26" s="228"/>
      <c r="O26" s="228"/>
      <c r="P26" s="228"/>
      <c r="Q26" s="229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3.5" customHeight="1">
      <c r="A27" s="1"/>
      <c r="B27" s="1623" t="s">
        <v>380</v>
      </c>
      <c r="C27" s="1620" t="s">
        <v>380</v>
      </c>
      <c r="D27" s="214" t="s">
        <v>469</v>
      </c>
      <c r="E27" s="53">
        <v>103283877.93705334</v>
      </c>
      <c r="F27" s="54">
        <v>0</v>
      </c>
      <c r="G27" s="54">
        <v>103283877.93705334</v>
      </c>
      <c r="H27" s="54">
        <v>0</v>
      </c>
      <c r="I27" s="54">
        <v>0</v>
      </c>
      <c r="J27" s="54">
        <v>0</v>
      </c>
      <c r="K27" s="54"/>
      <c r="L27" s="54"/>
      <c r="M27" s="54"/>
      <c r="N27" s="54"/>
      <c r="O27" s="54"/>
      <c r="P27" s="54"/>
      <c r="Q27" s="22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3.5" customHeight="1">
      <c r="A28" s="1"/>
      <c r="B28" s="1520"/>
      <c r="C28" s="1520"/>
      <c r="D28" s="214" t="s">
        <v>495</v>
      </c>
      <c r="E28" s="53">
        <v>52218532.701507971</v>
      </c>
      <c r="F28" s="54">
        <v>0</v>
      </c>
      <c r="G28" s="54">
        <v>16203519.909555303</v>
      </c>
      <c r="H28" s="54">
        <v>17670383.709339581</v>
      </c>
      <c r="I28" s="54">
        <v>18344629.082613092</v>
      </c>
      <c r="J28" s="54">
        <v>0</v>
      </c>
      <c r="K28" s="54"/>
      <c r="L28" s="54"/>
      <c r="M28" s="54"/>
      <c r="N28" s="54"/>
      <c r="O28" s="54"/>
      <c r="P28" s="54"/>
      <c r="Q28" s="227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3.5" customHeight="1">
      <c r="A29" s="1"/>
      <c r="B29" s="1520"/>
      <c r="C29" s="1500"/>
      <c r="D29" s="216" t="s">
        <v>458</v>
      </c>
      <c r="E29" s="53">
        <v>155502410.63856131</v>
      </c>
      <c r="F29" s="54">
        <v>0</v>
      </c>
      <c r="G29" s="54">
        <v>119487397.84660864</v>
      </c>
      <c r="H29" s="54">
        <v>17670383.709339581</v>
      </c>
      <c r="I29" s="54">
        <v>18344629.082613092</v>
      </c>
      <c r="J29" s="54">
        <v>0</v>
      </c>
      <c r="K29" s="54"/>
      <c r="L29" s="54"/>
      <c r="M29" s="54"/>
      <c r="N29" s="54"/>
      <c r="O29" s="54"/>
      <c r="P29" s="54"/>
      <c r="Q29" s="227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3.5" hidden="1" customHeight="1">
      <c r="A30" s="1"/>
      <c r="B30" s="1520"/>
      <c r="C30" s="1620" t="s">
        <v>496</v>
      </c>
      <c r="D30" s="230" t="s">
        <v>469</v>
      </c>
      <c r="E30" s="53">
        <v>0</v>
      </c>
      <c r="F30" s="54">
        <v>0</v>
      </c>
      <c r="G30" s="54">
        <v>0</v>
      </c>
      <c r="H30" s="54">
        <v>0</v>
      </c>
      <c r="I30" s="54">
        <v>0</v>
      </c>
      <c r="J30" s="54">
        <v>0</v>
      </c>
      <c r="K30" s="54"/>
      <c r="L30" s="54"/>
      <c r="M30" s="54"/>
      <c r="N30" s="54"/>
      <c r="O30" s="54"/>
      <c r="P30" s="54"/>
      <c r="Q30" s="227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3.5" hidden="1" customHeight="1">
      <c r="A31" s="1"/>
      <c r="B31" s="1520"/>
      <c r="C31" s="1520"/>
      <c r="D31" s="230" t="s">
        <v>495</v>
      </c>
      <c r="E31" s="53">
        <v>0</v>
      </c>
      <c r="F31" s="54">
        <v>0</v>
      </c>
      <c r="G31" s="54">
        <v>0</v>
      </c>
      <c r="H31" s="54">
        <v>0</v>
      </c>
      <c r="I31" s="54">
        <v>0</v>
      </c>
      <c r="J31" s="54">
        <v>0</v>
      </c>
      <c r="K31" s="54"/>
      <c r="L31" s="54"/>
      <c r="M31" s="54"/>
      <c r="N31" s="54"/>
      <c r="O31" s="54"/>
      <c r="P31" s="54"/>
      <c r="Q31" s="227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3.5" hidden="1" customHeight="1">
      <c r="A32" s="1"/>
      <c r="B32" s="1520"/>
      <c r="C32" s="1500"/>
      <c r="D32" s="216" t="s">
        <v>458</v>
      </c>
      <c r="E32" s="53">
        <v>0</v>
      </c>
      <c r="F32" s="54">
        <v>0</v>
      </c>
      <c r="G32" s="54">
        <v>0</v>
      </c>
      <c r="H32" s="54">
        <v>0</v>
      </c>
      <c r="I32" s="54">
        <v>0</v>
      </c>
      <c r="J32" s="54">
        <v>0</v>
      </c>
      <c r="K32" s="54"/>
      <c r="L32" s="54"/>
      <c r="M32" s="54"/>
      <c r="N32" s="54"/>
      <c r="O32" s="54"/>
      <c r="P32" s="54"/>
      <c r="Q32" s="22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3.5" customHeight="1">
      <c r="A33" s="1"/>
      <c r="B33" s="1500"/>
      <c r="C33" s="214" t="s">
        <v>497</v>
      </c>
      <c r="D33" s="223"/>
      <c r="E33" s="53">
        <v>-155502410.63856134</v>
      </c>
      <c r="F33" s="54">
        <v>0</v>
      </c>
      <c r="G33" s="54">
        <v>0</v>
      </c>
      <c r="H33" s="54">
        <v>0</v>
      </c>
      <c r="I33" s="54">
        <v>-155502410.63856134</v>
      </c>
      <c r="J33" s="54"/>
      <c r="K33" s="54"/>
      <c r="L33" s="54"/>
      <c r="M33" s="54"/>
      <c r="N33" s="54"/>
      <c r="O33" s="54"/>
      <c r="P33" s="54"/>
      <c r="Q33" s="22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9.5" customHeight="1">
      <c r="A34" s="1"/>
      <c r="B34" s="231" t="s">
        <v>459</v>
      </c>
      <c r="C34" s="232"/>
      <c r="D34" s="223"/>
      <c r="E34" s="53">
        <v>-67578575.639344901</v>
      </c>
      <c r="F34" s="54">
        <v>-9925642.3278653473</v>
      </c>
      <c r="G34" s="54">
        <v>-16913700.380256586</v>
      </c>
      <c r="H34" s="54">
        <v>-19532434.352048468</v>
      </c>
      <c r="I34" s="54">
        <v>-21206798.579174511</v>
      </c>
      <c r="J34" s="54">
        <v>0</v>
      </c>
      <c r="K34" s="54"/>
      <c r="L34" s="54"/>
      <c r="M34" s="54"/>
      <c r="N34" s="54"/>
      <c r="O34" s="54"/>
      <c r="P34" s="54"/>
      <c r="Q34" s="22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4.75" customHeight="1">
      <c r="A35" s="1"/>
      <c r="B35" s="1621" t="s">
        <v>388</v>
      </c>
      <c r="C35" s="1492"/>
      <c r="D35" s="1491"/>
      <c r="E35" s="53">
        <v>16236832.343223669</v>
      </c>
      <c r="F35" s="53">
        <v>-9925642.3278653473</v>
      </c>
      <c r="G35" s="53">
        <v>-16913700.380256586</v>
      </c>
      <c r="H35" s="53">
        <v>-19532434.352048468</v>
      </c>
      <c r="I35" s="53">
        <v>62608609.403394066</v>
      </c>
      <c r="J35" s="53">
        <v>0</v>
      </c>
      <c r="K35" s="228"/>
      <c r="L35" s="228"/>
      <c r="M35" s="228"/>
      <c r="N35" s="228"/>
      <c r="O35" s="228"/>
      <c r="P35" s="228"/>
      <c r="Q35" s="229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33" customHeight="1">
      <c r="A37" s="1"/>
      <c r="B37" s="1634" t="s">
        <v>354</v>
      </c>
      <c r="C37" s="1492"/>
      <c r="D37" s="1491"/>
      <c r="E37" s="63">
        <f>IRR(F35:N35)</f>
        <v>0.17703792032307542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4.75" customHeight="1">
      <c r="A39" s="64"/>
      <c r="B39" s="45" t="s">
        <v>389</v>
      </c>
      <c r="C39" s="65"/>
      <c r="D39" s="65"/>
      <c r="E39" s="65"/>
      <c r="F39" s="65"/>
      <c r="G39" s="65"/>
      <c r="H39" s="65"/>
      <c r="I39" s="65"/>
      <c r="J39" s="64"/>
      <c r="K39" s="64"/>
      <c r="L39" s="66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</row>
    <row r="40" spans="1:28" ht="13.5" customHeight="1">
      <c r="A40" s="64"/>
      <c r="B40" s="65"/>
      <c r="C40" s="65"/>
      <c r="D40" s="65"/>
      <c r="E40" s="65"/>
      <c r="F40" s="65"/>
      <c r="G40" s="65"/>
      <c r="H40" s="65"/>
      <c r="I40" s="67"/>
      <c r="J40" s="64"/>
      <c r="K40" s="64"/>
      <c r="L40" s="66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</row>
    <row r="41" spans="1:28" ht="13.5" customHeight="1">
      <c r="A41" s="64"/>
      <c r="B41" s="68" t="s">
        <v>390</v>
      </c>
      <c r="C41" s="65"/>
      <c r="D41" s="65"/>
      <c r="E41" s="65"/>
      <c r="F41" s="65"/>
      <c r="G41" s="65"/>
      <c r="H41" s="67"/>
      <c r="I41" s="68" t="s">
        <v>391</v>
      </c>
      <c r="J41" s="65"/>
      <c r="K41" s="65"/>
      <c r="L41" s="65"/>
      <c r="M41" s="65"/>
      <c r="N41" s="65"/>
      <c r="O41" s="65"/>
      <c r="P41" s="65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</row>
    <row r="42" spans="1:28" ht="13.5" customHeight="1">
      <c r="A42" s="64"/>
      <c r="B42" s="65"/>
      <c r="C42" s="65"/>
      <c r="D42" s="65"/>
      <c r="E42" s="65"/>
      <c r="F42" s="65"/>
      <c r="G42" s="65"/>
      <c r="H42" s="67"/>
      <c r="I42" s="65"/>
      <c r="J42" s="65"/>
      <c r="K42" s="65"/>
      <c r="L42" s="65"/>
      <c r="M42" s="65"/>
      <c r="N42" s="65"/>
      <c r="O42" s="65"/>
      <c r="P42" s="65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</row>
    <row r="43" spans="1:28" ht="13.5" customHeight="1">
      <c r="A43" s="64"/>
      <c r="B43" s="69" t="s">
        <v>392</v>
      </c>
      <c r="C43" s="70"/>
      <c r="D43" s="1399"/>
      <c r="E43" s="1400" t="s">
        <v>393</v>
      </c>
      <c r="F43" s="1399"/>
      <c r="G43" s="1401"/>
      <c r="H43" s="65"/>
      <c r="I43" s="69" t="s">
        <v>392</v>
      </c>
      <c r="J43" s="70"/>
      <c r="K43" s="1399"/>
      <c r="L43" s="1400" t="s">
        <v>373</v>
      </c>
      <c r="M43" s="1399"/>
      <c r="N43" s="1401"/>
      <c r="O43" s="233"/>
      <c r="P43" s="233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</row>
    <row r="44" spans="1:28" ht="13.5" customHeight="1">
      <c r="A44" s="64"/>
      <c r="B44" s="1402">
        <f>$E$37</f>
        <v>0.17703792032307542</v>
      </c>
      <c r="C44" s="71">
        <f t="shared" ref="C44:D44" si="4">D44-500</f>
        <v>10000</v>
      </c>
      <c r="D44" s="71">
        <f t="shared" si="4"/>
        <v>10500</v>
      </c>
      <c r="E44" s="1403">
        <v>11000</v>
      </c>
      <c r="F44" s="71">
        <f t="shared" ref="F44:G44" si="5">E44+500</f>
        <v>11500</v>
      </c>
      <c r="G44" s="71">
        <f t="shared" si="5"/>
        <v>12000</v>
      </c>
      <c r="H44" s="65"/>
      <c r="I44" s="1402">
        <f>$E$37</f>
        <v>0.17703792032307542</v>
      </c>
      <c r="J44" s="71">
        <f t="shared" ref="J44:K44" si="6">K44-500</f>
        <v>4000</v>
      </c>
      <c r="K44" s="71">
        <f t="shared" si="6"/>
        <v>4500</v>
      </c>
      <c r="L44" s="1403">
        <v>5000</v>
      </c>
      <c r="M44" s="71">
        <f t="shared" ref="M44:N44" si="7">L44+500</f>
        <v>5500</v>
      </c>
      <c r="N44" s="71">
        <f t="shared" si="7"/>
        <v>6000</v>
      </c>
      <c r="O44" s="234"/>
      <c r="P44" s="23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</row>
    <row r="45" spans="1:28" ht="13.5" customHeight="1">
      <c r="A45" s="64"/>
      <c r="B45" s="1404">
        <f t="shared" ref="B45:B46" si="8">B46-1000000</f>
        <v>15000000</v>
      </c>
      <c r="C45" s="1405"/>
      <c r="D45" s="72"/>
      <c r="E45" s="1406"/>
      <c r="F45" s="72"/>
      <c r="G45" s="1407"/>
      <c r="H45" s="65"/>
      <c r="I45" s="1404">
        <f t="shared" ref="I45:I46" si="9">I46-1000000</f>
        <v>15000000</v>
      </c>
      <c r="J45" s="1405"/>
      <c r="K45" s="72"/>
      <c r="L45" s="1406"/>
      <c r="M45" s="72"/>
      <c r="N45" s="1407"/>
      <c r="O45" s="74"/>
      <c r="P45" s="7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</row>
    <row r="46" spans="1:28" ht="13.5" customHeight="1">
      <c r="A46" s="64"/>
      <c r="B46" s="1404">
        <f t="shared" si="8"/>
        <v>16000000</v>
      </c>
      <c r="C46" s="1408"/>
      <c r="D46" s="73"/>
      <c r="E46" s="1409"/>
      <c r="F46" s="73"/>
      <c r="G46" s="1410"/>
      <c r="H46" s="65"/>
      <c r="I46" s="1404">
        <f t="shared" si="9"/>
        <v>16000000</v>
      </c>
      <c r="J46" s="1408"/>
      <c r="K46" s="73"/>
      <c r="L46" s="1409"/>
      <c r="M46" s="73"/>
      <c r="N46" s="1410"/>
      <c r="O46" s="74"/>
      <c r="P46" s="74"/>
      <c r="Q46" s="64"/>
      <c r="R46" s="64"/>
      <c r="S46" s="64"/>
      <c r="T46" s="1"/>
      <c r="U46" s="1"/>
      <c r="V46" s="1"/>
      <c r="W46" s="1"/>
      <c r="X46" s="1"/>
      <c r="Y46" s="1"/>
      <c r="Z46" s="1"/>
      <c r="AA46" s="1"/>
      <c r="AB46" s="1"/>
    </row>
    <row r="47" spans="1:28" ht="13.5" customHeight="1">
      <c r="A47" s="64"/>
      <c r="B47" s="1404">
        <v>17000000</v>
      </c>
      <c r="C47" s="1408"/>
      <c r="D47" s="73"/>
      <c r="E47" s="1411"/>
      <c r="F47" s="73"/>
      <c r="G47" s="1410"/>
      <c r="H47" s="65"/>
      <c r="I47" s="1404">
        <v>17000000</v>
      </c>
      <c r="J47" s="1408"/>
      <c r="K47" s="73"/>
      <c r="L47" s="1411"/>
      <c r="M47" s="73"/>
      <c r="N47" s="1410"/>
      <c r="O47" s="74"/>
      <c r="P47" s="74"/>
      <c r="Q47" s="64"/>
      <c r="R47" s="64"/>
      <c r="S47" s="64"/>
      <c r="T47" s="77" t="s">
        <v>498</v>
      </c>
      <c r="U47" s="1"/>
      <c r="V47" s="1"/>
      <c r="W47" s="1"/>
      <c r="X47" s="1"/>
      <c r="Y47" s="1"/>
      <c r="Z47" s="64"/>
      <c r="AA47" s="64"/>
      <c r="AB47" s="64"/>
    </row>
    <row r="48" spans="1:28" ht="15" customHeight="1">
      <c r="A48" s="64"/>
      <c r="B48" s="1404">
        <f t="shared" ref="B48:B49" si="10">B47+1000000</f>
        <v>18000000</v>
      </c>
      <c r="C48" s="1408"/>
      <c r="D48" s="73"/>
      <c r="E48" s="1409"/>
      <c r="F48" s="73"/>
      <c r="G48" s="1410"/>
      <c r="H48" s="65"/>
      <c r="I48" s="1404">
        <f t="shared" ref="I48:I49" si="11">I47+1000000</f>
        <v>18000000</v>
      </c>
      <c r="J48" s="1408"/>
      <c r="K48" s="73"/>
      <c r="L48" s="1409"/>
      <c r="M48" s="73"/>
      <c r="N48" s="1410"/>
      <c r="O48" s="74"/>
      <c r="P48" s="74"/>
      <c r="Q48" s="64"/>
      <c r="R48" s="64"/>
      <c r="S48" s="64"/>
      <c r="T48" s="1"/>
      <c r="U48" s="1"/>
      <c r="V48" s="1"/>
      <c r="W48" s="1"/>
      <c r="X48" s="1"/>
      <c r="Y48" s="1"/>
      <c r="Z48" s="1"/>
      <c r="AA48" s="1"/>
      <c r="AB48" s="1"/>
    </row>
    <row r="49" spans="1:28" ht="19.5" customHeight="1">
      <c r="A49" s="64"/>
      <c r="B49" s="1404">
        <f t="shared" si="10"/>
        <v>19000000</v>
      </c>
      <c r="C49" s="1412"/>
      <c r="D49" s="75"/>
      <c r="E49" s="76"/>
      <c r="F49" s="75"/>
      <c r="G49" s="1413"/>
      <c r="H49" s="65"/>
      <c r="I49" s="1404">
        <f t="shared" si="11"/>
        <v>19000000</v>
      </c>
      <c r="J49" s="1412"/>
      <c r="K49" s="75"/>
      <c r="L49" s="76"/>
      <c r="M49" s="75"/>
      <c r="N49" s="1413"/>
      <c r="O49" s="74"/>
      <c r="P49" s="74"/>
      <c r="Q49" s="64"/>
      <c r="R49" s="64"/>
      <c r="S49" s="64"/>
      <c r="T49" s="235" t="s">
        <v>499</v>
      </c>
      <c r="U49" s="235" t="s">
        <v>500</v>
      </c>
      <c r="V49" s="235" t="s">
        <v>501</v>
      </c>
      <c r="W49" s="235" t="s">
        <v>502</v>
      </c>
      <c r="X49" s="236" t="s">
        <v>402</v>
      </c>
      <c r="Y49" s="1"/>
      <c r="Z49" s="1"/>
      <c r="AA49" s="1"/>
      <c r="AB49" s="64"/>
    </row>
    <row r="50" spans="1:28" ht="19.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81" t="e">
        <f>$B$55/0.3025</f>
        <v>#REF!</v>
      </c>
      <c r="U50" s="81" t="s">
        <v>503</v>
      </c>
      <c r="V50" s="1414">
        <v>0.05</v>
      </c>
      <c r="W50" s="1414">
        <v>0.03</v>
      </c>
      <c r="X50" s="1414">
        <v>0.05</v>
      </c>
      <c r="Y50" s="1"/>
      <c r="Z50" s="1"/>
      <c r="AA50" s="197" t="s">
        <v>483</v>
      </c>
      <c r="AB50" s="1"/>
    </row>
    <row r="51" spans="1:28" ht="25.5" customHeight="1">
      <c r="A51" s="1"/>
      <c r="B51" s="45" t="s">
        <v>394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654" t="s">
        <v>504</v>
      </c>
      <c r="U51" s="219" t="s">
        <v>363</v>
      </c>
      <c r="V51" s="220">
        <v>1</v>
      </c>
      <c r="W51" s="220">
        <f t="shared" ref="W51:Y51" si="12">V51+1</f>
        <v>2</v>
      </c>
      <c r="X51" s="220">
        <f t="shared" si="12"/>
        <v>3</v>
      </c>
      <c r="Y51" s="220">
        <f t="shared" si="12"/>
        <v>4</v>
      </c>
      <c r="Z51" s="237" t="s">
        <v>505</v>
      </c>
      <c r="AA51" s="237" t="s">
        <v>506</v>
      </c>
      <c r="AB51" s="64"/>
    </row>
    <row r="52" spans="1:28" ht="19.5" customHeight="1">
      <c r="A52" s="1"/>
      <c r="B52" s="77" t="s">
        <v>395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508"/>
      <c r="U52" s="238">
        <v>20</v>
      </c>
      <c r="V52" s="1454">
        <f t="shared" ref="V52:Y52" si="13">U52*(1+$V$50)</f>
        <v>21</v>
      </c>
      <c r="W52" s="1454">
        <f t="shared" si="13"/>
        <v>22.05</v>
      </c>
      <c r="X52" s="1454">
        <f t="shared" si="13"/>
        <v>23.152500000000003</v>
      </c>
      <c r="Y52" s="239">
        <f t="shared" si="13"/>
        <v>24.310125000000003</v>
      </c>
      <c r="Z52" s="1455">
        <v>8250000</v>
      </c>
      <c r="AA52" s="1455">
        <f>Z52/X50</f>
        <v>165000000</v>
      </c>
      <c r="AB52" s="1"/>
    </row>
    <row r="53" spans="1:28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64"/>
      <c r="U53" s="64"/>
      <c r="V53" s="64"/>
      <c r="W53" s="64"/>
      <c r="X53" s="64"/>
      <c r="Y53" s="64"/>
      <c r="Z53" s="64"/>
      <c r="AA53" s="64"/>
      <c r="AB53" s="64"/>
    </row>
    <row r="54" spans="1:28" ht="19.5" customHeight="1">
      <c r="A54" s="1"/>
      <c r="B54" s="78" t="s">
        <v>396</v>
      </c>
      <c r="C54" s="78" t="s">
        <v>397</v>
      </c>
      <c r="D54" s="78" t="s">
        <v>398</v>
      </c>
      <c r="E54" s="79" t="s">
        <v>399</v>
      </c>
      <c r="F54" s="78" t="s">
        <v>400</v>
      </c>
      <c r="G54" s="80" t="s">
        <v>401</v>
      </c>
      <c r="H54" s="80" t="s">
        <v>402</v>
      </c>
      <c r="I54" s="78" t="s">
        <v>403</v>
      </c>
      <c r="J54" s="80" t="s">
        <v>331</v>
      </c>
      <c r="K54" s="80" t="s">
        <v>404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98" t="e">
        <f>Y52*T50*12</f>
        <v>#REF!</v>
      </c>
      <c r="AA54" s="1"/>
      <c r="AB54" s="1"/>
    </row>
    <row r="55" spans="1:28" ht="13.5" customHeight="1">
      <c r="A55" s="1"/>
      <c r="B55" s="81" t="e">
        <f>#REF!</f>
        <v>#REF!</v>
      </c>
      <c r="C55" s="1414">
        <v>0.05</v>
      </c>
      <c r="D55" s="1414">
        <v>0.03</v>
      </c>
      <c r="E55" s="1415">
        <v>0.7</v>
      </c>
      <c r="F55" s="1416">
        <v>10000</v>
      </c>
      <c r="G55" s="1415">
        <v>0.3</v>
      </c>
      <c r="H55" s="1414">
        <v>0.05</v>
      </c>
      <c r="I55" s="1414">
        <v>0.12</v>
      </c>
      <c r="J55" s="1414">
        <v>6.5000000000000002E-2</v>
      </c>
      <c r="K55" s="1414">
        <v>5.2999999999999999E-2</v>
      </c>
      <c r="L55" s="1"/>
      <c r="M55" s="1"/>
      <c r="N55" s="1"/>
      <c r="O55" s="1"/>
      <c r="P55" s="1"/>
      <c r="Q55" s="1"/>
      <c r="R55" s="1"/>
      <c r="S55" s="1"/>
      <c r="T55" s="64"/>
      <c r="U55" s="64"/>
      <c r="V55" s="64"/>
      <c r="W55" s="64"/>
      <c r="X55" s="64"/>
      <c r="Y55" s="64"/>
      <c r="Z55" s="64"/>
      <c r="AA55" s="64"/>
      <c r="AB55" s="64"/>
    </row>
    <row r="56" spans="1:28" ht="13.5" hidden="1" customHeight="1">
      <c r="A56" s="1"/>
      <c r="B56" s="78"/>
      <c r="C56" s="78"/>
      <c r="D56" s="78"/>
      <c r="E56" s="79"/>
      <c r="F56" s="78"/>
      <c r="G56" s="80"/>
      <c r="H56" s="80"/>
      <c r="I56" s="78"/>
      <c r="J56" s="80"/>
      <c r="K56" s="8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.5" hidden="1" customHeight="1">
      <c r="A57" s="1"/>
      <c r="B57" s="1414"/>
      <c r="C57" s="1414"/>
      <c r="D57" s="1414"/>
      <c r="E57" s="1415"/>
      <c r="F57" s="1416"/>
      <c r="G57" s="1415"/>
      <c r="H57" s="1414"/>
      <c r="I57" s="1414"/>
      <c r="J57" s="1414"/>
      <c r="K57" s="1414"/>
      <c r="L57" s="1"/>
      <c r="M57" s="1"/>
      <c r="N57" s="1"/>
      <c r="O57" s="1"/>
      <c r="P57" s="1"/>
      <c r="Q57" s="1"/>
      <c r="R57" s="1"/>
      <c r="S57" s="1"/>
      <c r="T57" s="64"/>
      <c r="U57" s="64"/>
      <c r="V57" s="64"/>
      <c r="W57" s="64"/>
      <c r="X57" s="64"/>
      <c r="Y57" s="64"/>
      <c r="Z57" s="64"/>
      <c r="AA57" s="64"/>
      <c r="AB57" s="64"/>
    </row>
    <row r="58" spans="1:28" ht="15" customHeight="1">
      <c r="A58" s="1"/>
      <c r="B58" s="77"/>
      <c r="C58" s="1"/>
      <c r="D58" s="1"/>
      <c r="E58" s="1"/>
      <c r="F58" s="1"/>
      <c r="G58" s="1"/>
      <c r="H58" s="1"/>
      <c r="I58" s="1"/>
      <c r="J58" s="1"/>
      <c r="K58" s="1"/>
      <c r="L58" s="82"/>
      <c r="M58" s="82"/>
      <c r="N58" s="1"/>
      <c r="O58" s="1"/>
      <c r="P58" s="1"/>
      <c r="Q58" s="82" t="s">
        <v>405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25.5" customHeight="1">
      <c r="A59" s="1"/>
      <c r="B59" s="1624"/>
      <c r="C59" s="1625"/>
      <c r="D59" s="1499"/>
      <c r="E59" s="1628" t="s">
        <v>466</v>
      </c>
      <c r="F59" s="48" t="s">
        <v>363</v>
      </c>
      <c r="G59" s="49">
        <v>1</v>
      </c>
      <c r="H59" s="49">
        <f t="shared" ref="H59:O59" si="14">G59+1</f>
        <v>2</v>
      </c>
      <c r="I59" s="49">
        <f t="shared" si="14"/>
        <v>3</v>
      </c>
      <c r="J59" s="49">
        <f t="shared" si="14"/>
        <v>4</v>
      </c>
      <c r="K59" s="49">
        <f t="shared" si="14"/>
        <v>5</v>
      </c>
      <c r="L59" s="49">
        <f t="shared" si="14"/>
        <v>6</v>
      </c>
      <c r="M59" s="49">
        <f t="shared" si="14"/>
        <v>7</v>
      </c>
      <c r="N59" s="49">
        <f t="shared" si="14"/>
        <v>8</v>
      </c>
      <c r="O59" s="49">
        <f t="shared" si="14"/>
        <v>9</v>
      </c>
      <c r="P59" s="49"/>
      <c r="Q59" s="1628" t="s">
        <v>35</v>
      </c>
      <c r="R59" s="1"/>
      <c r="S59" s="1"/>
      <c r="T59" s="1"/>
      <c r="U59" s="1"/>
      <c r="V59" s="1"/>
      <c r="W59" s="1"/>
      <c r="X59" s="1"/>
      <c r="Y59" s="1"/>
      <c r="Z59" s="64"/>
      <c r="AA59" s="64"/>
      <c r="AB59" s="64"/>
    </row>
    <row r="60" spans="1:28" ht="13.5" customHeight="1">
      <c r="A60" s="1"/>
      <c r="B60" s="1520"/>
      <c r="C60" s="1626"/>
      <c r="D60" s="1627"/>
      <c r="E60" s="1532"/>
      <c r="F60" s="1629" t="s">
        <v>485</v>
      </c>
      <c r="G60" s="1492"/>
      <c r="H60" s="1492"/>
      <c r="I60" s="1491"/>
      <c r="J60" s="1629" t="s">
        <v>486</v>
      </c>
      <c r="K60" s="1492"/>
      <c r="L60" s="1492"/>
      <c r="M60" s="1492"/>
      <c r="N60" s="1492"/>
      <c r="O60" s="1491"/>
      <c r="P60" s="83"/>
      <c r="Q60" s="153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.5" customHeight="1">
      <c r="A61" s="1"/>
      <c r="B61" s="1520"/>
      <c r="C61" s="1626"/>
      <c r="D61" s="1627"/>
      <c r="E61" s="1532"/>
      <c r="F61" s="1630">
        <v>39661</v>
      </c>
      <c r="G61" s="50">
        <f>F61+31</f>
        <v>39692</v>
      </c>
      <c r="H61" s="50">
        <f t="shared" ref="H61:O61" si="15">G61+365.25</f>
        <v>40057.25</v>
      </c>
      <c r="I61" s="50">
        <f t="shared" si="15"/>
        <v>40422.5</v>
      </c>
      <c r="J61" s="50">
        <f t="shared" si="15"/>
        <v>40787.75</v>
      </c>
      <c r="K61" s="50">
        <f t="shared" si="15"/>
        <v>41153</v>
      </c>
      <c r="L61" s="50">
        <f t="shared" si="15"/>
        <v>41518.25</v>
      </c>
      <c r="M61" s="50">
        <f t="shared" si="15"/>
        <v>41883.5</v>
      </c>
      <c r="N61" s="50">
        <f t="shared" si="15"/>
        <v>42248.75</v>
      </c>
      <c r="O61" s="50">
        <f t="shared" si="15"/>
        <v>42614</v>
      </c>
      <c r="P61" s="50"/>
      <c r="Q61" s="1508"/>
      <c r="R61" s="1"/>
      <c r="S61" s="1"/>
      <c r="T61" s="1"/>
      <c r="U61" s="1"/>
      <c r="V61" s="1"/>
      <c r="W61" s="1"/>
      <c r="X61" s="1"/>
      <c r="Y61" s="1"/>
      <c r="Z61" s="64"/>
      <c r="AA61" s="64"/>
      <c r="AB61" s="64"/>
    </row>
    <row r="62" spans="1:28" ht="13.5" customHeight="1">
      <c r="A62" s="1"/>
      <c r="B62" s="1500"/>
      <c r="C62" s="1578"/>
      <c r="D62" s="1501"/>
      <c r="E62" s="1508"/>
      <c r="F62" s="1508"/>
      <c r="G62" s="50">
        <f t="shared" ref="G62:O62" si="16">G61+364</f>
        <v>40056</v>
      </c>
      <c r="H62" s="50">
        <f t="shared" si="16"/>
        <v>40421.25</v>
      </c>
      <c r="I62" s="50">
        <f t="shared" si="16"/>
        <v>40786.5</v>
      </c>
      <c r="J62" s="50">
        <f t="shared" si="16"/>
        <v>41151.75</v>
      </c>
      <c r="K62" s="50">
        <f t="shared" si="16"/>
        <v>41517</v>
      </c>
      <c r="L62" s="50">
        <f t="shared" si="16"/>
        <v>41882.25</v>
      </c>
      <c r="M62" s="50">
        <f t="shared" si="16"/>
        <v>42247.5</v>
      </c>
      <c r="N62" s="50">
        <f t="shared" si="16"/>
        <v>42612.75</v>
      </c>
      <c r="O62" s="50">
        <f t="shared" si="16"/>
        <v>42978</v>
      </c>
      <c r="P62" s="50"/>
      <c r="Q62" s="48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.5" customHeight="1">
      <c r="A63" s="1"/>
      <c r="B63" s="1624" t="s">
        <v>408</v>
      </c>
      <c r="C63" s="56" t="s">
        <v>409</v>
      </c>
      <c r="D63" s="52"/>
      <c r="E63" s="84" t="e">
        <f>#REF!</f>
        <v>#REF!</v>
      </c>
      <c r="F63" s="85">
        <f>F73*10</f>
        <v>650</v>
      </c>
      <c r="G63" s="85">
        <f t="shared" ref="G63:O63" si="17">F63*(1+$C$55)</f>
        <v>682.5</v>
      </c>
      <c r="H63" s="85">
        <f t="shared" si="17"/>
        <v>716.625</v>
      </c>
      <c r="I63" s="85">
        <f t="shared" si="17"/>
        <v>752.45625000000007</v>
      </c>
      <c r="J63" s="85">
        <f t="shared" si="17"/>
        <v>790.07906250000008</v>
      </c>
      <c r="K63" s="85">
        <f t="shared" si="17"/>
        <v>829.58301562500014</v>
      </c>
      <c r="L63" s="85">
        <f t="shared" si="17"/>
        <v>871.06216640625018</v>
      </c>
      <c r="M63" s="85">
        <f t="shared" si="17"/>
        <v>914.61527472656269</v>
      </c>
      <c r="N63" s="85">
        <f t="shared" si="17"/>
        <v>960.34603846289087</v>
      </c>
      <c r="O63" s="85">
        <f t="shared" si="17"/>
        <v>1008.3633403860355</v>
      </c>
      <c r="P63" s="85"/>
      <c r="Q63" s="86"/>
      <c r="R63" s="1"/>
      <c r="S63" s="1"/>
      <c r="T63" s="1"/>
      <c r="U63" s="1"/>
      <c r="V63" s="1"/>
      <c r="W63" s="1"/>
      <c r="X63" s="1"/>
      <c r="Y63" s="1"/>
      <c r="Z63" s="64"/>
      <c r="AA63" s="64"/>
      <c r="AB63" s="64"/>
    </row>
    <row r="64" spans="1:28" ht="13.5" hidden="1" customHeight="1">
      <c r="A64" s="1"/>
      <c r="B64" s="1520"/>
      <c r="C64" s="1628" t="s">
        <v>410</v>
      </c>
      <c r="D64" s="87" t="e">
        <f t="shared" ref="D64:E64" si="18">#REF!</f>
        <v>#REF!</v>
      </c>
      <c r="E64" s="88" t="e">
        <f t="shared" si="18"/>
        <v>#REF!</v>
      </c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90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.5" hidden="1" customHeight="1">
      <c r="A65" s="1"/>
      <c r="B65" s="1520"/>
      <c r="C65" s="1532"/>
      <c r="D65" s="87" t="e">
        <f t="shared" ref="D65:E65" si="19">#REF!</f>
        <v>#REF!</v>
      </c>
      <c r="E65" s="88" t="e">
        <f t="shared" si="19"/>
        <v>#REF!</v>
      </c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90"/>
      <c r="R65" s="1"/>
      <c r="S65" s="1"/>
      <c r="T65" s="1"/>
      <c r="U65" s="1"/>
      <c r="V65" s="1"/>
      <c r="W65" s="1"/>
      <c r="X65" s="1"/>
      <c r="Y65" s="1"/>
      <c r="Z65" s="64"/>
      <c r="AA65" s="64"/>
      <c r="AB65" s="64"/>
    </row>
    <row r="66" spans="1:28" ht="13.5" hidden="1" customHeight="1">
      <c r="A66" s="1"/>
      <c r="B66" s="1520"/>
      <c r="C66" s="1532"/>
      <c r="D66" s="87" t="e">
        <f t="shared" ref="D66:E66" si="20">#REF!</f>
        <v>#REF!</v>
      </c>
      <c r="E66" s="88" t="e">
        <f t="shared" si="20"/>
        <v>#REF!</v>
      </c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90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.5" hidden="1" customHeight="1">
      <c r="A67" s="1"/>
      <c r="B67" s="1520"/>
      <c r="C67" s="1532"/>
      <c r="D67" s="87" t="e">
        <f t="shared" ref="D67:E67" si="21">#REF!</f>
        <v>#REF!</v>
      </c>
      <c r="E67" s="88" t="e">
        <f t="shared" si="21"/>
        <v>#REF!</v>
      </c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90"/>
      <c r="R67" s="1"/>
      <c r="S67" s="1"/>
      <c r="T67" s="1"/>
      <c r="U67" s="1"/>
      <c r="V67" s="1"/>
      <c r="W67" s="1"/>
      <c r="X67" s="1"/>
      <c r="Y67" s="1"/>
      <c r="Z67" s="64"/>
      <c r="AA67" s="64"/>
      <c r="AB67" s="64"/>
    </row>
    <row r="68" spans="1:28" ht="13.5" customHeight="1">
      <c r="A68" s="1"/>
      <c r="B68" s="1520"/>
      <c r="C68" s="1532"/>
      <c r="D68" s="87" t="e">
        <f t="shared" ref="D68:E68" si="22">#REF!</f>
        <v>#REF!</v>
      </c>
      <c r="E68" s="88" t="e">
        <f t="shared" si="22"/>
        <v>#REF!</v>
      </c>
      <c r="F68" s="89">
        <f t="shared" ref="F68:F69" si="23">F78*10</f>
        <v>1500</v>
      </c>
      <c r="G68" s="89">
        <f t="shared" ref="G68:O68" si="24">F68*(1+$C$55)</f>
        <v>1575</v>
      </c>
      <c r="H68" s="89">
        <f t="shared" si="24"/>
        <v>1653.75</v>
      </c>
      <c r="I68" s="89">
        <f t="shared" si="24"/>
        <v>1736.4375</v>
      </c>
      <c r="J68" s="89">
        <f t="shared" si="24"/>
        <v>1823.2593750000001</v>
      </c>
      <c r="K68" s="89">
        <f t="shared" si="24"/>
        <v>1914.4223437500002</v>
      </c>
      <c r="L68" s="89">
        <f t="shared" si="24"/>
        <v>2010.1434609375003</v>
      </c>
      <c r="M68" s="89">
        <f t="shared" si="24"/>
        <v>2110.6506339843754</v>
      </c>
      <c r="N68" s="89">
        <f t="shared" si="24"/>
        <v>2216.1831656835943</v>
      </c>
      <c r="O68" s="89">
        <f t="shared" si="24"/>
        <v>2326.9923239677742</v>
      </c>
      <c r="P68" s="89"/>
      <c r="Q68" s="90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.5" customHeight="1">
      <c r="A69" s="1"/>
      <c r="B69" s="1520"/>
      <c r="C69" s="1532"/>
      <c r="D69" s="87" t="e">
        <f t="shared" ref="D69:E69" si="25">#REF!</f>
        <v>#REF!</v>
      </c>
      <c r="E69" s="88" t="e">
        <f t="shared" si="25"/>
        <v>#REF!</v>
      </c>
      <c r="F69" s="89">
        <f t="shared" si="23"/>
        <v>500</v>
      </c>
      <c r="G69" s="89">
        <f t="shared" ref="G69:O69" si="26">F69*(1+$C$55)</f>
        <v>525</v>
      </c>
      <c r="H69" s="89">
        <f t="shared" si="26"/>
        <v>551.25</v>
      </c>
      <c r="I69" s="89">
        <f t="shared" si="26"/>
        <v>578.8125</v>
      </c>
      <c r="J69" s="89">
        <f t="shared" si="26"/>
        <v>607.75312500000007</v>
      </c>
      <c r="K69" s="89">
        <f t="shared" si="26"/>
        <v>638.14078125000015</v>
      </c>
      <c r="L69" s="89">
        <f t="shared" si="26"/>
        <v>670.04782031250022</v>
      </c>
      <c r="M69" s="89">
        <f t="shared" si="26"/>
        <v>703.55021132812522</v>
      </c>
      <c r="N69" s="89">
        <f t="shared" si="26"/>
        <v>738.72772189453156</v>
      </c>
      <c r="O69" s="89">
        <f t="shared" si="26"/>
        <v>775.66410798925813</v>
      </c>
      <c r="P69" s="89"/>
      <c r="Q69" s="90"/>
      <c r="R69" s="1"/>
      <c r="S69" s="1"/>
      <c r="T69" s="1"/>
      <c r="U69" s="1"/>
      <c r="V69" s="1"/>
      <c r="W69" s="1"/>
      <c r="X69" s="1"/>
      <c r="Y69" s="1"/>
      <c r="Z69" s="64"/>
      <c r="AA69" s="64"/>
      <c r="AB69" s="64"/>
    </row>
    <row r="70" spans="1:28" ht="13.5" hidden="1" customHeight="1">
      <c r="A70" s="1"/>
      <c r="B70" s="1520"/>
      <c r="C70" s="1532"/>
      <c r="D70" s="87" t="e">
        <f t="shared" ref="D70:E70" si="27">#REF!</f>
        <v>#REF!</v>
      </c>
      <c r="E70" s="88" t="e">
        <f t="shared" si="27"/>
        <v>#REF!</v>
      </c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9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.5" hidden="1" customHeight="1">
      <c r="A71" s="1"/>
      <c r="B71" s="1520"/>
      <c r="C71" s="1508"/>
      <c r="D71" s="87" t="e">
        <f t="shared" ref="D71:E71" si="28">#REF!</f>
        <v>#REF!</v>
      </c>
      <c r="E71" s="91" t="e">
        <f t="shared" si="28"/>
        <v>#REF!</v>
      </c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3"/>
      <c r="R71" s="1"/>
      <c r="S71" s="1"/>
      <c r="T71" s="1"/>
      <c r="U71" s="1"/>
      <c r="V71" s="1"/>
      <c r="W71" s="1"/>
      <c r="X71" s="1"/>
      <c r="Y71" s="1"/>
      <c r="Z71" s="64"/>
      <c r="AA71" s="64"/>
      <c r="AB71" s="64"/>
    </row>
    <row r="72" spans="1:28" ht="13.5" customHeight="1">
      <c r="A72" s="1"/>
      <c r="B72" s="1500"/>
      <c r="C72" s="94" t="s">
        <v>38</v>
      </c>
      <c r="D72" s="52"/>
      <c r="E72" s="95"/>
      <c r="F72" s="95" t="e">
        <f t="shared" ref="F72:O72" si="29">SUMPRODUCT($E63:$E71,F63:F71)</f>
        <v>#REF!</v>
      </c>
      <c r="G72" s="95" t="e">
        <f t="shared" si="29"/>
        <v>#REF!</v>
      </c>
      <c r="H72" s="95" t="e">
        <f t="shared" si="29"/>
        <v>#REF!</v>
      </c>
      <c r="I72" s="95" t="e">
        <f t="shared" si="29"/>
        <v>#REF!</v>
      </c>
      <c r="J72" s="95" t="e">
        <f t="shared" si="29"/>
        <v>#REF!</v>
      </c>
      <c r="K72" s="95" t="e">
        <f t="shared" si="29"/>
        <v>#REF!</v>
      </c>
      <c r="L72" s="95" t="e">
        <f t="shared" si="29"/>
        <v>#REF!</v>
      </c>
      <c r="M72" s="95" t="e">
        <f t="shared" si="29"/>
        <v>#REF!</v>
      </c>
      <c r="N72" s="95" t="e">
        <f t="shared" si="29"/>
        <v>#REF!</v>
      </c>
      <c r="O72" s="95" t="e">
        <f t="shared" si="29"/>
        <v>#REF!</v>
      </c>
      <c r="P72" s="95"/>
      <c r="Q72" s="96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.5" customHeight="1">
      <c r="A73" s="1"/>
      <c r="B73" s="1624" t="s">
        <v>411</v>
      </c>
      <c r="C73" s="56" t="s">
        <v>409</v>
      </c>
      <c r="D73" s="52"/>
      <c r="E73" s="84" t="e">
        <f>E63</f>
        <v>#REF!</v>
      </c>
      <c r="F73" s="97">
        <v>65</v>
      </c>
      <c r="G73" s="85">
        <f t="shared" ref="G73:O73" si="30">F73*(1+$C$55)</f>
        <v>68.25</v>
      </c>
      <c r="H73" s="85">
        <f t="shared" si="30"/>
        <v>71.662500000000009</v>
      </c>
      <c r="I73" s="85">
        <f t="shared" si="30"/>
        <v>75.245625000000018</v>
      </c>
      <c r="J73" s="85">
        <f t="shared" si="30"/>
        <v>79.007906250000019</v>
      </c>
      <c r="K73" s="85">
        <f t="shared" si="30"/>
        <v>82.958301562500026</v>
      </c>
      <c r="L73" s="85">
        <f t="shared" si="30"/>
        <v>87.106216640625036</v>
      </c>
      <c r="M73" s="85">
        <f t="shared" si="30"/>
        <v>91.461527472656286</v>
      </c>
      <c r="N73" s="85">
        <f t="shared" si="30"/>
        <v>96.034603846289102</v>
      </c>
      <c r="O73" s="85">
        <f t="shared" si="30"/>
        <v>100.83633403860357</v>
      </c>
      <c r="P73" s="85"/>
      <c r="Q73" s="8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.5" hidden="1" customHeight="1">
      <c r="A74" s="1"/>
      <c r="B74" s="1520"/>
      <c r="C74" s="1628" t="s">
        <v>410</v>
      </c>
      <c r="D74" s="98" t="e">
        <f t="shared" ref="D74:E74" si="31">D64</f>
        <v>#REF!</v>
      </c>
      <c r="E74" s="99" t="e">
        <f t="shared" si="31"/>
        <v>#REF!</v>
      </c>
      <c r="F74" s="100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90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.5" hidden="1" customHeight="1">
      <c r="A75" s="1"/>
      <c r="B75" s="1520"/>
      <c r="C75" s="1532"/>
      <c r="D75" s="98" t="e">
        <f t="shared" ref="D75:E75" si="32">D65</f>
        <v>#REF!</v>
      </c>
      <c r="E75" s="99" t="e">
        <f t="shared" si="32"/>
        <v>#REF!</v>
      </c>
      <c r="F75" s="100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90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3.5" hidden="1" customHeight="1">
      <c r="A76" s="1"/>
      <c r="B76" s="1520"/>
      <c r="C76" s="1532"/>
      <c r="D76" s="98" t="e">
        <f t="shared" ref="D76:E76" si="33">D66</f>
        <v>#REF!</v>
      </c>
      <c r="E76" s="99" t="e">
        <f t="shared" si="33"/>
        <v>#REF!</v>
      </c>
      <c r="F76" s="100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90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.5" hidden="1" customHeight="1">
      <c r="A77" s="1"/>
      <c r="B77" s="1520"/>
      <c r="C77" s="1532"/>
      <c r="D77" s="98" t="e">
        <f t="shared" ref="D77:E77" si="34">D67</f>
        <v>#REF!</v>
      </c>
      <c r="E77" s="99" t="e">
        <f t="shared" si="34"/>
        <v>#REF!</v>
      </c>
      <c r="F77" s="100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90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.5" customHeight="1">
      <c r="A78" s="1"/>
      <c r="B78" s="1520"/>
      <c r="C78" s="1532"/>
      <c r="D78" s="98" t="e">
        <f t="shared" ref="D78:E78" si="35">D68</f>
        <v>#REF!</v>
      </c>
      <c r="E78" s="99" t="e">
        <f t="shared" si="35"/>
        <v>#REF!</v>
      </c>
      <c r="F78" s="101">
        <v>150</v>
      </c>
      <c r="G78" s="89">
        <f t="shared" ref="G78:O78" si="36">F78*(1+$C$55)</f>
        <v>157.5</v>
      </c>
      <c r="H78" s="89">
        <f t="shared" si="36"/>
        <v>165.375</v>
      </c>
      <c r="I78" s="89">
        <f t="shared" si="36"/>
        <v>173.64375000000001</v>
      </c>
      <c r="J78" s="89">
        <f t="shared" si="36"/>
        <v>182.32593750000001</v>
      </c>
      <c r="K78" s="89">
        <f t="shared" si="36"/>
        <v>191.44223437500003</v>
      </c>
      <c r="L78" s="89">
        <f t="shared" si="36"/>
        <v>201.01434609375005</v>
      </c>
      <c r="M78" s="89">
        <f t="shared" si="36"/>
        <v>211.06506339843756</v>
      </c>
      <c r="N78" s="89">
        <f t="shared" si="36"/>
        <v>221.61831656835943</v>
      </c>
      <c r="O78" s="89">
        <f t="shared" si="36"/>
        <v>232.6992323967774</v>
      </c>
      <c r="P78" s="89"/>
      <c r="Q78" s="90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.5" customHeight="1">
      <c r="A79" s="1"/>
      <c r="B79" s="1520"/>
      <c r="C79" s="1532"/>
      <c r="D79" s="98" t="e">
        <f t="shared" ref="D79:E79" si="37">D69</f>
        <v>#REF!</v>
      </c>
      <c r="E79" s="99" t="e">
        <f t="shared" si="37"/>
        <v>#REF!</v>
      </c>
      <c r="F79" s="101">
        <v>50</v>
      </c>
      <c r="G79" s="89">
        <f t="shared" ref="G79:O79" si="38">F79*(1+$C$55)</f>
        <v>52.5</v>
      </c>
      <c r="H79" s="89">
        <f t="shared" si="38"/>
        <v>55.125</v>
      </c>
      <c r="I79" s="89">
        <f t="shared" si="38"/>
        <v>57.881250000000001</v>
      </c>
      <c r="J79" s="89">
        <f t="shared" si="38"/>
        <v>60.775312500000005</v>
      </c>
      <c r="K79" s="89">
        <f t="shared" si="38"/>
        <v>63.814078125000009</v>
      </c>
      <c r="L79" s="89">
        <f t="shared" si="38"/>
        <v>67.004782031250016</v>
      </c>
      <c r="M79" s="89">
        <f t="shared" si="38"/>
        <v>70.355021132812524</v>
      </c>
      <c r="N79" s="89">
        <f t="shared" si="38"/>
        <v>73.872772189453158</v>
      </c>
      <c r="O79" s="89">
        <f t="shared" si="38"/>
        <v>77.566410798925816</v>
      </c>
      <c r="P79" s="89"/>
      <c r="Q79" s="90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.5" hidden="1" customHeight="1">
      <c r="A80" s="1"/>
      <c r="B80" s="1520"/>
      <c r="C80" s="1532"/>
      <c r="D80" s="98" t="e">
        <f t="shared" ref="D80:E80" si="39">D70</f>
        <v>#REF!</v>
      </c>
      <c r="E80" s="99" t="e">
        <f t="shared" si="39"/>
        <v>#REF!</v>
      </c>
      <c r="F80" s="100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90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.5" hidden="1" customHeight="1">
      <c r="A81" s="1"/>
      <c r="B81" s="1520"/>
      <c r="C81" s="1532"/>
      <c r="D81" s="98" t="e">
        <f t="shared" ref="D81:E81" si="40">D71</f>
        <v>#REF!</v>
      </c>
      <c r="E81" s="102" t="e">
        <f t="shared" si="40"/>
        <v>#REF!</v>
      </c>
      <c r="F81" s="103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.5" customHeight="1">
      <c r="A82" s="1"/>
      <c r="B82" s="1500"/>
      <c r="C82" s="94" t="s">
        <v>38</v>
      </c>
      <c r="D82" s="52"/>
      <c r="E82" s="95"/>
      <c r="F82" s="95" t="e">
        <f t="shared" ref="F82:O82" si="41">SUMPRODUCT($E73:$E81,F73:F81)</f>
        <v>#REF!</v>
      </c>
      <c r="G82" s="95" t="e">
        <f t="shared" si="41"/>
        <v>#REF!</v>
      </c>
      <c r="H82" s="95" t="e">
        <f t="shared" si="41"/>
        <v>#REF!</v>
      </c>
      <c r="I82" s="95" t="e">
        <f t="shared" si="41"/>
        <v>#REF!</v>
      </c>
      <c r="J82" s="95" t="e">
        <f t="shared" si="41"/>
        <v>#REF!</v>
      </c>
      <c r="K82" s="95" t="e">
        <f t="shared" si="41"/>
        <v>#REF!</v>
      </c>
      <c r="L82" s="95" t="e">
        <f t="shared" si="41"/>
        <v>#REF!</v>
      </c>
      <c r="M82" s="95" t="e">
        <f t="shared" si="41"/>
        <v>#REF!</v>
      </c>
      <c r="N82" s="95" t="e">
        <f t="shared" si="41"/>
        <v>#REF!</v>
      </c>
      <c r="O82" s="95" t="e">
        <f t="shared" si="41"/>
        <v>#REF!</v>
      </c>
      <c r="P82" s="95"/>
      <c r="Q82" s="96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.5" customHeight="1">
      <c r="A83" s="1"/>
      <c r="B83" s="1624" t="s">
        <v>412</v>
      </c>
      <c r="C83" s="56" t="s">
        <v>409</v>
      </c>
      <c r="D83" s="52"/>
      <c r="E83" s="84" t="e">
        <f>E73</f>
        <v>#REF!</v>
      </c>
      <c r="F83" s="97">
        <v>27</v>
      </c>
      <c r="G83" s="85">
        <f t="shared" ref="G83:O83" si="42">F83*(1+$C$55)</f>
        <v>28.35</v>
      </c>
      <c r="H83" s="85">
        <f t="shared" si="42"/>
        <v>29.767500000000002</v>
      </c>
      <c r="I83" s="85">
        <f t="shared" si="42"/>
        <v>31.255875000000003</v>
      </c>
      <c r="J83" s="85">
        <f t="shared" si="42"/>
        <v>32.818668750000008</v>
      </c>
      <c r="K83" s="85">
        <f t="shared" si="42"/>
        <v>34.45960218750001</v>
      </c>
      <c r="L83" s="85">
        <f t="shared" si="42"/>
        <v>36.182582296875012</v>
      </c>
      <c r="M83" s="85">
        <f t="shared" si="42"/>
        <v>37.991711411718761</v>
      </c>
      <c r="N83" s="85">
        <f t="shared" si="42"/>
        <v>39.891296982304702</v>
      </c>
      <c r="O83" s="85">
        <f t="shared" si="42"/>
        <v>41.885861831419938</v>
      </c>
      <c r="P83" s="85"/>
      <c r="Q83" s="86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.5" customHeight="1">
      <c r="A84" s="1"/>
      <c r="B84" s="1520"/>
      <c r="C84" s="56" t="s">
        <v>410</v>
      </c>
      <c r="D84" s="52"/>
      <c r="E84" s="91" t="e">
        <f>SUM(E74:E81)</f>
        <v>#REF!</v>
      </c>
      <c r="F84" s="104">
        <v>15</v>
      </c>
      <c r="G84" s="92">
        <f t="shared" ref="G84:O84" si="43">F84*(1+$C$55)</f>
        <v>15.75</v>
      </c>
      <c r="H84" s="92">
        <f t="shared" si="43"/>
        <v>16.537500000000001</v>
      </c>
      <c r="I84" s="92">
        <f t="shared" si="43"/>
        <v>17.364375000000003</v>
      </c>
      <c r="J84" s="92">
        <f t="shared" si="43"/>
        <v>18.232593750000003</v>
      </c>
      <c r="K84" s="92">
        <f t="shared" si="43"/>
        <v>19.144223437500003</v>
      </c>
      <c r="L84" s="92">
        <f t="shared" si="43"/>
        <v>20.101434609375005</v>
      </c>
      <c r="M84" s="92">
        <f t="shared" si="43"/>
        <v>21.106506339843754</v>
      </c>
      <c r="N84" s="92">
        <f t="shared" si="43"/>
        <v>22.161831656835943</v>
      </c>
      <c r="O84" s="92">
        <f t="shared" si="43"/>
        <v>23.269923239677741</v>
      </c>
      <c r="P84" s="92"/>
      <c r="Q84" s="9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.5" customHeight="1">
      <c r="A85" s="1"/>
      <c r="B85" s="1500"/>
      <c r="C85" s="94" t="s">
        <v>38</v>
      </c>
      <c r="D85" s="52"/>
      <c r="E85" s="95"/>
      <c r="F85" s="1417" t="e">
        <f t="shared" ref="F85:O85" si="44">SUMPRODUCT($E83:$E84,F83:F84)</f>
        <v>#REF!</v>
      </c>
      <c r="G85" s="1417" t="e">
        <f t="shared" si="44"/>
        <v>#REF!</v>
      </c>
      <c r="H85" s="1417" t="e">
        <f t="shared" si="44"/>
        <v>#REF!</v>
      </c>
      <c r="I85" s="1417" t="e">
        <f t="shared" si="44"/>
        <v>#REF!</v>
      </c>
      <c r="J85" s="1417" t="e">
        <f t="shared" si="44"/>
        <v>#REF!</v>
      </c>
      <c r="K85" s="1417" t="e">
        <f t="shared" si="44"/>
        <v>#REF!</v>
      </c>
      <c r="L85" s="1417" t="e">
        <f t="shared" si="44"/>
        <v>#REF!</v>
      </c>
      <c r="M85" s="1417" t="e">
        <f t="shared" si="44"/>
        <v>#REF!</v>
      </c>
      <c r="N85" s="1417" t="e">
        <f t="shared" si="44"/>
        <v>#REF!</v>
      </c>
      <c r="O85" s="1417" t="e">
        <f t="shared" si="44"/>
        <v>#REF!</v>
      </c>
      <c r="P85" s="1418"/>
      <c r="Q85" s="96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.5" customHeight="1">
      <c r="A86" s="1"/>
      <c r="B86" s="1632" t="s">
        <v>413</v>
      </c>
      <c r="C86" s="56" t="s">
        <v>409</v>
      </c>
      <c r="D86" s="52"/>
      <c r="E86" s="84" t="e">
        <f>E63</f>
        <v>#REF!</v>
      </c>
      <c r="F86" s="85">
        <f t="shared" ref="F86:F94" si="45">F73*12/$I$55+F63</f>
        <v>7150</v>
      </c>
      <c r="G86" s="85">
        <f t="shared" ref="G86:O86" si="46">F86*(1+$C$55)</f>
        <v>7507.5</v>
      </c>
      <c r="H86" s="85">
        <f t="shared" si="46"/>
        <v>7882.875</v>
      </c>
      <c r="I86" s="85">
        <f t="shared" si="46"/>
        <v>8277.0187500000011</v>
      </c>
      <c r="J86" s="85">
        <f t="shared" si="46"/>
        <v>8690.8696875000023</v>
      </c>
      <c r="K86" s="85">
        <f t="shared" si="46"/>
        <v>9125.4131718750032</v>
      </c>
      <c r="L86" s="85">
        <f t="shared" si="46"/>
        <v>9581.6838304687535</v>
      </c>
      <c r="M86" s="85">
        <f t="shared" si="46"/>
        <v>10060.768021992191</v>
      </c>
      <c r="N86" s="85">
        <f t="shared" si="46"/>
        <v>10563.806423091801</v>
      </c>
      <c r="O86" s="85">
        <f t="shared" si="46"/>
        <v>11091.996744246391</v>
      </c>
      <c r="P86" s="85"/>
      <c r="Q86" s="86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.5" hidden="1" customHeight="1">
      <c r="A87" s="1"/>
      <c r="B87" s="1520"/>
      <c r="C87" s="1628" t="s">
        <v>410</v>
      </c>
      <c r="D87" s="98" t="e">
        <f t="shared" ref="D87:E87" si="47">D64</f>
        <v>#REF!</v>
      </c>
      <c r="E87" s="99" t="e">
        <f t="shared" si="47"/>
        <v>#REF!</v>
      </c>
      <c r="F87" s="89">
        <f t="shared" si="45"/>
        <v>0</v>
      </c>
      <c r="G87" s="89">
        <f t="shared" ref="G87:O87" si="48">F87*(1+$C$55)</f>
        <v>0</v>
      </c>
      <c r="H87" s="89">
        <f t="shared" si="48"/>
        <v>0</v>
      </c>
      <c r="I87" s="89">
        <f t="shared" si="48"/>
        <v>0</v>
      </c>
      <c r="J87" s="89">
        <f t="shared" si="48"/>
        <v>0</v>
      </c>
      <c r="K87" s="89">
        <f t="shared" si="48"/>
        <v>0</v>
      </c>
      <c r="L87" s="89">
        <f t="shared" si="48"/>
        <v>0</v>
      </c>
      <c r="M87" s="89">
        <f t="shared" si="48"/>
        <v>0</v>
      </c>
      <c r="N87" s="89">
        <f t="shared" si="48"/>
        <v>0</v>
      </c>
      <c r="O87" s="89">
        <f t="shared" si="48"/>
        <v>0</v>
      </c>
      <c r="P87" s="89"/>
      <c r="Q87" s="90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.5" hidden="1" customHeight="1">
      <c r="A88" s="1"/>
      <c r="B88" s="1520"/>
      <c r="C88" s="1532"/>
      <c r="D88" s="98" t="e">
        <f t="shared" ref="D88:E88" si="49">D65</f>
        <v>#REF!</v>
      </c>
      <c r="E88" s="99" t="e">
        <f t="shared" si="49"/>
        <v>#REF!</v>
      </c>
      <c r="F88" s="89">
        <f t="shared" si="45"/>
        <v>0</v>
      </c>
      <c r="G88" s="89">
        <f t="shared" ref="G88:O88" si="50">F88*(1+$C$55)</f>
        <v>0</v>
      </c>
      <c r="H88" s="89">
        <f t="shared" si="50"/>
        <v>0</v>
      </c>
      <c r="I88" s="89">
        <f t="shared" si="50"/>
        <v>0</v>
      </c>
      <c r="J88" s="89">
        <f t="shared" si="50"/>
        <v>0</v>
      </c>
      <c r="K88" s="89">
        <f t="shared" si="50"/>
        <v>0</v>
      </c>
      <c r="L88" s="89">
        <f t="shared" si="50"/>
        <v>0</v>
      </c>
      <c r="M88" s="89">
        <f t="shared" si="50"/>
        <v>0</v>
      </c>
      <c r="N88" s="89">
        <f t="shared" si="50"/>
        <v>0</v>
      </c>
      <c r="O88" s="89">
        <f t="shared" si="50"/>
        <v>0</v>
      </c>
      <c r="P88" s="89"/>
      <c r="Q88" s="90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.5" hidden="1" customHeight="1">
      <c r="A89" s="1"/>
      <c r="B89" s="1520"/>
      <c r="C89" s="1532"/>
      <c r="D89" s="98" t="e">
        <f t="shared" ref="D89:E89" si="51">D66</f>
        <v>#REF!</v>
      </c>
      <c r="E89" s="99" t="e">
        <f t="shared" si="51"/>
        <v>#REF!</v>
      </c>
      <c r="F89" s="89">
        <f t="shared" si="45"/>
        <v>0</v>
      </c>
      <c r="G89" s="89">
        <f t="shared" ref="G89:O89" si="52">F89*(1+$C$55)</f>
        <v>0</v>
      </c>
      <c r="H89" s="89">
        <f t="shared" si="52"/>
        <v>0</v>
      </c>
      <c r="I89" s="89">
        <f t="shared" si="52"/>
        <v>0</v>
      </c>
      <c r="J89" s="89">
        <f t="shared" si="52"/>
        <v>0</v>
      </c>
      <c r="K89" s="89">
        <f t="shared" si="52"/>
        <v>0</v>
      </c>
      <c r="L89" s="89">
        <f t="shared" si="52"/>
        <v>0</v>
      </c>
      <c r="M89" s="89">
        <f t="shared" si="52"/>
        <v>0</v>
      </c>
      <c r="N89" s="89">
        <f t="shared" si="52"/>
        <v>0</v>
      </c>
      <c r="O89" s="89">
        <f t="shared" si="52"/>
        <v>0</v>
      </c>
      <c r="P89" s="89"/>
      <c r="Q89" s="90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.5" hidden="1" customHeight="1">
      <c r="A90" s="1"/>
      <c r="B90" s="1520"/>
      <c r="C90" s="1532"/>
      <c r="D90" s="98" t="e">
        <f t="shared" ref="D90:E90" si="53">D67</f>
        <v>#REF!</v>
      </c>
      <c r="E90" s="99" t="e">
        <f t="shared" si="53"/>
        <v>#REF!</v>
      </c>
      <c r="F90" s="89">
        <f t="shared" si="45"/>
        <v>0</v>
      </c>
      <c r="G90" s="89">
        <f t="shared" ref="G90:O90" si="54">F90*(1+$C$55)</f>
        <v>0</v>
      </c>
      <c r="H90" s="89">
        <f t="shared" si="54"/>
        <v>0</v>
      </c>
      <c r="I90" s="89">
        <f t="shared" si="54"/>
        <v>0</v>
      </c>
      <c r="J90" s="89">
        <f t="shared" si="54"/>
        <v>0</v>
      </c>
      <c r="K90" s="89">
        <f t="shared" si="54"/>
        <v>0</v>
      </c>
      <c r="L90" s="89">
        <f t="shared" si="54"/>
        <v>0</v>
      </c>
      <c r="M90" s="89">
        <f t="shared" si="54"/>
        <v>0</v>
      </c>
      <c r="N90" s="89">
        <f t="shared" si="54"/>
        <v>0</v>
      </c>
      <c r="O90" s="89">
        <f t="shared" si="54"/>
        <v>0</v>
      </c>
      <c r="P90" s="89"/>
      <c r="Q90" s="90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.5" customHeight="1">
      <c r="A91" s="1"/>
      <c r="B91" s="1520"/>
      <c r="C91" s="1532"/>
      <c r="D91" s="98" t="e">
        <f t="shared" ref="D91:E91" si="55">D68</f>
        <v>#REF!</v>
      </c>
      <c r="E91" s="99" t="e">
        <f t="shared" si="55"/>
        <v>#REF!</v>
      </c>
      <c r="F91" s="89">
        <f t="shared" si="45"/>
        <v>16500</v>
      </c>
      <c r="G91" s="89">
        <f t="shared" ref="G91:O91" si="56">F91*(1+$C$55)</f>
        <v>17325</v>
      </c>
      <c r="H91" s="89">
        <f t="shared" si="56"/>
        <v>18191.25</v>
      </c>
      <c r="I91" s="89">
        <f t="shared" si="56"/>
        <v>19100.8125</v>
      </c>
      <c r="J91" s="89">
        <f t="shared" si="56"/>
        <v>20055.853125000001</v>
      </c>
      <c r="K91" s="89">
        <f t="shared" si="56"/>
        <v>21058.645781250001</v>
      </c>
      <c r="L91" s="89">
        <f t="shared" si="56"/>
        <v>22111.578070312502</v>
      </c>
      <c r="M91" s="89">
        <f t="shared" si="56"/>
        <v>23217.156973828129</v>
      </c>
      <c r="N91" s="89">
        <f t="shared" si="56"/>
        <v>24378.014822519537</v>
      </c>
      <c r="O91" s="89">
        <f t="shared" si="56"/>
        <v>25596.915563645514</v>
      </c>
      <c r="P91" s="89"/>
      <c r="Q91" s="90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.5" customHeight="1">
      <c r="A92" s="1"/>
      <c r="B92" s="1520"/>
      <c r="C92" s="1532"/>
      <c r="D92" s="98" t="e">
        <f t="shared" ref="D92:E92" si="57">D69</f>
        <v>#REF!</v>
      </c>
      <c r="E92" s="99" t="e">
        <f t="shared" si="57"/>
        <v>#REF!</v>
      </c>
      <c r="F92" s="89">
        <f t="shared" si="45"/>
        <v>5500</v>
      </c>
      <c r="G92" s="89">
        <f t="shared" ref="G92:O92" si="58">F92*(1+$C$55)</f>
        <v>5775</v>
      </c>
      <c r="H92" s="89">
        <f t="shared" si="58"/>
        <v>6063.75</v>
      </c>
      <c r="I92" s="89">
        <f t="shared" si="58"/>
        <v>6366.9375</v>
      </c>
      <c r="J92" s="89">
        <f t="shared" si="58"/>
        <v>6685.2843750000002</v>
      </c>
      <c r="K92" s="89">
        <f t="shared" si="58"/>
        <v>7019.5485937500007</v>
      </c>
      <c r="L92" s="89">
        <f t="shared" si="58"/>
        <v>7370.526023437501</v>
      </c>
      <c r="M92" s="89">
        <f t="shared" si="58"/>
        <v>7739.0523246093762</v>
      </c>
      <c r="N92" s="89">
        <f t="shared" si="58"/>
        <v>8126.0049408398454</v>
      </c>
      <c r="O92" s="89">
        <f t="shared" si="58"/>
        <v>8532.3051878818387</v>
      </c>
      <c r="P92" s="89"/>
      <c r="Q92" s="90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.5" hidden="1" customHeight="1">
      <c r="A93" s="1"/>
      <c r="B93" s="1520"/>
      <c r="C93" s="1532"/>
      <c r="D93" s="98" t="e">
        <f t="shared" ref="D93:E93" si="59">D70</f>
        <v>#REF!</v>
      </c>
      <c r="E93" s="99" t="e">
        <f t="shared" si="59"/>
        <v>#REF!</v>
      </c>
      <c r="F93" s="89">
        <f t="shared" si="45"/>
        <v>0</v>
      </c>
      <c r="G93" s="89">
        <f t="shared" ref="G93:O93" si="60">F93*(1+$C$55)</f>
        <v>0</v>
      </c>
      <c r="H93" s="89">
        <f t="shared" si="60"/>
        <v>0</v>
      </c>
      <c r="I93" s="89">
        <f t="shared" si="60"/>
        <v>0</v>
      </c>
      <c r="J93" s="89">
        <f t="shared" si="60"/>
        <v>0</v>
      </c>
      <c r="K93" s="89">
        <f t="shared" si="60"/>
        <v>0</v>
      </c>
      <c r="L93" s="89">
        <f t="shared" si="60"/>
        <v>0</v>
      </c>
      <c r="M93" s="89">
        <f t="shared" si="60"/>
        <v>0</v>
      </c>
      <c r="N93" s="89">
        <f t="shared" si="60"/>
        <v>0</v>
      </c>
      <c r="O93" s="89">
        <f t="shared" si="60"/>
        <v>0</v>
      </c>
      <c r="P93" s="89"/>
      <c r="Q93" s="90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.5" hidden="1" customHeight="1">
      <c r="A94" s="1"/>
      <c r="B94" s="1520"/>
      <c r="C94" s="1532"/>
      <c r="D94" s="98" t="e">
        <f t="shared" ref="D94:E94" si="61">D71</f>
        <v>#REF!</v>
      </c>
      <c r="E94" s="102" t="e">
        <f t="shared" si="61"/>
        <v>#REF!</v>
      </c>
      <c r="F94" s="92">
        <f t="shared" si="45"/>
        <v>0</v>
      </c>
      <c r="G94" s="92">
        <f t="shared" ref="G94:O94" si="62">F94*(1+$C$55)</f>
        <v>0</v>
      </c>
      <c r="H94" s="92">
        <f t="shared" si="62"/>
        <v>0</v>
      </c>
      <c r="I94" s="92">
        <f t="shared" si="62"/>
        <v>0</v>
      </c>
      <c r="J94" s="92">
        <f t="shared" si="62"/>
        <v>0</v>
      </c>
      <c r="K94" s="92">
        <f t="shared" si="62"/>
        <v>0</v>
      </c>
      <c r="L94" s="92">
        <f t="shared" si="62"/>
        <v>0</v>
      </c>
      <c r="M94" s="92">
        <f t="shared" si="62"/>
        <v>0</v>
      </c>
      <c r="N94" s="92">
        <f t="shared" si="62"/>
        <v>0</v>
      </c>
      <c r="O94" s="92">
        <f t="shared" si="62"/>
        <v>0</v>
      </c>
      <c r="P94" s="92"/>
      <c r="Q94" s="9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.5" customHeight="1">
      <c r="A95" s="1"/>
      <c r="B95" s="1500"/>
      <c r="C95" s="94" t="s">
        <v>38</v>
      </c>
      <c r="D95" s="52"/>
      <c r="E95" s="95"/>
      <c r="F95" s="95" t="e">
        <f t="shared" ref="F95:O95" si="63">SUMPRODUCT($E86:$E94,F86:F94)</f>
        <v>#REF!</v>
      </c>
      <c r="G95" s="95" t="e">
        <f t="shared" si="63"/>
        <v>#REF!</v>
      </c>
      <c r="H95" s="95" t="e">
        <f t="shared" si="63"/>
        <v>#REF!</v>
      </c>
      <c r="I95" s="95" t="e">
        <f t="shared" si="63"/>
        <v>#REF!</v>
      </c>
      <c r="J95" s="95" t="e">
        <f t="shared" si="63"/>
        <v>#REF!</v>
      </c>
      <c r="K95" s="95" t="e">
        <f t="shared" si="63"/>
        <v>#REF!</v>
      </c>
      <c r="L95" s="95" t="e">
        <f t="shared" si="63"/>
        <v>#REF!</v>
      </c>
      <c r="M95" s="95" t="e">
        <f t="shared" si="63"/>
        <v>#REF!</v>
      </c>
      <c r="N95" s="95" t="e">
        <f t="shared" si="63"/>
        <v>#REF!</v>
      </c>
      <c r="O95" s="95" t="e">
        <f t="shared" si="63"/>
        <v>#REF!</v>
      </c>
      <c r="P95" s="95"/>
      <c r="Q95" s="96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6" customHeight="1">
      <c r="A96" s="1"/>
      <c r="B96" s="1"/>
      <c r="C96" s="1"/>
      <c r="D96" s="1"/>
      <c r="E96" s="1"/>
      <c r="F96" s="1"/>
      <c r="G96" s="1"/>
      <c r="H96" s="1"/>
      <c r="I96" s="105"/>
      <c r="J96" s="105"/>
      <c r="K96" s="105"/>
      <c r="L96" s="105"/>
      <c r="M96" s="105"/>
      <c r="N96" s="105"/>
      <c r="O96" s="105"/>
      <c r="P96" s="105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21.75" customHeight="1">
      <c r="A97" s="1"/>
      <c r="B97" s="1629" t="s">
        <v>414</v>
      </c>
      <c r="C97" s="1492"/>
      <c r="D97" s="1491"/>
      <c r="E97" s="84"/>
      <c r="F97" s="106"/>
      <c r="G97" s="106"/>
      <c r="H97" s="107">
        <v>0</v>
      </c>
      <c r="I97" s="107">
        <v>1</v>
      </c>
      <c r="J97" s="107">
        <v>12</v>
      </c>
      <c r="K97" s="107">
        <f t="shared" ref="K97:O97" si="64">J97</f>
        <v>12</v>
      </c>
      <c r="L97" s="107">
        <f t="shared" si="64"/>
        <v>12</v>
      </c>
      <c r="M97" s="107">
        <f t="shared" si="64"/>
        <v>12</v>
      </c>
      <c r="N97" s="107">
        <f t="shared" si="64"/>
        <v>12</v>
      </c>
      <c r="O97" s="107">
        <f t="shared" si="64"/>
        <v>12</v>
      </c>
      <c r="P97" s="107"/>
      <c r="Q97" s="108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.5" customHeight="1">
      <c r="A98" s="1"/>
      <c r="B98" s="1639" t="s">
        <v>415</v>
      </c>
      <c r="C98" s="109" t="s">
        <v>409</v>
      </c>
      <c r="D98" s="52"/>
      <c r="E98" s="110" t="e">
        <f>E63</f>
        <v>#REF!</v>
      </c>
      <c r="F98" s="111"/>
      <c r="G98" s="111"/>
      <c r="H98" s="112" t="e">
        <f t="shared" ref="H98:O98" si="65">$E98*H$97</f>
        <v>#REF!</v>
      </c>
      <c r="I98" s="112" t="e">
        <f t="shared" si="65"/>
        <v>#REF!</v>
      </c>
      <c r="J98" s="112" t="e">
        <f t="shared" si="65"/>
        <v>#REF!</v>
      </c>
      <c r="K98" s="112" t="e">
        <f t="shared" si="65"/>
        <v>#REF!</v>
      </c>
      <c r="L98" s="112" t="e">
        <f t="shared" si="65"/>
        <v>#REF!</v>
      </c>
      <c r="M98" s="112" t="e">
        <f t="shared" si="65"/>
        <v>#REF!</v>
      </c>
      <c r="N98" s="112" t="e">
        <f t="shared" si="65"/>
        <v>#REF!</v>
      </c>
      <c r="O98" s="112" t="e">
        <f t="shared" si="65"/>
        <v>#REF!</v>
      </c>
      <c r="P98" s="112"/>
      <c r="Q98" s="11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.5" hidden="1" customHeight="1">
      <c r="A99" s="1"/>
      <c r="B99" s="1520"/>
      <c r="C99" s="1628" t="s">
        <v>416</v>
      </c>
      <c r="D99" s="98" t="e">
        <f t="shared" ref="D99:E99" si="66">D64</f>
        <v>#REF!</v>
      </c>
      <c r="E99" s="99" t="e">
        <f t="shared" si="66"/>
        <v>#REF!</v>
      </c>
      <c r="F99" s="114"/>
      <c r="G99" s="114"/>
      <c r="H99" s="112" t="e">
        <f t="shared" ref="H99:O99" si="67">$E99*H$97</f>
        <v>#REF!</v>
      </c>
      <c r="I99" s="112" t="e">
        <f t="shared" si="67"/>
        <v>#REF!</v>
      </c>
      <c r="J99" s="112" t="e">
        <f t="shared" si="67"/>
        <v>#REF!</v>
      </c>
      <c r="K99" s="112" t="e">
        <f t="shared" si="67"/>
        <v>#REF!</v>
      </c>
      <c r="L99" s="112" t="e">
        <f t="shared" si="67"/>
        <v>#REF!</v>
      </c>
      <c r="M99" s="112" t="e">
        <f t="shared" si="67"/>
        <v>#REF!</v>
      </c>
      <c r="N99" s="112" t="e">
        <f t="shared" si="67"/>
        <v>#REF!</v>
      </c>
      <c r="O99" s="112" t="e">
        <f t="shared" si="67"/>
        <v>#REF!</v>
      </c>
      <c r="P99" s="115"/>
      <c r="Q99" s="116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.5" hidden="1" customHeight="1">
      <c r="A100" s="1"/>
      <c r="B100" s="1520"/>
      <c r="C100" s="1532"/>
      <c r="D100" s="98" t="e">
        <f t="shared" ref="D100:E100" si="68">D65</f>
        <v>#REF!</v>
      </c>
      <c r="E100" s="99" t="e">
        <f t="shared" si="68"/>
        <v>#REF!</v>
      </c>
      <c r="F100" s="114"/>
      <c r="G100" s="114"/>
      <c r="H100" s="112" t="e">
        <f t="shared" ref="H100:O100" si="69">$E100*H$97</f>
        <v>#REF!</v>
      </c>
      <c r="I100" s="112" t="e">
        <f t="shared" si="69"/>
        <v>#REF!</v>
      </c>
      <c r="J100" s="112" t="e">
        <f t="shared" si="69"/>
        <v>#REF!</v>
      </c>
      <c r="K100" s="112" t="e">
        <f t="shared" si="69"/>
        <v>#REF!</v>
      </c>
      <c r="L100" s="112" t="e">
        <f t="shared" si="69"/>
        <v>#REF!</v>
      </c>
      <c r="M100" s="112" t="e">
        <f t="shared" si="69"/>
        <v>#REF!</v>
      </c>
      <c r="N100" s="112" t="e">
        <f t="shared" si="69"/>
        <v>#REF!</v>
      </c>
      <c r="O100" s="112" t="e">
        <f t="shared" si="69"/>
        <v>#REF!</v>
      </c>
      <c r="P100" s="115"/>
      <c r="Q100" s="116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.5" hidden="1" customHeight="1">
      <c r="A101" s="1"/>
      <c r="B101" s="1520"/>
      <c r="C101" s="1532"/>
      <c r="D101" s="98" t="e">
        <f t="shared" ref="D101:E101" si="70">D66</f>
        <v>#REF!</v>
      </c>
      <c r="E101" s="99" t="e">
        <f t="shared" si="70"/>
        <v>#REF!</v>
      </c>
      <c r="F101" s="114"/>
      <c r="G101" s="114"/>
      <c r="H101" s="112" t="e">
        <f t="shared" ref="H101:O101" si="71">$E101*H$97</f>
        <v>#REF!</v>
      </c>
      <c r="I101" s="112" t="e">
        <f t="shared" si="71"/>
        <v>#REF!</v>
      </c>
      <c r="J101" s="112" t="e">
        <f t="shared" si="71"/>
        <v>#REF!</v>
      </c>
      <c r="K101" s="112" t="e">
        <f t="shared" si="71"/>
        <v>#REF!</v>
      </c>
      <c r="L101" s="112" t="e">
        <f t="shared" si="71"/>
        <v>#REF!</v>
      </c>
      <c r="M101" s="112" t="e">
        <f t="shared" si="71"/>
        <v>#REF!</v>
      </c>
      <c r="N101" s="112" t="e">
        <f t="shared" si="71"/>
        <v>#REF!</v>
      </c>
      <c r="O101" s="112" t="e">
        <f t="shared" si="71"/>
        <v>#REF!</v>
      </c>
      <c r="P101" s="115"/>
      <c r="Q101" s="116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.5" hidden="1" customHeight="1">
      <c r="A102" s="1"/>
      <c r="B102" s="1520"/>
      <c r="C102" s="1532"/>
      <c r="D102" s="98" t="e">
        <f t="shared" ref="D102:E102" si="72">D67</f>
        <v>#REF!</v>
      </c>
      <c r="E102" s="99" t="e">
        <f t="shared" si="72"/>
        <v>#REF!</v>
      </c>
      <c r="F102" s="114"/>
      <c r="G102" s="114"/>
      <c r="H102" s="112" t="e">
        <f t="shared" ref="H102:O102" si="73">$E102*H$97</f>
        <v>#REF!</v>
      </c>
      <c r="I102" s="112" t="e">
        <f t="shared" si="73"/>
        <v>#REF!</v>
      </c>
      <c r="J102" s="112" t="e">
        <f t="shared" si="73"/>
        <v>#REF!</v>
      </c>
      <c r="K102" s="112" t="e">
        <f t="shared" si="73"/>
        <v>#REF!</v>
      </c>
      <c r="L102" s="112" t="e">
        <f t="shared" si="73"/>
        <v>#REF!</v>
      </c>
      <c r="M102" s="112" t="e">
        <f t="shared" si="73"/>
        <v>#REF!</v>
      </c>
      <c r="N102" s="112" t="e">
        <f t="shared" si="73"/>
        <v>#REF!</v>
      </c>
      <c r="O102" s="112" t="e">
        <f t="shared" si="73"/>
        <v>#REF!</v>
      </c>
      <c r="P102" s="115"/>
      <c r="Q102" s="116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.5" customHeight="1">
      <c r="A103" s="1"/>
      <c r="B103" s="1520"/>
      <c r="C103" s="1532"/>
      <c r="D103" s="98" t="e">
        <f t="shared" ref="D103:E103" si="74">D68</f>
        <v>#REF!</v>
      </c>
      <c r="E103" s="99" t="e">
        <f t="shared" si="74"/>
        <v>#REF!</v>
      </c>
      <c r="F103" s="114"/>
      <c r="G103" s="114"/>
      <c r="H103" s="112" t="e">
        <f t="shared" ref="H103:O103" si="75">$E103*H$97</f>
        <v>#REF!</v>
      </c>
      <c r="I103" s="112" t="e">
        <f t="shared" si="75"/>
        <v>#REF!</v>
      </c>
      <c r="J103" s="112" t="e">
        <f t="shared" si="75"/>
        <v>#REF!</v>
      </c>
      <c r="K103" s="112" t="e">
        <f t="shared" si="75"/>
        <v>#REF!</v>
      </c>
      <c r="L103" s="112" t="e">
        <f t="shared" si="75"/>
        <v>#REF!</v>
      </c>
      <c r="M103" s="112" t="e">
        <f t="shared" si="75"/>
        <v>#REF!</v>
      </c>
      <c r="N103" s="112" t="e">
        <f t="shared" si="75"/>
        <v>#REF!</v>
      </c>
      <c r="O103" s="112" t="e">
        <f t="shared" si="75"/>
        <v>#REF!</v>
      </c>
      <c r="P103" s="115"/>
      <c r="Q103" s="116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.5" customHeight="1">
      <c r="A104" s="1"/>
      <c r="B104" s="1520"/>
      <c r="C104" s="1532"/>
      <c r="D104" s="98" t="e">
        <f t="shared" ref="D104:E104" si="76">D69</f>
        <v>#REF!</v>
      </c>
      <c r="E104" s="99" t="e">
        <f t="shared" si="76"/>
        <v>#REF!</v>
      </c>
      <c r="F104" s="114"/>
      <c r="G104" s="114"/>
      <c r="H104" s="112" t="e">
        <f t="shared" ref="H104:O104" si="77">$E104*H$97</f>
        <v>#REF!</v>
      </c>
      <c r="I104" s="112" t="e">
        <f t="shared" si="77"/>
        <v>#REF!</v>
      </c>
      <c r="J104" s="112" t="e">
        <f t="shared" si="77"/>
        <v>#REF!</v>
      </c>
      <c r="K104" s="112" t="e">
        <f t="shared" si="77"/>
        <v>#REF!</v>
      </c>
      <c r="L104" s="112" t="e">
        <f t="shared" si="77"/>
        <v>#REF!</v>
      </c>
      <c r="M104" s="112" t="e">
        <f t="shared" si="77"/>
        <v>#REF!</v>
      </c>
      <c r="N104" s="112" t="e">
        <f t="shared" si="77"/>
        <v>#REF!</v>
      </c>
      <c r="O104" s="112" t="e">
        <f t="shared" si="77"/>
        <v>#REF!</v>
      </c>
      <c r="P104" s="115"/>
      <c r="Q104" s="11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.5" customHeight="1">
      <c r="A105" s="1"/>
      <c r="B105" s="1520"/>
      <c r="C105" s="1532"/>
      <c r="D105" s="98" t="e">
        <f t="shared" ref="D105:E105" si="78">D70</f>
        <v>#REF!</v>
      </c>
      <c r="E105" s="99" t="e">
        <f t="shared" si="78"/>
        <v>#REF!</v>
      </c>
      <c r="F105" s="114"/>
      <c r="G105" s="114"/>
      <c r="H105" s="112" t="e">
        <f t="shared" ref="H105:O105" si="79">$E105*H$97</f>
        <v>#REF!</v>
      </c>
      <c r="I105" s="112" t="e">
        <f t="shared" si="79"/>
        <v>#REF!</v>
      </c>
      <c r="J105" s="112" t="e">
        <f t="shared" si="79"/>
        <v>#REF!</v>
      </c>
      <c r="K105" s="112" t="e">
        <f t="shared" si="79"/>
        <v>#REF!</v>
      </c>
      <c r="L105" s="112" t="e">
        <f t="shared" si="79"/>
        <v>#REF!</v>
      </c>
      <c r="M105" s="112" t="e">
        <f t="shared" si="79"/>
        <v>#REF!</v>
      </c>
      <c r="N105" s="112" t="e">
        <f t="shared" si="79"/>
        <v>#REF!</v>
      </c>
      <c r="O105" s="112" t="e">
        <f t="shared" si="79"/>
        <v>#REF!</v>
      </c>
      <c r="P105" s="115"/>
      <c r="Q105" s="116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.5" customHeight="1">
      <c r="A106" s="1"/>
      <c r="B106" s="1520"/>
      <c r="C106" s="1508"/>
      <c r="D106" s="98" t="e">
        <f t="shared" ref="D106:E106" si="80">D71</f>
        <v>#REF!</v>
      </c>
      <c r="E106" s="102" t="e">
        <f t="shared" si="80"/>
        <v>#REF!</v>
      </c>
      <c r="F106" s="117"/>
      <c r="G106" s="117"/>
      <c r="H106" s="112" t="e">
        <f t="shared" ref="H106:O106" si="81">$E106*H$97</f>
        <v>#REF!</v>
      </c>
      <c r="I106" s="112" t="e">
        <f t="shared" si="81"/>
        <v>#REF!</v>
      </c>
      <c r="J106" s="112" t="e">
        <f t="shared" si="81"/>
        <v>#REF!</v>
      </c>
      <c r="K106" s="112" t="e">
        <f t="shared" si="81"/>
        <v>#REF!</v>
      </c>
      <c r="L106" s="112" t="e">
        <f t="shared" si="81"/>
        <v>#REF!</v>
      </c>
      <c r="M106" s="112" t="e">
        <f t="shared" si="81"/>
        <v>#REF!</v>
      </c>
      <c r="N106" s="112" t="e">
        <f t="shared" si="81"/>
        <v>#REF!</v>
      </c>
      <c r="O106" s="112" t="e">
        <f t="shared" si="81"/>
        <v>#REF!</v>
      </c>
      <c r="P106" s="118"/>
      <c r="Q106" s="119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.5" customHeight="1">
      <c r="A107" s="1"/>
      <c r="B107" s="1500"/>
      <c r="C107" s="94" t="s">
        <v>38</v>
      </c>
      <c r="D107" s="120"/>
      <c r="E107" s="121" t="e">
        <f>SUM(E98:E106)</f>
        <v>#REF!</v>
      </c>
      <c r="F107" s="122"/>
      <c r="G107" s="122"/>
      <c r="H107" s="121" t="e">
        <f t="shared" ref="H107:O107" si="82">SUM(H98:H106)</f>
        <v>#REF!</v>
      </c>
      <c r="I107" s="121" t="e">
        <f t="shared" si="82"/>
        <v>#REF!</v>
      </c>
      <c r="J107" s="121" t="e">
        <f t="shared" si="82"/>
        <v>#REF!</v>
      </c>
      <c r="K107" s="121" t="e">
        <f t="shared" si="82"/>
        <v>#REF!</v>
      </c>
      <c r="L107" s="121" t="e">
        <f t="shared" si="82"/>
        <v>#REF!</v>
      </c>
      <c r="M107" s="121" t="e">
        <f t="shared" si="82"/>
        <v>#REF!</v>
      </c>
      <c r="N107" s="121" t="e">
        <f t="shared" si="82"/>
        <v>#REF!</v>
      </c>
      <c r="O107" s="121" t="e">
        <f t="shared" si="82"/>
        <v>#REF!</v>
      </c>
      <c r="P107" s="121"/>
      <c r="Q107" s="12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.5" customHeight="1">
      <c r="A108" s="1"/>
      <c r="B108" s="1644" t="s">
        <v>417</v>
      </c>
      <c r="C108" s="1492"/>
      <c r="D108" s="1491"/>
      <c r="E108" s="121"/>
      <c r="F108" s="122"/>
      <c r="G108" s="122"/>
      <c r="H108" s="121" t="e">
        <f t="shared" ref="H108:O108" si="83">SUMPRODUCT(H73:H81,H98:H106)</f>
        <v>#REF!</v>
      </c>
      <c r="I108" s="121" t="e">
        <f t="shared" si="83"/>
        <v>#REF!</v>
      </c>
      <c r="J108" s="121" t="e">
        <f t="shared" si="83"/>
        <v>#REF!</v>
      </c>
      <c r="K108" s="121" t="e">
        <f t="shared" si="83"/>
        <v>#REF!</v>
      </c>
      <c r="L108" s="121" t="e">
        <f t="shared" si="83"/>
        <v>#REF!</v>
      </c>
      <c r="M108" s="121" t="e">
        <f t="shared" si="83"/>
        <v>#REF!</v>
      </c>
      <c r="N108" s="121" t="e">
        <f t="shared" si="83"/>
        <v>#REF!</v>
      </c>
      <c r="O108" s="121" t="e">
        <f t="shared" si="83"/>
        <v>#REF!</v>
      </c>
      <c r="P108" s="121"/>
      <c r="Q108" s="12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.5" customHeight="1">
      <c r="A109" s="1"/>
      <c r="B109" s="1"/>
      <c r="C109" s="1"/>
      <c r="D109" s="1"/>
      <c r="E109" s="1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.5" customHeight="1">
      <c r="A110" s="1"/>
      <c r="B110" s="77" t="s">
        <v>418</v>
      </c>
      <c r="C110" s="1"/>
      <c r="D110" s="1"/>
      <c r="E110" s="1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.5" customHeight="1">
      <c r="A111" s="1"/>
      <c r="B111" s="77"/>
      <c r="C111" s="1"/>
      <c r="D111" s="1"/>
      <c r="E111" s="1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.5" customHeight="1">
      <c r="A112" s="1"/>
      <c r="B112" s="78" t="s">
        <v>419</v>
      </c>
      <c r="C112" s="78" t="s">
        <v>420</v>
      </c>
      <c r="D112" s="78" t="s">
        <v>337</v>
      </c>
      <c r="E112" s="65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.5" customHeight="1">
      <c r="A113" s="1"/>
      <c r="B113" s="125">
        <f>-E128</f>
        <v>154791983.41442716</v>
      </c>
      <c r="C113" s="1416" t="e">
        <f>B113/B55</f>
        <v>#REF!</v>
      </c>
      <c r="D113" s="1414">
        <v>0.67733684305786457</v>
      </c>
      <c r="E113" s="126">
        <f>E154</f>
        <v>0.14986050825811392</v>
      </c>
      <c r="F113" s="124"/>
      <c r="G113" s="127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.5" customHeight="1">
      <c r="A114" s="1"/>
      <c r="B114" s="1"/>
      <c r="C114" s="1"/>
      <c r="D114" s="1"/>
      <c r="E114" s="1"/>
      <c r="F114" s="124"/>
      <c r="G114" s="124"/>
      <c r="H114" s="124"/>
      <c r="I114" s="124"/>
      <c r="J114" s="124"/>
      <c r="K114" s="124"/>
      <c r="L114" s="124"/>
      <c r="M114" s="124"/>
      <c r="N114" s="1"/>
      <c r="O114" s="1"/>
      <c r="P114" s="1"/>
      <c r="Q114" s="82" t="s">
        <v>405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.5" customHeight="1">
      <c r="A115" s="1"/>
      <c r="B115" s="1624"/>
      <c r="C115" s="1625"/>
      <c r="D115" s="1499"/>
      <c r="E115" s="1628" t="s">
        <v>34</v>
      </c>
      <c r="F115" s="52" t="s">
        <v>363</v>
      </c>
      <c r="G115" s="49">
        <v>1</v>
      </c>
      <c r="H115" s="49">
        <f t="shared" ref="H115:O115" si="84">G115+1</f>
        <v>2</v>
      </c>
      <c r="I115" s="49">
        <f t="shared" si="84"/>
        <v>3</v>
      </c>
      <c r="J115" s="49">
        <f t="shared" si="84"/>
        <v>4</v>
      </c>
      <c r="K115" s="49">
        <f t="shared" si="84"/>
        <v>5</v>
      </c>
      <c r="L115" s="49">
        <f t="shared" si="84"/>
        <v>6</v>
      </c>
      <c r="M115" s="49">
        <f t="shared" si="84"/>
        <v>7</v>
      </c>
      <c r="N115" s="49">
        <f t="shared" si="84"/>
        <v>8</v>
      </c>
      <c r="O115" s="49">
        <f t="shared" si="84"/>
        <v>9</v>
      </c>
      <c r="P115" s="128"/>
      <c r="Q115" s="1628" t="s">
        <v>35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.5" customHeight="1">
      <c r="A116" s="1"/>
      <c r="B116" s="1520"/>
      <c r="C116" s="1626"/>
      <c r="D116" s="1627"/>
      <c r="E116" s="1532"/>
      <c r="F116" s="1635" t="s">
        <v>364</v>
      </c>
      <c r="G116" s="1492"/>
      <c r="H116" s="1491"/>
      <c r="I116" s="1635" t="s">
        <v>407</v>
      </c>
      <c r="J116" s="1492"/>
      <c r="K116" s="1492"/>
      <c r="L116" s="1492"/>
      <c r="M116" s="1492"/>
      <c r="N116" s="83"/>
      <c r="O116" s="83"/>
      <c r="P116" s="56"/>
      <c r="Q116" s="1532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.5" customHeight="1">
      <c r="A117" s="1"/>
      <c r="B117" s="1520"/>
      <c r="C117" s="1626"/>
      <c r="D117" s="1627"/>
      <c r="E117" s="1532"/>
      <c r="F117" s="1638">
        <v>39661</v>
      </c>
      <c r="G117" s="50">
        <f>F117+31</f>
        <v>39692</v>
      </c>
      <c r="H117" s="50">
        <f t="shared" ref="H117:O117" si="85">G117+365.25</f>
        <v>40057.25</v>
      </c>
      <c r="I117" s="50">
        <f t="shared" si="85"/>
        <v>40422.5</v>
      </c>
      <c r="J117" s="50">
        <f t="shared" si="85"/>
        <v>40787.75</v>
      </c>
      <c r="K117" s="50">
        <f t="shared" si="85"/>
        <v>41153</v>
      </c>
      <c r="L117" s="50">
        <f t="shared" si="85"/>
        <v>41518.25</v>
      </c>
      <c r="M117" s="50">
        <f t="shared" si="85"/>
        <v>41883.5</v>
      </c>
      <c r="N117" s="50">
        <f t="shared" si="85"/>
        <v>42248.75</v>
      </c>
      <c r="O117" s="50">
        <f t="shared" si="85"/>
        <v>42614</v>
      </c>
      <c r="P117" s="129"/>
      <c r="Q117" s="1532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.5" customHeight="1">
      <c r="A118" s="1"/>
      <c r="B118" s="1500"/>
      <c r="C118" s="1578"/>
      <c r="D118" s="1501"/>
      <c r="E118" s="1508"/>
      <c r="F118" s="1501"/>
      <c r="G118" s="50">
        <f t="shared" ref="G118:O118" si="86">G117+364</f>
        <v>40056</v>
      </c>
      <c r="H118" s="50">
        <f t="shared" si="86"/>
        <v>40421.25</v>
      </c>
      <c r="I118" s="50">
        <f t="shared" si="86"/>
        <v>40786.5</v>
      </c>
      <c r="J118" s="50">
        <f t="shared" si="86"/>
        <v>41151.75</v>
      </c>
      <c r="K118" s="50">
        <f t="shared" si="86"/>
        <v>41517</v>
      </c>
      <c r="L118" s="50">
        <f t="shared" si="86"/>
        <v>41882.25</v>
      </c>
      <c r="M118" s="50">
        <f t="shared" si="86"/>
        <v>42247.5</v>
      </c>
      <c r="N118" s="50">
        <f t="shared" si="86"/>
        <v>42612.75</v>
      </c>
      <c r="O118" s="50">
        <f t="shared" si="86"/>
        <v>42978</v>
      </c>
      <c r="P118" s="129"/>
      <c r="Q118" s="1508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.5" customHeight="1">
      <c r="A119" s="1"/>
      <c r="B119" s="1655" t="s">
        <v>468</v>
      </c>
      <c r="C119" s="1456" t="s">
        <v>469</v>
      </c>
      <c r="D119" s="1457"/>
      <c r="E119" s="1421">
        <v>-83596614.400000006</v>
      </c>
      <c r="F119" s="131">
        <v>-8039999.9999999981</v>
      </c>
      <c r="G119" s="132">
        <v>-75556614.400000006</v>
      </c>
      <c r="H119" s="132">
        <v>0</v>
      </c>
      <c r="I119" s="132">
        <v>0</v>
      </c>
      <c r="J119" s="132">
        <v>0</v>
      </c>
      <c r="K119" s="132"/>
      <c r="L119" s="132"/>
      <c r="M119" s="132"/>
      <c r="N119" s="132"/>
      <c r="O119" s="132"/>
      <c r="P119" s="1422"/>
      <c r="Q119" s="13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.5" customHeight="1">
      <c r="A120" s="1"/>
      <c r="B120" s="1532"/>
      <c r="C120" s="240" t="s">
        <v>470</v>
      </c>
      <c r="D120" s="241"/>
      <c r="E120" s="136">
        <v>-33364020.306249999</v>
      </c>
      <c r="F120" s="1423">
        <v>0</v>
      </c>
      <c r="G120" s="137">
        <v>-4056613.8139999998</v>
      </c>
      <c r="H120" s="137">
        <v>-14776538.78888</v>
      </c>
      <c r="I120" s="137">
        <v>-14530867.703369999</v>
      </c>
      <c r="J120" s="137">
        <v>0</v>
      </c>
      <c r="K120" s="137"/>
      <c r="L120" s="137"/>
      <c r="M120" s="137"/>
      <c r="N120" s="137"/>
      <c r="O120" s="137"/>
      <c r="P120" s="1424"/>
      <c r="Q120" s="138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.5" customHeight="1">
      <c r="A121" s="1"/>
      <c r="B121" s="1532"/>
      <c r="C121" s="240" t="s">
        <v>471</v>
      </c>
      <c r="D121" s="241"/>
      <c r="E121" s="136">
        <v>-1401479.3540000001</v>
      </c>
      <c r="F121" s="1423">
        <v>-82439.962</v>
      </c>
      <c r="G121" s="137">
        <v>-865619.60100000002</v>
      </c>
      <c r="H121" s="137">
        <v>-185489.91449999998</v>
      </c>
      <c r="I121" s="137">
        <v>-267929.87650000001</v>
      </c>
      <c r="J121" s="137">
        <v>0</v>
      </c>
      <c r="K121" s="137"/>
      <c r="L121" s="137"/>
      <c r="M121" s="137"/>
      <c r="N121" s="137"/>
      <c r="O121" s="137"/>
      <c r="P121" s="1424"/>
      <c r="Q121" s="138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.5" customHeight="1">
      <c r="A122" s="1"/>
      <c r="B122" s="1532"/>
      <c r="C122" s="240" t="s">
        <v>472</v>
      </c>
      <c r="D122" s="241"/>
      <c r="E122" s="136">
        <v>-1648799.2400000002</v>
      </c>
      <c r="F122" s="1423">
        <v>0</v>
      </c>
      <c r="G122" s="137">
        <v>0</v>
      </c>
      <c r="H122" s="137">
        <v>0</v>
      </c>
      <c r="I122" s="137">
        <v>-1648799.2400000002</v>
      </c>
      <c r="J122" s="137">
        <v>0</v>
      </c>
      <c r="K122" s="137"/>
      <c r="L122" s="137"/>
      <c r="M122" s="137"/>
      <c r="N122" s="137"/>
      <c r="O122" s="137"/>
      <c r="P122" s="1424"/>
      <c r="Q122" s="138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.5" customHeight="1">
      <c r="A123" s="1"/>
      <c r="B123" s="1532"/>
      <c r="C123" s="240" t="s">
        <v>473</v>
      </c>
      <c r="D123" s="241"/>
      <c r="E123" s="136">
        <v>-25748175.486035407</v>
      </c>
      <c r="F123" s="1423">
        <v>-2702.7027027027025</v>
      </c>
      <c r="G123" s="137">
        <v>-8281636.4349852446</v>
      </c>
      <c r="H123" s="137">
        <v>-7206862.1752149407</v>
      </c>
      <c r="I123" s="137">
        <v>-10256974.17313252</v>
      </c>
      <c r="J123" s="137">
        <v>0</v>
      </c>
      <c r="K123" s="137"/>
      <c r="L123" s="137"/>
      <c r="M123" s="137"/>
      <c r="N123" s="137"/>
      <c r="O123" s="137"/>
      <c r="P123" s="1424"/>
      <c r="Q123" s="138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.5" customHeight="1">
      <c r="A124" s="1"/>
      <c r="B124" s="1532"/>
      <c r="C124" s="240" t="s">
        <v>474</v>
      </c>
      <c r="D124" s="241"/>
      <c r="E124" s="136">
        <v>-1000000.0000000005</v>
      </c>
      <c r="F124" s="1423">
        <v>-27027.027027027027</v>
      </c>
      <c r="G124" s="137">
        <v>-324324.32432432444</v>
      </c>
      <c r="H124" s="137">
        <v>-324324.32432432444</v>
      </c>
      <c r="I124" s="137">
        <v>-324324.32432432444</v>
      </c>
      <c r="J124" s="137">
        <v>0</v>
      </c>
      <c r="K124" s="137"/>
      <c r="L124" s="137"/>
      <c r="M124" s="137"/>
      <c r="N124" s="137"/>
      <c r="O124" s="137"/>
      <c r="P124" s="1424"/>
      <c r="Q124" s="138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.5" customHeight="1">
      <c r="A125" s="1"/>
      <c r="B125" s="1532"/>
      <c r="C125" s="240" t="s">
        <v>458</v>
      </c>
      <c r="D125" s="241"/>
      <c r="E125" s="136">
        <v>-146759088.7862854</v>
      </c>
      <c r="F125" s="1423">
        <v>-8152169.6917297281</v>
      </c>
      <c r="G125" s="137">
        <v>-89084808.574309558</v>
      </c>
      <c r="H125" s="137">
        <v>-22493215.202919263</v>
      </c>
      <c r="I125" s="137">
        <v>-27028895.317326847</v>
      </c>
      <c r="J125" s="137">
        <v>0</v>
      </c>
      <c r="K125" s="137"/>
      <c r="L125" s="137"/>
      <c r="M125" s="137"/>
      <c r="N125" s="137"/>
      <c r="O125" s="137"/>
      <c r="P125" s="1424"/>
      <c r="Q125" s="138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.5" customHeight="1">
      <c r="A126" s="1"/>
      <c r="B126" s="1532"/>
      <c r="C126" s="240" t="s">
        <v>475</v>
      </c>
      <c r="D126" s="241"/>
      <c r="E126" s="136">
        <v>-4735296.1481417678</v>
      </c>
      <c r="F126" s="1423">
        <v>-27173.898972432431</v>
      </c>
      <c r="G126" s="137">
        <v>-931547.63703171292</v>
      </c>
      <c r="H126" s="137">
        <v>-1574009.0801581191</v>
      </c>
      <c r="I126" s="137">
        <v>-2202565.5319795031</v>
      </c>
      <c r="J126" s="137">
        <v>0</v>
      </c>
      <c r="K126" s="137"/>
      <c r="L126" s="137"/>
      <c r="M126" s="137"/>
      <c r="N126" s="137"/>
      <c r="O126" s="137"/>
      <c r="P126" s="1424"/>
      <c r="Q126" s="138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.5" customHeight="1">
      <c r="A127" s="1"/>
      <c r="B127" s="1532"/>
      <c r="C127" s="242" t="s">
        <v>476</v>
      </c>
      <c r="D127" s="243"/>
      <c r="E127" s="141">
        <v>-3297598.4800000004</v>
      </c>
      <c r="F127" s="1425">
        <v>-89124.283243243248</v>
      </c>
      <c r="G127" s="142">
        <v>-1069491.398918919</v>
      </c>
      <c r="H127" s="142">
        <v>-1069491.398918919</v>
      </c>
      <c r="I127" s="142">
        <v>-1069491.398918919</v>
      </c>
      <c r="J127" s="142">
        <v>0</v>
      </c>
      <c r="K127" s="142"/>
      <c r="L127" s="142"/>
      <c r="M127" s="142"/>
      <c r="N127" s="142"/>
      <c r="O127" s="142"/>
      <c r="P127" s="1426"/>
      <c r="Q127" s="14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9.5" customHeight="1">
      <c r="A128" s="1"/>
      <c r="B128" s="1508"/>
      <c r="C128" s="244" t="s">
        <v>466</v>
      </c>
      <c r="D128" s="245"/>
      <c r="E128" s="53">
        <v>-154791983.41442716</v>
      </c>
      <c r="F128" s="144">
        <v>-8268467.8739454038</v>
      </c>
      <c r="G128" s="53">
        <v>-91085847.610260189</v>
      </c>
      <c r="H128" s="53">
        <v>-25136715.681996301</v>
      </c>
      <c r="I128" s="53">
        <v>-30300952.248225272</v>
      </c>
      <c r="J128" s="53">
        <v>0</v>
      </c>
      <c r="K128" s="61"/>
      <c r="L128" s="61"/>
      <c r="M128" s="61"/>
      <c r="N128" s="61"/>
      <c r="O128" s="61"/>
      <c r="P128" s="145"/>
      <c r="Q128" s="62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9.5" customHeight="1">
      <c r="A129" s="1"/>
      <c r="B129" s="1656" t="s">
        <v>495</v>
      </c>
      <c r="C129" s="244" t="s">
        <v>507</v>
      </c>
      <c r="D129" s="246"/>
      <c r="E129" s="53">
        <v>104846313.37659343</v>
      </c>
      <c r="F129" s="1427">
        <v>0</v>
      </c>
      <c r="G129" s="147">
        <v>81911497.352540538</v>
      </c>
      <c r="H129" s="147">
        <v>13203002.671244539</v>
      </c>
      <c r="I129" s="53">
        <v>-95114500.023785084</v>
      </c>
      <c r="J129" s="61"/>
      <c r="K129" s="61"/>
      <c r="L129" s="148"/>
      <c r="M129" s="148"/>
      <c r="N129" s="148"/>
      <c r="O129" s="148"/>
      <c r="P129" s="149"/>
      <c r="Q129" s="150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9.5" customHeight="1">
      <c r="A130" s="1"/>
      <c r="B130" s="1500"/>
      <c r="C130" s="244" t="s">
        <v>380</v>
      </c>
      <c r="D130" s="246"/>
      <c r="E130" s="1458"/>
      <c r="F130" s="1427"/>
      <c r="G130" s="147"/>
      <c r="H130" s="147"/>
      <c r="I130" s="147">
        <v>104846313.37659343</v>
      </c>
      <c r="J130" s="61"/>
      <c r="K130" s="61"/>
      <c r="L130" s="148"/>
      <c r="M130" s="148"/>
      <c r="N130" s="148"/>
      <c r="O130" s="148"/>
      <c r="P130" s="149"/>
      <c r="Q130" s="150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9.5" customHeight="1">
      <c r="A131" s="1"/>
      <c r="B131" s="1657" t="s">
        <v>459</v>
      </c>
      <c r="C131" s="1492"/>
      <c r="D131" s="1491"/>
      <c r="E131" s="136">
        <v>-49945670.03783375</v>
      </c>
      <c r="F131" s="1427">
        <v>-8268467.8739454038</v>
      </c>
      <c r="G131" s="147">
        <v>-9174350.2577196509</v>
      </c>
      <c r="H131" s="147">
        <v>-11933713.010751761</v>
      </c>
      <c r="I131" s="147">
        <v>-20569138.89541693</v>
      </c>
      <c r="J131" s="61"/>
      <c r="K131" s="61"/>
      <c r="L131" s="148"/>
      <c r="M131" s="148"/>
      <c r="N131" s="148"/>
      <c r="O131" s="148"/>
      <c r="P131" s="149"/>
      <c r="Q131" s="150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.5" customHeight="1">
      <c r="A132" s="1"/>
      <c r="B132" s="247"/>
      <c r="C132" s="248" t="s">
        <v>508</v>
      </c>
      <c r="D132" s="249"/>
      <c r="E132" s="155"/>
      <c r="F132" s="1428"/>
      <c r="G132" s="156"/>
      <c r="H132" s="156"/>
      <c r="I132" s="156">
        <v>6313803.7998944325</v>
      </c>
      <c r="J132" s="156">
        <v>6629493.9898891542</v>
      </c>
      <c r="K132" s="156">
        <v>6960968.689383612</v>
      </c>
      <c r="L132" s="156">
        <v>7309017.1238527931</v>
      </c>
      <c r="M132" s="156">
        <v>7674467.9800454332</v>
      </c>
      <c r="N132" s="156">
        <v>8058191.3790477049</v>
      </c>
      <c r="O132" s="156">
        <v>8461100.9480000902</v>
      </c>
      <c r="P132" s="1429"/>
      <c r="Q132" s="156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.5" customHeight="1">
      <c r="A133" s="1"/>
      <c r="B133" s="1459"/>
      <c r="C133" s="250" t="s">
        <v>509</v>
      </c>
      <c r="D133" s="251"/>
      <c r="E133" s="159"/>
      <c r="F133" s="1431"/>
      <c r="G133" s="160"/>
      <c r="H133" s="160">
        <v>0</v>
      </c>
      <c r="I133" s="160">
        <v>27885.966782867075</v>
      </c>
      <c r="J133" s="160">
        <v>16731.580069720247</v>
      </c>
      <c r="K133" s="160">
        <v>17568.159073206261</v>
      </c>
      <c r="L133" s="160">
        <v>18446.5670268666</v>
      </c>
      <c r="M133" s="160">
        <v>19368.89537820992</v>
      </c>
      <c r="N133" s="160">
        <v>20337.340147120402</v>
      </c>
      <c r="O133" s="160">
        <v>448438.35024400475</v>
      </c>
      <c r="P133" s="1432"/>
      <c r="Q133" s="160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.5" customHeight="1">
      <c r="A134" s="1"/>
      <c r="B134" s="1459"/>
      <c r="C134" s="250" t="s">
        <v>510</v>
      </c>
      <c r="D134" s="251"/>
      <c r="E134" s="159"/>
      <c r="F134" s="1431"/>
      <c r="G134" s="160"/>
      <c r="H134" s="89">
        <v>0</v>
      </c>
      <c r="I134" s="89">
        <v>631380.37998944346</v>
      </c>
      <c r="J134" s="89">
        <v>7955392.7878669864</v>
      </c>
      <c r="K134" s="89">
        <v>8353162.4272603365</v>
      </c>
      <c r="L134" s="89">
        <v>8770820.5486233532</v>
      </c>
      <c r="M134" s="89">
        <v>9209361.5760545209</v>
      </c>
      <c r="N134" s="89">
        <v>9669829.6548572481</v>
      </c>
      <c r="O134" s="89">
        <v>10153321.137600109</v>
      </c>
      <c r="P134" s="1433"/>
      <c r="Q134" s="160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.5" customHeight="1">
      <c r="A135" s="1"/>
      <c r="B135" s="1459" t="s">
        <v>486</v>
      </c>
      <c r="C135" s="250" t="s">
        <v>511</v>
      </c>
      <c r="D135" s="251"/>
      <c r="E135" s="159"/>
      <c r="F135" s="1431"/>
      <c r="G135" s="160"/>
      <c r="H135" s="160">
        <v>0</v>
      </c>
      <c r="I135" s="160">
        <v>245613.71994515334</v>
      </c>
      <c r="J135" s="160">
        <v>3094732.8713089321</v>
      </c>
      <c r="K135" s="160">
        <v>3249469.5148743792</v>
      </c>
      <c r="L135" s="160">
        <v>3411942.9906180985</v>
      </c>
      <c r="M135" s="160">
        <v>3582540.1401490029</v>
      </c>
      <c r="N135" s="160">
        <v>3761667.1471564537</v>
      </c>
      <c r="O135" s="160">
        <v>3949750.5045142761</v>
      </c>
      <c r="P135" s="1432"/>
      <c r="Q135" s="160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.5" customHeight="1">
      <c r="A136" s="1"/>
      <c r="B136" s="1459" t="s">
        <v>460</v>
      </c>
      <c r="C136" s="250" t="s">
        <v>512</v>
      </c>
      <c r="D136" s="251"/>
      <c r="E136" s="159"/>
      <c r="F136" s="1431"/>
      <c r="G136" s="160"/>
      <c r="H136" s="160">
        <v>0</v>
      </c>
      <c r="I136" s="160">
        <v>10000</v>
      </c>
      <c r="J136" s="160">
        <v>120000</v>
      </c>
      <c r="K136" s="160">
        <v>120000</v>
      </c>
      <c r="L136" s="160">
        <v>120000</v>
      </c>
      <c r="M136" s="160">
        <v>120000</v>
      </c>
      <c r="N136" s="160">
        <v>120000</v>
      </c>
      <c r="O136" s="160">
        <v>120000</v>
      </c>
      <c r="P136" s="1432"/>
      <c r="Q136" s="160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.5" customHeight="1">
      <c r="A137" s="1"/>
      <c r="B137" s="1459"/>
      <c r="C137" s="250" t="s">
        <v>513</v>
      </c>
      <c r="D137" s="251"/>
      <c r="E137" s="159"/>
      <c r="F137" s="1431"/>
      <c r="G137" s="160"/>
      <c r="H137" s="160">
        <v>0</v>
      </c>
      <c r="I137" s="160">
        <v>914880.06671746389</v>
      </c>
      <c r="J137" s="160">
        <v>11186857.239245638</v>
      </c>
      <c r="K137" s="160">
        <v>11740200.101207923</v>
      </c>
      <c r="L137" s="160">
        <v>12321210.106268318</v>
      </c>
      <c r="M137" s="160">
        <v>12931270.611581733</v>
      </c>
      <c r="N137" s="160">
        <v>13571834.142160822</v>
      </c>
      <c r="O137" s="160">
        <v>14671509.99235839</v>
      </c>
      <c r="P137" s="1432"/>
      <c r="Q137" s="160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.5" customHeight="1">
      <c r="A138" s="1"/>
      <c r="B138" s="1459"/>
      <c r="C138" s="1460" t="s">
        <v>502</v>
      </c>
      <c r="D138" s="1461"/>
      <c r="E138" s="159"/>
      <c r="F138" s="1436"/>
      <c r="G138" s="161"/>
      <c r="H138" s="162"/>
      <c r="I138" s="162">
        <v>0.5</v>
      </c>
      <c r="J138" s="163">
        <v>0.03</v>
      </c>
      <c r="K138" s="164">
        <v>0.03</v>
      </c>
      <c r="L138" s="164">
        <v>0.03</v>
      </c>
      <c r="M138" s="164">
        <v>0.03</v>
      </c>
      <c r="N138" s="164">
        <v>0.03</v>
      </c>
      <c r="O138" s="164">
        <v>0.03</v>
      </c>
      <c r="P138" s="1437"/>
      <c r="Q138" s="164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.5" customHeight="1">
      <c r="A139" s="1"/>
      <c r="B139" s="252"/>
      <c r="C139" s="253" t="s">
        <v>514</v>
      </c>
      <c r="D139" s="1462"/>
      <c r="E139" s="167"/>
      <c r="F139" s="168"/>
      <c r="G139" s="169"/>
      <c r="H139" s="169">
        <v>0</v>
      </c>
      <c r="I139" s="169">
        <v>457440.03335873195</v>
      </c>
      <c r="J139" s="169">
        <v>10851251.52206827</v>
      </c>
      <c r="K139" s="169">
        <v>11387994.098171685</v>
      </c>
      <c r="L139" s="169">
        <v>11951573.803080268</v>
      </c>
      <c r="M139" s="169">
        <v>12543332.49323428</v>
      </c>
      <c r="N139" s="169">
        <v>13164679.117895996</v>
      </c>
      <c r="O139" s="169">
        <v>14231364.692587638</v>
      </c>
      <c r="P139" s="170"/>
      <c r="Q139" s="169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.5" customHeight="1">
      <c r="A140" s="1"/>
      <c r="B140" s="1459"/>
      <c r="C140" s="248" t="s">
        <v>515</v>
      </c>
      <c r="D140" s="249"/>
      <c r="E140" s="171"/>
      <c r="F140" s="1428"/>
      <c r="G140" s="156"/>
      <c r="H140" s="156">
        <v>0</v>
      </c>
      <c r="I140" s="156">
        <v>-13723.201000761957</v>
      </c>
      <c r="J140" s="156">
        <v>-325537.5456620481</v>
      </c>
      <c r="K140" s="156">
        <v>-341639.82294515055</v>
      </c>
      <c r="L140" s="156">
        <v>-358547.21409240802</v>
      </c>
      <c r="M140" s="156">
        <v>-376299.97479702841</v>
      </c>
      <c r="N140" s="156">
        <v>-394940.3735368799</v>
      </c>
      <c r="O140" s="156">
        <v>-426940.94077762915</v>
      </c>
      <c r="P140" s="1429"/>
      <c r="Q140" s="156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.5" customHeight="1">
      <c r="A141" s="1"/>
      <c r="B141" s="1459" t="s">
        <v>486</v>
      </c>
      <c r="C141" s="250" t="s">
        <v>516</v>
      </c>
      <c r="D141" s="251"/>
      <c r="E141" s="159"/>
      <c r="F141" s="1431"/>
      <c r="G141" s="160"/>
      <c r="H141" s="160">
        <v>0</v>
      </c>
      <c r="I141" s="160">
        <v>-3434.9984166666668</v>
      </c>
      <c r="J141" s="160">
        <v>-41219.981</v>
      </c>
      <c r="K141" s="160">
        <v>-41219.981</v>
      </c>
      <c r="L141" s="160">
        <v>-41219.981</v>
      </c>
      <c r="M141" s="160">
        <v>-41219.981</v>
      </c>
      <c r="N141" s="160">
        <v>-41219.981</v>
      </c>
      <c r="O141" s="160">
        <v>-41219.981</v>
      </c>
      <c r="P141" s="1432"/>
      <c r="Q141" s="160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.5" customHeight="1">
      <c r="A142" s="1"/>
      <c r="B142" s="1459" t="s">
        <v>468</v>
      </c>
      <c r="C142" s="250" t="s">
        <v>517</v>
      </c>
      <c r="D142" s="251"/>
      <c r="E142" s="159"/>
      <c r="F142" s="1431"/>
      <c r="G142" s="160"/>
      <c r="H142" s="160">
        <v>0</v>
      </c>
      <c r="I142" s="160">
        <v>-171929.60396160732</v>
      </c>
      <c r="J142" s="160">
        <v>-2166313.0099162525</v>
      </c>
      <c r="K142" s="160">
        <v>-2274628.6604120652</v>
      </c>
      <c r="L142" s="160">
        <v>-2388360.0934326686</v>
      </c>
      <c r="M142" s="160">
        <v>-2507778.0981043018</v>
      </c>
      <c r="N142" s="160">
        <v>-2633167.0030095172</v>
      </c>
      <c r="O142" s="160">
        <v>-2764825.353159993</v>
      </c>
      <c r="P142" s="1432"/>
      <c r="Q142" s="160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.5" customHeight="1">
      <c r="A143" s="1"/>
      <c r="B143" s="1459"/>
      <c r="C143" s="254" t="s">
        <v>518</v>
      </c>
      <c r="D143" s="255"/>
      <c r="E143" s="174"/>
      <c r="F143" s="1436"/>
      <c r="G143" s="161"/>
      <c r="H143" s="161">
        <v>0</v>
      </c>
      <c r="I143" s="161">
        <v>-3000</v>
      </c>
      <c r="J143" s="161">
        <v>-36000</v>
      </c>
      <c r="K143" s="161">
        <v>-36000</v>
      </c>
      <c r="L143" s="161">
        <v>-36000</v>
      </c>
      <c r="M143" s="161">
        <v>-36000</v>
      </c>
      <c r="N143" s="161">
        <v>-36000</v>
      </c>
      <c r="O143" s="161">
        <v>-36000</v>
      </c>
      <c r="P143" s="1439"/>
      <c r="Q143" s="160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.5" customHeight="1">
      <c r="A144" s="1"/>
      <c r="B144" s="252"/>
      <c r="C144" s="253" t="s">
        <v>458</v>
      </c>
      <c r="D144" s="1462"/>
      <c r="E144" s="167"/>
      <c r="F144" s="1440"/>
      <c r="G144" s="175"/>
      <c r="H144" s="175">
        <v>0</v>
      </c>
      <c r="I144" s="175">
        <v>-192087.80337903596</v>
      </c>
      <c r="J144" s="175">
        <v>-2569070.5365783004</v>
      </c>
      <c r="K144" s="175">
        <v>-2693488.4643572159</v>
      </c>
      <c r="L144" s="175">
        <v>-2824127.2885250766</v>
      </c>
      <c r="M144" s="175">
        <v>-2961298.0539013301</v>
      </c>
      <c r="N144" s="175">
        <v>-3105327.357546397</v>
      </c>
      <c r="O144" s="175">
        <v>-3268986.2749376222</v>
      </c>
      <c r="P144" s="1441"/>
      <c r="Q144" s="17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.5" customHeight="1">
      <c r="A145" s="1"/>
      <c r="B145" s="1658" t="s">
        <v>519</v>
      </c>
      <c r="C145" s="1492"/>
      <c r="D145" s="1462"/>
      <c r="E145" s="167"/>
      <c r="F145" s="168"/>
      <c r="G145" s="169"/>
      <c r="H145" s="176">
        <v>0</v>
      </c>
      <c r="I145" s="176">
        <v>265352.22997969599</v>
      </c>
      <c r="J145" s="176">
        <v>8282180.9854899691</v>
      </c>
      <c r="K145" s="176">
        <v>8694505.633814469</v>
      </c>
      <c r="L145" s="176">
        <v>9127446.5145551916</v>
      </c>
      <c r="M145" s="176">
        <v>9582034.4393329509</v>
      </c>
      <c r="N145" s="176">
        <v>10059351.7603496</v>
      </c>
      <c r="O145" s="176">
        <v>10962378.417650016</v>
      </c>
      <c r="P145" s="177"/>
      <c r="Q145" s="176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.5" customHeight="1">
      <c r="A146" s="1"/>
      <c r="B146" s="1658" t="s">
        <v>520</v>
      </c>
      <c r="C146" s="1492"/>
      <c r="D146" s="1462"/>
      <c r="E146" s="167"/>
      <c r="F146" s="1442"/>
      <c r="G146" s="175"/>
      <c r="H146" s="175">
        <v>0</v>
      </c>
      <c r="I146" s="175">
        <v>0</v>
      </c>
      <c r="J146" s="175">
        <v>0</v>
      </c>
      <c r="K146" s="175">
        <v>0</v>
      </c>
      <c r="L146" s="175">
        <v>0</v>
      </c>
      <c r="M146" s="175">
        <v>0</v>
      </c>
      <c r="N146" s="175">
        <v>0</v>
      </c>
      <c r="O146" s="175">
        <v>0</v>
      </c>
      <c r="P146" s="1441"/>
      <c r="Q146" s="54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.5" customHeight="1">
      <c r="A147" s="1"/>
      <c r="B147" s="256" t="s">
        <v>495</v>
      </c>
      <c r="C147" s="244" t="s">
        <v>521</v>
      </c>
      <c r="D147" s="1463"/>
      <c r="E147" s="167"/>
      <c r="F147" s="1440"/>
      <c r="G147" s="175"/>
      <c r="H147" s="175"/>
      <c r="I147" s="175">
        <v>-6815010.3694785731</v>
      </c>
      <c r="J147" s="175">
        <v>-6815010.3694785731</v>
      </c>
      <c r="K147" s="175">
        <v>-6815010.3694785731</v>
      </c>
      <c r="L147" s="175">
        <v>-6815010.3694785731</v>
      </c>
      <c r="M147" s="175">
        <v>-6815010.3694785731</v>
      </c>
      <c r="N147" s="175">
        <v>-6815010.3694785731</v>
      </c>
      <c r="O147" s="175">
        <v>-6815010.3694785731</v>
      </c>
      <c r="P147" s="1441"/>
      <c r="Q147" s="54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.5" customHeight="1">
      <c r="A148" s="1"/>
      <c r="B148" s="257" t="s">
        <v>468</v>
      </c>
      <c r="C148" s="244" t="s">
        <v>497</v>
      </c>
      <c r="D148" s="1463"/>
      <c r="E148" s="167"/>
      <c r="F148" s="1440"/>
      <c r="G148" s="180"/>
      <c r="H148" s="180"/>
      <c r="I148" s="180"/>
      <c r="J148" s="175"/>
      <c r="K148" s="175"/>
      <c r="L148" s="175"/>
      <c r="M148" s="175"/>
      <c r="N148" s="175">
        <v>-104846313.37659343</v>
      </c>
      <c r="O148" s="175"/>
      <c r="P148" s="1441"/>
      <c r="Q148" s="54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.5" customHeight="1">
      <c r="A149" s="1"/>
      <c r="B149" s="258" t="s">
        <v>522</v>
      </c>
      <c r="C149" s="259" t="s">
        <v>523</v>
      </c>
      <c r="D149" s="1462"/>
      <c r="E149" s="167"/>
      <c r="F149" s="1442"/>
      <c r="G149" s="180"/>
      <c r="H149" s="180"/>
      <c r="I149" s="175"/>
      <c r="J149" s="175"/>
      <c r="K149" s="175"/>
      <c r="L149" s="175"/>
      <c r="M149" s="175"/>
      <c r="N149" s="175">
        <v>-8058191.3790477049</v>
      </c>
      <c r="O149" s="175"/>
      <c r="P149" s="1441"/>
      <c r="Q149" s="54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.5" customHeight="1">
      <c r="A150" s="1"/>
      <c r="B150" s="1464"/>
      <c r="C150" s="259" t="s">
        <v>472</v>
      </c>
      <c r="D150" s="1462"/>
      <c r="E150" s="167"/>
      <c r="F150" s="1442"/>
      <c r="G150" s="108"/>
      <c r="H150" s="108"/>
      <c r="I150" s="108"/>
      <c r="J150" s="108"/>
      <c r="K150" s="108"/>
      <c r="L150" s="108"/>
      <c r="M150" s="108"/>
      <c r="N150" s="175">
        <v>-2192475.6835300033</v>
      </c>
      <c r="O150" s="107"/>
      <c r="P150" s="1444"/>
      <c r="Q150" s="183" t="s">
        <v>445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.5" customHeight="1">
      <c r="A151" s="1"/>
      <c r="B151" s="1459"/>
      <c r="C151" s="1465" t="s">
        <v>524</v>
      </c>
      <c r="D151" s="1462"/>
      <c r="E151" s="167"/>
      <c r="F151" s="1446"/>
      <c r="G151" s="1447"/>
      <c r="H151" s="1447"/>
      <c r="I151" s="1447"/>
      <c r="J151" s="1447"/>
      <c r="K151" s="1447"/>
      <c r="L151" s="1447"/>
      <c r="M151" s="1447"/>
      <c r="N151" s="1448">
        <v>219247568.35300031</v>
      </c>
      <c r="O151" s="1448"/>
      <c r="P151" s="1449"/>
      <c r="Q151" s="1450" t="e">
        <f>N151/B55</f>
        <v>#REF!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20.25" customHeight="1">
      <c r="A152" s="1"/>
      <c r="B152" s="1658" t="s">
        <v>447</v>
      </c>
      <c r="C152" s="1492"/>
      <c r="D152" s="260"/>
      <c r="E152" s="176">
        <v>65639531.022540309</v>
      </c>
      <c r="F152" s="185">
        <v>-8268467.8739454038</v>
      </c>
      <c r="G152" s="186">
        <v>-9174350.2577196509</v>
      </c>
      <c r="H152" s="186">
        <v>-11933713.010751761</v>
      </c>
      <c r="I152" s="186">
        <v>-20804993.235021375</v>
      </c>
      <c r="J152" s="186">
        <v>1467170.6160113961</v>
      </c>
      <c r="K152" s="186">
        <v>1879495.2643358959</v>
      </c>
      <c r="L152" s="186">
        <v>2312436.1450766185</v>
      </c>
      <c r="M152" s="186">
        <v>2767024.0698543778</v>
      </c>
      <c r="N152" s="186">
        <v>107394929.30470021</v>
      </c>
      <c r="O152" s="186"/>
      <c r="P152" s="187"/>
      <c r="Q152" s="188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9.5" customHeight="1">
      <c r="A154" s="1"/>
      <c r="B154" s="1641" t="s">
        <v>354</v>
      </c>
      <c r="C154" s="1642"/>
      <c r="D154" s="1643"/>
      <c r="E154" s="189">
        <f>IRR(F152:N152)</f>
        <v>0.14986050825811392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1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9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" customHeight="1">
      <c r="A156" s="1"/>
      <c r="B156" s="191" t="s">
        <v>448</v>
      </c>
      <c r="C156" s="192"/>
      <c r="D156" s="1"/>
      <c r="E156" s="1"/>
      <c r="F156" s="1"/>
      <c r="G156" s="193">
        <f t="shared" ref="G156:N156" si="87">G145/$B$113</f>
        <v>0</v>
      </c>
      <c r="H156" s="193">
        <f t="shared" si="87"/>
        <v>0</v>
      </c>
      <c r="I156" s="193">
        <f t="shared" si="87"/>
        <v>1.7142504677988655E-3</v>
      </c>
      <c r="J156" s="193">
        <f t="shared" si="87"/>
        <v>5.3505232007499688E-2</v>
      </c>
      <c r="K156" s="193">
        <f t="shared" si="87"/>
        <v>5.6168965872971106E-2</v>
      </c>
      <c r="L156" s="193">
        <f t="shared" si="87"/>
        <v>5.8965886431716082E-2</v>
      </c>
      <c r="M156" s="193">
        <f t="shared" si="87"/>
        <v>6.1902653018398313E-2</v>
      </c>
      <c r="N156" s="193">
        <f t="shared" si="87"/>
        <v>6.4986257934414662E-2</v>
      </c>
      <c r="O156" s="193"/>
      <c r="P156" s="19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9.75" customHeight="1">
      <c r="A157" s="1"/>
      <c r="B157" s="191"/>
      <c r="C157" s="192"/>
      <c r="D157" s="1"/>
      <c r="E157" s="1"/>
      <c r="F157" s="1"/>
      <c r="G157" s="193"/>
      <c r="H157" s="193"/>
      <c r="I157" s="193"/>
      <c r="J157" s="193"/>
      <c r="K157" s="193"/>
      <c r="L157" s="19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 customHeight="1">
      <c r="A158" s="1"/>
      <c r="B158" s="194" t="s">
        <v>449</v>
      </c>
      <c r="C158" s="192"/>
      <c r="D158" s="1"/>
      <c r="E158" s="1"/>
      <c r="F158" s="1"/>
      <c r="G158" s="193">
        <f t="shared" ref="G158:N158" si="88">(G145+G147)/-$E$131</f>
        <v>0</v>
      </c>
      <c r="H158" s="193">
        <f t="shared" si="88"/>
        <v>0</v>
      </c>
      <c r="I158" s="193">
        <f t="shared" si="88"/>
        <v>-0.13113565469314004</v>
      </c>
      <c r="J158" s="193">
        <f t="shared" si="88"/>
        <v>2.9375331533244366E-2</v>
      </c>
      <c r="K158" s="193">
        <f t="shared" si="88"/>
        <v>3.7630794879960204E-2</v>
      </c>
      <c r="L158" s="193">
        <f t="shared" si="88"/>
        <v>4.6299031394011786E-2</v>
      </c>
      <c r="M158" s="193">
        <f t="shared" si="88"/>
        <v>5.5400679733765959E-2</v>
      </c>
      <c r="N158" s="193">
        <f t="shared" si="88"/>
        <v>6.4957410490507864E-2</v>
      </c>
      <c r="O158" s="193"/>
      <c r="P158" s="193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9.75" customHeight="1">
      <c r="A159" s="1"/>
      <c r="B159" s="194"/>
      <c r="C159" s="194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9.75" customHeight="1">
      <c r="A160" s="1"/>
      <c r="B160" s="1451"/>
      <c r="C160" s="1452"/>
      <c r="D160" s="1452"/>
      <c r="E160" s="1452"/>
      <c r="F160" s="1452"/>
      <c r="G160" s="1452"/>
      <c r="H160" s="1452"/>
      <c r="I160" s="1452"/>
      <c r="J160" s="1452"/>
      <c r="K160" s="1452"/>
      <c r="L160" s="1452"/>
      <c r="M160" s="1452"/>
      <c r="N160" s="1452"/>
      <c r="O160" s="1452"/>
      <c r="P160" s="1452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8.75" customHeight="1">
      <c r="A161" s="1"/>
      <c r="B161" s="195" t="s">
        <v>450</v>
      </c>
      <c r="C161" s="192"/>
      <c r="D161" s="1"/>
      <c r="E161" s="1"/>
      <c r="F161" s="1"/>
      <c r="G161" s="196">
        <f>-SUM(I152:P152)/SUM(F152:H152)</f>
        <v>3.2344207593579108</v>
      </c>
      <c r="H161" s="192"/>
      <c r="I161" s="192"/>
      <c r="J161" s="124"/>
      <c r="K161" s="197" t="s">
        <v>451</v>
      </c>
      <c r="L161" s="198">
        <f>J145/$H$55</f>
        <v>165643619.70979938</v>
      </c>
      <c r="M161" s="199" t="s">
        <v>263</v>
      </c>
      <c r="N161" s="198" t="e">
        <f>L161/$B$55</f>
        <v>#REF!</v>
      </c>
      <c r="O161" s="124" t="s">
        <v>183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9.75" customHeight="1">
      <c r="A162" s="1"/>
      <c r="B162" s="195"/>
      <c r="C162" s="192"/>
      <c r="D162" s="1"/>
      <c r="E162" s="1"/>
      <c r="F162" s="1"/>
      <c r="G162" s="196"/>
      <c r="H162" s="192"/>
      <c r="I162" s="192"/>
      <c r="J162" s="192"/>
      <c r="K162" s="200"/>
      <c r="L162" s="20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" customHeight="1">
      <c r="A163" s="1"/>
      <c r="B163" s="195" t="s">
        <v>452</v>
      </c>
      <c r="C163" s="192"/>
      <c r="D163" s="1"/>
      <c r="E163" s="1"/>
      <c r="F163" s="1"/>
      <c r="G163" s="202" t="e">
        <f>B113/H95</f>
        <v>#REF!</v>
      </c>
      <c r="H163" s="192"/>
      <c r="I163" s="192"/>
      <c r="J163" s="192"/>
      <c r="K163" s="200"/>
      <c r="L163" s="20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7.5" customHeight="1">
      <c r="A164" s="1"/>
      <c r="B164" s="203"/>
      <c r="C164" s="203"/>
      <c r="D164" s="1"/>
      <c r="E164" s="1"/>
      <c r="F164" s="1"/>
      <c r="G164" s="204"/>
      <c r="H164" s="203"/>
      <c r="I164" s="203"/>
      <c r="J164" s="203"/>
      <c r="K164" s="205"/>
      <c r="L164" s="206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 customHeight="1">
      <c r="A165" s="1"/>
      <c r="B165" s="195" t="s">
        <v>453</v>
      </c>
      <c r="C165" s="192"/>
      <c r="D165" s="1"/>
      <c r="E165" s="1"/>
      <c r="F165" s="1"/>
      <c r="G165" s="202">
        <f>N151/$B$113</f>
        <v>1.4164013117268814</v>
      </c>
      <c r="H165" s="207"/>
      <c r="I165" s="192"/>
      <c r="J165" s="192"/>
      <c r="K165" s="200"/>
      <c r="L165" s="20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208"/>
      <c r="K166" s="19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47">
    <mergeCell ref="B145:C145"/>
    <mergeCell ref="B146:C146"/>
    <mergeCell ref="B152:C152"/>
    <mergeCell ref="B154:D154"/>
    <mergeCell ref="B63:B72"/>
    <mergeCell ref="C64:C71"/>
    <mergeCell ref="B73:B82"/>
    <mergeCell ref="C74:C81"/>
    <mergeCell ref="B83:B85"/>
    <mergeCell ref="C87:C94"/>
    <mergeCell ref="B97:D97"/>
    <mergeCell ref="Q115:Q118"/>
    <mergeCell ref="F117:F118"/>
    <mergeCell ref="B119:B128"/>
    <mergeCell ref="B129:B130"/>
    <mergeCell ref="B131:D131"/>
    <mergeCell ref="C30:C32"/>
    <mergeCell ref="F116:H116"/>
    <mergeCell ref="I116:M116"/>
    <mergeCell ref="B86:B95"/>
    <mergeCell ref="B98:B107"/>
    <mergeCell ref="C99:C106"/>
    <mergeCell ref="B108:D108"/>
    <mergeCell ref="B115:D118"/>
    <mergeCell ref="E115:E118"/>
    <mergeCell ref="B7:B13"/>
    <mergeCell ref="B35:D35"/>
    <mergeCell ref="B37:D37"/>
    <mergeCell ref="T51:T52"/>
    <mergeCell ref="B59:D62"/>
    <mergeCell ref="E59:E62"/>
    <mergeCell ref="Q59:Q61"/>
    <mergeCell ref="F60:I60"/>
    <mergeCell ref="J60:O60"/>
    <mergeCell ref="F61:F62"/>
    <mergeCell ref="B14:C14"/>
    <mergeCell ref="B15:C15"/>
    <mergeCell ref="B16:C16"/>
    <mergeCell ref="B17:B26"/>
    <mergeCell ref="B27:B33"/>
    <mergeCell ref="C27:C29"/>
    <mergeCell ref="B3:D6"/>
    <mergeCell ref="E3:E6"/>
    <mergeCell ref="Q3:Q6"/>
    <mergeCell ref="F4:I4"/>
    <mergeCell ref="J4:O4"/>
    <mergeCell ref="F5:F6"/>
  </mergeCells>
  <phoneticPr fontId="102" type="noConversion"/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topLeftCell="B15" zoomScale="70" zoomScaleNormal="70" workbookViewId="0">
      <selection activeCell="D23" sqref="D23:F24"/>
    </sheetView>
  </sheetViews>
  <sheetFormatPr defaultColWidth="14.453125" defaultRowHeight="15" customHeight="1"/>
  <cols>
    <col min="1" max="1" width="3.453125" customWidth="1"/>
    <col min="2" max="2" width="23" customWidth="1"/>
    <col min="3" max="5" width="25.54296875" customWidth="1"/>
    <col min="6" max="6" width="14" customWidth="1"/>
    <col min="7" max="7" width="14.54296875" customWidth="1"/>
    <col min="8" max="8" width="17.54296875" customWidth="1"/>
    <col min="9" max="26" width="8.54296875" customWidth="1"/>
  </cols>
  <sheetData>
    <row r="1" spans="1:26" ht="19.5" customHeight="1">
      <c r="A1" s="594" t="s">
        <v>525</v>
      </c>
      <c r="B1" s="595"/>
      <c r="C1" s="596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</row>
    <row r="2" spans="1:26" ht="19.5" customHeight="1">
      <c r="A2" s="594"/>
      <c r="B2" s="595"/>
      <c r="C2" s="596"/>
      <c r="D2" s="595"/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Y2" s="595"/>
      <c r="Z2" s="595"/>
    </row>
    <row r="3" spans="1:26" ht="19.5" customHeight="1">
      <c r="A3" s="594"/>
      <c r="B3" s="597" t="s">
        <v>526</v>
      </c>
      <c r="C3" s="596"/>
      <c r="D3" s="595"/>
      <c r="E3" s="595"/>
      <c r="F3" s="595"/>
      <c r="G3" s="595"/>
      <c r="H3" s="595"/>
      <c r="I3" s="595"/>
      <c r="J3" s="595"/>
      <c r="K3" s="595"/>
      <c r="L3" s="595"/>
      <c r="M3" s="595"/>
      <c r="N3" s="595"/>
      <c r="O3" s="595"/>
      <c r="P3" s="595"/>
      <c r="Q3" s="595"/>
      <c r="R3" s="595"/>
      <c r="S3" s="595"/>
      <c r="T3" s="595"/>
      <c r="U3" s="595"/>
      <c r="V3" s="595"/>
      <c r="W3" s="595"/>
      <c r="X3" s="595"/>
      <c r="Y3" s="595"/>
      <c r="Z3" s="595"/>
    </row>
    <row r="4" spans="1:26" ht="19.5" customHeight="1">
      <c r="A4" s="594"/>
      <c r="B4" s="597" t="s">
        <v>527</v>
      </c>
      <c r="C4" s="596"/>
      <c r="D4" s="595"/>
      <c r="E4" s="595"/>
      <c r="F4" s="595"/>
      <c r="G4" s="595"/>
      <c r="H4" s="595"/>
      <c r="I4" s="595"/>
      <c r="J4" s="595"/>
      <c r="K4" s="595"/>
      <c r="L4" s="595"/>
      <c r="M4" s="595"/>
      <c r="N4" s="595"/>
      <c r="O4" s="595"/>
      <c r="P4" s="595"/>
      <c r="Q4" s="595"/>
      <c r="R4" s="595"/>
      <c r="S4" s="595"/>
      <c r="T4" s="595"/>
      <c r="U4" s="595"/>
      <c r="V4" s="595"/>
      <c r="W4" s="595"/>
      <c r="X4" s="595"/>
      <c r="Y4" s="595"/>
      <c r="Z4" s="595"/>
    </row>
    <row r="5" spans="1:26" ht="19.5" customHeight="1">
      <c r="A5" s="594"/>
      <c r="B5" s="597" t="s">
        <v>528</v>
      </c>
      <c r="C5" s="596"/>
      <c r="D5" s="595"/>
      <c r="E5" s="595"/>
      <c r="F5" s="595"/>
      <c r="G5" s="595"/>
      <c r="H5" s="595"/>
      <c r="I5" s="595"/>
      <c r="J5" s="595"/>
      <c r="K5" s="595"/>
      <c r="L5" s="595"/>
      <c r="M5" s="595"/>
      <c r="N5" s="595"/>
      <c r="O5" s="595"/>
      <c r="P5" s="595"/>
      <c r="Q5" s="595"/>
      <c r="R5" s="595"/>
      <c r="S5" s="595"/>
      <c r="T5" s="595"/>
      <c r="U5" s="595"/>
      <c r="V5" s="595"/>
      <c r="W5" s="595"/>
      <c r="X5" s="595"/>
      <c r="Y5" s="595"/>
      <c r="Z5" s="595"/>
    </row>
    <row r="6" spans="1:26" ht="19.5" customHeight="1">
      <c r="A6" s="594"/>
      <c r="B6" s="598" t="s">
        <v>529</v>
      </c>
      <c r="C6" s="596"/>
      <c r="D6" s="595"/>
      <c r="E6" s="595"/>
      <c r="F6" s="595"/>
      <c r="G6" s="595"/>
      <c r="H6" s="595"/>
      <c r="I6" s="595"/>
      <c r="J6" s="595"/>
      <c r="K6" s="595"/>
      <c r="L6" s="595"/>
      <c r="M6" s="595"/>
      <c r="N6" s="595"/>
      <c r="O6" s="595"/>
      <c r="P6" s="595"/>
      <c r="Q6" s="595"/>
      <c r="R6" s="595"/>
      <c r="S6" s="595"/>
      <c r="T6" s="595"/>
      <c r="U6" s="595"/>
      <c r="V6" s="595"/>
      <c r="W6" s="595"/>
      <c r="X6" s="595"/>
      <c r="Y6" s="595"/>
      <c r="Z6" s="595"/>
    </row>
    <row r="7" spans="1:26" ht="19.5" customHeight="1">
      <c r="A7" s="594"/>
      <c r="B7" s="595"/>
      <c r="C7" s="596"/>
      <c r="D7" s="595"/>
      <c r="E7" s="595"/>
      <c r="F7" s="595"/>
      <c r="G7" s="595"/>
      <c r="H7" s="595"/>
      <c r="I7" s="595"/>
      <c r="J7" s="595"/>
      <c r="K7" s="595"/>
      <c r="L7" s="595"/>
      <c r="M7" s="595"/>
      <c r="N7" s="595"/>
      <c r="O7" s="595"/>
      <c r="P7" s="595"/>
      <c r="Q7" s="595"/>
      <c r="R7" s="595"/>
      <c r="S7" s="595"/>
      <c r="T7" s="595"/>
      <c r="U7" s="595"/>
      <c r="V7" s="595"/>
      <c r="W7" s="595"/>
      <c r="X7" s="595"/>
      <c r="Y7" s="595"/>
      <c r="Z7" s="595"/>
    </row>
    <row r="8" spans="1:26" ht="19.5" customHeight="1">
      <c r="A8" s="595"/>
      <c r="B8" s="1659" t="s">
        <v>530</v>
      </c>
      <c r="C8" s="1660"/>
      <c r="D8" s="1660"/>
      <c r="E8" s="1660"/>
      <c r="F8" s="1661"/>
      <c r="G8" s="595"/>
      <c r="H8" s="595"/>
      <c r="I8" s="595"/>
      <c r="J8" s="595"/>
      <c r="K8" s="595"/>
      <c r="L8" s="595"/>
      <c r="M8" s="595"/>
      <c r="N8" s="595"/>
      <c r="O8" s="595"/>
      <c r="P8" s="595"/>
      <c r="Q8" s="595"/>
      <c r="R8" s="595"/>
      <c r="S8" s="595"/>
      <c r="T8" s="595"/>
      <c r="U8" s="595"/>
      <c r="V8" s="595"/>
      <c r="W8" s="595"/>
      <c r="X8" s="595"/>
      <c r="Y8" s="595"/>
      <c r="Z8" s="595"/>
    </row>
    <row r="9" spans="1:26" ht="19.5" customHeight="1">
      <c r="A9" s="599"/>
      <c r="B9" s="600"/>
      <c r="C9" s="600"/>
      <c r="D9" s="600"/>
      <c r="E9" s="600"/>
      <c r="F9" s="600"/>
      <c r="G9" s="600"/>
      <c r="H9" s="599"/>
      <c r="I9" s="599"/>
      <c r="J9" s="599"/>
      <c r="K9" s="599"/>
      <c r="L9" s="599"/>
      <c r="M9" s="599"/>
      <c r="N9" s="599"/>
      <c r="O9" s="599"/>
      <c r="P9" s="599"/>
      <c r="Q9" s="599"/>
      <c r="R9" s="599"/>
      <c r="S9" s="599"/>
      <c r="T9" s="599"/>
      <c r="U9" s="599"/>
      <c r="V9" s="599"/>
      <c r="W9" s="599"/>
      <c r="X9" s="599"/>
      <c r="Y9" s="599"/>
      <c r="Z9" s="599"/>
    </row>
    <row r="10" spans="1:26" ht="19.5" customHeight="1">
      <c r="A10" s="595"/>
      <c r="B10" s="601" t="s">
        <v>531</v>
      </c>
      <c r="C10" s="602">
        <f>0</f>
        <v>0</v>
      </c>
      <c r="D10" s="595"/>
      <c r="E10" s="595"/>
      <c r="F10" s="595"/>
      <c r="G10" s="595"/>
      <c r="H10" s="595"/>
      <c r="I10" s="595"/>
      <c r="J10" s="595"/>
      <c r="K10" s="595"/>
      <c r="L10" s="595"/>
      <c r="M10" s="595"/>
      <c r="N10" s="595"/>
      <c r="O10" s="595"/>
      <c r="P10" s="595"/>
      <c r="Q10" s="595"/>
      <c r="R10" s="595"/>
      <c r="S10" s="595"/>
      <c r="T10" s="595"/>
      <c r="U10" s="595"/>
      <c r="V10" s="595"/>
      <c r="W10" s="595"/>
      <c r="X10" s="595"/>
      <c r="Y10" s="595"/>
      <c r="Z10" s="595"/>
    </row>
    <row r="11" spans="1:26" ht="19.5" customHeight="1">
      <c r="A11" s="595"/>
      <c r="B11" s="595"/>
      <c r="C11" s="603"/>
      <c r="D11" s="595"/>
      <c r="E11" s="596"/>
      <c r="F11" s="595"/>
      <c r="G11" s="595"/>
      <c r="H11" s="595"/>
      <c r="I11" s="595"/>
      <c r="J11" s="595"/>
      <c r="K11" s="595"/>
      <c r="L11" s="595"/>
      <c r="M11" s="595"/>
      <c r="N11" s="595"/>
      <c r="O11" s="595"/>
      <c r="P11" s="595"/>
      <c r="Q11" s="595"/>
      <c r="R11" s="595"/>
      <c r="S11" s="595"/>
      <c r="T11" s="595"/>
      <c r="U11" s="595"/>
      <c r="V11" s="595"/>
      <c r="W11" s="595"/>
      <c r="X11" s="595"/>
      <c r="Y11" s="595"/>
      <c r="Z11" s="595"/>
    </row>
    <row r="12" spans="1:26" ht="19.5" customHeight="1">
      <c r="A12" s="595"/>
      <c r="B12" s="594" t="s">
        <v>532</v>
      </c>
      <c r="C12" s="603"/>
      <c r="D12" s="595"/>
      <c r="E12" s="596"/>
      <c r="F12" s="595"/>
      <c r="G12" s="595"/>
      <c r="H12" s="595"/>
      <c r="I12" s="595"/>
      <c r="J12" s="595"/>
      <c r="K12" s="595"/>
      <c r="L12" s="595"/>
      <c r="M12" s="595"/>
      <c r="N12" s="595"/>
      <c r="O12" s="595"/>
      <c r="P12" s="595"/>
      <c r="Q12" s="595"/>
      <c r="R12" s="595"/>
      <c r="S12" s="595"/>
      <c r="T12" s="595"/>
      <c r="U12" s="595"/>
      <c r="V12" s="595"/>
      <c r="W12" s="595"/>
      <c r="X12" s="595"/>
      <c r="Y12" s="595"/>
      <c r="Z12" s="595"/>
    </row>
    <row r="13" spans="1:26" ht="19.5" customHeight="1">
      <c r="A13" s="595"/>
      <c r="B13" s="604" t="s">
        <v>533</v>
      </c>
      <c r="C13" s="1662" t="s">
        <v>534</v>
      </c>
      <c r="D13" s="1491"/>
      <c r="E13" s="596"/>
      <c r="F13" s="595"/>
      <c r="G13" s="595"/>
      <c r="H13" s="595"/>
      <c r="I13" s="595"/>
      <c r="J13" s="595"/>
      <c r="K13" s="595"/>
      <c r="L13" s="595"/>
      <c r="M13" s="595"/>
      <c r="N13" s="595"/>
      <c r="O13" s="595"/>
      <c r="P13" s="595"/>
      <c r="Q13" s="595"/>
      <c r="R13" s="595"/>
      <c r="S13" s="595"/>
      <c r="T13" s="595"/>
      <c r="U13" s="595"/>
      <c r="V13" s="595"/>
      <c r="W13" s="595"/>
      <c r="X13" s="595"/>
      <c r="Y13" s="595"/>
      <c r="Z13" s="595"/>
    </row>
    <row r="14" spans="1:26" ht="19.5" customHeight="1">
      <c r="A14" s="595"/>
      <c r="B14" s="605" t="s">
        <v>535</v>
      </c>
      <c r="C14" s="606">
        <f>사업검토!E6</f>
        <v>60663.8</v>
      </c>
      <c r="D14" s="607">
        <f t="shared" ref="D14:D17" si="0">C14*0.3025</f>
        <v>18350.799500000001</v>
      </c>
      <c r="E14" s="596"/>
      <c r="F14" s="595"/>
      <c r="G14" s="595"/>
      <c r="H14" s="595"/>
      <c r="I14" s="595"/>
      <c r="J14" s="595"/>
      <c r="K14" s="595"/>
      <c r="L14" s="595"/>
      <c r="M14" s="595"/>
      <c r="N14" s="595"/>
      <c r="O14" s="595"/>
      <c r="P14" s="595"/>
      <c r="Q14" s="595"/>
      <c r="R14" s="595"/>
      <c r="S14" s="595"/>
      <c r="T14" s="595"/>
      <c r="U14" s="595"/>
      <c r="V14" s="595"/>
      <c r="W14" s="595"/>
      <c r="X14" s="595"/>
      <c r="Y14" s="595"/>
      <c r="Z14" s="595"/>
    </row>
    <row r="15" spans="1:26" ht="33.75" customHeight="1">
      <c r="A15" s="595"/>
      <c r="B15" s="608" t="s">
        <v>536</v>
      </c>
      <c r="C15" s="606">
        <f>사업검토!E7</f>
        <v>0</v>
      </c>
      <c r="D15" s="607">
        <f t="shared" si="0"/>
        <v>0</v>
      </c>
      <c r="E15" s="595"/>
      <c r="F15" s="595"/>
      <c r="G15" s="595"/>
      <c r="H15" s="595"/>
      <c r="I15" s="595"/>
      <c r="J15" s="595"/>
      <c r="K15" s="595"/>
      <c r="L15" s="595"/>
      <c r="M15" s="595"/>
      <c r="N15" s="595"/>
      <c r="O15" s="595"/>
      <c r="P15" s="595"/>
      <c r="Q15" s="595"/>
      <c r="R15" s="595"/>
      <c r="S15" s="595"/>
      <c r="T15" s="595"/>
      <c r="U15" s="595"/>
      <c r="V15" s="595"/>
      <c r="W15" s="595"/>
      <c r="X15" s="595"/>
      <c r="Y15" s="595"/>
      <c r="Z15" s="595"/>
    </row>
    <row r="16" spans="1:26" ht="33.75" customHeight="1">
      <c r="A16" s="595"/>
      <c r="B16" s="609" t="s">
        <v>537</v>
      </c>
      <c r="C16" s="606">
        <f>사업검토!E8</f>
        <v>0</v>
      </c>
      <c r="D16" s="610">
        <f t="shared" si="0"/>
        <v>0</v>
      </c>
      <c r="E16" s="595"/>
      <c r="F16" s="595"/>
      <c r="G16" s="595"/>
      <c r="H16" s="595"/>
      <c r="I16" s="595"/>
      <c r="J16" s="595"/>
      <c r="K16" s="595"/>
      <c r="L16" s="595"/>
      <c r="M16" s="595"/>
      <c r="N16" s="595"/>
      <c r="O16" s="595"/>
      <c r="P16" s="595"/>
      <c r="Q16" s="595"/>
      <c r="R16" s="595"/>
      <c r="S16" s="595"/>
      <c r="T16" s="595"/>
      <c r="U16" s="595"/>
      <c r="V16" s="595"/>
      <c r="W16" s="595"/>
      <c r="X16" s="595"/>
      <c r="Y16" s="595"/>
      <c r="Z16" s="595"/>
    </row>
    <row r="17" spans="1:26" ht="19.5" customHeight="1">
      <c r="A17" s="595"/>
      <c r="B17" s="611" t="s">
        <v>10</v>
      </c>
      <c r="C17" s="612">
        <f>사업검토!E9</f>
        <v>60663.8</v>
      </c>
      <c r="D17" s="613">
        <f t="shared" si="0"/>
        <v>18350.799500000001</v>
      </c>
      <c r="E17" s="595"/>
      <c r="F17" s="595"/>
      <c r="G17" s="595"/>
      <c r="H17" s="595"/>
      <c r="I17" s="595"/>
      <c r="J17" s="595"/>
      <c r="K17" s="595"/>
      <c r="L17" s="595"/>
      <c r="M17" s="595"/>
      <c r="N17" s="595"/>
      <c r="O17" s="595"/>
      <c r="P17" s="595"/>
      <c r="Q17" s="595"/>
      <c r="R17" s="595"/>
      <c r="S17" s="595"/>
      <c r="T17" s="595"/>
      <c r="U17" s="595"/>
      <c r="V17" s="595"/>
      <c r="W17" s="595"/>
      <c r="X17" s="595"/>
      <c r="Y17" s="595"/>
      <c r="Z17" s="595"/>
    </row>
    <row r="18" spans="1:26" ht="19.5" customHeight="1">
      <c r="A18" s="595"/>
      <c r="B18" s="614"/>
      <c r="C18" s="615"/>
      <c r="D18" s="616"/>
      <c r="E18" s="595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595"/>
      <c r="Q18" s="595"/>
      <c r="R18" s="595"/>
      <c r="S18" s="595"/>
      <c r="T18" s="595"/>
      <c r="U18" s="595"/>
      <c r="V18" s="595"/>
      <c r="W18" s="595"/>
      <c r="X18" s="595"/>
      <c r="Y18" s="595"/>
      <c r="Z18" s="595"/>
    </row>
    <row r="19" spans="1:26" ht="19.5" customHeight="1">
      <c r="A19" s="595"/>
      <c r="B19" s="594" t="s">
        <v>538</v>
      </c>
      <c r="C19" s="596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</row>
    <row r="20" spans="1:26" ht="19.5" customHeight="1">
      <c r="A20" s="595"/>
      <c r="B20" s="594"/>
      <c r="C20" s="596"/>
      <c r="D20" s="595"/>
      <c r="E20" s="595"/>
      <c r="F20" s="595"/>
      <c r="G20" s="595"/>
      <c r="H20" s="595"/>
      <c r="I20" s="595"/>
      <c r="J20" s="595"/>
      <c r="K20" s="595"/>
      <c r="L20" s="595"/>
      <c r="M20" s="595"/>
      <c r="N20" s="595"/>
      <c r="O20" s="595"/>
      <c r="P20" s="595"/>
      <c r="Q20" s="595"/>
      <c r="R20" s="595"/>
      <c r="S20" s="595"/>
      <c r="T20" s="595"/>
      <c r="U20" s="595"/>
      <c r="V20" s="595"/>
      <c r="W20" s="595"/>
      <c r="X20" s="595"/>
      <c r="Y20" s="595"/>
      <c r="Z20" s="595"/>
    </row>
    <row r="21" spans="1:26" ht="19.5" customHeight="1">
      <c r="A21" s="595"/>
      <c r="B21" s="617" t="s">
        <v>94</v>
      </c>
      <c r="C21" s="618" t="s">
        <v>539</v>
      </c>
      <c r="D21" s="1663" t="s">
        <v>35</v>
      </c>
      <c r="E21" s="1492"/>
      <c r="F21" s="1491"/>
      <c r="G21" s="595"/>
      <c r="H21" s="595"/>
      <c r="I21" s="595"/>
      <c r="J21" s="595"/>
      <c r="K21" s="595"/>
      <c r="L21" s="595"/>
      <c r="M21" s="595"/>
      <c r="N21" s="595"/>
      <c r="O21" s="595"/>
      <c r="P21" s="595"/>
      <c r="Q21" s="595"/>
      <c r="R21" s="595"/>
      <c r="S21" s="595"/>
      <c r="T21" s="595"/>
      <c r="U21" s="595"/>
      <c r="V21" s="595"/>
      <c r="W21" s="595"/>
      <c r="X21" s="595"/>
      <c r="Y21" s="595"/>
      <c r="Z21" s="595"/>
    </row>
    <row r="22" spans="1:26" ht="19.5" customHeight="1">
      <c r="A22" s="595"/>
      <c r="B22" s="619" t="s">
        <v>540</v>
      </c>
      <c r="C22" s="620">
        <f>C43*C14</f>
        <v>0</v>
      </c>
      <c r="D22" s="1664" t="s">
        <v>541</v>
      </c>
      <c r="E22" s="1492"/>
      <c r="F22" s="1491"/>
      <c r="G22" s="595"/>
      <c r="H22" s="595"/>
      <c r="I22" s="595"/>
      <c r="J22" s="595"/>
      <c r="K22" s="595"/>
      <c r="L22" s="595"/>
      <c r="M22" s="595"/>
      <c r="N22" s="595"/>
      <c r="O22" s="595"/>
      <c r="P22" s="595"/>
      <c r="Q22" s="595"/>
      <c r="R22" s="595"/>
      <c r="S22" s="595"/>
      <c r="T22" s="595"/>
      <c r="U22" s="595"/>
      <c r="V22" s="595"/>
      <c r="W22" s="595"/>
      <c r="X22" s="595"/>
      <c r="Y22" s="595"/>
      <c r="Z22" s="595"/>
    </row>
    <row r="23" spans="1:26" ht="19.5" customHeight="1">
      <c r="A23" s="595"/>
      <c r="B23" s="1665" t="s">
        <v>542</v>
      </c>
      <c r="C23" s="621">
        <f>C54</f>
        <v>0</v>
      </c>
      <c r="D23" s="1666"/>
      <c r="E23" s="1625"/>
      <c r="F23" s="1499"/>
      <c r="G23" s="595"/>
      <c r="H23" s="595"/>
      <c r="I23" s="595"/>
      <c r="J23" s="595"/>
      <c r="K23" s="595"/>
      <c r="L23" s="595"/>
      <c r="M23" s="595"/>
      <c r="N23" s="595"/>
      <c r="O23" s="595"/>
      <c r="P23" s="595"/>
      <c r="Q23" s="595"/>
      <c r="R23" s="595"/>
      <c r="S23" s="595"/>
      <c r="T23" s="595"/>
      <c r="U23" s="595"/>
      <c r="V23" s="595"/>
      <c r="W23" s="595"/>
      <c r="X23" s="595"/>
      <c r="Y23" s="595"/>
      <c r="Z23" s="595"/>
    </row>
    <row r="24" spans="1:26" ht="19.5" customHeight="1">
      <c r="A24" s="595"/>
      <c r="B24" s="1508"/>
      <c r="C24" s="622">
        <f>C23/0.3025</f>
        <v>0</v>
      </c>
      <c r="D24" s="1500"/>
      <c r="E24" s="1578"/>
      <c r="F24" s="1501"/>
      <c r="G24" s="595"/>
      <c r="H24" s="595"/>
      <c r="I24" s="595"/>
      <c r="J24" s="595"/>
      <c r="K24" s="595"/>
      <c r="L24" s="595"/>
      <c r="M24" s="595"/>
      <c r="N24" s="595"/>
      <c r="O24" s="595"/>
      <c r="P24" s="595"/>
      <c r="Q24" s="595"/>
      <c r="R24" s="595"/>
      <c r="S24" s="595"/>
      <c r="T24" s="595"/>
      <c r="U24" s="595"/>
      <c r="V24" s="595"/>
      <c r="W24" s="595"/>
      <c r="X24" s="595"/>
      <c r="Y24" s="595"/>
      <c r="Z24" s="595"/>
    </row>
    <row r="25" spans="1:26" ht="19.5" customHeight="1">
      <c r="A25" s="595"/>
      <c r="B25" s="619" t="s">
        <v>543</v>
      </c>
      <c r="C25" s="620">
        <f>C22*(AVERAGE(E41:E42)*C35/12)</f>
        <v>0</v>
      </c>
      <c r="D25" s="1664" t="s">
        <v>544</v>
      </c>
      <c r="E25" s="1492"/>
      <c r="F25" s="1491"/>
      <c r="G25" s="595"/>
      <c r="H25" s="595"/>
      <c r="I25" s="595"/>
      <c r="J25" s="595"/>
      <c r="K25" s="595"/>
      <c r="L25" s="595"/>
      <c r="M25" s="595"/>
      <c r="N25" s="595"/>
      <c r="O25" s="595"/>
      <c r="P25" s="595"/>
      <c r="Q25" s="595"/>
      <c r="R25" s="595"/>
      <c r="S25" s="595"/>
      <c r="T25" s="595"/>
      <c r="U25" s="595"/>
      <c r="V25" s="595"/>
      <c r="W25" s="595"/>
      <c r="X25" s="595"/>
      <c r="Y25" s="595"/>
      <c r="Z25" s="595"/>
    </row>
    <row r="26" spans="1:26" ht="19.5" customHeight="1">
      <c r="A26" s="595"/>
      <c r="B26" s="619" t="s">
        <v>545</v>
      </c>
      <c r="C26" s="620">
        <f>C22+C25</f>
        <v>0</v>
      </c>
      <c r="D26" s="1667"/>
      <c r="E26" s="1492"/>
      <c r="F26" s="1491"/>
      <c r="G26" s="595"/>
      <c r="H26" s="595"/>
      <c r="I26" s="595"/>
      <c r="J26" s="595"/>
      <c r="K26" s="595"/>
      <c r="L26" s="595"/>
      <c r="M26" s="595"/>
      <c r="N26" s="595"/>
      <c r="O26" s="595"/>
      <c r="P26" s="595"/>
      <c r="Q26" s="595"/>
      <c r="R26" s="595"/>
      <c r="S26" s="595"/>
      <c r="T26" s="595"/>
      <c r="U26" s="595"/>
      <c r="V26" s="595"/>
      <c r="W26" s="595"/>
      <c r="X26" s="595"/>
      <c r="Y26" s="595"/>
      <c r="Z26" s="595"/>
    </row>
    <row r="27" spans="1:26" ht="19.5" customHeight="1">
      <c r="A27" s="595"/>
      <c r="B27" s="623"/>
      <c r="C27" s="624"/>
      <c r="D27" s="625"/>
      <c r="E27" s="625"/>
      <c r="F27" s="625"/>
      <c r="G27" s="595"/>
      <c r="H27" s="595"/>
      <c r="I27" s="595"/>
      <c r="J27" s="595"/>
      <c r="K27" s="595"/>
      <c r="L27" s="595"/>
      <c r="M27" s="595"/>
      <c r="N27" s="595"/>
      <c r="O27" s="595"/>
      <c r="P27" s="595"/>
      <c r="Q27" s="595"/>
      <c r="R27" s="595"/>
      <c r="S27" s="595"/>
      <c r="T27" s="595"/>
      <c r="U27" s="595"/>
      <c r="V27" s="595"/>
      <c r="W27" s="595"/>
      <c r="X27" s="595"/>
      <c r="Y27" s="595"/>
      <c r="Z27" s="595"/>
    </row>
    <row r="28" spans="1:26" ht="19.5" customHeight="1">
      <c r="A28" s="595"/>
      <c r="B28" s="617" t="s">
        <v>94</v>
      </c>
      <c r="C28" s="618" t="s">
        <v>539</v>
      </c>
      <c r="D28" s="1663" t="s">
        <v>35</v>
      </c>
      <c r="E28" s="1492"/>
      <c r="F28" s="1491"/>
      <c r="G28" s="595"/>
      <c r="H28" s="595"/>
      <c r="I28" s="595"/>
      <c r="J28" s="595"/>
      <c r="K28" s="595"/>
      <c r="L28" s="595"/>
      <c r="M28" s="595"/>
      <c r="N28" s="595"/>
      <c r="O28" s="595"/>
      <c r="P28" s="595"/>
      <c r="Q28" s="595"/>
      <c r="R28" s="595"/>
      <c r="S28" s="595"/>
      <c r="T28" s="595"/>
      <c r="U28" s="595"/>
      <c r="V28" s="595"/>
      <c r="W28" s="595"/>
      <c r="X28" s="595"/>
      <c r="Y28" s="595"/>
      <c r="Z28" s="595"/>
    </row>
    <row r="29" spans="1:26" ht="38.25" customHeight="1">
      <c r="A29" s="595"/>
      <c r="B29" s="626" t="s">
        <v>546</v>
      </c>
      <c r="C29" s="620">
        <f>사업검토!M80*1000</f>
        <v>18350799500</v>
      </c>
      <c r="D29" s="1664"/>
      <c r="E29" s="1492"/>
      <c r="F29" s="1491"/>
      <c r="G29" s="595"/>
      <c r="H29" s="595"/>
      <c r="I29" s="595"/>
      <c r="J29" s="595"/>
      <c r="K29" s="595"/>
      <c r="L29" s="595"/>
      <c r="M29" s="595"/>
      <c r="N29" s="595"/>
      <c r="O29" s="595"/>
      <c r="P29" s="595"/>
      <c r="Q29" s="595"/>
      <c r="R29" s="595"/>
      <c r="S29" s="595"/>
      <c r="T29" s="595"/>
      <c r="U29" s="595"/>
      <c r="V29" s="595"/>
      <c r="W29" s="595"/>
      <c r="X29" s="595"/>
      <c r="Y29" s="595"/>
      <c r="Z29" s="595"/>
    </row>
    <row r="30" spans="1:26" ht="38.25" customHeight="1">
      <c r="A30" s="595"/>
      <c r="B30" s="627" t="s">
        <v>547</v>
      </c>
      <c r="C30" s="620">
        <f>C15*C41</f>
        <v>0</v>
      </c>
      <c r="D30" s="1664"/>
      <c r="E30" s="1492"/>
      <c r="F30" s="1491"/>
      <c r="G30" s="595"/>
      <c r="H30" s="595"/>
      <c r="I30" s="595"/>
      <c r="J30" s="595"/>
      <c r="K30" s="595"/>
      <c r="L30" s="595"/>
      <c r="M30" s="595"/>
      <c r="N30" s="595"/>
      <c r="O30" s="595"/>
      <c r="P30" s="595"/>
      <c r="Q30" s="595"/>
      <c r="R30" s="595"/>
      <c r="S30" s="595"/>
      <c r="T30" s="595"/>
      <c r="U30" s="595"/>
      <c r="V30" s="595"/>
      <c r="W30" s="595"/>
      <c r="X30" s="595"/>
      <c r="Y30" s="595"/>
      <c r="Z30" s="595"/>
    </row>
    <row r="31" spans="1:26" ht="19.5" customHeight="1">
      <c r="A31" s="595"/>
      <c r="B31" s="595"/>
      <c r="C31" s="595"/>
      <c r="D31" s="595"/>
      <c r="E31" s="595"/>
      <c r="F31" s="595"/>
      <c r="G31" s="595"/>
      <c r="H31" s="595"/>
      <c r="I31" s="595"/>
      <c r="J31" s="595"/>
      <c r="K31" s="595"/>
      <c r="L31" s="595"/>
      <c r="M31" s="595"/>
      <c r="N31" s="595"/>
      <c r="O31" s="595"/>
      <c r="P31" s="595"/>
      <c r="Q31" s="595"/>
      <c r="R31" s="595"/>
      <c r="S31" s="595"/>
      <c r="T31" s="595"/>
      <c r="U31" s="595"/>
      <c r="V31" s="595"/>
      <c r="W31" s="595"/>
      <c r="X31" s="595"/>
      <c r="Y31" s="595"/>
      <c r="Z31" s="595"/>
    </row>
    <row r="32" spans="1:26" ht="19.5" customHeight="1">
      <c r="A32" s="595"/>
      <c r="B32" s="617" t="s">
        <v>94</v>
      </c>
      <c r="C32" s="618" t="s">
        <v>539</v>
      </c>
      <c r="D32" s="1663" t="s">
        <v>35</v>
      </c>
      <c r="E32" s="1492"/>
      <c r="F32" s="1491"/>
      <c r="G32" s="595"/>
      <c r="H32" s="595"/>
      <c r="I32" s="595"/>
      <c r="J32" s="595"/>
      <c r="K32" s="595"/>
      <c r="L32" s="595"/>
      <c r="M32" s="595"/>
      <c r="N32" s="595"/>
      <c r="O32" s="595"/>
      <c r="P32" s="595"/>
      <c r="Q32" s="595"/>
      <c r="R32" s="595"/>
      <c r="S32" s="595"/>
      <c r="T32" s="595"/>
      <c r="U32" s="595"/>
      <c r="V32" s="595"/>
      <c r="W32" s="595"/>
      <c r="X32" s="595"/>
      <c r="Y32" s="595"/>
      <c r="Z32" s="595"/>
    </row>
    <row r="33" spans="1:26" ht="19.5" customHeight="1">
      <c r="A33" s="595"/>
      <c r="B33" s="619" t="s">
        <v>548</v>
      </c>
      <c r="C33" s="620" t="e">
        <f>C22*(AVERAGE(F52)*C35/12)</f>
        <v>#DIV/0!</v>
      </c>
      <c r="D33" s="1664" t="s">
        <v>549</v>
      </c>
      <c r="E33" s="1492"/>
      <c r="F33" s="1491"/>
      <c r="G33" s="595"/>
      <c r="H33" s="595"/>
      <c r="I33" s="595"/>
      <c r="J33" s="595"/>
      <c r="K33" s="595"/>
      <c r="L33" s="595"/>
      <c r="M33" s="595"/>
      <c r="N33" s="595"/>
      <c r="O33" s="595"/>
      <c r="P33" s="595"/>
      <c r="Q33" s="595"/>
      <c r="R33" s="595"/>
      <c r="S33" s="595"/>
      <c r="T33" s="595"/>
      <c r="U33" s="595"/>
      <c r="V33" s="595"/>
      <c r="W33" s="595"/>
      <c r="X33" s="595"/>
      <c r="Y33" s="595"/>
      <c r="Z33" s="595"/>
    </row>
    <row r="34" spans="1:26" ht="19.5" customHeight="1">
      <c r="A34" s="595"/>
      <c r="B34" s="623"/>
      <c r="C34" s="624"/>
      <c r="D34" s="625"/>
      <c r="E34" s="625"/>
      <c r="F34" s="625"/>
      <c r="G34" s="595"/>
      <c r="H34" s="595"/>
      <c r="I34" s="595"/>
      <c r="J34" s="595"/>
      <c r="K34" s="595"/>
      <c r="L34" s="595"/>
      <c r="M34" s="595"/>
      <c r="N34" s="595"/>
      <c r="O34" s="595"/>
      <c r="P34" s="595"/>
      <c r="Q34" s="595"/>
      <c r="R34" s="595"/>
      <c r="S34" s="595"/>
      <c r="T34" s="595"/>
      <c r="U34" s="595"/>
      <c r="V34" s="595"/>
      <c r="W34" s="595"/>
      <c r="X34" s="595"/>
      <c r="Y34" s="595"/>
      <c r="Z34" s="595"/>
    </row>
    <row r="35" spans="1:26" ht="19.5" customHeight="1">
      <c r="A35" s="595"/>
      <c r="B35" s="619" t="s">
        <v>132</v>
      </c>
      <c r="C35" s="628">
        <f>사업검토!L12</f>
        <v>40</v>
      </c>
      <c r="D35" s="595"/>
      <c r="E35" s="595"/>
      <c r="F35" s="595"/>
      <c r="G35" s="595"/>
      <c r="H35" s="595"/>
      <c r="I35" s="595"/>
      <c r="J35" s="595"/>
      <c r="K35" s="595"/>
      <c r="L35" s="595"/>
      <c r="M35" s="595"/>
      <c r="N35" s="595"/>
      <c r="O35" s="595"/>
      <c r="P35" s="595"/>
      <c r="Q35" s="595"/>
      <c r="R35" s="595"/>
      <c r="S35" s="595"/>
      <c r="T35" s="595"/>
      <c r="U35" s="595"/>
      <c r="V35" s="595"/>
      <c r="W35" s="595"/>
      <c r="X35" s="595"/>
      <c r="Y35" s="595"/>
      <c r="Z35" s="595"/>
    </row>
    <row r="36" spans="1:26" ht="19.5" customHeight="1">
      <c r="A36" s="595"/>
      <c r="B36" s="619" t="s">
        <v>550</v>
      </c>
      <c r="C36" s="629" t="e">
        <f>E48</f>
        <v>#DIV/0!</v>
      </c>
      <c r="D36" s="595"/>
      <c r="E36" s="595"/>
      <c r="F36" s="595"/>
      <c r="G36" s="595"/>
      <c r="H36" s="595"/>
      <c r="I36" s="595"/>
      <c r="J36" s="595"/>
      <c r="K36" s="595"/>
      <c r="L36" s="595"/>
      <c r="M36" s="595"/>
      <c r="N36" s="595"/>
      <c r="O36" s="595"/>
      <c r="P36" s="595"/>
      <c r="Q36" s="595"/>
      <c r="R36" s="595"/>
      <c r="S36" s="595"/>
      <c r="T36" s="595"/>
      <c r="U36" s="595"/>
      <c r="V36" s="595"/>
      <c r="W36" s="595"/>
      <c r="X36" s="595"/>
      <c r="Y36" s="595"/>
      <c r="Z36" s="595"/>
    </row>
    <row r="37" spans="1:26" ht="19.5" customHeight="1">
      <c r="A37" s="595"/>
      <c r="B37" s="619" t="s">
        <v>551</v>
      </c>
      <c r="C37" s="629" t="e">
        <f>F52</f>
        <v>#DIV/0!</v>
      </c>
      <c r="D37" s="595"/>
      <c r="E37" s="595"/>
      <c r="F37" s="595"/>
      <c r="G37" s="595"/>
      <c r="H37" s="595"/>
      <c r="I37" s="595"/>
      <c r="J37" s="595"/>
      <c r="K37" s="595"/>
      <c r="L37" s="595"/>
      <c r="M37" s="595"/>
      <c r="N37" s="595"/>
      <c r="O37" s="595"/>
      <c r="P37" s="595"/>
      <c r="Q37" s="595"/>
      <c r="R37" s="595"/>
      <c r="S37" s="595"/>
      <c r="T37" s="595"/>
      <c r="U37" s="595"/>
      <c r="V37" s="595"/>
      <c r="W37" s="595"/>
      <c r="X37" s="595"/>
      <c r="Y37" s="595"/>
      <c r="Z37" s="595"/>
    </row>
    <row r="38" spans="1:26" ht="19.5" customHeight="1">
      <c r="A38" s="595"/>
      <c r="B38" s="623"/>
      <c r="C38" s="630"/>
      <c r="D38" s="595"/>
      <c r="E38" s="595"/>
      <c r="F38" s="595"/>
      <c r="G38" s="595"/>
      <c r="H38" s="595"/>
      <c r="I38" s="595"/>
      <c r="J38" s="595"/>
      <c r="K38" s="595"/>
      <c r="L38" s="595"/>
      <c r="M38" s="595"/>
      <c r="N38" s="595"/>
      <c r="O38" s="595"/>
      <c r="P38" s="595"/>
      <c r="Q38" s="595"/>
      <c r="R38" s="595"/>
      <c r="S38" s="595"/>
      <c r="T38" s="595"/>
      <c r="U38" s="595"/>
      <c r="V38" s="595"/>
      <c r="W38" s="595"/>
      <c r="X38" s="595"/>
      <c r="Y38" s="595"/>
      <c r="Z38" s="595"/>
    </row>
    <row r="39" spans="1:26" ht="19.5" customHeight="1">
      <c r="A39" s="595"/>
      <c r="B39" s="594" t="s">
        <v>552</v>
      </c>
      <c r="C39" s="630"/>
      <c r="D39" s="595"/>
      <c r="E39" s="595"/>
      <c r="F39" s="595"/>
      <c r="G39" s="595"/>
      <c r="H39" s="595"/>
      <c r="I39" s="595"/>
      <c r="J39" s="595"/>
      <c r="K39" s="595"/>
      <c r="L39" s="595"/>
      <c r="M39" s="595"/>
      <c r="N39" s="595"/>
      <c r="O39" s="595"/>
      <c r="P39" s="595"/>
      <c r="Q39" s="595"/>
      <c r="R39" s="595"/>
      <c r="S39" s="595"/>
      <c r="T39" s="595"/>
      <c r="U39" s="595"/>
      <c r="V39" s="595"/>
      <c r="W39" s="595"/>
      <c r="X39" s="595"/>
      <c r="Y39" s="595"/>
      <c r="Z39" s="595"/>
    </row>
    <row r="40" spans="1:26" ht="19.5" customHeight="1">
      <c r="A40" s="595"/>
      <c r="B40" s="631" t="s">
        <v>553</v>
      </c>
      <c r="C40" s="618" t="s">
        <v>554</v>
      </c>
      <c r="D40" s="632" t="s">
        <v>555</v>
      </c>
      <c r="E40" s="632" t="s">
        <v>556</v>
      </c>
      <c r="F40" s="632" t="s">
        <v>59</v>
      </c>
      <c r="G40" s="595"/>
      <c r="H40" s="595"/>
      <c r="I40" s="595"/>
      <c r="J40" s="595"/>
      <c r="K40" s="595"/>
      <c r="L40" s="595"/>
      <c r="M40" s="595"/>
      <c r="N40" s="595"/>
      <c r="O40" s="595"/>
      <c r="P40" s="595"/>
      <c r="Q40" s="595"/>
      <c r="R40" s="595"/>
      <c r="S40" s="595"/>
      <c r="T40" s="595"/>
      <c r="U40" s="595"/>
      <c r="V40" s="595"/>
      <c r="W40" s="595"/>
      <c r="X40" s="595"/>
      <c r="Y40" s="595"/>
      <c r="Z40" s="595"/>
    </row>
    <row r="41" spans="1:26" ht="19.5" customHeight="1">
      <c r="A41" s="595"/>
      <c r="B41" s="633">
        <v>46753</v>
      </c>
      <c r="C41" s="634">
        <f t="shared" ref="C41:C42" si="1">C42*(1+$E$42)</f>
        <v>0</v>
      </c>
      <c r="D41" s="635">
        <f t="shared" ref="D41:D46" si="2">C41-C42</f>
        <v>0</v>
      </c>
      <c r="E41" s="636">
        <v>0</v>
      </c>
      <c r="F41" s="637"/>
      <c r="G41" s="595"/>
      <c r="H41" s="595"/>
      <c r="I41" s="595"/>
      <c r="J41" s="595"/>
      <c r="K41" s="595"/>
      <c r="L41" s="595"/>
      <c r="M41" s="595"/>
      <c r="N41" s="595"/>
      <c r="O41" s="595"/>
      <c r="P41" s="595"/>
      <c r="Q41" s="595"/>
      <c r="R41" s="595"/>
      <c r="S41" s="595"/>
      <c r="T41" s="595"/>
      <c r="U41" s="595"/>
      <c r="V41" s="595"/>
      <c r="W41" s="595"/>
      <c r="X41" s="595"/>
      <c r="Y41" s="595"/>
      <c r="Z41" s="595"/>
    </row>
    <row r="42" spans="1:26" ht="19.5" customHeight="1">
      <c r="A42" s="595"/>
      <c r="B42" s="633">
        <v>46388</v>
      </c>
      <c r="C42" s="634">
        <f t="shared" si="1"/>
        <v>0</v>
      </c>
      <c r="D42" s="635">
        <f t="shared" si="2"/>
        <v>0</v>
      </c>
      <c r="E42" s="636">
        <v>0</v>
      </c>
      <c r="F42" s="637"/>
      <c r="G42" s="595"/>
      <c r="H42" s="595"/>
      <c r="I42" s="595"/>
      <c r="J42" s="595"/>
      <c r="K42" s="595"/>
      <c r="L42" s="595"/>
      <c r="M42" s="595"/>
      <c r="N42" s="595"/>
      <c r="O42" s="595"/>
      <c r="P42" s="595"/>
      <c r="Q42" s="595"/>
      <c r="R42" s="595"/>
      <c r="S42" s="595"/>
      <c r="T42" s="595"/>
      <c r="U42" s="595"/>
      <c r="V42" s="595"/>
      <c r="W42" s="595"/>
      <c r="X42" s="595"/>
      <c r="Y42" s="595"/>
      <c r="Z42" s="595"/>
    </row>
    <row r="43" spans="1:26" ht="19.5" customHeight="1">
      <c r="A43" s="595"/>
      <c r="B43" s="633">
        <v>46023</v>
      </c>
      <c r="C43" s="638"/>
      <c r="D43" s="639">
        <f t="shared" si="2"/>
        <v>0</v>
      </c>
      <c r="E43" s="636">
        <v>0</v>
      </c>
      <c r="F43" s="640" t="s">
        <v>102</v>
      </c>
      <c r="G43" s="595"/>
      <c r="H43" s="596">
        <f t="shared" ref="H43:H47" si="3">C43*40%</f>
        <v>0</v>
      </c>
      <c r="I43" s="595"/>
      <c r="J43" s="595"/>
      <c r="K43" s="595"/>
      <c r="L43" s="595"/>
      <c r="M43" s="595"/>
      <c r="N43" s="595"/>
      <c r="O43" s="595"/>
      <c r="P43" s="595"/>
      <c r="Q43" s="595"/>
      <c r="R43" s="595"/>
      <c r="S43" s="595"/>
      <c r="T43" s="595"/>
      <c r="U43" s="595"/>
      <c r="V43" s="595"/>
      <c r="W43" s="595"/>
      <c r="X43" s="595"/>
      <c r="Y43" s="595"/>
      <c r="Z43" s="595"/>
    </row>
    <row r="44" spans="1:26" ht="19.5" customHeight="1">
      <c r="A44" s="595"/>
      <c r="B44" s="633">
        <v>45658</v>
      </c>
      <c r="C44" s="641"/>
      <c r="D44" s="635">
        <f t="shared" si="2"/>
        <v>0</v>
      </c>
      <c r="E44" s="642" t="e">
        <f t="shared" ref="E44:E46" si="4">((C44/C45)-1)</f>
        <v>#DIV/0!</v>
      </c>
      <c r="F44" s="643"/>
      <c r="G44" s="595"/>
      <c r="H44" s="596">
        <f t="shared" si="3"/>
        <v>0</v>
      </c>
      <c r="I44" s="595"/>
      <c r="J44" s="595"/>
      <c r="K44" s="595"/>
      <c r="L44" s="595"/>
      <c r="M44" s="595"/>
      <c r="N44" s="595"/>
      <c r="O44" s="595"/>
      <c r="P44" s="595"/>
      <c r="Q44" s="595"/>
      <c r="R44" s="595"/>
      <c r="S44" s="595"/>
      <c r="T44" s="595"/>
      <c r="U44" s="595"/>
      <c r="V44" s="595"/>
      <c r="W44" s="595"/>
      <c r="X44" s="595"/>
      <c r="Y44" s="595"/>
      <c r="Z44" s="595"/>
    </row>
    <row r="45" spans="1:26" ht="19.5" customHeight="1">
      <c r="A45" s="595"/>
      <c r="B45" s="633">
        <v>45292</v>
      </c>
      <c r="C45" s="641"/>
      <c r="D45" s="635">
        <f t="shared" si="2"/>
        <v>0</v>
      </c>
      <c r="E45" s="642" t="e">
        <f t="shared" si="4"/>
        <v>#DIV/0!</v>
      </c>
      <c r="F45" s="643"/>
      <c r="G45" s="595"/>
      <c r="H45" s="596">
        <f t="shared" si="3"/>
        <v>0</v>
      </c>
      <c r="I45" s="595"/>
      <c r="J45" s="595"/>
      <c r="K45" s="595"/>
      <c r="L45" s="595"/>
      <c r="M45" s="595"/>
      <c r="N45" s="595"/>
      <c r="O45" s="595"/>
      <c r="P45" s="595"/>
      <c r="Q45" s="595"/>
      <c r="R45" s="595"/>
      <c r="S45" s="595"/>
      <c r="T45" s="595"/>
      <c r="U45" s="595"/>
      <c r="V45" s="595"/>
      <c r="W45" s="595"/>
      <c r="X45" s="595"/>
      <c r="Y45" s="595"/>
      <c r="Z45" s="595"/>
    </row>
    <row r="46" spans="1:26" ht="19.5" customHeight="1">
      <c r="A46" s="595"/>
      <c r="B46" s="633">
        <v>44927</v>
      </c>
      <c r="C46" s="641"/>
      <c r="D46" s="635">
        <f t="shared" si="2"/>
        <v>0</v>
      </c>
      <c r="E46" s="642" t="e">
        <f t="shared" si="4"/>
        <v>#DIV/0!</v>
      </c>
      <c r="F46" s="643"/>
      <c r="G46" s="595"/>
      <c r="H46" s="596">
        <f t="shared" si="3"/>
        <v>0</v>
      </c>
      <c r="I46" s="595"/>
      <c r="J46" s="595"/>
      <c r="K46" s="595"/>
      <c r="L46" s="595"/>
      <c r="M46" s="595"/>
      <c r="N46" s="595"/>
      <c r="O46" s="595"/>
      <c r="P46" s="595"/>
      <c r="Q46" s="595"/>
      <c r="R46" s="595"/>
      <c r="S46" s="595"/>
      <c r="T46" s="595"/>
      <c r="U46" s="595"/>
      <c r="V46" s="595"/>
      <c r="W46" s="595"/>
      <c r="X46" s="595"/>
      <c r="Y46" s="595"/>
      <c r="Z46" s="595"/>
    </row>
    <row r="47" spans="1:26" ht="19.5" customHeight="1">
      <c r="A47" s="595"/>
      <c r="B47" s="644">
        <v>44562</v>
      </c>
      <c r="C47" s="645"/>
      <c r="D47" s="646"/>
      <c r="E47" s="647"/>
      <c r="F47" s="648"/>
      <c r="G47" s="595"/>
      <c r="H47" s="596">
        <f t="shared" si="3"/>
        <v>0</v>
      </c>
      <c r="I47" s="595"/>
      <c r="J47" s="595"/>
      <c r="K47" s="595"/>
      <c r="L47" s="595"/>
      <c r="M47" s="595"/>
      <c r="N47" s="595"/>
      <c r="O47" s="595"/>
      <c r="P47" s="595"/>
      <c r="Q47" s="595"/>
      <c r="R47" s="595"/>
      <c r="S47" s="595"/>
      <c r="T47" s="595"/>
      <c r="U47" s="595"/>
      <c r="V47" s="595"/>
      <c r="W47" s="595"/>
      <c r="X47" s="595"/>
      <c r="Y47" s="595"/>
      <c r="Z47" s="595"/>
    </row>
    <row r="48" spans="1:26" ht="19.5" customHeight="1">
      <c r="A48" s="595"/>
      <c r="B48" s="649"/>
      <c r="C48" s="650"/>
      <c r="D48" s="649" t="s">
        <v>557</v>
      </c>
      <c r="E48" s="651" t="e">
        <f>SUM(E43:E46)/4</f>
        <v>#DIV/0!</v>
      </c>
      <c r="F48" s="652"/>
      <c r="G48" s="595"/>
      <c r="H48" s="595"/>
      <c r="I48" s="595"/>
      <c r="J48" s="595"/>
      <c r="K48" s="595"/>
      <c r="L48" s="595"/>
      <c r="M48" s="595"/>
      <c r="N48" s="595"/>
      <c r="O48" s="595"/>
      <c r="P48" s="595"/>
      <c r="Q48" s="595"/>
      <c r="R48" s="595"/>
      <c r="S48" s="595"/>
      <c r="T48" s="595"/>
      <c r="U48" s="595"/>
      <c r="V48" s="595"/>
      <c r="W48" s="595"/>
      <c r="X48" s="595"/>
      <c r="Y48" s="595"/>
      <c r="Z48" s="595"/>
    </row>
    <row r="49" spans="1:26" ht="19.5" customHeight="1">
      <c r="A49" s="595"/>
      <c r="B49" s="623"/>
      <c r="C49" s="653"/>
      <c r="D49" s="595"/>
      <c r="E49" s="595"/>
      <c r="F49" s="595"/>
      <c r="G49" s="595"/>
      <c r="H49" s="595"/>
      <c r="I49" s="595"/>
      <c r="J49" s="595"/>
      <c r="K49" s="595"/>
      <c r="L49" s="595"/>
      <c r="M49" s="595"/>
      <c r="N49" s="595"/>
      <c r="O49" s="595"/>
      <c r="P49" s="595"/>
      <c r="Q49" s="595"/>
      <c r="R49" s="595"/>
      <c r="S49" s="595"/>
      <c r="T49" s="595"/>
      <c r="U49" s="595"/>
      <c r="V49" s="595"/>
      <c r="W49" s="595"/>
      <c r="X49" s="595"/>
      <c r="Y49" s="595"/>
      <c r="Z49" s="595"/>
    </row>
    <row r="50" spans="1:26" ht="19.5" customHeight="1">
      <c r="A50" s="595"/>
      <c r="B50" s="654" t="s">
        <v>558</v>
      </c>
      <c r="C50" s="596"/>
      <c r="D50" s="595"/>
      <c r="E50" s="595"/>
      <c r="F50" s="595"/>
      <c r="G50" s="595"/>
      <c r="H50" s="595"/>
      <c r="I50" s="595"/>
      <c r="J50" s="595"/>
      <c r="K50" s="595"/>
      <c r="L50" s="595"/>
      <c r="M50" s="595"/>
      <c r="N50" s="595"/>
      <c r="O50" s="595"/>
      <c r="P50" s="595"/>
      <c r="Q50" s="595"/>
      <c r="R50" s="595"/>
      <c r="S50" s="595"/>
      <c r="T50" s="595"/>
      <c r="U50" s="595"/>
      <c r="V50" s="595"/>
      <c r="W50" s="595"/>
      <c r="X50" s="595"/>
      <c r="Y50" s="595"/>
      <c r="Z50" s="595"/>
    </row>
    <row r="51" spans="1:26" ht="19.5" customHeight="1">
      <c r="A51" s="595"/>
      <c r="B51" s="655" t="s">
        <v>553</v>
      </c>
      <c r="C51" s="656" t="s">
        <v>554</v>
      </c>
      <c r="D51" s="655" t="s">
        <v>555</v>
      </c>
      <c r="E51" s="655" t="s">
        <v>556</v>
      </c>
      <c r="F51" s="632" t="s">
        <v>59</v>
      </c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595"/>
      <c r="U51" s="595"/>
      <c r="V51" s="595"/>
      <c r="W51" s="595"/>
      <c r="X51" s="595"/>
      <c r="Y51" s="595"/>
      <c r="Z51" s="595"/>
    </row>
    <row r="52" spans="1:26" ht="19.5" customHeight="1">
      <c r="A52" s="595"/>
      <c r="B52" s="633">
        <v>46753</v>
      </c>
      <c r="C52" s="638" t="e">
        <f t="shared" ref="C52:C53" si="5">C53*(1+$F$54)</f>
        <v>#DIV/0!</v>
      </c>
      <c r="D52" s="635" t="e">
        <f t="shared" ref="D52:D57" si="6">C52-C53</f>
        <v>#DIV/0!</v>
      </c>
      <c r="E52" s="642" t="e">
        <f t="shared" ref="E52:E57" si="7">D52/C53</f>
        <v>#DIV/0!</v>
      </c>
      <c r="F52" s="1668" t="e">
        <f>AVERAGE(E52:E53)</f>
        <v>#DIV/0!</v>
      </c>
      <c r="G52" s="595"/>
      <c r="H52" s="595"/>
      <c r="I52" s="595"/>
      <c r="J52" s="595"/>
      <c r="K52" s="595"/>
      <c r="L52" s="595"/>
      <c r="M52" s="595"/>
      <c r="N52" s="595"/>
      <c r="O52" s="595"/>
      <c r="P52" s="595"/>
      <c r="Q52" s="595"/>
      <c r="R52" s="595"/>
      <c r="S52" s="595"/>
      <c r="T52" s="595"/>
      <c r="U52" s="595"/>
      <c r="V52" s="595"/>
      <c r="W52" s="595"/>
      <c r="X52" s="595"/>
      <c r="Y52" s="595"/>
      <c r="Z52" s="595"/>
    </row>
    <row r="53" spans="1:26" ht="19.5" customHeight="1">
      <c r="A53" s="595"/>
      <c r="B53" s="633">
        <v>46388</v>
      </c>
      <c r="C53" s="638" t="e">
        <f t="shared" si="5"/>
        <v>#DIV/0!</v>
      </c>
      <c r="D53" s="635" t="e">
        <f t="shared" si="6"/>
        <v>#DIV/0!</v>
      </c>
      <c r="E53" s="642" t="e">
        <f t="shared" si="7"/>
        <v>#DIV/0!</v>
      </c>
      <c r="F53" s="1600"/>
      <c r="G53" s="595"/>
      <c r="H53" s="595"/>
      <c r="I53" s="595"/>
      <c r="J53" s="595"/>
      <c r="K53" s="595"/>
      <c r="L53" s="595"/>
      <c r="M53" s="595"/>
      <c r="N53" s="595"/>
      <c r="O53" s="595"/>
      <c r="P53" s="595"/>
      <c r="Q53" s="595"/>
      <c r="R53" s="595"/>
      <c r="S53" s="595"/>
      <c r="T53" s="595"/>
      <c r="U53" s="595"/>
      <c r="V53" s="595"/>
      <c r="W53" s="595"/>
      <c r="X53" s="595"/>
      <c r="Y53" s="595"/>
      <c r="Z53" s="595"/>
    </row>
    <row r="54" spans="1:26" ht="19.5" customHeight="1">
      <c r="A54" s="595"/>
      <c r="B54" s="633">
        <v>46023</v>
      </c>
      <c r="C54" s="641">
        <v>0</v>
      </c>
      <c r="D54" s="635">
        <f t="shared" si="6"/>
        <v>0</v>
      </c>
      <c r="E54" s="642" t="e">
        <f t="shared" si="7"/>
        <v>#DIV/0!</v>
      </c>
      <c r="F54" s="1669" t="e">
        <f>AVERAGE(E54:E57)</f>
        <v>#DIV/0!</v>
      </c>
      <c r="G54" s="595"/>
      <c r="H54" s="596">
        <f t="shared" ref="H54:H58" si="8">C54*40%</f>
        <v>0</v>
      </c>
      <c r="I54" s="595"/>
      <c r="J54" s="595"/>
      <c r="K54" s="595"/>
      <c r="L54" s="595"/>
      <c r="M54" s="595"/>
      <c r="N54" s="595"/>
      <c r="O54" s="595"/>
      <c r="P54" s="595"/>
      <c r="Q54" s="595"/>
      <c r="R54" s="595"/>
      <c r="S54" s="595"/>
      <c r="T54" s="595"/>
      <c r="U54" s="595"/>
      <c r="V54" s="595"/>
      <c r="W54" s="595"/>
      <c r="X54" s="595"/>
      <c r="Y54" s="595"/>
      <c r="Z54" s="595"/>
    </row>
    <row r="55" spans="1:26" ht="19.5" customHeight="1">
      <c r="A55" s="595"/>
      <c r="B55" s="633">
        <v>45658</v>
      </c>
      <c r="C55" s="641">
        <v>0</v>
      </c>
      <c r="D55" s="635">
        <f t="shared" si="6"/>
        <v>0</v>
      </c>
      <c r="E55" s="642" t="e">
        <f t="shared" si="7"/>
        <v>#DIV/0!</v>
      </c>
      <c r="F55" s="1532"/>
      <c r="G55" s="595"/>
      <c r="H55" s="596">
        <f t="shared" si="8"/>
        <v>0</v>
      </c>
      <c r="I55" s="595"/>
      <c r="J55" s="595"/>
      <c r="K55" s="595"/>
      <c r="L55" s="595"/>
      <c r="M55" s="595"/>
      <c r="N55" s="595"/>
      <c r="O55" s="595"/>
      <c r="P55" s="595"/>
      <c r="Q55" s="595"/>
      <c r="R55" s="595"/>
      <c r="S55" s="595"/>
      <c r="T55" s="595"/>
      <c r="U55" s="595"/>
      <c r="V55" s="595"/>
      <c r="W55" s="595"/>
      <c r="X55" s="595"/>
      <c r="Y55" s="595"/>
      <c r="Z55" s="595"/>
    </row>
    <row r="56" spans="1:26" ht="19.5" customHeight="1">
      <c r="A56" s="595"/>
      <c r="B56" s="633">
        <v>45292</v>
      </c>
      <c r="C56" s="641">
        <v>0</v>
      </c>
      <c r="D56" s="635">
        <f t="shared" si="6"/>
        <v>0</v>
      </c>
      <c r="E56" s="642" t="e">
        <f t="shared" si="7"/>
        <v>#DIV/0!</v>
      </c>
      <c r="F56" s="1532"/>
      <c r="G56" s="595"/>
      <c r="H56" s="596">
        <f t="shared" si="8"/>
        <v>0</v>
      </c>
      <c r="I56" s="595"/>
      <c r="J56" s="595"/>
      <c r="K56" s="595"/>
      <c r="L56" s="595"/>
      <c r="M56" s="595"/>
      <c r="N56" s="595"/>
      <c r="O56" s="595"/>
      <c r="P56" s="595"/>
      <c r="Q56" s="595"/>
      <c r="R56" s="595"/>
      <c r="S56" s="595"/>
      <c r="T56" s="595"/>
      <c r="U56" s="595"/>
      <c r="V56" s="595"/>
      <c r="W56" s="595"/>
      <c r="X56" s="595"/>
      <c r="Y56" s="595"/>
      <c r="Z56" s="595"/>
    </row>
    <row r="57" spans="1:26" ht="19.5" customHeight="1">
      <c r="A57" s="595"/>
      <c r="B57" s="633">
        <v>44927</v>
      </c>
      <c r="C57" s="641">
        <v>0</v>
      </c>
      <c r="D57" s="635">
        <f t="shared" si="6"/>
        <v>0</v>
      </c>
      <c r="E57" s="642" t="e">
        <f t="shared" si="7"/>
        <v>#DIV/0!</v>
      </c>
      <c r="F57" s="1532"/>
      <c r="G57" s="595"/>
      <c r="H57" s="596">
        <f t="shared" si="8"/>
        <v>0</v>
      </c>
      <c r="I57" s="595"/>
      <c r="J57" s="595"/>
      <c r="K57" s="595"/>
      <c r="L57" s="595"/>
      <c r="M57" s="595"/>
      <c r="N57" s="595"/>
      <c r="O57" s="595"/>
      <c r="P57" s="595"/>
      <c r="Q57" s="595"/>
      <c r="R57" s="595"/>
      <c r="S57" s="595"/>
      <c r="T57" s="595"/>
      <c r="U57" s="595"/>
      <c r="V57" s="595"/>
      <c r="W57" s="595"/>
      <c r="X57" s="595"/>
      <c r="Y57" s="595"/>
      <c r="Z57" s="595"/>
    </row>
    <row r="58" spans="1:26" ht="19.5" customHeight="1">
      <c r="A58" s="595"/>
      <c r="B58" s="644">
        <v>44562</v>
      </c>
      <c r="C58" s="645">
        <v>0</v>
      </c>
      <c r="D58" s="646"/>
      <c r="E58" s="647"/>
      <c r="F58" s="1508"/>
      <c r="G58" s="595"/>
      <c r="H58" s="596">
        <f t="shared" si="8"/>
        <v>0</v>
      </c>
      <c r="I58" s="595"/>
      <c r="J58" s="595"/>
      <c r="K58" s="595"/>
      <c r="L58" s="595"/>
      <c r="M58" s="595"/>
      <c r="N58" s="595"/>
      <c r="O58" s="595"/>
      <c r="P58" s="595"/>
      <c r="Q58" s="595"/>
      <c r="R58" s="595"/>
      <c r="S58" s="595"/>
      <c r="T58" s="595"/>
      <c r="U58" s="595"/>
      <c r="V58" s="595"/>
      <c r="W58" s="595"/>
      <c r="X58" s="595"/>
      <c r="Y58" s="595"/>
      <c r="Z58" s="595"/>
    </row>
    <row r="59" spans="1:26" ht="19.5" customHeight="1">
      <c r="A59" s="595"/>
      <c r="B59" s="657"/>
      <c r="C59" s="650"/>
      <c r="D59" s="652" t="s">
        <v>557</v>
      </c>
      <c r="E59" s="651" t="e">
        <f>SUM(E54:E57)/4</f>
        <v>#DIV/0!</v>
      </c>
      <c r="F59" s="652"/>
      <c r="G59" s="595"/>
      <c r="H59" s="595"/>
      <c r="I59" s="595"/>
      <c r="J59" s="595"/>
      <c r="K59" s="595"/>
      <c r="L59" s="595"/>
      <c r="M59" s="595"/>
      <c r="N59" s="595"/>
      <c r="O59" s="595"/>
      <c r="P59" s="595"/>
      <c r="Q59" s="595"/>
      <c r="R59" s="595"/>
      <c r="S59" s="595"/>
      <c r="T59" s="595"/>
      <c r="U59" s="595"/>
      <c r="V59" s="595"/>
      <c r="W59" s="595"/>
      <c r="X59" s="595"/>
      <c r="Y59" s="595"/>
      <c r="Z59" s="595"/>
    </row>
    <row r="60" spans="1:26" ht="19.5" customHeight="1">
      <c r="A60" s="595"/>
      <c r="B60" s="595"/>
      <c r="C60" s="596"/>
      <c r="D60" s="595"/>
      <c r="E60" s="595"/>
      <c r="F60" s="595"/>
      <c r="G60" s="595"/>
      <c r="H60" s="595"/>
      <c r="I60" s="595"/>
      <c r="J60" s="595"/>
      <c r="K60" s="595"/>
      <c r="L60" s="595"/>
      <c r="M60" s="595"/>
      <c r="N60" s="595"/>
      <c r="O60" s="595"/>
      <c r="P60" s="595"/>
      <c r="Q60" s="595"/>
      <c r="R60" s="595"/>
      <c r="S60" s="595"/>
      <c r="T60" s="595"/>
      <c r="U60" s="595"/>
      <c r="V60" s="595"/>
      <c r="W60" s="595"/>
      <c r="X60" s="595"/>
      <c r="Y60" s="595"/>
      <c r="Z60" s="595"/>
    </row>
    <row r="61" spans="1:26" ht="19.5" customHeight="1">
      <c r="A61" s="595"/>
      <c r="B61" s="595"/>
      <c r="C61" s="596"/>
      <c r="D61" s="595"/>
      <c r="E61" s="595"/>
      <c r="F61" s="595"/>
      <c r="G61" s="595"/>
      <c r="H61" s="595"/>
      <c r="I61" s="595"/>
      <c r="J61" s="595"/>
      <c r="K61" s="595"/>
      <c r="L61" s="595"/>
      <c r="M61" s="595"/>
      <c r="N61" s="595"/>
      <c r="O61" s="595"/>
      <c r="P61" s="595"/>
      <c r="Q61" s="595"/>
      <c r="R61" s="595"/>
      <c r="S61" s="595"/>
      <c r="T61" s="595"/>
      <c r="U61" s="595"/>
      <c r="V61" s="595"/>
      <c r="W61" s="595"/>
      <c r="X61" s="595"/>
      <c r="Y61" s="595"/>
      <c r="Z61" s="595"/>
    </row>
    <row r="62" spans="1:26" ht="19.5" customHeight="1">
      <c r="A62" s="594" t="s">
        <v>559</v>
      </c>
      <c r="B62" s="595"/>
      <c r="C62" s="596"/>
      <c r="D62" s="595"/>
      <c r="E62" s="595"/>
      <c r="F62" s="595"/>
      <c r="G62" s="595"/>
      <c r="H62" s="595"/>
      <c r="I62" s="595"/>
      <c r="J62" s="595"/>
      <c r="K62" s="595"/>
      <c r="L62" s="595"/>
      <c r="M62" s="595"/>
      <c r="N62" s="595"/>
      <c r="O62" s="595"/>
      <c r="P62" s="595"/>
      <c r="Q62" s="595"/>
      <c r="R62" s="595"/>
      <c r="S62" s="595"/>
      <c r="T62" s="595"/>
      <c r="U62" s="595"/>
      <c r="V62" s="595"/>
      <c r="W62" s="595"/>
      <c r="X62" s="595"/>
      <c r="Y62" s="595"/>
      <c r="Z62" s="595"/>
    </row>
    <row r="63" spans="1:26" ht="19.5" customHeight="1">
      <c r="A63" s="595"/>
      <c r="B63" s="595"/>
      <c r="C63" s="595"/>
      <c r="D63" s="595"/>
      <c r="E63" s="595"/>
      <c r="F63" s="595"/>
      <c r="G63" s="595"/>
      <c r="H63" s="595"/>
      <c r="I63" s="595"/>
      <c r="J63" s="595"/>
      <c r="K63" s="595"/>
      <c r="L63" s="595"/>
      <c r="M63" s="595"/>
      <c r="N63" s="595"/>
      <c r="O63" s="595"/>
      <c r="P63" s="595"/>
      <c r="Q63" s="595"/>
      <c r="R63" s="595"/>
      <c r="S63" s="595"/>
      <c r="T63" s="595"/>
      <c r="U63" s="595"/>
      <c r="V63" s="595"/>
      <c r="W63" s="595"/>
      <c r="X63" s="595"/>
      <c r="Y63" s="595"/>
      <c r="Z63" s="595"/>
    </row>
    <row r="64" spans="1:26" ht="53.25" customHeight="1">
      <c r="A64" s="595"/>
      <c r="B64" s="1670" t="s">
        <v>560</v>
      </c>
      <c r="C64" s="1660"/>
      <c r="D64" s="1660"/>
      <c r="E64" s="1661"/>
      <c r="F64" s="595"/>
      <c r="G64" s="595"/>
      <c r="H64" s="595"/>
      <c r="I64" s="595"/>
      <c r="J64" s="595"/>
      <c r="K64" s="595"/>
      <c r="L64" s="595"/>
      <c r="M64" s="595"/>
      <c r="N64" s="595"/>
      <c r="O64" s="595"/>
      <c r="P64" s="595"/>
      <c r="Q64" s="595"/>
      <c r="R64" s="595"/>
      <c r="S64" s="595"/>
      <c r="T64" s="595"/>
      <c r="U64" s="595"/>
      <c r="V64" s="595"/>
      <c r="W64" s="595"/>
      <c r="X64" s="595"/>
      <c r="Y64" s="595"/>
      <c r="Z64" s="595"/>
    </row>
    <row r="65" spans="1:26" ht="19.5" customHeight="1">
      <c r="A65" s="595"/>
      <c r="B65" s="658"/>
      <c r="C65" s="658"/>
      <c r="D65" s="623"/>
      <c r="E65" s="623"/>
      <c r="F65" s="595"/>
      <c r="G65" s="595"/>
      <c r="H65" s="595"/>
      <c r="I65" s="595"/>
      <c r="J65" s="595"/>
      <c r="K65" s="595"/>
      <c r="L65" s="595"/>
      <c r="M65" s="595"/>
      <c r="N65" s="595"/>
      <c r="O65" s="595"/>
      <c r="P65" s="595"/>
      <c r="Q65" s="595"/>
      <c r="R65" s="595"/>
      <c r="S65" s="595"/>
      <c r="T65" s="595"/>
      <c r="U65" s="595"/>
      <c r="V65" s="595"/>
      <c r="W65" s="595"/>
      <c r="X65" s="595"/>
      <c r="Y65" s="595"/>
      <c r="Z65" s="595"/>
    </row>
    <row r="66" spans="1:26" ht="19.5" customHeight="1">
      <c r="A66" s="595"/>
      <c r="B66" s="1671" t="s">
        <v>531</v>
      </c>
      <c r="C66" s="1672"/>
      <c r="D66" s="659">
        <f>IF(D93&lt;0,0,D93)</f>
        <v>62529977870.250008</v>
      </c>
      <c r="E66" s="623"/>
      <c r="F66" s="595"/>
      <c r="G66" s="595"/>
      <c r="H66" s="595"/>
      <c r="I66" s="595"/>
      <c r="J66" s="595"/>
      <c r="K66" s="595"/>
      <c r="L66" s="595"/>
      <c r="M66" s="595"/>
      <c r="N66" s="595"/>
      <c r="O66" s="595"/>
      <c r="P66" s="595"/>
      <c r="Q66" s="595"/>
      <c r="R66" s="595"/>
      <c r="S66" s="595"/>
      <c r="T66" s="595"/>
      <c r="U66" s="595"/>
      <c r="V66" s="595"/>
      <c r="W66" s="595"/>
      <c r="X66" s="595"/>
      <c r="Y66" s="595"/>
      <c r="Z66" s="595"/>
    </row>
    <row r="67" spans="1:26" ht="19.5" customHeight="1">
      <c r="A67" s="595"/>
      <c r="B67" s="595"/>
      <c r="C67" s="595"/>
      <c r="D67" s="596"/>
      <c r="E67" s="595"/>
      <c r="F67" s="595"/>
      <c r="G67" s="595"/>
      <c r="H67" s="595"/>
      <c r="I67" s="595"/>
      <c r="J67" s="595"/>
      <c r="K67" s="595"/>
      <c r="L67" s="595"/>
      <c r="M67" s="595"/>
      <c r="N67" s="595"/>
      <c r="O67" s="595"/>
      <c r="P67" s="595"/>
      <c r="Q67" s="595"/>
      <c r="R67" s="595"/>
      <c r="S67" s="595"/>
      <c r="T67" s="595"/>
      <c r="U67" s="595"/>
      <c r="V67" s="595"/>
      <c r="W67" s="595"/>
      <c r="X67" s="595"/>
      <c r="Y67" s="595"/>
      <c r="Z67" s="595"/>
    </row>
    <row r="68" spans="1:26" ht="19.5" customHeight="1">
      <c r="A68" s="595"/>
      <c r="B68" s="1673" t="s">
        <v>94</v>
      </c>
      <c r="C68" s="1491"/>
      <c r="D68" s="618" t="s">
        <v>539</v>
      </c>
      <c r="E68" s="660" t="s">
        <v>561</v>
      </c>
      <c r="F68" s="595"/>
      <c r="G68" s="595"/>
      <c r="H68" s="595"/>
      <c r="I68" s="595"/>
      <c r="J68" s="595"/>
      <c r="K68" s="595"/>
      <c r="L68" s="595"/>
      <c r="M68" s="595"/>
      <c r="N68" s="595"/>
      <c r="O68" s="595"/>
      <c r="P68" s="595"/>
      <c r="Q68" s="595"/>
      <c r="R68" s="595"/>
      <c r="S68" s="595"/>
      <c r="T68" s="595"/>
      <c r="U68" s="595"/>
      <c r="V68" s="595"/>
      <c r="W68" s="595"/>
      <c r="X68" s="595"/>
      <c r="Y68" s="595"/>
      <c r="Z68" s="595"/>
    </row>
    <row r="69" spans="1:26" ht="19.5" customHeight="1">
      <c r="A69" s="595"/>
      <c r="B69" s="1674" t="s">
        <v>10</v>
      </c>
      <c r="C69" s="1499"/>
      <c r="D69" s="661">
        <f>사업검토!E9</f>
        <v>60663.8</v>
      </c>
      <c r="E69" s="1675" t="s">
        <v>562</v>
      </c>
      <c r="F69" s="595"/>
      <c r="G69" s="595"/>
      <c r="H69" s="595"/>
      <c r="I69" s="595"/>
      <c r="J69" s="595"/>
      <c r="K69" s="595"/>
      <c r="L69" s="595"/>
      <c r="M69" s="595"/>
      <c r="N69" s="595"/>
      <c r="O69" s="595"/>
      <c r="P69" s="595"/>
      <c r="Q69" s="595"/>
      <c r="R69" s="595"/>
      <c r="S69" s="595"/>
      <c r="T69" s="595"/>
      <c r="U69" s="595"/>
      <c r="V69" s="595"/>
      <c r="W69" s="595"/>
      <c r="X69" s="595"/>
      <c r="Y69" s="595"/>
      <c r="Z69" s="595"/>
    </row>
    <row r="70" spans="1:26" ht="19.5" customHeight="1">
      <c r="A70" s="595"/>
      <c r="B70" s="1500"/>
      <c r="C70" s="1501"/>
      <c r="D70" s="662">
        <f>D69*0.3025</f>
        <v>18350.799500000001</v>
      </c>
      <c r="E70" s="1508"/>
      <c r="F70" s="595"/>
      <c r="G70" s="595"/>
      <c r="H70" s="595"/>
      <c r="I70" s="595"/>
      <c r="J70" s="595"/>
      <c r="K70" s="595"/>
      <c r="L70" s="595"/>
      <c r="M70" s="595"/>
      <c r="N70" s="595"/>
      <c r="O70" s="595"/>
      <c r="P70" s="595"/>
      <c r="Q70" s="595"/>
      <c r="R70" s="595"/>
      <c r="S70" s="595"/>
      <c r="T70" s="595"/>
      <c r="U70" s="595"/>
      <c r="V70" s="595"/>
      <c r="W70" s="595"/>
      <c r="X70" s="595"/>
      <c r="Y70" s="595"/>
      <c r="Z70" s="595"/>
    </row>
    <row r="71" spans="1:26" ht="19.5" customHeight="1">
      <c r="A71" s="595"/>
      <c r="B71" s="1676" t="s">
        <v>563</v>
      </c>
      <c r="C71" s="1491"/>
      <c r="D71" s="663">
        <v>81000</v>
      </c>
      <c r="E71" s="664"/>
      <c r="F71" s="595"/>
      <c r="G71" s="595"/>
      <c r="H71" s="595"/>
      <c r="I71" s="595"/>
      <c r="J71" s="595"/>
      <c r="K71" s="595"/>
      <c r="L71" s="595"/>
      <c r="M71" s="595"/>
      <c r="N71" s="595"/>
      <c r="O71" s="595"/>
      <c r="P71" s="595"/>
      <c r="Q71" s="595"/>
      <c r="R71" s="595"/>
      <c r="S71" s="595"/>
      <c r="T71" s="595"/>
      <c r="U71" s="595"/>
      <c r="V71" s="595"/>
      <c r="W71" s="595"/>
      <c r="X71" s="595"/>
      <c r="Y71" s="595"/>
      <c r="Z71" s="595"/>
    </row>
    <row r="72" spans="1:26" ht="19.5" customHeight="1">
      <c r="A72" s="595"/>
      <c r="B72" s="1679" t="s">
        <v>564</v>
      </c>
      <c r="C72" s="1665" t="s">
        <v>565</v>
      </c>
      <c r="D72" s="665">
        <f>토지조서!E5*1000</f>
        <v>8636250</v>
      </c>
      <c r="E72" s="1677"/>
      <c r="F72" s="595"/>
      <c r="G72" s="595"/>
      <c r="H72" s="595"/>
      <c r="I72" s="595"/>
      <c r="J72" s="595"/>
      <c r="K72" s="595"/>
      <c r="L72" s="595"/>
      <c r="M72" s="595"/>
      <c r="N72" s="595"/>
      <c r="O72" s="595"/>
      <c r="P72" s="595"/>
      <c r="Q72" s="595"/>
      <c r="R72" s="595"/>
      <c r="S72" s="595"/>
      <c r="T72" s="595"/>
      <c r="U72" s="595"/>
      <c r="V72" s="595"/>
      <c r="W72" s="595"/>
      <c r="X72" s="595"/>
      <c r="Y72" s="595"/>
      <c r="Z72" s="595"/>
    </row>
    <row r="73" spans="1:26" ht="19.5" customHeight="1">
      <c r="A73" s="595"/>
      <c r="B73" s="1532"/>
      <c r="C73" s="1532"/>
      <c r="D73" s="666">
        <f>D72/0.3025</f>
        <v>28549586.776859503</v>
      </c>
      <c r="E73" s="1508"/>
      <c r="F73" s="595"/>
      <c r="G73" s="595"/>
      <c r="H73" s="595"/>
      <c r="I73" s="595"/>
      <c r="J73" s="595"/>
      <c r="K73" s="595"/>
      <c r="L73" s="595"/>
      <c r="M73" s="595"/>
      <c r="N73" s="595"/>
      <c r="O73" s="595"/>
      <c r="P73" s="595"/>
      <c r="Q73" s="595"/>
      <c r="R73" s="595"/>
      <c r="S73" s="595"/>
      <c r="T73" s="595"/>
      <c r="U73" s="595"/>
      <c r="V73" s="595"/>
      <c r="W73" s="595"/>
      <c r="X73" s="595"/>
      <c r="Y73" s="595"/>
      <c r="Z73" s="595"/>
    </row>
    <row r="74" spans="1:26" ht="19.5" customHeight="1">
      <c r="A74" s="595"/>
      <c r="B74" s="1532"/>
      <c r="C74" s="1508"/>
      <c r="D74" s="667">
        <f>D69*D72</f>
        <v>523907742750</v>
      </c>
      <c r="E74" s="1467"/>
      <c r="F74" s="595"/>
      <c r="G74" s="595"/>
      <c r="H74" s="595"/>
      <c r="I74" s="595"/>
      <c r="J74" s="595"/>
      <c r="K74" s="595"/>
      <c r="L74" s="595"/>
      <c r="M74" s="595"/>
      <c r="N74" s="595"/>
      <c r="O74" s="595"/>
      <c r="P74" s="595"/>
      <c r="Q74" s="595"/>
      <c r="R74" s="595"/>
      <c r="S74" s="595"/>
      <c r="T74" s="595"/>
      <c r="U74" s="595"/>
      <c r="V74" s="595"/>
      <c r="W74" s="595"/>
      <c r="X74" s="595"/>
      <c r="Y74" s="595"/>
      <c r="Z74" s="595"/>
    </row>
    <row r="75" spans="1:26" ht="72" customHeight="1">
      <c r="A75" s="595"/>
      <c r="B75" s="1532"/>
      <c r="C75" s="1466" t="s">
        <v>566</v>
      </c>
      <c r="D75" s="668">
        <v>0.3</v>
      </c>
      <c r="E75" s="669" t="s">
        <v>567</v>
      </c>
      <c r="F75" s="595" t="s">
        <v>568</v>
      </c>
      <c r="G75" s="595"/>
      <c r="H75" s="595"/>
      <c r="I75" s="595"/>
      <c r="J75" s="595"/>
      <c r="K75" s="595"/>
      <c r="L75" s="595"/>
      <c r="M75" s="595"/>
      <c r="N75" s="595"/>
      <c r="O75" s="595"/>
      <c r="P75" s="595"/>
      <c r="Q75" s="595"/>
      <c r="R75" s="595"/>
      <c r="S75" s="595"/>
      <c r="T75" s="595"/>
      <c r="U75" s="595"/>
      <c r="V75" s="595"/>
      <c r="W75" s="595"/>
      <c r="X75" s="595"/>
      <c r="Y75" s="595"/>
      <c r="Z75" s="595"/>
    </row>
    <row r="76" spans="1:26" ht="19.5" customHeight="1">
      <c r="A76" s="595"/>
      <c r="B76" s="1508"/>
      <c r="C76" s="1466" t="s">
        <v>569</v>
      </c>
      <c r="D76" s="668">
        <v>0.7</v>
      </c>
      <c r="E76" s="664" t="s">
        <v>570</v>
      </c>
      <c r="F76" s="595"/>
      <c r="G76" s="595"/>
      <c r="H76" s="595"/>
      <c r="I76" s="595"/>
      <c r="J76" s="595"/>
      <c r="K76" s="595"/>
      <c r="L76" s="595"/>
      <c r="M76" s="595"/>
      <c r="N76" s="595"/>
      <c r="O76" s="595"/>
      <c r="P76" s="595"/>
      <c r="Q76" s="595"/>
      <c r="R76" s="595"/>
      <c r="S76" s="595"/>
      <c r="T76" s="595"/>
      <c r="U76" s="595"/>
      <c r="V76" s="595"/>
      <c r="W76" s="595"/>
      <c r="X76" s="595"/>
      <c r="Y76" s="595"/>
      <c r="Z76" s="595"/>
    </row>
    <row r="77" spans="1:26" ht="72.75" customHeight="1">
      <c r="A77" s="595"/>
      <c r="B77" s="1679" t="s">
        <v>571</v>
      </c>
      <c r="C77" s="1466" t="s">
        <v>572</v>
      </c>
      <c r="D77" s="670">
        <v>0</v>
      </c>
      <c r="E77" s="669" t="s">
        <v>573</v>
      </c>
      <c r="F77" s="595"/>
      <c r="G77" s="595"/>
      <c r="H77" s="595"/>
      <c r="I77" s="595"/>
      <c r="J77" s="595"/>
      <c r="K77" s="595"/>
      <c r="L77" s="595"/>
      <c r="M77" s="595"/>
      <c r="N77" s="595"/>
      <c r="O77" s="595"/>
      <c r="P77" s="595"/>
      <c r="Q77" s="595"/>
      <c r="R77" s="595"/>
      <c r="S77" s="595"/>
      <c r="T77" s="595"/>
      <c r="U77" s="595"/>
      <c r="V77" s="595"/>
      <c r="W77" s="595"/>
      <c r="X77" s="595"/>
      <c r="Y77" s="595"/>
      <c r="Z77" s="595"/>
    </row>
    <row r="78" spans="1:26" ht="19.5" customHeight="1">
      <c r="A78" s="595"/>
      <c r="B78" s="1532"/>
      <c r="C78" s="664" t="s">
        <v>36</v>
      </c>
      <c r="D78" s="661">
        <f>사업검토!E11</f>
        <v>155753.45000000001</v>
      </c>
      <c r="E78" s="671"/>
      <c r="F78" s="595"/>
      <c r="G78" s="595"/>
      <c r="H78" s="595"/>
      <c r="I78" s="595"/>
      <c r="J78" s="595"/>
      <c r="K78" s="595"/>
      <c r="L78" s="595"/>
      <c r="M78" s="595"/>
      <c r="N78" s="595"/>
      <c r="O78" s="595"/>
      <c r="P78" s="595"/>
      <c r="Q78" s="595"/>
      <c r="R78" s="595"/>
      <c r="S78" s="595"/>
      <c r="T78" s="595"/>
      <c r="U78" s="595"/>
      <c r="V78" s="595"/>
      <c r="W78" s="595"/>
      <c r="X78" s="595"/>
      <c r="Y78" s="595"/>
      <c r="Z78" s="595"/>
    </row>
    <row r="79" spans="1:26" ht="19.5" customHeight="1">
      <c r="A79" s="595"/>
      <c r="B79" s="1532"/>
      <c r="C79" s="664" t="s">
        <v>37</v>
      </c>
      <c r="D79" s="661">
        <f>사업검토!E12</f>
        <v>87959.97</v>
      </c>
      <c r="E79" s="664"/>
      <c r="F79" s="595"/>
      <c r="G79" s="595"/>
      <c r="H79" s="595"/>
      <c r="I79" s="595"/>
      <c r="J79" s="595"/>
      <c r="K79" s="595"/>
      <c r="L79" s="595"/>
      <c r="M79" s="595"/>
      <c r="N79" s="595"/>
      <c r="O79" s="595"/>
      <c r="P79" s="595"/>
      <c r="Q79" s="595"/>
      <c r="R79" s="595"/>
      <c r="S79" s="595"/>
      <c r="T79" s="595"/>
      <c r="U79" s="595"/>
      <c r="V79" s="595"/>
      <c r="W79" s="595"/>
      <c r="X79" s="595"/>
      <c r="Y79" s="595"/>
      <c r="Z79" s="595"/>
    </row>
    <row r="80" spans="1:26" ht="19.5" customHeight="1">
      <c r="A80" s="595"/>
      <c r="B80" s="1532"/>
      <c r="C80" s="664" t="s">
        <v>38</v>
      </c>
      <c r="D80" s="661">
        <f>D78+D79</f>
        <v>243713.42</v>
      </c>
      <c r="E80" s="664"/>
      <c r="F80" s="595"/>
      <c r="G80" s="595"/>
      <c r="H80" s="595"/>
      <c r="I80" s="595"/>
      <c r="J80" s="595"/>
      <c r="K80" s="595"/>
      <c r="L80" s="595"/>
      <c r="M80" s="595"/>
      <c r="N80" s="595"/>
      <c r="O80" s="595"/>
      <c r="P80" s="595"/>
      <c r="Q80" s="595"/>
      <c r="R80" s="595"/>
      <c r="S80" s="595"/>
      <c r="T80" s="595"/>
      <c r="U80" s="595"/>
      <c r="V80" s="595"/>
      <c r="W80" s="595"/>
      <c r="X80" s="595"/>
      <c r="Y80" s="595"/>
      <c r="Z80" s="595"/>
    </row>
    <row r="81" spans="1:26" ht="19.5" customHeight="1">
      <c r="A81" s="595"/>
      <c r="B81" s="1532"/>
      <c r="C81" s="664" t="s">
        <v>574</v>
      </c>
      <c r="D81" s="661">
        <f>건축개요!J37</f>
        <v>0</v>
      </c>
      <c r="E81" s="664" t="s">
        <v>575</v>
      </c>
      <c r="F81" s="595"/>
      <c r="G81" s="595"/>
      <c r="H81" s="595"/>
      <c r="I81" s="595"/>
      <c r="J81" s="595"/>
      <c r="K81" s="595"/>
      <c r="L81" s="595"/>
      <c r="M81" s="595"/>
      <c r="N81" s="595"/>
      <c r="O81" s="595"/>
      <c r="P81" s="595"/>
      <c r="Q81" s="595"/>
      <c r="R81" s="595"/>
      <c r="S81" s="595"/>
      <c r="T81" s="595"/>
      <c r="U81" s="595"/>
      <c r="V81" s="595"/>
      <c r="W81" s="595"/>
      <c r="X81" s="595"/>
      <c r="Y81" s="595"/>
      <c r="Z81" s="595"/>
    </row>
    <row r="82" spans="1:26" ht="19.5" customHeight="1">
      <c r="A82" s="595"/>
      <c r="B82" s="1532"/>
      <c r="C82" s="664" t="s">
        <v>576</v>
      </c>
      <c r="D82" s="661">
        <v>200</v>
      </c>
      <c r="E82" s="664"/>
      <c r="F82" s="595"/>
      <c r="G82" s="595"/>
      <c r="H82" s="595"/>
      <c r="I82" s="595"/>
      <c r="J82" s="595"/>
      <c r="K82" s="595"/>
      <c r="L82" s="595"/>
      <c r="M82" s="595"/>
      <c r="N82" s="595"/>
      <c r="O82" s="595"/>
      <c r="P82" s="595"/>
      <c r="Q82" s="595"/>
      <c r="R82" s="595"/>
      <c r="S82" s="595"/>
      <c r="T82" s="595"/>
      <c r="U82" s="595"/>
      <c r="V82" s="595"/>
      <c r="W82" s="595"/>
      <c r="X82" s="595"/>
      <c r="Y82" s="595"/>
      <c r="Z82" s="595"/>
    </row>
    <row r="83" spans="1:26" ht="19.5" customHeight="1">
      <c r="A83" s="595"/>
      <c r="B83" s="1508"/>
      <c r="C83" s="664" t="s">
        <v>577</v>
      </c>
      <c r="D83" s="672">
        <f>D80-D81-D82-D77</f>
        <v>243513.42</v>
      </c>
      <c r="E83" s="664"/>
      <c r="F83" s="595"/>
      <c r="G83" s="595"/>
      <c r="H83" s="595"/>
      <c r="I83" s="595"/>
      <c r="J83" s="595"/>
      <c r="K83" s="595"/>
      <c r="L83" s="595"/>
      <c r="M83" s="595"/>
      <c r="N83" s="595"/>
      <c r="O83" s="595"/>
      <c r="P83" s="595"/>
      <c r="Q83" s="595"/>
      <c r="R83" s="595"/>
      <c r="S83" s="595"/>
      <c r="T83" s="595"/>
      <c r="U83" s="595"/>
      <c r="V83" s="595"/>
      <c r="W83" s="595"/>
      <c r="X83" s="595"/>
      <c r="Y83" s="595"/>
      <c r="Z83" s="595"/>
    </row>
    <row r="84" spans="1:26" ht="19.5" customHeight="1">
      <c r="A84" s="595"/>
      <c r="B84" s="1676" t="s">
        <v>578</v>
      </c>
      <c r="C84" s="1491"/>
      <c r="D84" s="673">
        <v>0.2</v>
      </c>
      <c r="E84" s="664" t="s">
        <v>579</v>
      </c>
      <c r="F84" s="596" t="s">
        <v>580</v>
      </c>
      <c r="G84" s="595"/>
      <c r="H84" s="595"/>
      <c r="I84" s="595"/>
      <c r="J84" s="595"/>
      <c r="K84" s="595"/>
      <c r="L84" s="595"/>
      <c r="M84" s="595"/>
      <c r="N84" s="595"/>
      <c r="O84" s="595"/>
      <c r="P84" s="595"/>
      <c r="Q84" s="595"/>
      <c r="R84" s="595"/>
      <c r="S84" s="595"/>
      <c r="T84" s="595"/>
      <c r="U84" s="595"/>
      <c r="V84" s="595"/>
      <c r="W84" s="595"/>
      <c r="X84" s="595"/>
      <c r="Y84" s="595"/>
      <c r="Z84" s="595"/>
    </row>
    <row r="85" spans="1:26" ht="31.5" customHeight="1">
      <c r="A85" s="595"/>
      <c r="B85" s="674" t="s">
        <v>581</v>
      </c>
      <c r="C85" s="675"/>
      <c r="D85" s="676">
        <f>(D71+D75*D76*D72)*D83*D84</f>
        <v>92272713889.950012</v>
      </c>
      <c r="E85" s="677"/>
      <c r="F85" s="596"/>
      <c r="G85" s="595"/>
      <c r="H85" s="595"/>
      <c r="I85" s="595"/>
      <c r="J85" s="595"/>
      <c r="K85" s="595"/>
      <c r="L85" s="595"/>
      <c r="M85" s="595"/>
      <c r="N85" s="595"/>
      <c r="O85" s="595"/>
      <c r="P85" s="595"/>
      <c r="Q85" s="595"/>
      <c r="R85" s="595"/>
      <c r="S85" s="595"/>
      <c r="T85" s="595"/>
      <c r="U85" s="595"/>
      <c r="V85" s="595"/>
      <c r="W85" s="595"/>
      <c r="X85" s="595"/>
      <c r="Y85" s="595"/>
      <c r="Z85" s="595"/>
    </row>
    <row r="86" spans="1:26" ht="19.5" customHeight="1">
      <c r="A86" s="595"/>
      <c r="B86" s="1679" t="s">
        <v>582</v>
      </c>
      <c r="C86" s="664" t="s">
        <v>583</v>
      </c>
      <c r="D86" s="1468">
        <f>사업검토!M77*1000</f>
        <v>2211699286.5000005</v>
      </c>
      <c r="E86" s="671" t="s">
        <v>584</v>
      </c>
      <c r="F86" s="595"/>
      <c r="G86" s="595"/>
      <c r="H86" s="595"/>
      <c r="I86" s="595"/>
      <c r="J86" s="595"/>
      <c r="K86" s="595"/>
      <c r="L86" s="595"/>
      <c r="M86" s="595"/>
      <c r="N86" s="595"/>
      <c r="O86" s="595"/>
      <c r="P86" s="595"/>
      <c r="Q86" s="595"/>
      <c r="R86" s="595"/>
      <c r="S86" s="595"/>
      <c r="T86" s="595"/>
      <c r="U86" s="595"/>
      <c r="V86" s="595"/>
      <c r="W86" s="595"/>
      <c r="X86" s="595"/>
      <c r="Y86" s="595"/>
      <c r="Z86" s="595"/>
    </row>
    <row r="87" spans="1:26" ht="34.5" customHeight="1">
      <c r="A87" s="595"/>
      <c r="B87" s="1532"/>
      <c r="C87" s="669" t="s">
        <v>585</v>
      </c>
      <c r="D87" s="596">
        <f>사업검토!E7</f>
        <v>0</v>
      </c>
      <c r="E87" s="669"/>
      <c r="F87" s="595"/>
      <c r="G87" s="595"/>
      <c r="H87" s="595"/>
      <c r="I87" s="595"/>
      <c r="J87" s="595"/>
      <c r="K87" s="595"/>
      <c r="L87" s="595"/>
      <c r="M87" s="595"/>
      <c r="N87" s="595"/>
      <c r="O87" s="595"/>
      <c r="P87" s="595"/>
      <c r="Q87" s="595"/>
      <c r="R87" s="595"/>
      <c r="S87" s="595"/>
      <c r="T87" s="595"/>
      <c r="U87" s="595"/>
      <c r="V87" s="595"/>
      <c r="W87" s="595"/>
      <c r="X87" s="595"/>
      <c r="Y87" s="595"/>
      <c r="Z87" s="595"/>
    </row>
    <row r="88" spans="1:26" ht="34.5" customHeight="1">
      <c r="A88" s="595"/>
      <c r="B88" s="1532"/>
      <c r="C88" s="669" t="s">
        <v>586</v>
      </c>
      <c r="D88" s="678">
        <f>사업검토!M78*1000</f>
        <v>22116992865.000004</v>
      </c>
      <c r="E88" s="669"/>
      <c r="F88" s="679"/>
      <c r="G88" s="595"/>
      <c r="H88" s="595"/>
      <c r="I88" s="595"/>
      <c r="J88" s="595"/>
      <c r="K88" s="595"/>
      <c r="L88" s="595"/>
      <c r="M88" s="595"/>
      <c r="N88" s="595"/>
      <c r="O88" s="595"/>
      <c r="P88" s="595"/>
      <c r="Q88" s="595"/>
      <c r="R88" s="595"/>
      <c r="S88" s="595"/>
      <c r="T88" s="595"/>
      <c r="U88" s="595"/>
      <c r="V88" s="595"/>
      <c r="W88" s="595"/>
      <c r="X88" s="595"/>
      <c r="Y88" s="595"/>
      <c r="Z88" s="595"/>
    </row>
    <row r="89" spans="1:26" ht="19.5" customHeight="1">
      <c r="A89" s="595"/>
      <c r="B89" s="1532"/>
      <c r="C89" s="669" t="s">
        <v>587</v>
      </c>
      <c r="D89" s="678">
        <f>사업검토!M119*1000*10%</f>
        <v>0</v>
      </c>
      <c r="E89" s="669"/>
      <c r="F89" s="679"/>
      <c r="G89" s="595"/>
      <c r="H89" s="595"/>
      <c r="I89" s="595"/>
      <c r="J89" s="595"/>
      <c r="K89" s="595"/>
      <c r="L89" s="595"/>
      <c r="M89" s="595"/>
      <c r="N89" s="595"/>
      <c r="O89" s="595"/>
      <c r="P89" s="595"/>
      <c r="Q89" s="595"/>
      <c r="R89" s="595"/>
      <c r="S89" s="595"/>
      <c r="T89" s="595"/>
      <c r="U89" s="595"/>
      <c r="V89" s="595"/>
      <c r="W89" s="595"/>
      <c r="X89" s="595"/>
      <c r="Y89" s="595"/>
      <c r="Z89" s="595"/>
    </row>
    <row r="90" spans="1:26" ht="19.5" customHeight="1">
      <c r="A90" s="595"/>
      <c r="B90" s="1532"/>
      <c r="C90" s="669" t="s">
        <v>588</v>
      </c>
      <c r="D90" s="678">
        <f>사업검토!M120*1000*10%</f>
        <v>0</v>
      </c>
      <c r="E90" s="669"/>
      <c r="F90" s="679"/>
      <c r="G90" s="595"/>
      <c r="H90" s="595"/>
      <c r="I90" s="595"/>
      <c r="J90" s="595"/>
      <c r="K90" s="595"/>
      <c r="L90" s="595"/>
      <c r="M90" s="595"/>
      <c r="N90" s="595"/>
      <c r="O90" s="595"/>
      <c r="P90" s="595"/>
      <c r="Q90" s="595"/>
      <c r="R90" s="595"/>
      <c r="S90" s="595"/>
      <c r="T90" s="595"/>
      <c r="U90" s="595"/>
      <c r="V90" s="595"/>
      <c r="W90" s="595"/>
      <c r="X90" s="595"/>
      <c r="Y90" s="595"/>
      <c r="Z90" s="595"/>
    </row>
    <row r="91" spans="1:26" ht="19.5" customHeight="1">
      <c r="A91" s="595"/>
      <c r="B91" s="1532"/>
      <c r="C91" s="669" t="s">
        <v>589</v>
      </c>
      <c r="D91" s="678">
        <f>사업검토!M121*1000</f>
        <v>5414043868.2000008</v>
      </c>
      <c r="E91" s="669"/>
      <c r="F91" s="680" t="s">
        <v>590</v>
      </c>
      <c r="G91" s="595"/>
      <c r="H91" s="595"/>
      <c r="I91" s="595"/>
      <c r="J91" s="595"/>
      <c r="K91" s="595"/>
      <c r="L91" s="595"/>
      <c r="M91" s="595"/>
      <c r="N91" s="595"/>
      <c r="O91" s="595"/>
      <c r="P91" s="595"/>
      <c r="Q91" s="595"/>
      <c r="R91" s="595"/>
      <c r="S91" s="595"/>
      <c r="T91" s="595"/>
      <c r="U91" s="595"/>
      <c r="V91" s="595"/>
      <c r="W91" s="595"/>
      <c r="X91" s="595"/>
      <c r="Y91" s="595"/>
      <c r="Z91" s="595"/>
    </row>
    <row r="92" spans="1:26" ht="19.5" customHeight="1">
      <c r="A92" s="595"/>
      <c r="B92" s="1508"/>
      <c r="C92" s="1469" t="s">
        <v>38</v>
      </c>
      <c r="D92" s="681">
        <f>SUM(D86:D91)</f>
        <v>29742736019.700005</v>
      </c>
      <c r="E92" s="669"/>
      <c r="F92" s="682">
        <f>D93/D69</f>
        <v>1030762.6273040925</v>
      </c>
      <c r="G92" s="595"/>
      <c r="H92" s="595"/>
      <c r="I92" s="595"/>
      <c r="J92" s="595"/>
      <c r="K92" s="595"/>
      <c r="L92" s="595"/>
      <c r="M92" s="595"/>
      <c r="N92" s="595"/>
      <c r="O92" s="595"/>
      <c r="P92" s="595"/>
      <c r="Q92" s="595"/>
      <c r="R92" s="595"/>
      <c r="S92" s="595"/>
      <c r="T92" s="595"/>
      <c r="U92" s="595"/>
      <c r="V92" s="595"/>
      <c r="W92" s="595"/>
      <c r="X92" s="595"/>
      <c r="Y92" s="595"/>
      <c r="Z92" s="595"/>
    </row>
    <row r="93" spans="1:26" ht="42.75" customHeight="1">
      <c r="A93" s="595"/>
      <c r="B93" s="1680" t="s">
        <v>591</v>
      </c>
      <c r="C93" s="1491"/>
      <c r="D93" s="683">
        <f>(D71+D75*D76*D72)*D83*D84-D92</f>
        <v>62529977870.250008</v>
      </c>
      <c r="E93" s="684">
        <f>D93/(D78*0.3025)</f>
        <v>1327165.9192490089</v>
      </c>
      <c r="F93" s="679">
        <f>F92/D72</f>
        <v>0.11935303254353366</v>
      </c>
      <c r="G93" s="595"/>
      <c r="H93" s="595"/>
      <c r="I93" s="595"/>
      <c r="J93" s="595"/>
      <c r="K93" s="595"/>
      <c r="L93" s="595"/>
      <c r="M93" s="595"/>
      <c r="N93" s="595"/>
      <c r="O93" s="595"/>
      <c r="P93" s="595"/>
      <c r="Q93" s="595"/>
      <c r="R93" s="595"/>
      <c r="S93" s="595"/>
      <c r="T93" s="595"/>
      <c r="U93" s="595"/>
      <c r="V93" s="595"/>
      <c r="W93" s="595"/>
      <c r="X93" s="595"/>
      <c r="Y93" s="595"/>
      <c r="Z93" s="595"/>
    </row>
    <row r="94" spans="1:26" ht="19.5" customHeight="1">
      <c r="A94" s="595"/>
      <c r="B94" s="595"/>
      <c r="C94" s="596"/>
      <c r="D94" s="595"/>
      <c r="E94" s="595"/>
      <c r="F94" s="595"/>
      <c r="G94" s="595"/>
      <c r="H94" s="595"/>
      <c r="I94" s="595"/>
      <c r="J94" s="595"/>
      <c r="K94" s="595"/>
      <c r="L94" s="595"/>
      <c r="M94" s="595"/>
      <c r="N94" s="595"/>
      <c r="O94" s="595"/>
      <c r="P94" s="595"/>
      <c r="Q94" s="595"/>
      <c r="R94" s="595"/>
      <c r="S94" s="595"/>
      <c r="T94" s="595"/>
      <c r="U94" s="595"/>
      <c r="V94" s="595"/>
      <c r="W94" s="595"/>
      <c r="X94" s="595"/>
      <c r="Y94" s="595"/>
      <c r="Z94" s="595"/>
    </row>
    <row r="95" spans="1:26" ht="19.5" customHeight="1">
      <c r="A95" s="594" t="s">
        <v>592</v>
      </c>
      <c r="B95" s="595"/>
      <c r="C95" s="596"/>
      <c r="D95" s="595"/>
      <c r="E95" s="595"/>
      <c r="F95" s="595"/>
      <c r="G95" s="595"/>
      <c r="H95" s="595"/>
      <c r="I95" s="595"/>
      <c r="J95" s="595"/>
      <c r="K95" s="595"/>
      <c r="L95" s="595"/>
      <c r="M95" s="595"/>
      <c r="N95" s="595"/>
      <c r="O95" s="595"/>
      <c r="P95" s="595"/>
      <c r="Q95" s="595"/>
      <c r="R95" s="595"/>
      <c r="S95" s="595"/>
      <c r="T95" s="595"/>
      <c r="U95" s="595"/>
      <c r="V95" s="595"/>
      <c r="W95" s="595"/>
      <c r="X95" s="595"/>
      <c r="Y95" s="595"/>
      <c r="Z95" s="595"/>
    </row>
    <row r="96" spans="1:26" ht="19.5" customHeight="1">
      <c r="A96" s="595"/>
      <c r="B96" s="685" t="s">
        <v>31</v>
      </c>
      <c r="C96" s="685" t="s">
        <v>593</v>
      </c>
      <c r="D96" s="685" t="s">
        <v>594</v>
      </c>
      <c r="E96" s="685" t="s">
        <v>59</v>
      </c>
      <c r="F96" s="595"/>
      <c r="G96" s="595"/>
      <c r="H96" s="595"/>
      <c r="I96" s="595"/>
      <c r="J96" s="595"/>
      <c r="K96" s="595"/>
      <c r="L96" s="595"/>
      <c r="M96" s="595"/>
      <c r="N96" s="595"/>
      <c r="O96" s="595"/>
      <c r="P96" s="595"/>
      <c r="Q96" s="595"/>
      <c r="R96" s="595"/>
      <c r="S96" s="595"/>
      <c r="T96" s="595"/>
      <c r="U96" s="595"/>
      <c r="V96" s="595"/>
      <c r="W96" s="595"/>
      <c r="X96" s="595"/>
      <c r="Y96" s="595"/>
      <c r="Z96" s="595"/>
    </row>
    <row r="97" spans="1:26" ht="19.5" customHeight="1">
      <c r="A97" s="595"/>
      <c r="B97" s="1678" t="s">
        <v>185</v>
      </c>
      <c r="C97" s="686" t="s">
        <v>595</v>
      </c>
      <c r="D97" s="686">
        <v>0.7</v>
      </c>
      <c r="E97" s="1678"/>
      <c r="F97" s="595"/>
      <c r="G97" s="595"/>
      <c r="H97" s="595"/>
      <c r="I97" s="595"/>
      <c r="J97" s="595"/>
      <c r="K97" s="595"/>
      <c r="L97" s="595"/>
      <c r="M97" s="595"/>
      <c r="N97" s="595"/>
      <c r="O97" s="595"/>
      <c r="P97" s="595"/>
      <c r="Q97" s="595"/>
      <c r="R97" s="595"/>
      <c r="S97" s="595"/>
      <c r="T97" s="595"/>
      <c r="U97" s="595"/>
      <c r="V97" s="595"/>
      <c r="W97" s="595"/>
      <c r="X97" s="595"/>
      <c r="Y97" s="595"/>
      <c r="Z97" s="595"/>
    </row>
    <row r="98" spans="1:26" ht="19.5" customHeight="1">
      <c r="A98" s="595"/>
      <c r="B98" s="1508"/>
      <c r="C98" s="686" t="s">
        <v>596</v>
      </c>
      <c r="D98" s="686">
        <v>0.7</v>
      </c>
      <c r="E98" s="1508"/>
      <c r="F98" s="595"/>
      <c r="G98" s="595"/>
      <c r="H98" s="595"/>
      <c r="I98" s="595"/>
      <c r="J98" s="595"/>
      <c r="K98" s="595"/>
      <c r="L98" s="595"/>
      <c r="M98" s="595"/>
      <c r="N98" s="595"/>
      <c r="O98" s="595"/>
      <c r="P98" s="595"/>
      <c r="Q98" s="595"/>
      <c r="R98" s="595"/>
      <c r="S98" s="595"/>
      <c r="T98" s="595"/>
      <c r="U98" s="595"/>
      <c r="V98" s="595"/>
      <c r="W98" s="595"/>
      <c r="X98" s="595"/>
      <c r="Y98" s="595"/>
      <c r="Z98" s="595"/>
    </row>
    <row r="99" spans="1:26" ht="19.5" customHeight="1">
      <c r="A99" s="595"/>
      <c r="B99" s="1678" t="s">
        <v>597</v>
      </c>
      <c r="C99" s="686" t="s">
        <v>598</v>
      </c>
      <c r="D99" s="686">
        <v>1.3</v>
      </c>
      <c r="E99" s="1678"/>
      <c r="F99" s="595"/>
      <c r="G99" s="595"/>
      <c r="H99" s="595"/>
      <c r="I99" s="595"/>
      <c r="J99" s="595"/>
      <c r="K99" s="595"/>
      <c r="L99" s="595"/>
      <c r="M99" s="595"/>
      <c r="N99" s="595"/>
      <c r="O99" s="595"/>
      <c r="P99" s="595"/>
      <c r="Q99" s="595"/>
      <c r="R99" s="595"/>
      <c r="S99" s="595"/>
      <c r="T99" s="595"/>
      <c r="U99" s="595"/>
      <c r="V99" s="595"/>
      <c r="W99" s="595"/>
      <c r="X99" s="595"/>
      <c r="Y99" s="595"/>
      <c r="Z99" s="595"/>
    </row>
    <row r="100" spans="1:26" ht="19.5" customHeight="1">
      <c r="A100" s="595"/>
      <c r="B100" s="1532"/>
      <c r="C100" s="686" t="s">
        <v>599</v>
      </c>
      <c r="D100" s="686">
        <v>1.6</v>
      </c>
      <c r="E100" s="1532"/>
      <c r="F100" s="595"/>
      <c r="G100" s="595"/>
      <c r="H100" s="595"/>
      <c r="I100" s="595"/>
      <c r="J100" s="595"/>
      <c r="K100" s="595"/>
      <c r="L100" s="595"/>
      <c r="M100" s="595"/>
      <c r="N100" s="595"/>
      <c r="O100" s="595"/>
      <c r="P100" s="595"/>
      <c r="Q100" s="595"/>
      <c r="R100" s="595"/>
      <c r="S100" s="595"/>
      <c r="T100" s="595"/>
      <c r="U100" s="595"/>
      <c r="V100" s="595"/>
      <c r="W100" s="595"/>
      <c r="X100" s="595"/>
      <c r="Y100" s="595"/>
      <c r="Z100" s="595"/>
    </row>
    <row r="101" spans="1:26" ht="19.5" customHeight="1">
      <c r="A101" s="595"/>
      <c r="B101" s="1532"/>
      <c r="C101" s="686" t="s">
        <v>600</v>
      </c>
      <c r="D101" s="686">
        <v>1.3</v>
      </c>
      <c r="E101" s="1532"/>
      <c r="F101" s="595"/>
      <c r="G101" s="595"/>
      <c r="H101" s="595"/>
      <c r="I101" s="595"/>
      <c r="J101" s="595"/>
      <c r="K101" s="595"/>
      <c r="L101" s="595"/>
      <c r="M101" s="595"/>
      <c r="N101" s="595"/>
      <c r="O101" s="595"/>
      <c r="P101" s="595"/>
      <c r="Q101" s="595"/>
      <c r="R101" s="595"/>
      <c r="S101" s="595"/>
      <c r="T101" s="595"/>
      <c r="U101" s="595"/>
      <c r="V101" s="595"/>
      <c r="W101" s="595"/>
      <c r="X101" s="595"/>
      <c r="Y101" s="595"/>
      <c r="Z101" s="595"/>
    </row>
    <row r="102" spans="1:26" ht="19.5" customHeight="1">
      <c r="A102" s="595"/>
      <c r="B102" s="1532"/>
      <c r="C102" s="686" t="s">
        <v>409</v>
      </c>
      <c r="D102" s="686">
        <v>0.7</v>
      </c>
      <c r="E102" s="1532"/>
      <c r="F102" s="595"/>
      <c r="G102" s="595"/>
      <c r="H102" s="595"/>
      <c r="I102" s="595"/>
      <c r="J102" s="595"/>
      <c r="K102" s="595"/>
      <c r="L102" s="595"/>
      <c r="M102" s="595"/>
      <c r="N102" s="595"/>
      <c r="O102" s="595"/>
      <c r="P102" s="595"/>
      <c r="Q102" s="595"/>
      <c r="R102" s="595"/>
      <c r="S102" s="595"/>
      <c r="T102" s="595"/>
      <c r="U102" s="595"/>
      <c r="V102" s="595"/>
      <c r="W102" s="595"/>
      <c r="X102" s="595"/>
      <c r="Y102" s="595"/>
      <c r="Z102" s="595"/>
    </row>
    <row r="103" spans="1:26" ht="19.5" customHeight="1">
      <c r="A103" s="595"/>
      <c r="B103" s="1508"/>
      <c r="C103" s="686" t="s">
        <v>601</v>
      </c>
      <c r="D103" s="686">
        <v>1</v>
      </c>
      <c r="E103" s="1508"/>
      <c r="F103" s="595"/>
      <c r="G103" s="595"/>
      <c r="H103" s="595"/>
      <c r="I103" s="595"/>
      <c r="J103" s="595"/>
      <c r="K103" s="595"/>
      <c r="L103" s="595"/>
      <c r="M103" s="595"/>
      <c r="N103" s="595"/>
      <c r="O103" s="595"/>
      <c r="P103" s="595"/>
      <c r="Q103" s="595"/>
      <c r="R103" s="595"/>
      <c r="S103" s="595"/>
      <c r="T103" s="595"/>
      <c r="U103" s="595"/>
      <c r="V103" s="595"/>
      <c r="W103" s="595"/>
      <c r="X103" s="595"/>
      <c r="Y103" s="595"/>
      <c r="Z103" s="595"/>
    </row>
    <row r="104" spans="1:26" ht="19.5" customHeight="1">
      <c r="A104" s="595"/>
      <c r="B104" s="1678" t="s">
        <v>602</v>
      </c>
      <c r="C104" s="686" t="s">
        <v>603</v>
      </c>
      <c r="D104" s="686">
        <v>1.4</v>
      </c>
      <c r="E104" s="1678"/>
      <c r="F104" s="595"/>
      <c r="G104" s="595"/>
      <c r="H104" s="595"/>
      <c r="I104" s="595"/>
      <c r="J104" s="595"/>
      <c r="K104" s="595"/>
      <c r="L104" s="595"/>
      <c r="M104" s="595"/>
      <c r="N104" s="595"/>
      <c r="O104" s="595"/>
      <c r="P104" s="595"/>
      <c r="Q104" s="595"/>
      <c r="R104" s="595"/>
      <c r="S104" s="595"/>
      <c r="T104" s="595"/>
      <c r="U104" s="595"/>
      <c r="V104" s="595"/>
      <c r="W104" s="595"/>
      <c r="X104" s="595"/>
      <c r="Y104" s="595"/>
      <c r="Z104" s="595"/>
    </row>
    <row r="105" spans="1:26" ht="19.5" customHeight="1">
      <c r="A105" s="595"/>
      <c r="B105" s="1532"/>
      <c r="C105" s="686" t="s">
        <v>604</v>
      </c>
      <c r="D105" s="686">
        <v>1.4</v>
      </c>
      <c r="E105" s="1532"/>
      <c r="F105" s="595"/>
      <c r="G105" s="595"/>
      <c r="H105" s="595"/>
      <c r="I105" s="595"/>
      <c r="J105" s="595"/>
      <c r="K105" s="595"/>
      <c r="L105" s="595"/>
      <c r="M105" s="595"/>
      <c r="N105" s="595"/>
      <c r="O105" s="595"/>
      <c r="P105" s="595"/>
      <c r="Q105" s="595"/>
      <c r="R105" s="595"/>
      <c r="S105" s="595"/>
      <c r="T105" s="595"/>
      <c r="U105" s="595"/>
      <c r="V105" s="595"/>
      <c r="W105" s="595"/>
      <c r="X105" s="595"/>
      <c r="Y105" s="595"/>
      <c r="Z105" s="595"/>
    </row>
    <row r="106" spans="1:26" ht="19.5" customHeight="1">
      <c r="A106" s="595"/>
      <c r="B106" s="1532"/>
      <c r="C106" s="686" t="s">
        <v>605</v>
      </c>
      <c r="D106" s="686">
        <v>1.4</v>
      </c>
      <c r="E106" s="1532"/>
      <c r="F106" s="595"/>
      <c r="G106" s="595"/>
      <c r="H106" s="595"/>
      <c r="I106" s="595"/>
      <c r="J106" s="595"/>
      <c r="K106" s="595"/>
      <c r="L106" s="595"/>
      <c r="M106" s="595"/>
      <c r="N106" s="595"/>
      <c r="O106" s="595"/>
      <c r="P106" s="595"/>
      <c r="Q106" s="595"/>
      <c r="R106" s="595"/>
      <c r="S106" s="595"/>
      <c r="T106" s="595"/>
      <c r="U106" s="595"/>
      <c r="V106" s="595"/>
      <c r="W106" s="595"/>
      <c r="X106" s="595"/>
      <c r="Y106" s="595"/>
      <c r="Z106" s="595"/>
    </row>
    <row r="107" spans="1:26" ht="19.5" customHeight="1">
      <c r="A107" s="595"/>
      <c r="B107" s="1532"/>
      <c r="C107" s="686" t="s">
        <v>606</v>
      </c>
      <c r="D107" s="686">
        <v>0.9</v>
      </c>
      <c r="E107" s="1532"/>
      <c r="F107" s="595"/>
      <c r="G107" s="595"/>
      <c r="H107" s="595"/>
      <c r="I107" s="595"/>
      <c r="J107" s="595"/>
      <c r="K107" s="595"/>
      <c r="L107" s="595"/>
      <c r="M107" s="595"/>
      <c r="N107" s="595"/>
      <c r="O107" s="595"/>
      <c r="P107" s="595"/>
      <c r="Q107" s="595"/>
      <c r="R107" s="595"/>
      <c r="S107" s="595"/>
      <c r="T107" s="595"/>
      <c r="U107" s="595"/>
      <c r="V107" s="595"/>
      <c r="W107" s="595"/>
      <c r="X107" s="595"/>
      <c r="Y107" s="595"/>
      <c r="Z107" s="595"/>
    </row>
    <row r="108" spans="1:26" ht="19.5" customHeight="1">
      <c r="A108" s="595"/>
      <c r="B108" s="1532"/>
      <c r="C108" s="686" t="s">
        <v>607</v>
      </c>
      <c r="D108" s="686">
        <v>0.7</v>
      </c>
      <c r="E108" s="1532"/>
      <c r="F108" s="595"/>
      <c r="G108" s="595"/>
      <c r="H108" s="595"/>
      <c r="I108" s="595"/>
      <c r="J108" s="595"/>
      <c r="K108" s="595"/>
      <c r="L108" s="595"/>
      <c r="M108" s="595"/>
      <c r="N108" s="595"/>
      <c r="O108" s="595"/>
      <c r="P108" s="595"/>
      <c r="Q108" s="595"/>
      <c r="R108" s="595"/>
      <c r="S108" s="595"/>
      <c r="T108" s="595"/>
      <c r="U108" s="595"/>
      <c r="V108" s="595"/>
      <c r="W108" s="595"/>
      <c r="X108" s="595"/>
      <c r="Y108" s="595"/>
      <c r="Z108" s="595"/>
    </row>
    <row r="109" spans="1:26" ht="19.5" customHeight="1">
      <c r="A109" s="595"/>
      <c r="B109" s="1532"/>
      <c r="C109" s="686" t="s">
        <v>608</v>
      </c>
      <c r="D109" s="686">
        <v>0.7</v>
      </c>
      <c r="E109" s="1532"/>
      <c r="F109" s="595"/>
      <c r="G109" s="595"/>
      <c r="H109" s="595"/>
      <c r="I109" s="595"/>
      <c r="J109" s="595"/>
      <c r="K109" s="595"/>
      <c r="L109" s="595"/>
      <c r="M109" s="595"/>
      <c r="N109" s="595"/>
      <c r="O109" s="595"/>
      <c r="P109" s="595"/>
      <c r="Q109" s="595"/>
      <c r="R109" s="595"/>
      <c r="S109" s="595"/>
      <c r="T109" s="595"/>
      <c r="U109" s="595"/>
      <c r="V109" s="595"/>
      <c r="W109" s="595"/>
      <c r="X109" s="595"/>
      <c r="Y109" s="595"/>
      <c r="Z109" s="595"/>
    </row>
    <row r="110" spans="1:26" ht="19.5" customHeight="1">
      <c r="A110" s="595"/>
      <c r="B110" s="1532"/>
      <c r="C110" s="686" t="s">
        <v>609</v>
      </c>
      <c r="D110" s="686">
        <v>0.7</v>
      </c>
      <c r="E110" s="1532"/>
      <c r="F110" s="595"/>
      <c r="G110" s="595"/>
      <c r="H110" s="595"/>
      <c r="I110" s="595"/>
      <c r="J110" s="595"/>
      <c r="K110" s="595"/>
      <c r="L110" s="595"/>
      <c r="M110" s="595"/>
      <c r="N110" s="595"/>
      <c r="O110" s="595"/>
      <c r="P110" s="595"/>
      <c r="Q110" s="595"/>
      <c r="R110" s="595"/>
      <c r="S110" s="595"/>
      <c r="T110" s="595"/>
      <c r="U110" s="595"/>
      <c r="V110" s="595"/>
      <c r="W110" s="595"/>
      <c r="X110" s="595"/>
      <c r="Y110" s="595"/>
      <c r="Z110" s="595"/>
    </row>
    <row r="111" spans="1:26" ht="19.5" customHeight="1">
      <c r="A111" s="595"/>
      <c r="B111" s="1532"/>
      <c r="C111" s="686" t="s">
        <v>465</v>
      </c>
      <c r="D111" s="686">
        <v>0.7</v>
      </c>
      <c r="E111" s="1532"/>
      <c r="F111" s="595"/>
      <c r="G111" s="595"/>
      <c r="H111" s="595"/>
      <c r="I111" s="595"/>
      <c r="J111" s="595"/>
      <c r="K111" s="595"/>
      <c r="L111" s="595"/>
      <c r="M111" s="595"/>
      <c r="N111" s="595"/>
      <c r="O111" s="595"/>
      <c r="P111" s="595"/>
      <c r="Q111" s="595"/>
      <c r="R111" s="595"/>
      <c r="S111" s="595"/>
      <c r="T111" s="595"/>
      <c r="U111" s="595"/>
      <c r="V111" s="595"/>
      <c r="W111" s="595"/>
      <c r="X111" s="595"/>
      <c r="Y111" s="595"/>
      <c r="Z111" s="595"/>
    </row>
    <row r="112" spans="1:26" ht="19.5" customHeight="1">
      <c r="A112" s="595"/>
      <c r="B112" s="1532"/>
      <c r="C112" s="686" t="s">
        <v>610</v>
      </c>
      <c r="D112" s="686">
        <v>2.1</v>
      </c>
      <c r="E112" s="1532"/>
      <c r="F112" s="595"/>
      <c r="G112" s="595"/>
      <c r="H112" s="595"/>
      <c r="I112" s="595"/>
      <c r="J112" s="595"/>
      <c r="K112" s="595"/>
      <c r="L112" s="595"/>
      <c r="M112" s="595"/>
      <c r="N112" s="595"/>
      <c r="O112" s="595"/>
      <c r="P112" s="595"/>
      <c r="Q112" s="595"/>
      <c r="R112" s="595"/>
      <c r="S112" s="595"/>
      <c r="T112" s="595"/>
      <c r="U112" s="595"/>
      <c r="V112" s="595"/>
      <c r="W112" s="595"/>
      <c r="X112" s="595"/>
      <c r="Y112" s="595"/>
      <c r="Z112" s="595"/>
    </row>
    <row r="113" spans="1:26" ht="19.5" customHeight="1">
      <c r="A113" s="595"/>
      <c r="B113" s="1532"/>
      <c r="C113" s="686" t="s">
        <v>611</v>
      </c>
      <c r="D113" s="686">
        <v>0.5</v>
      </c>
      <c r="E113" s="1532"/>
      <c r="F113" s="595"/>
      <c r="G113" s="595"/>
      <c r="H113" s="595"/>
      <c r="I113" s="595"/>
      <c r="J113" s="595"/>
      <c r="K113" s="595"/>
      <c r="L113" s="595"/>
      <c r="M113" s="595"/>
      <c r="N113" s="595"/>
      <c r="O113" s="595"/>
      <c r="P113" s="595"/>
      <c r="Q113" s="595"/>
      <c r="R113" s="595"/>
      <c r="S113" s="595"/>
      <c r="T113" s="595"/>
      <c r="U113" s="595"/>
      <c r="V113" s="595"/>
      <c r="W113" s="595"/>
      <c r="X113" s="595"/>
      <c r="Y113" s="595"/>
      <c r="Z113" s="595"/>
    </row>
    <row r="114" spans="1:26" ht="19.5" customHeight="1">
      <c r="A114" s="595"/>
      <c r="B114" s="1532"/>
      <c r="C114" s="686" t="s">
        <v>612</v>
      </c>
      <c r="D114" s="686">
        <v>0.7</v>
      </c>
      <c r="E114" s="1532"/>
      <c r="F114" s="595"/>
      <c r="G114" s="595"/>
      <c r="H114" s="595"/>
      <c r="I114" s="595"/>
      <c r="J114" s="595"/>
      <c r="K114" s="595"/>
      <c r="L114" s="595"/>
      <c r="M114" s="595"/>
      <c r="N114" s="595"/>
      <c r="O114" s="595"/>
      <c r="P114" s="595"/>
      <c r="Q114" s="595"/>
      <c r="R114" s="595"/>
      <c r="S114" s="595"/>
      <c r="T114" s="595"/>
      <c r="U114" s="595"/>
      <c r="V114" s="595"/>
      <c r="W114" s="595"/>
      <c r="X114" s="595"/>
      <c r="Y114" s="595"/>
      <c r="Z114" s="595"/>
    </row>
    <row r="115" spans="1:26" ht="19.5" customHeight="1">
      <c r="A115" s="595"/>
      <c r="B115" s="1532"/>
      <c r="C115" s="686" t="s">
        <v>613</v>
      </c>
      <c r="D115" s="686">
        <v>0.7</v>
      </c>
      <c r="E115" s="1532"/>
      <c r="F115" s="595"/>
      <c r="G115" s="595"/>
      <c r="H115" s="595"/>
      <c r="I115" s="595"/>
      <c r="J115" s="595"/>
      <c r="K115" s="595"/>
      <c r="L115" s="595"/>
      <c r="M115" s="595"/>
      <c r="N115" s="595"/>
      <c r="O115" s="595"/>
      <c r="P115" s="595"/>
      <c r="Q115" s="595"/>
      <c r="R115" s="595"/>
      <c r="S115" s="595"/>
      <c r="T115" s="595"/>
      <c r="U115" s="595"/>
      <c r="V115" s="595"/>
      <c r="W115" s="595"/>
      <c r="X115" s="595"/>
      <c r="Y115" s="595"/>
      <c r="Z115" s="595"/>
    </row>
    <row r="116" spans="1:26" ht="19.5" customHeight="1">
      <c r="A116" s="595"/>
      <c r="B116" s="1532"/>
      <c r="C116" s="686" t="s">
        <v>614</v>
      </c>
      <c r="D116" s="686">
        <v>0.7</v>
      </c>
      <c r="E116" s="1532"/>
      <c r="F116" s="595"/>
      <c r="G116" s="595"/>
      <c r="H116" s="595"/>
      <c r="I116" s="595"/>
      <c r="J116" s="595"/>
      <c r="K116" s="595"/>
      <c r="L116" s="595"/>
      <c r="M116" s="595"/>
      <c r="N116" s="595"/>
      <c r="O116" s="595"/>
      <c r="P116" s="595"/>
      <c r="Q116" s="595"/>
      <c r="R116" s="595"/>
      <c r="S116" s="595"/>
      <c r="T116" s="595"/>
      <c r="U116" s="595"/>
      <c r="V116" s="595"/>
      <c r="W116" s="595"/>
      <c r="X116" s="595"/>
      <c r="Y116" s="595"/>
      <c r="Z116" s="595"/>
    </row>
    <row r="117" spans="1:26" ht="19.5" customHeight="1">
      <c r="A117" s="595"/>
      <c r="B117" s="1532"/>
      <c r="C117" s="686" t="s">
        <v>615</v>
      </c>
      <c r="D117" s="686">
        <v>1.4</v>
      </c>
      <c r="E117" s="1532"/>
      <c r="F117" s="595"/>
      <c r="G117" s="595"/>
      <c r="H117" s="595"/>
      <c r="I117" s="595"/>
      <c r="J117" s="595"/>
      <c r="K117" s="595"/>
      <c r="L117" s="595"/>
      <c r="M117" s="595"/>
      <c r="N117" s="595"/>
      <c r="O117" s="595"/>
      <c r="P117" s="595"/>
      <c r="Q117" s="595"/>
      <c r="R117" s="595"/>
      <c r="S117" s="595"/>
      <c r="T117" s="595"/>
      <c r="U117" s="595"/>
      <c r="V117" s="595"/>
      <c r="W117" s="595"/>
      <c r="X117" s="595"/>
      <c r="Y117" s="595"/>
      <c r="Z117" s="595"/>
    </row>
    <row r="118" spans="1:26" ht="19.5" customHeight="1">
      <c r="A118" s="595"/>
      <c r="B118" s="1532"/>
      <c r="C118" s="686" t="s">
        <v>616</v>
      </c>
      <c r="D118" s="686">
        <v>0.7</v>
      </c>
      <c r="E118" s="1532"/>
      <c r="F118" s="595"/>
      <c r="G118" s="595"/>
      <c r="H118" s="595"/>
      <c r="I118" s="595"/>
      <c r="J118" s="595"/>
      <c r="K118" s="595"/>
      <c r="L118" s="595"/>
      <c r="M118" s="595"/>
      <c r="N118" s="595"/>
      <c r="O118" s="595"/>
      <c r="P118" s="595"/>
      <c r="Q118" s="595"/>
      <c r="R118" s="595"/>
      <c r="S118" s="595"/>
      <c r="T118" s="595"/>
      <c r="U118" s="595"/>
      <c r="V118" s="595"/>
      <c r="W118" s="595"/>
      <c r="X118" s="595"/>
      <c r="Y118" s="595"/>
      <c r="Z118" s="595"/>
    </row>
    <row r="119" spans="1:26" ht="19.5" customHeight="1">
      <c r="A119" s="595"/>
      <c r="B119" s="1532"/>
      <c r="C119" s="686" t="s">
        <v>617</v>
      </c>
      <c r="D119" s="686">
        <v>0.8</v>
      </c>
      <c r="E119" s="1532"/>
      <c r="F119" s="595"/>
      <c r="G119" s="595"/>
      <c r="H119" s="595"/>
      <c r="I119" s="595"/>
      <c r="J119" s="595"/>
      <c r="K119" s="595"/>
      <c r="L119" s="595"/>
      <c r="M119" s="595"/>
      <c r="N119" s="595"/>
      <c r="O119" s="595"/>
      <c r="P119" s="595"/>
      <c r="Q119" s="595"/>
      <c r="R119" s="595"/>
      <c r="S119" s="595"/>
      <c r="T119" s="595"/>
      <c r="U119" s="595"/>
      <c r="V119" s="595"/>
      <c r="W119" s="595"/>
      <c r="X119" s="595"/>
      <c r="Y119" s="595"/>
      <c r="Z119" s="595"/>
    </row>
    <row r="120" spans="1:26" ht="19.5" customHeight="1">
      <c r="A120" s="595"/>
      <c r="B120" s="1532"/>
      <c r="C120" s="686" t="s">
        <v>618</v>
      </c>
      <c r="D120" s="686">
        <v>0.7</v>
      </c>
      <c r="E120" s="1532"/>
      <c r="F120" s="595"/>
      <c r="G120" s="595"/>
      <c r="H120" s="595"/>
      <c r="I120" s="595"/>
      <c r="J120" s="595"/>
      <c r="K120" s="595"/>
      <c r="L120" s="595"/>
      <c r="M120" s="595"/>
      <c r="N120" s="595"/>
      <c r="O120" s="595"/>
      <c r="P120" s="595"/>
      <c r="Q120" s="595"/>
      <c r="R120" s="595"/>
      <c r="S120" s="595"/>
      <c r="T120" s="595"/>
      <c r="U120" s="595"/>
      <c r="V120" s="595"/>
      <c r="W120" s="595"/>
      <c r="X120" s="595"/>
      <c r="Y120" s="595"/>
      <c r="Z120" s="595"/>
    </row>
    <row r="121" spans="1:26" ht="19.5" customHeight="1">
      <c r="A121" s="595"/>
      <c r="B121" s="1532"/>
      <c r="C121" s="686" t="s">
        <v>619</v>
      </c>
      <c r="D121" s="686">
        <v>0.7</v>
      </c>
      <c r="E121" s="1532"/>
      <c r="F121" s="595"/>
      <c r="G121" s="595"/>
      <c r="H121" s="595"/>
      <c r="I121" s="595"/>
      <c r="J121" s="595"/>
      <c r="K121" s="595"/>
      <c r="L121" s="595"/>
      <c r="M121" s="595"/>
      <c r="N121" s="595"/>
      <c r="O121" s="595"/>
      <c r="P121" s="595"/>
      <c r="Q121" s="595"/>
      <c r="R121" s="595"/>
      <c r="S121" s="595"/>
      <c r="T121" s="595"/>
      <c r="U121" s="595"/>
      <c r="V121" s="595"/>
      <c r="W121" s="595"/>
      <c r="X121" s="595"/>
      <c r="Y121" s="595"/>
      <c r="Z121" s="595"/>
    </row>
    <row r="122" spans="1:26" ht="19.5" customHeight="1">
      <c r="A122" s="595"/>
      <c r="B122" s="1508"/>
      <c r="C122" s="686" t="s">
        <v>620</v>
      </c>
      <c r="D122" s="686">
        <v>1.9</v>
      </c>
      <c r="E122" s="1508"/>
      <c r="F122" s="595"/>
      <c r="G122" s="595"/>
      <c r="H122" s="595"/>
      <c r="I122" s="595"/>
      <c r="J122" s="595"/>
      <c r="K122" s="595"/>
      <c r="L122" s="595"/>
      <c r="M122" s="595"/>
      <c r="N122" s="595"/>
      <c r="O122" s="595"/>
      <c r="P122" s="595"/>
      <c r="Q122" s="595"/>
      <c r="R122" s="595"/>
      <c r="S122" s="595"/>
      <c r="T122" s="595"/>
      <c r="U122" s="595"/>
      <c r="V122" s="595"/>
      <c r="W122" s="595"/>
      <c r="X122" s="595"/>
      <c r="Y122" s="595"/>
      <c r="Z122" s="595"/>
    </row>
    <row r="123" spans="1:26" ht="19.5" customHeight="1">
      <c r="A123" s="595"/>
      <c r="B123" s="1678" t="s">
        <v>621</v>
      </c>
      <c r="C123" s="686" t="s">
        <v>622</v>
      </c>
      <c r="D123" s="686">
        <v>2.1</v>
      </c>
      <c r="E123" s="1678"/>
      <c r="F123" s="595"/>
      <c r="G123" s="595"/>
      <c r="H123" s="595"/>
      <c r="I123" s="595"/>
      <c r="J123" s="595"/>
      <c r="K123" s="595"/>
      <c r="L123" s="595"/>
      <c r="M123" s="595"/>
      <c r="N123" s="595"/>
      <c r="O123" s="595"/>
      <c r="P123" s="595"/>
      <c r="Q123" s="595"/>
      <c r="R123" s="595"/>
      <c r="S123" s="595"/>
      <c r="T123" s="595"/>
      <c r="U123" s="595"/>
      <c r="V123" s="595"/>
      <c r="W123" s="595"/>
      <c r="X123" s="595"/>
      <c r="Y123" s="595"/>
      <c r="Z123" s="595"/>
    </row>
    <row r="124" spans="1:26" ht="19.5" customHeight="1">
      <c r="A124" s="595"/>
      <c r="B124" s="1532"/>
      <c r="C124" s="686" t="s">
        <v>623</v>
      </c>
      <c r="D124" s="686">
        <v>2.5</v>
      </c>
      <c r="E124" s="1532"/>
      <c r="F124" s="595"/>
      <c r="G124" s="595"/>
      <c r="H124" s="595"/>
      <c r="I124" s="595"/>
      <c r="J124" s="595"/>
      <c r="K124" s="595"/>
      <c r="L124" s="595"/>
      <c r="M124" s="595"/>
      <c r="N124" s="595"/>
      <c r="O124" s="595"/>
      <c r="P124" s="595"/>
      <c r="Q124" s="595"/>
      <c r="R124" s="595"/>
      <c r="S124" s="595"/>
      <c r="T124" s="595"/>
      <c r="U124" s="595"/>
      <c r="V124" s="595"/>
      <c r="W124" s="595"/>
      <c r="X124" s="595"/>
      <c r="Y124" s="595"/>
      <c r="Z124" s="595"/>
    </row>
    <row r="125" spans="1:26" ht="19.5" customHeight="1">
      <c r="A125" s="595"/>
      <c r="B125" s="1532"/>
      <c r="C125" s="686" t="s">
        <v>624</v>
      </c>
      <c r="D125" s="686">
        <v>1.3</v>
      </c>
      <c r="E125" s="1532"/>
      <c r="F125" s="595"/>
      <c r="G125" s="595"/>
      <c r="H125" s="595"/>
      <c r="I125" s="595"/>
      <c r="J125" s="595"/>
      <c r="K125" s="595"/>
      <c r="L125" s="595"/>
      <c r="M125" s="595"/>
      <c r="N125" s="595"/>
      <c r="O125" s="595"/>
      <c r="P125" s="595"/>
      <c r="Q125" s="595"/>
      <c r="R125" s="595"/>
      <c r="S125" s="595"/>
      <c r="T125" s="595"/>
      <c r="U125" s="595"/>
      <c r="V125" s="595"/>
      <c r="W125" s="595"/>
      <c r="X125" s="595"/>
      <c r="Y125" s="595"/>
      <c r="Z125" s="595"/>
    </row>
    <row r="126" spans="1:26" ht="19.5" customHeight="1">
      <c r="A126" s="595"/>
      <c r="B126" s="1532"/>
      <c r="C126" s="686" t="s">
        <v>625</v>
      </c>
      <c r="D126" s="686">
        <v>2.1</v>
      </c>
      <c r="E126" s="1532"/>
      <c r="F126" s="595"/>
      <c r="G126" s="595"/>
      <c r="H126" s="595"/>
      <c r="I126" s="595"/>
      <c r="J126" s="595"/>
      <c r="K126" s="595"/>
      <c r="L126" s="595"/>
      <c r="M126" s="595"/>
      <c r="N126" s="595"/>
      <c r="O126" s="595"/>
      <c r="P126" s="595"/>
      <c r="Q126" s="595"/>
      <c r="R126" s="595"/>
      <c r="S126" s="595"/>
      <c r="T126" s="595"/>
      <c r="U126" s="595"/>
      <c r="V126" s="595"/>
      <c r="W126" s="595"/>
      <c r="X126" s="595"/>
      <c r="Y126" s="595"/>
      <c r="Z126" s="595"/>
    </row>
    <row r="127" spans="1:26" ht="19.5" customHeight="1">
      <c r="A127" s="595"/>
      <c r="B127" s="1532"/>
      <c r="C127" s="686" t="s">
        <v>626</v>
      </c>
      <c r="D127" s="686">
        <v>1</v>
      </c>
      <c r="E127" s="1532"/>
      <c r="F127" s="595"/>
      <c r="G127" s="595"/>
      <c r="H127" s="595"/>
      <c r="I127" s="595"/>
      <c r="J127" s="595"/>
      <c r="K127" s="595"/>
      <c r="L127" s="595"/>
      <c r="M127" s="595"/>
      <c r="N127" s="595"/>
      <c r="O127" s="595"/>
      <c r="P127" s="595"/>
      <c r="Q127" s="595"/>
      <c r="R127" s="595"/>
      <c r="S127" s="595"/>
      <c r="T127" s="595"/>
      <c r="U127" s="595"/>
      <c r="V127" s="595"/>
      <c r="W127" s="595"/>
      <c r="X127" s="595"/>
      <c r="Y127" s="595"/>
      <c r="Z127" s="595"/>
    </row>
    <row r="128" spans="1:26" ht="19.5" customHeight="1">
      <c r="A128" s="595"/>
      <c r="B128" s="1532"/>
      <c r="C128" s="686" t="s">
        <v>627</v>
      </c>
      <c r="D128" s="686">
        <v>0.7</v>
      </c>
      <c r="E128" s="1532"/>
      <c r="F128" s="595"/>
      <c r="G128" s="595"/>
      <c r="H128" s="595"/>
      <c r="I128" s="595"/>
      <c r="J128" s="595"/>
      <c r="K128" s="595"/>
      <c r="L128" s="595"/>
      <c r="M128" s="595"/>
      <c r="N128" s="595"/>
      <c r="O128" s="595"/>
      <c r="P128" s="595"/>
      <c r="Q128" s="595"/>
      <c r="R128" s="595"/>
      <c r="S128" s="595"/>
      <c r="T128" s="595"/>
      <c r="U128" s="595"/>
      <c r="V128" s="595"/>
      <c r="W128" s="595"/>
      <c r="X128" s="595"/>
      <c r="Y128" s="595"/>
      <c r="Z128" s="595"/>
    </row>
    <row r="129" spans="1:26" ht="19.5" customHeight="1">
      <c r="A129" s="595"/>
      <c r="B129" s="1532"/>
      <c r="C129" s="686" t="s">
        <v>628</v>
      </c>
      <c r="D129" s="686">
        <v>0.5</v>
      </c>
      <c r="E129" s="1532"/>
      <c r="F129" s="595"/>
      <c r="G129" s="595"/>
      <c r="H129" s="595"/>
      <c r="I129" s="595"/>
      <c r="J129" s="595"/>
      <c r="K129" s="595"/>
      <c r="L129" s="595"/>
      <c r="M129" s="595"/>
      <c r="N129" s="595"/>
      <c r="O129" s="595"/>
      <c r="P129" s="595"/>
      <c r="Q129" s="595"/>
      <c r="R129" s="595"/>
      <c r="S129" s="595"/>
      <c r="T129" s="595"/>
      <c r="U129" s="595"/>
      <c r="V129" s="595"/>
      <c r="W129" s="595"/>
      <c r="X129" s="595"/>
      <c r="Y129" s="595"/>
      <c r="Z129" s="595"/>
    </row>
    <row r="130" spans="1:26" ht="19.5" customHeight="1">
      <c r="A130" s="595"/>
      <c r="B130" s="1532"/>
      <c r="C130" s="686" t="s">
        <v>629</v>
      </c>
      <c r="D130" s="686">
        <v>0.5</v>
      </c>
      <c r="E130" s="1532"/>
      <c r="F130" s="595"/>
      <c r="G130" s="595"/>
      <c r="H130" s="595"/>
      <c r="I130" s="595"/>
      <c r="J130" s="595"/>
      <c r="K130" s="595"/>
      <c r="L130" s="595"/>
      <c r="M130" s="595"/>
      <c r="N130" s="595"/>
      <c r="O130" s="595"/>
      <c r="P130" s="595"/>
      <c r="Q130" s="595"/>
      <c r="R130" s="595"/>
      <c r="S130" s="595"/>
      <c r="T130" s="595"/>
      <c r="U130" s="595"/>
      <c r="V130" s="595"/>
      <c r="W130" s="595"/>
      <c r="X130" s="595"/>
      <c r="Y130" s="595"/>
      <c r="Z130" s="595"/>
    </row>
    <row r="131" spans="1:26" ht="19.5" customHeight="1">
      <c r="A131" s="595"/>
      <c r="B131" s="1532"/>
      <c r="C131" s="686" t="s">
        <v>630</v>
      </c>
      <c r="D131" s="686">
        <v>0.4</v>
      </c>
      <c r="E131" s="1532"/>
      <c r="F131" s="595"/>
      <c r="G131" s="595"/>
      <c r="H131" s="595"/>
      <c r="I131" s="595"/>
      <c r="J131" s="595"/>
      <c r="K131" s="595"/>
      <c r="L131" s="595"/>
      <c r="M131" s="595"/>
      <c r="N131" s="595"/>
      <c r="O131" s="595"/>
      <c r="P131" s="595"/>
      <c r="Q131" s="595"/>
      <c r="R131" s="595"/>
      <c r="S131" s="595"/>
      <c r="T131" s="595"/>
      <c r="U131" s="595"/>
      <c r="V131" s="595"/>
      <c r="W131" s="595"/>
      <c r="X131" s="595"/>
      <c r="Y131" s="595"/>
      <c r="Z131" s="595"/>
    </row>
    <row r="132" spans="1:26" ht="19.5" customHeight="1">
      <c r="A132" s="595"/>
      <c r="B132" s="1532"/>
      <c r="C132" s="686" t="s">
        <v>631</v>
      </c>
      <c r="D132" s="686">
        <v>0.7</v>
      </c>
      <c r="E132" s="1532"/>
      <c r="F132" s="595"/>
      <c r="G132" s="595"/>
      <c r="H132" s="595"/>
      <c r="I132" s="595"/>
      <c r="J132" s="595"/>
      <c r="K132" s="595"/>
      <c r="L132" s="595"/>
      <c r="M132" s="595"/>
      <c r="N132" s="595"/>
      <c r="O132" s="595"/>
      <c r="P132" s="595"/>
      <c r="Q132" s="595"/>
      <c r="R132" s="595"/>
      <c r="S132" s="595"/>
      <c r="T132" s="595"/>
      <c r="U132" s="595"/>
      <c r="V132" s="595"/>
      <c r="W132" s="595"/>
      <c r="X132" s="595"/>
      <c r="Y132" s="595"/>
      <c r="Z132" s="595"/>
    </row>
    <row r="133" spans="1:26" ht="19.5" customHeight="1">
      <c r="A133" s="595"/>
      <c r="B133" s="1532"/>
      <c r="C133" s="686" t="s">
        <v>632</v>
      </c>
      <c r="D133" s="686">
        <v>0.3</v>
      </c>
      <c r="E133" s="1532"/>
      <c r="F133" s="595"/>
      <c r="G133" s="595"/>
      <c r="H133" s="595"/>
      <c r="I133" s="595"/>
      <c r="J133" s="595"/>
      <c r="K133" s="595"/>
      <c r="L133" s="595"/>
      <c r="M133" s="595"/>
      <c r="N133" s="595"/>
      <c r="O133" s="595"/>
      <c r="P133" s="595"/>
      <c r="Q133" s="595"/>
      <c r="R133" s="595"/>
      <c r="S133" s="595"/>
      <c r="T133" s="595"/>
      <c r="U133" s="595"/>
      <c r="V133" s="595"/>
      <c r="W133" s="595"/>
      <c r="X133" s="595"/>
      <c r="Y133" s="595"/>
      <c r="Z133" s="595"/>
    </row>
    <row r="134" spans="1:26" ht="19.5" customHeight="1">
      <c r="A134" s="595"/>
      <c r="B134" s="1532"/>
      <c r="C134" s="686" t="s">
        <v>633</v>
      </c>
      <c r="D134" s="686">
        <v>0.3</v>
      </c>
      <c r="E134" s="1532"/>
      <c r="F134" s="595"/>
      <c r="G134" s="595"/>
      <c r="H134" s="595"/>
      <c r="I134" s="595"/>
      <c r="J134" s="595"/>
      <c r="K134" s="595"/>
      <c r="L134" s="595"/>
      <c r="M134" s="595"/>
      <c r="N134" s="595"/>
      <c r="O134" s="595"/>
      <c r="P134" s="595"/>
      <c r="Q134" s="595"/>
      <c r="R134" s="595"/>
      <c r="S134" s="595"/>
      <c r="T134" s="595"/>
      <c r="U134" s="595"/>
      <c r="V134" s="595"/>
      <c r="W134" s="595"/>
      <c r="X134" s="595"/>
      <c r="Y134" s="595"/>
      <c r="Z134" s="595"/>
    </row>
    <row r="135" spans="1:26" ht="19.5" customHeight="1">
      <c r="A135" s="595"/>
      <c r="B135" s="1532"/>
      <c r="C135" s="686" t="s">
        <v>634</v>
      </c>
      <c r="D135" s="686">
        <v>0.3</v>
      </c>
      <c r="E135" s="1532"/>
      <c r="F135" s="595"/>
      <c r="G135" s="595"/>
      <c r="H135" s="595"/>
      <c r="I135" s="595"/>
      <c r="J135" s="595"/>
      <c r="K135" s="595"/>
      <c r="L135" s="595"/>
      <c r="M135" s="595"/>
      <c r="N135" s="595"/>
      <c r="O135" s="595"/>
      <c r="P135" s="595"/>
      <c r="Q135" s="595"/>
      <c r="R135" s="595"/>
      <c r="S135" s="595"/>
      <c r="T135" s="595"/>
      <c r="U135" s="595"/>
      <c r="V135" s="595"/>
      <c r="W135" s="595"/>
      <c r="X135" s="595"/>
      <c r="Y135" s="595"/>
      <c r="Z135" s="595"/>
    </row>
    <row r="136" spans="1:26" ht="19.5" customHeight="1">
      <c r="A136" s="595"/>
      <c r="B136" s="1532"/>
      <c r="C136" s="686" t="s">
        <v>635</v>
      </c>
      <c r="D136" s="686">
        <v>0.4</v>
      </c>
      <c r="E136" s="1532"/>
      <c r="F136" s="595"/>
      <c r="G136" s="595"/>
      <c r="H136" s="595"/>
      <c r="I136" s="595"/>
      <c r="J136" s="595"/>
      <c r="K136" s="595"/>
      <c r="L136" s="595"/>
      <c r="M136" s="595"/>
      <c r="N136" s="595"/>
      <c r="O136" s="595"/>
      <c r="P136" s="595"/>
      <c r="Q136" s="595"/>
      <c r="R136" s="595"/>
      <c r="S136" s="595"/>
      <c r="T136" s="595"/>
      <c r="U136" s="595"/>
      <c r="V136" s="595"/>
      <c r="W136" s="595"/>
      <c r="X136" s="595"/>
      <c r="Y136" s="595"/>
      <c r="Z136" s="595"/>
    </row>
    <row r="137" spans="1:26" ht="19.5" customHeight="1">
      <c r="A137" s="595"/>
      <c r="B137" s="1532"/>
      <c r="C137" s="686" t="s">
        <v>636</v>
      </c>
      <c r="D137" s="686">
        <v>0.4</v>
      </c>
      <c r="E137" s="1532"/>
      <c r="F137" s="595"/>
      <c r="G137" s="595"/>
      <c r="H137" s="595"/>
      <c r="I137" s="595"/>
      <c r="J137" s="595"/>
      <c r="K137" s="595"/>
      <c r="L137" s="595"/>
      <c r="M137" s="595"/>
      <c r="N137" s="595"/>
      <c r="O137" s="595"/>
      <c r="P137" s="595"/>
      <c r="Q137" s="595"/>
      <c r="R137" s="595"/>
      <c r="S137" s="595"/>
      <c r="T137" s="595"/>
      <c r="U137" s="595"/>
      <c r="V137" s="595"/>
      <c r="W137" s="595"/>
      <c r="X137" s="595"/>
      <c r="Y137" s="595"/>
      <c r="Z137" s="595"/>
    </row>
    <row r="138" spans="1:26" ht="19.5" customHeight="1">
      <c r="A138" s="595"/>
      <c r="B138" s="1532"/>
      <c r="C138" s="686" t="s">
        <v>637</v>
      </c>
      <c r="D138" s="686">
        <v>0.3</v>
      </c>
      <c r="E138" s="1532"/>
      <c r="F138" s="595"/>
      <c r="G138" s="595"/>
      <c r="H138" s="595"/>
      <c r="I138" s="595"/>
      <c r="J138" s="595"/>
      <c r="K138" s="595"/>
      <c r="L138" s="595"/>
      <c r="M138" s="595"/>
      <c r="N138" s="595"/>
      <c r="O138" s="595"/>
      <c r="P138" s="595"/>
      <c r="Q138" s="595"/>
      <c r="R138" s="595"/>
      <c r="S138" s="595"/>
      <c r="T138" s="595"/>
      <c r="U138" s="595"/>
      <c r="V138" s="595"/>
      <c r="W138" s="595"/>
      <c r="X138" s="595"/>
      <c r="Y138" s="595"/>
      <c r="Z138" s="595"/>
    </row>
    <row r="139" spans="1:26" ht="19.5" customHeight="1">
      <c r="A139" s="595"/>
      <c r="B139" s="1532"/>
      <c r="C139" s="686" t="s">
        <v>638</v>
      </c>
      <c r="D139" s="686">
        <v>0.4</v>
      </c>
      <c r="E139" s="1532"/>
      <c r="F139" s="595"/>
      <c r="G139" s="595"/>
      <c r="H139" s="595"/>
      <c r="I139" s="595"/>
      <c r="J139" s="595"/>
      <c r="K139" s="595"/>
      <c r="L139" s="595"/>
      <c r="M139" s="595"/>
      <c r="N139" s="595"/>
      <c r="O139" s="595"/>
      <c r="P139" s="595"/>
      <c r="Q139" s="595"/>
      <c r="R139" s="595"/>
      <c r="S139" s="595"/>
      <c r="T139" s="595"/>
      <c r="U139" s="595"/>
      <c r="V139" s="595"/>
      <c r="W139" s="595"/>
      <c r="X139" s="595"/>
      <c r="Y139" s="595"/>
      <c r="Z139" s="595"/>
    </row>
    <row r="140" spans="1:26" ht="19.5" customHeight="1">
      <c r="A140" s="595"/>
      <c r="B140" s="1532"/>
      <c r="C140" s="686" t="s">
        <v>639</v>
      </c>
      <c r="D140" s="686">
        <v>0.3</v>
      </c>
      <c r="E140" s="1532"/>
      <c r="F140" s="595"/>
      <c r="G140" s="595"/>
      <c r="H140" s="595"/>
      <c r="I140" s="595"/>
      <c r="J140" s="595"/>
      <c r="K140" s="595"/>
      <c r="L140" s="595"/>
      <c r="M140" s="595"/>
      <c r="N140" s="595"/>
      <c r="O140" s="595"/>
      <c r="P140" s="595"/>
      <c r="Q140" s="595"/>
      <c r="R140" s="595"/>
      <c r="S140" s="595"/>
      <c r="T140" s="595"/>
      <c r="U140" s="595"/>
      <c r="V140" s="595"/>
      <c r="W140" s="595"/>
      <c r="X140" s="595"/>
      <c r="Y140" s="595"/>
      <c r="Z140" s="595"/>
    </row>
    <row r="141" spans="1:26" ht="19.5" customHeight="1">
      <c r="A141" s="595"/>
      <c r="B141" s="1532"/>
      <c r="C141" s="686" t="s">
        <v>640</v>
      </c>
      <c r="D141" s="686">
        <v>0.4</v>
      </c>
      <c r="E141" s="1532"/>
      <c r="F141" s="595"/>
      <c r="G141" s="595"/>
      <c r="H141" s="595"/>
      <c r="I141" s="595"/>
      <c r="J141" s="595"/>
      <c r="K141" s="595"/>
      <c r="L141" s="595"/>
      <c r="M141" s="595"/>
      <c r="N141" s="595"/>
      <c r="O141" s="595"/>
      <c r="P141" s="595"/>
      <c r="Q141" s="595"/>
      <c r="R141" s="595"/>
      <c r="S141" s="595"/>
      <c r="T141" s="595"/>
      <c r="U141" s="595"/>
      <c r="V141" s="595"/>
      <c r="W141" s="595"/>
      <c r="X141" s="595"/>
      <c r="Y141" s="595"/>
      <c r="Z141" s="595"/>
    </row>
    <row r="142" spans="1:26" ht="19.5" customHeight="1">
      <c r="A142" s="595"/>
      <c r="B142" s="1532"/>
      <c r="C142" s="686" t="s">
        <v>641</v>
      </c>
      <c r="D142" s="686">
        <v>0.4</v>
      </c>
      <c r="E142" s="1532"/>
      <c r="F142" s="595"/>
      <c r="G142" s="595"/>
      <c r="H142" s="595"/>
      <c r="I142" s="595"/>
      <c r="J142" s="595"/>
      <c r="K142" s="595"/>
      <c r="L142" s="595"/>
      <c r="M142" s="595"/>
      <c r="N142" s="595"/>
      <c r="O142" s="595"/>
      <c r="P142" s="595"/>
      <c r="Q142" s="595"/>
      <c r="R142" s="595"/>
      <c r="S142" s="595"/>
      <c r="T142" s="595"/>
      <c r="U142" s="595"/>
      <c r="V142" s="595"/>
      <c r="W142" s="595"/>
      <c r="X142" s="595"/>
      <c r="Y142" s="595"/>
      <c r="Z142" s="595"/>
    </row>
    <row r="143" spans="1:26" ht="19.5" customHeight="1">
      <c r="A143" s="595"/>
      <c r="B143" s="1532"/>
      <c r="C143" s="686" t="s">
        <v>642</v>
      </c>
      <c r="D143" s="686">
        <v>0.4</v>
      </c>
      <c r="E143" s="1532"/>
      <c r="F143" s="595"/>
      <c r="G143" s="595"/>
      <c r="H143" s="595"/>
      <c r="I143" s="595"/>
      <c r="J143" s="595"/>
      <c r="K143" s="595"/>
      <c r="L143" s="595"/>
      <c r="M143" s="595"/>
      <c r="N143" s="595"/>
      <c r="O143" s="595"/>
      <c r="P143" s="595"/>
      <c r="Q143" s="595"/>
      <c r="R143" s="595"/>
      <c r="S143" s="595"/>
      <c r="T143" s="595"/>
      <c r="U143" s="595"/>
      <c r="V143" s="595"/>
      <c r="W143" s="595"/>
      <c r="X143" s="595"/>
      <c r="Y143" s="595"/>
      <c r="Z143" s="595"/>
    </row>
    <row r="144" spans="1:26" ht="19.5" customHeight="1">
      <c r="A144" s="595"/>
      <c r="B144" s="1532"/>
      <c r="C144" s="686" t="s">
        <v>643</v>
      </c>
      <c r="D144" s="686">
        <v>0.3</v>
      </c>
      <c r="E144" s="1532"/>
      <c r="F144" s="595"/>
      <c r="G144" s="595"/>
      <c r="H144" s="595"/>
      <c r="I144" s="595"/>
      <c r="J144" s="595"/>
      <c r="K144" s="595"/>
      <c r="L144" s="595"/>
      <c r="M144" s="595"/>
      <c r="N144" s="595"/>
      <c r="O144" s="595"/>
      <c r="P144" s="595"/>
      <c r="Q144" s="595"/>
      <c r="R144" s="595"/>
      <c r="S144" s="595"/>
      <c r="T144" s="595"/>
      <c r="U144" s="595"/>
      <c r="V144" s="595"/>
      <c r="W144" s="595"/>
      <c r="X144" s="595"/>
      <c r="Y144" s="595"/>
      <c r="Z144" s="595"/>
    </row>
    <row r="145" spans="1:26" ht="19.5" customHeight="1">
      <c r="A145" s="595"/>
      <c r="B145" s="1508"/>
      <c r="C145" s="686" t="s">
        <v>644</v>
      </c>
      <c r="D145" s="686">
        <v>0.3</v>
      </c>
      <c r="E145" s="1508"/>
      <c r="F145" s="595"/>
      <c r="G145" s="595"/>
      <c r="H145" s="595"/>
      <c r="I145" s="595"/>
      <c r="J145" s="595"/>
      <c r="K145" s="595"/>
      <c r="L145" s="595"/>
      <c r="M145" s="595"/>
      <c r="N145" s="595"/>
      <c r="O145" s="595"/>
      <c r="P145" s="595"/>
      <c r="Q145" s="595"/>
      <c r="R145" s="595"/>
      <c r="S145" s="595"/>
      <c r="T145" s="595"/>
      <c r="U145" s="595"/>
      <c r="V145" s="595"/>
      <c r="W145" s="595"/>
      <c r="X145" s="595"/>
      <c r="Y145" s="595"/>
      <c r="Z145" s="595"/>
    </row>
    <row r="146" spans="1:26" ht="19.5" customHeight="1">
      <c r="A146" s="595"/>
      <c r="B146" s="595"/>
      <c r="C146" s="596"/>
      <c r="D146" s="595"/>
      <c r="E146" s="595"/>
      <c r="F146" s="595"/>
      <c r="G146" s="595"/>
      <c r="H146" s="595"/>
      <c r="I146" s="595"/>
      <c r="J146" s="595"/>
      <c r="K146" s="595"/>
      <c r="L146" s="595"/>
      <c r="M146" s="595"/>
      <c r="N146" s="595"/>
      <c r="O146" s="595"/>
      <c r="P146" s="595"/>
      <c r="Q146" s="595"/>
      <c r="R146" s="595"/>
      <c r="S146" s="595"/>
      <c r="T146" s="595"/>
      <c r="U146" s="595"/>
      <c r="V146" s="595"/>
      <c r="W146" s="595"/>
      <c r="X146" s="595"/>
      <c r="Y146" s="595"/>
      <c r="Z146" s="595"/>
    </row>
    <row r="147" spans="1:26" ht="19.5" customHeight="1">
      <c r="A147" s="595"/>
      <c r="B147" s="595"/>
      <c r="C147" s="596"/>
      <c r="D147" s="595"/>
      <c r="E147" s="595"/>
      <c r="F147" s="595"/>
      <c r="G147" s="595"/>
      <c r="H147" s="595"/>
      <c r="I147" s="595"/>
      <c r="J147" s="595"/>
      <c r="K147" s="595"/>
      <c r="L147" s="595"/>
      <c r="M147" s="595"/>
      <c r="N147" s="595"/>
      <c r="O147" s="595"/>
      <c r="P147" s="595"/>
      <c r="Q147" s="595"/>
      <c r="R147" s="595"/>
      <c r="S147" s="595"/>
      <c r="T147" s="595"/>
      <c r="U147" s="595"/>
      <c r="V147" s="595"/>
      <c r="W147" s="595"/>
      <c r="X147" s="595"/>
      <c r="Y147" s="595"/>
      <c r="Z147" s="595"/>
    </row>
    <row r="148" spans="1:26" ht="19.5" customHeight="1">
      <c r="A148" s="595"/>
      <c r="B148" s="595"/>
      <c r="C148" s="596"/>
      <c r="D148" s="595"/>
      <c r="E148" s="595"/>
      <c r="F148" s="595"/>
      <c r="G148" s="595"/>
      <c r="H148" s="595"/>
      <c r="I148" s="595"/>
      <c r="J148" s="595"/>
      <c r="K148" s="595"/>
      <c r="L148" s="595"/>
      <c r="M148" s="595"/>
      <c r="N148" s="595"/>
      <c r="O148" s="595"/>
      <c r="P148" s="595"/>
      <c r="Q148" s="595"/>
      <c r="R148" s="595"/>
      <c r="S148" s="595"/>
      <c r="T148" s="595"/>
      <c r="U148" s="595"/>
      <c r="V148" s="595"/>
      <c r="W148" s="595"/>
      <c r="X148" s="595"/>
      <c r="Y148" s="595"/>
      <c r="Z148" s="595"/>
    </row>
    <row r="149" spans="1:26" ht="19.5" customHeight="1">
      <c r="A149" s="595"/>
      <c r="B149" s="595"/>
      <c r="C149" s="596"/>
      <c r="D149" s="595"/>
      <c r="E149" s="595"/>
      <c r="F149" s="595"/>
      <c r="G149" s="595"/>
      <c r="H149" s="595"/>
      <c r="I149" s="595"/>
      <c r="J149" s="595"/>
      <c r="K149" s="595"/>
      <c r="L149" s="595"/>
      <c r="M149" s="595"/>
      <c r="N149" s="595"/>
      <c r="O149" s="595"/>
      <c r="P149" s="595"/>
      <c r="Q149" s="595"/>
      <c r="R149" s="595"/>
      <c r="S149" s="595"/>
      <c r="T149" s="595"/>
      <c r="U149" s="595"/>
      <c r="V149" s="595"/>
      <c r="W149" s="595"/>
      <c r="X149" s="595"/>
      <c r="Y149" s="595"/>
      <c r="Z149" s="595"/>
    </row>
    <row r="150" spans="1:26" ht="19.5" customHeight="1">
      <c r="A150" s="595"/>
      <c r="B150" s="595"/>
      <c r="C150" s="596"/>
      <c r="D150" s="595"/>
      <c r="E150" s="595"/>
      <c r="F150" s="595"/>
      <c r="G150" s="595"/>
      <c r="H150" s="595"/>
      <c r="I150" s="595"/>
      <c r="J150" s="595"/>
      <c r="K150" s="595"/>
      <c r="L150" s="595"/>
      <c r="M150" s="595"/>
      <c r="N150" s="595"/>
      <c r="O150" s="595"/>
      <c r="P150" s="595"/>
      <c r="Q150" s="595"/>
      <c r="R150" s="595"/>
      <c r="S150" s="595"/>
      <c r="T150" s="595"/>
      <c r="U150" s="595"/>
      <c r="V150" s="595"/>
      <c r="W150" s="595"/>
      <c r="X150" s="595"/>
      <c r="Y150" s="595"/>
      <c r="Z150" s="595"/>
    </row>
    <row r="151" spans="1:26" ht="19.5" customHeight="1">
      <c r="A151" s="595"/>
      <c r="B151" s="595"/>
      <c r="C151" s="596"/>
      <c r="D151" s="595"/>
      <c r="E151" s="595"/>
      <c r="F151" s="595"/>
      <c r="G151" s="595"/>
      <c r="H151" s="595"/>
      <c r="I151" s="595"/>
      <c r="J151" s="595"/>
      <c r="K151" s="595"/>
      <c r="L151" s="595"/>
      <c r="M151" s="595"/>
      <c r="N151" s="595"/>
      <c r="O151" s="595"/>
      <c r="P151" s="595"/>
      <c r="Q151" s="595"/>
      <c r="R151" s="595"/>
      <c r="S151" s="595"/>
      <c r="T151" s="595"/>
      <c r="U151" s="595"/>
      <c r="V151" s="595"/>
      <c r="W151" s="595"/>
      <c r="X151" s="595"/>
      <c r="Y151" s="595"/>
      <c r="Z151" s="595"/>
    </row>
    <row r="152" spans="1:26" ht="19.5" customHeight="1">
      <c r="A152" s="595"/>
      <c r="B152" s="595"/>
      <c r="C152" s="596"/>
      <c r="D152" s="595"/>
      <c r="E152" s="595"/>
      <c r="F152" s="595"/>
      <c r="G152" s="595"/>
      <c r="H152" s="595"/>
      <c r="I152" s="595"/>
      <c r="J152" s="595"/>
      <c r="K152" s="595"/>
      <c r="L152" s="595"/>
      <c r="M152" s="595"/>
      <c r="N152" s="595"/>
      <c r="O152" s="595"/>
      <c r="P152" s="595"/>
      <c r="Q152" s="595"/>
      <c r="R152" s="595"/>
      <c r="S152" s="595"/>
      <c r="T152" s="595"/>
      <c r="U152" s="595"/>
      <c r="V152" s="595"/>
      <c r="W152" s="595"/>
      <c r="X152" s="595"/>
      <c r="Y152" s="595"/>
      <c r="Z152" s="595"/>
    </row>
    <row r="153" spans="1:26" ht="19.5" customHeight="1">
      <c r="A153" s="595"/>
      <c r="B153" s="595"/>
      <c r="C153" s="596"/>
      <c r="D153" s="595"/>
      <c r="E153" s="595"/>
      <c r="F153" s="595"/>
      <c r="G153" s="595"/>
      <c r="H153" s="595"/>
      <c r="I153" s="595"/>
      <c r="J153" s="595"/>
      <c r="K153" s="595"/>
      <c r="L153" s="595"/>
      <c r="M153" s="595"/>
      <c r="N153" s="595"/>
      <c r="O153" s="595"/>
      <c r="P153" s="595"/>
      <c r="Q153" s="595"/>
      <c r="R153" s="595"/>
      <c r="S153" s="595"/>
      <c r="T153" s="595"/>
      <c r="U153" s="595"/>
      <c r="V153" s="595"/>
      <c r="W153" s="595"/>
      <c r="X153" s="595"/>
      <c r="Y153" s="595"/>
      <c r="Z153" s="595"/>
    </row>
    <row r="154" spans="1:26" ht="19.5" customHeight="1">
      <c r="A154" s="595"/>
      <c r="B154" s="595"/>
      <c r="C154" s="596"/>
      <c r="D154" s="595"/>
      <c r="E154" s="595"/>
      <c r="F154" s="595"/>
      <c r="G154" s="595"/>
      <c r="H154" s="595"/>
      <c r="I154" s="595"/>
      <c r="J154" s="595"/>
      <c r="K154" s="595"/>
      <c r="L154" s="595"/>
      <c r="M154" s="595"/>
      <c r="N154" s="595"/>
      <c r="O154" s="595"/>
      <c r="P154" s="595"/>
      <c r="Q154" s="595"/>
      <c r="R154" s="595"/>
      <c r="S154" s="595"/>
      <c r="T154" s="595"/>
      <c r="U154" s="595"/>
      <c r="V154" s="595"/>
      <c r="W154" s="595"/>
      <c r="X154" s="595"/>
      <c r="Y154" s="595"/>
      <c r="Z154" s="595"/>
    </row>
    <row r="155" spans="1:26" ht="19.5" customHeight="1">
      <c r="A155" s="595"/>
      <c r="B155" s="595"/>
      <c r="C155" s="596"/>
      <c r="D155" s="595"/>
      <c r="E155" s="595"/>
      <c r="F155" s="595"/>
      <c r="G155" s="595"/>
      <c r="H155" s="595"/>
      <c r="I155" s="595"/>
      <c r="J155" s="595"/>
      <c r="K155" s="595"/>
      <c r="L155" s="595"/>
      <c r="M155" s="595"/>
      <c r="N155" s="595"/>
      <c r="O155" s="595"/>
      <c r="P155" s="595"/>
      <c r="Q155" s="595"/>
      <c r="R155" s="595"/>
      <c r="S155" s="595"/>
      <c r="T155" s="595"/>
      <c r="U155" s="595"/>
      <c r="V155" s="595"/>
      <c r="W155" s="595"/>
      <c r="X155" s="595"/>
      <c r="Y155" s="595"/>
      <c r="Z155" s="595"/>
    </row>
    <row r="156" spans="1:26" ht="19.5" customHeight="1">
      <c r="A156" s="595"/>
      <c r="B156" s="595"/>
      <c r="C156" s="596"/>
      <c r="D156" s="595"/>
      <c r="E156" s="595"/>
      <c r="F156" s="595"/>
      <c r="G156" s="595"/>
      <c r="H156" s="595"/>
      <c r="I156" s="595"/>
      <c r="J156" s="595"/>
      <c r="K156" s="595"/>
      <c r="L156" s="595"/>
      <c r="M156" s="595"/>
      <c r="N156" s="595"/>
      <c r="O156" s="595"/>
      <c r="P156" s="595"/>
      <c r="Q156" s="595"/>
      <c r="R156" s="595"/>
      <c r="S156" s="595"/>
      <c r="T156" s="595"/>
      <c r="U156" s="595"/>
      <c r="V156" s="595"/>
      <c r="W156" s="595"/>
      <c r="X156" s="595"/>
      <c r="Y156" s="595"/>
      <c r="Z156" s="595"/>
    </row>
    <row r="157" spans="1:26" ht="19.5" customHeight="1">
      <c r="A157" s="595"/>
      <c r="B157" s="595"/>
      <c r="C157" s="596"/>
      <c r="D157" s="595"/>
      <c r="E157" s="595"/>
      <c r="F157" s="595"/>
      <c r="G157" s="595"/>
      <c r="H157" s="595"/>
      <c r="I157" s="595"/>
      <c r="J157" s="595"/>
      <c r="K157" s="595"/>
      <c r="L157" s="595"/>
      <c r="M157" s="595"/>
      <c r="N157" s="595"/>
      <c r="O157" s="595"/>
      <c r="P157" s="595"/>
      <c r="Q157" s="595"/>
      <c r="R157" s="595"/>
      <c r="S157" s="595"/>
      <c r="T157" s="595"/>
      <c r="U157" s="595"/>
      <c r="V157" s="595"/>
      <c r="W157" s="595"/>
      <c r="X157" s="595"/>
      <c r="Y157" s="595"/>
      <c r="Z157" s="595"/>
    </row>
    <row r="158" spans="1:26" ht="19.5" customHeight="1">
      <c r="A158" s="595"/>
      <c r="B158" s="595"/>
      <c r="C158" s="596"/>
      <c r="D158" s="595"/>
      <c r="E158" s="595"/>
      <c r="F158" s="595"/>
      <c r="G158" s="595"/>
      <c r="H158" s="595"/>
      <c r="I158" s="595"/>
      <c r="J158" s="595"/>
      <c r="K158" s="595"/>
      <c r="L158" s="595"/>
      <c r="M158" s="595"/>
      <c r="N158" s="595"/>
      <c r="O158" s="595"/>
      <c r="P158" s="595"/>
      <c r="Q158" s="595"/>
      <c r="R158" s="595"/>
      <c r="S158" s="595"/>
      <c r="T158" s="595"/>
      <c r="U158" s="595"/>
      <c r="V158" s="595"/>
      <c r="W158" s="595"/>
      <c r="X158" s="595"/>
      <c r="Y158" s="595"/>
      <c r="Z158" s="595"/>
    </row>
    <row r="159" spans="1:26" ht="19.5" customHeight="1">
      <c r="A159" s="595"/>
      <c r="B159" s="595"/>
      <c r="C159" s="596"/>
      <c r="D159" s="595"/>
      <c r="E159" s="595"/>
      <c r="F159" s="595"/>
      <c r="G159" s="595"/>
      <c r="H159" s="595"/>
      <c r="I159" s="595"/>
      <c r="J159" s="595"/>
      <c r="K159" s="595"/>
      <c r="L159" s="595"/>
      <c r="M159" s="595"/>
      <c r="N159" s="595"/>
      <c r="O159" s="595"/>
      <c r="P159" s="595"/>
      <c r="Q159" s="595"/>
      <c r="R159" s="595"/>
      <c r="S159" s="595"/>
      <c r="T159" s="595"/>
      <c r="U159" s="595"/>
      <c r="V159" s="595"/>
      <c r="W159" s="595"/>
      <c r="X159" s="595"/>
      <c r="Y159" s="595"/>
      <c r="Z159" s="595"/>
    </row>
    <row r="160" spans="1:26" ht="19.5" customHeight="1">
      <c r="A160" s="595"/>
      <c r="B160" s="595"/>
      <c r="C160" s="596"/>
      <c r="D160" s="595"/>
      <c r="E160" s="595"/>
      <c r="F160" s="595"/>
      <c r="G160" s="595"/>
      <c r="H160" s="595"/>
      <c r="I160" s="595"/>
      <c r="J160" s="595"/>
      <c r="K160" s="595"/>
      <c r="L160" s="595"/>
      <c r="M160" s="595"/>
      <c r="N160" s="595"/>
      <c r="O160" s="595"/>
      <c r="P160" s="595"/>
      <c r="Q160" s="595"/>
      <c r="R160" s="595"/>
      <c r="S160" s="595"/>
      <c r="T160" s="595"/>
      <c r="U160" s="595"/>
      <c r="V160" s="595"/>
      <c r="W160" s="595"/>
      <c r="X160" s="595"/>
      <c r="Y160" s="595"/>
      <c r="Z160" s="595"/>
    </row>
    <row r="161" spans="1:26" ht="19.5" customHeight="1">
      <c r="A161" s="595"/>
      <c r="B161" s="595"/>
      <c r="C161" s="596"/>
      <c r="D161" s="595"/>
      <c r="E161" s="595"/>
      <c r="F161" s="595"/>
      <c r="G161" s="595"/>
      <c r="H161" s="595"/>
      <c r="I161" s="595"/>
      <c r="J161" s="595"/>
      <c r="K161" s="595"/>
      <c r="L161" s="595"/>
      <c r="M161" s="595"/>
      <c r="N161" s="595"/>
      <c r="O161" s="595"/>
      <c r="P161" s="595"/>
      <c r="Q161" s="595"/>
      <c r="R161" s="595"/>
      <c r="S161" s="595"/>
      <c r="T161" s="595"/>
      <c r="U161" s="595"/>
      <c r="V161" s="595"/>
      <c r="W161" s="595"/>
      <c r="X161" s="595"/>
      <c r="Y161" s="595"/>
      <c r="Z161" s="595"/>
    </row>
    <row r="162" spans="1:26" ht="19.5" customHeight="1">
      <c r="A162" s="595"/>
      <c r="B162" s="595"/>
      <c r="C162" s="596"/>
      <c r="D162" s="595"/>
      <c r="E162" s="595"/>
      <c r="F162" s="595"/>
      <c r="G162" s="595"/>
      <c r="H162" s="595"/>
      <c r="I162" s="595"/>
      <c r="J162" s="595"/>
      <c r="K162" s="595"/>
      <c r="L162" s="595"/>
      <c r="M162" s="595"/>
      <c r="N162" s="595"/>
      <c r="O162" s="595"/>
      <c r="P162" s="595"/>
      <c r="Q162" s="595"/>
      <c r="R162" s="595"/>
      <c r="S162" s="595"/>
      <c r="T162" s="595"/>
      <c r="U162" s="595"/>
      <c r="V162" s="595"/>
      <c r="W162" s="595"/>
      <c r="X162" s="595"/>
      <c r="Y162" s="595"/>
      <c r="Z162" s="595"/>
    </row>
    <row r="163" spans="1:26" ht="19.5" customHeight="1">
      <c r="A163" s="595"/>
      <c r="B163" s="595"/>
      <c r="C163" s="596"/>
      <c r="D163" s="595"/>
      <c r="E163" s="595"/>
      <c r="F163" s="595"/>
      <c r="G163" s="595"/>
      <c r="H163" s="595"/>
      <c r="I163" s="595"/>
      <c r="J163" s="595"/>
      <c r="K163" s="595"/>
      <c r="L163" s="595"/>
      <c r="M163" s="595"/>
      <c r="N163" s="595"/>
      <c r="O163" s="595"/>
      <c r="P163" s="595"/>
      <c r="Q163" s="595"/>
      <c r="R163" s="595"/>
      <c r="S163" s="595"/>
      <c r="T163" s="595"/>
      <c r="U163" s="595"/>
      <c r="V163" s="595"/>
      <c r="W163" s="595"/>
      <c r="X163" s="595"/>
      <c r="Y163" s="595"/>
      <c r="Z163" s="595"/>
    </row>
    <row r="164" spans="1:26" ht="19.5" customHeight="1">
      <c r="A164" s="595"/>
      <c r="B164" s="595"/>
      <c r="C164" s="596"/>
      <c r="D164" s="595"/>
      <c r="E164" s="595"/>
      <c r="F164" s="595"/>
      <c r="G164" s="595"/>
      <c r="H164" s="595"/>
      <c r="I164" s="595"/>
      <c r="J164" s="595"/>
      <c r="K164" s="595"/>
      <c r="L164" s="595"/>
      <c r="M164" s="595"/>
      <c r="N164" s="595"/>
      <c r="O164" s="595"/>
      <c r="P164" s="595"/>
      <c r="Q164" s="595"/>
      <c r="R164" s="595"/>
      <c r="S164" s="595"/>
      <c r="T164" s="595"/>
      <c r="U164" s="595"/>
      <c r="V164" s="595"/>
      <c r="W164" s="595"/>
      <c r="X164" s="595"/>
      <c r="Y164" s="595"/>
      <c r="Z164" s="595"/>
    </row>
    <row r="165" spans="1:26" ht="19.5" customHeight="1">
      <c r="A165" s="595"/>
      <c r="B165" s="595"/>
      <c r="C165" s="596"/>
      <c r="D165" s="595"/>
      <c r="E165" s="595"/>
      <c r="F165" s="595"/>
      <c r="G165" s="595"/>
      <c r="H165" s="595"/>
      <c r="I165" s="595"/>
      <c r="J165" s="595"/>
      <c r="K165" s="595"/>
      <c r="L165" s="595"/>
      <c r="M165" s="595"/>
      <c r="N165" s="595"/>
      <c r="O165" s="595"/>
      <c r="P165" s="595"/>
      <c r="Q165" s="595"/>
      <c r="R165" s="595"/>
      <c r="S165" s="595"/>
      <c r="T165" s="595"/>
      <c r="U165" s="595"/>
      <c r="V165" s="595"/>
      <c r="W165" s="595"/>
      <c r="X165" s="595"/>
      <c r="Y165" s="595"/>
      <c r="Z165" s="595"/>
    </row>
    <row r="166" spans="1:26" ht="19.5" customHeight="1">
      <c r="A166" s="595"/>
      <c r="B166" s="595"/>
      <c r="C166" s="596"/>
      <c r="D166" s="595"/>
      <c r="E166" s="595"/>
      <c r="F166" s="595"/>
      <c r="G166" s="595"/>
      <c r="H166" s="595"/>
      <c r="I166" s="595"/>
      <c r="J166" s="595"/>
      <c r="K166" s="595"/>
      <c r="L166" s="595"/>
      <c r="M166" s="595"/>
      <c r="N166" s="595"/>
      <c r="O166" s="595"/>
      <c r="P166" s="595"/>
      <c r="Q166" s="595"/>
      <c r="R166" s="595"/>
      <c r="S166" s="595"/>
      <c r="T166" s="595"/>
      <c r="U166" s="595"/>
      <c r="V166" s="595"/>
      <c r="W166" s="595"/>
      <c r="X166" s="595"/>
      <c r="Y166" s="595"/>
      <c r="Z166" s="595"/>
    </row>
    <row r="167" spans="1:26" ht="19.5" customHeight="1">
      <c r="A167" s="595"/>
      <c r="B167" s="595"/>
      <c r="C167" s="596"/>
      <c r="D167" s="595"/>
      <c r="E167" s="595"/>
      <c r="F167" s="595"/>
      <c r="G167" s="595"/>
      <c r="H167" s="595"/>
      <c r="I167" s="595"/>
      <c r="J167" s="595"/>
      <c r="K167" s="595"/>
      <c r="L167" s="595"/>
      <c r="M167" s="595"/>
      <c r="N167" s="595"/>
      <c r="O167" s="595"/>
      <c r="P167" s="595"/>
      <c r="Q167" s="595"/>
      <c r="R167" s="595"/>
      <c r="S167" s="595"/>
      <c r="T167" s="595"/>
      <c r="U167" s="595"/>
      <c r="V167" s="595"/>
      <c r="W167" s="595"/>
      <c r="X167" s="595"/>
      <c r="Y167" s="595"/>
      <c r="Z167" s="595"/>
    </row>
    <row r="168" spans="1:26" ht="19.5" customHeight="1">
      <c r="A168" s="595"/>
      <c r="B168" s="595"/>
      <c r="C168" s="596"/>
      <c r="D168" s="595"/>
      <c r="E168" s="595"/>
      <c r="F168" s="595"/>
      <c r="G168" s="595"/>
      <c r="H168" s="595"/>
      <c r="I168" s="595"/>
      <c r="J168" s="595"/>
      <c r="K168" s="595"/>
      <c r="L168" s="595"/>
      <c r="M168" s="595"/>
      <c r="N168" s="595"/>
      <c r="O168" s="595"/>
      <c r="P168" s="595"/>
      <c r="Q168" s="595"/>
      <c r="R168" s="595"/>
      <c r="S168" s="595"/>
      <c r="T168" s="595"/>
      <c r="U168" s="595"/>
      <c r="V168" s="595"/>
      <c r="W168" s="595"/>
      <c r="X168" s="595"/>
      <c r="Y168" s="595"/>
      <c r="Z168" s="595"/>
    </row>
    <row r="169" spans="1:26" ht="19.5" customHeight="1">
      <c r="A169" s="595"/>
      <c r="B169" s="595"/>
      <c r="C169" s="596"/>
      <c r="D169" s="595"/>
      <c r="E169" s="595"/>
      <c r="F169" s="595"/>
      <c r="G169" s="595"/>
      <c r="H169" s="595"/>
      <c r="I169" s="595"/>
      <c r="J169" s="595"/>
      <c r="K169" s="595"/>
      <c r="L169" s="595"/>
      <c r="M169" s="595"/>
      <c r="N169" s="595"/>
      <c r="O169" s="595"/>
      <c r="P169" s="595"/>
      <c r="Q169" s="595"/>
      <c r="R169" s="595"/>
      <c r="S169" s="595"/>
      <c r="T169" s="595"/>
      <c r="U169" s="595"/>
      <c r="V169" s="595"/>
      <c r="W169" s="595"/>
      <c r="X169" s="595"/>
      <c r="Y169" s="595"/>
      <c r="Z169" s="595"/>
    </row>
    <row r="170" spans="1:26" ht="19.5" customHeight="1">
      <c r="A170" s="595"/>
      <c r="B170" s="595"/>
      <c r="C170" s="596"/>
      <c r="D170" s="595"/>
      <c r="E170" s="595"/>
      <c r="F170" s="595"/>
      <c r="G170" s="595"/>
      <c r="H170" s="595"/>
      <c r="I170" s="595"/>
      <c r="J170" s="595"/>
      <c r="K170" s="595"/>
      <c r="L170" s="595"/>
      <c r="M170" s="595"/>
      <c r="N170" s="595"/>
      <c r="O170" s="595"/>
      <c r="P170" s="595"/>
      <c r="Q170" s="595"/>
      <c r="R170" s="595"/>
      <c r="S170" s="595"/>
      <c r="T170" s="595"/>
      <c r="U170" s="595"/>
      <c r="V170" s="595"/>
      <c r="W170" s="595"/>
      <c r="X170" s="595"/>
      <c r="Y170" s="595"/>
      <c r="Z170" s="595"/>
    </row>
    <row r="171" spans="1:26" ht="19.5" customHeight="1">
      <c r="A171" s="595"/>
      <c r="B171" s="595"/>
      <c r="C171" s="596"/>
      <c r="D171" s="595"/>
      <c r="E171" s="595"/>
      <c r="F171" s="595"/>
      <c r="G171" s="595"/>
      <c r="H171" s="595"/>
      <c r="I171" s="595"/>
      <c r="J171" s="595"/>
      <c r="K171" s="595"/>
      <c r="L171" s="595"/>
      <c r="M171" s="595"/>
      <c r="N171" s="595"/>
      <c r="O171" s="595"/>
      <c r="P171" s="595"/>
      <c r="Q171" s="595"/>
      <c r="R171" s="595"/>
      <c r="S171" s="595"/>
      <c r="T171" s="595"/>
      <c r="U171" s="595"/>
      <c r="V171" s="595"/>
      <c r="W171" s="595"/>
      <c r="X171" s="595"/>
      <c r="Y171" s="595"/>
      <c r="Z171" s="595"/>
    </row>
    <row r="172" spans="1:26" ht="19.5" customHeight="1">
      <c r="A172" s="595"/>
      <c r="B172" s="595"/>
      <c r="C172" s="596"/>
      <c r="D172" s="595"/>
      <c r="E172" s="595"/>
      <c r="F172" s="595"/>
      <c r="G172" s="595"/>
      <c r="H172" s="595"/>
      <c r="I172" s="595"/>
      <c r="J172" s="595"/>
      <c r="K172" s="595"/>
      <c r="L172" s="595"/>
      <c r="M172" s="595"/>
      <c r="N172" s="595"/>
      <c r="O172" s="595"/>
      <c r="P172" s="595"/>
      <c r="Q172" s="595"/>
      <c r="R172" s="595"/>
      <c r="S172" s="595"/>
      <c r="T172" s="595"/>
      <c r="U172" s="595"/>
      <c r="V172" s="595"/>
      <c r="W172" s="595"/>
      <c r="X172" s="595"/>
      <c r="Y172" s="595"/>
      <c r="Z172" s="595"/>
    </row>
    <row r="173" spans="1:26" ht="19.5" customHeight="1">
      <c r="A173" s="595"/>
      <c r="B173" s="595"/>
      <c r="C173" s="596"/>
      <c r="D173" s="595"/>
      <c r="E173" s="595"/>
      <c r="F173" s="595"/>
      <c r="G173" s="595"/>
      <c r="H173" s="595"/>
      <c r="I173" s="595"/>
      <c r="J173" s="595"/>
      <c r="K173" s="595"/>
      <c r="L173" s="595"/>
      <c r="M173" s="595"/>
      <c r="N173" s="595"/>
      <c r="O173" s="595"/>
      <c r="P173" s="595"/>
      <c r="Q173" s="595"/>
      <c r="R173" s="595"/>
      <c r="S173" s="595"/>
      <c r="T173" s="595"/>
      <c r="U173" s="595"/>
      <c r="V173" s="595"/>
      <c r="W173" s="595"/>
      <c r="X173" s="595"/>
      <c r="Y173" s="595"/>
      <c r="Z173" s="595"/>
    </row>
    <row r="174" spans="1:26" ht="19.5" customHeight="1">
      <c r="A174" s="595"/>
      <c r="B174" s="595"/>
      <c r="C174" s="596"/>
      <c r="D174" s="595"/>
      <c r="E174" s="595"/>
      <c r="F174" s="595"/>
      <c r="G174" s="595"/>
      <c r="H174" s="595"/>
      <c r="I174" s="595"/>
      <c r="J174" s="595"/>
      <c r="K174" s="595"/>
      <c r="L174" s="595"/>
      <c r="M174" s="595"/>
      <c r="N174" s="595"/>
      <c r="O174" s="595"/>
      <c r="P174" s="595"/>
      <c r="Q174" s="595"/>
      <c r="R174" s="595"/>
      <c r="S174" s="595"/>
      <c r="T174" s="595"/>
      <c r="U174" s="595"/>
      <c r="V174" s="595"/>
      <c r="W174" s="595"/>
      <c r="X174" s="595"/>
      <c r="Y174" s="595"/>
      <c r="Z174" s="595"/>
    </row>
    <row r="175" spans="1:26" ht="19.5" customHeight="1">
      <c r="A175" s="595"/>
      <c r="B175" s="595"/>
      <c r="C175" s="596"/>
      <c r="D175" s="595"/>
      <c r="E175" s="595"/>
      <c r="F175" s="595"/>
      <c r="G175" s="595"/>
      <c r="H175" s="595"/>
      <c r="I175" s="595"/>
      <c r="J175" s="595"/>
      <c r="K175" s="595"/>
      <c r="L175" s="595"/>
      <c r="M175" s="595"/>
      <c r="N175" s="595"/>
      <c r="O175" s="595"/>
      <c r="P175" s="595"/>
      <c r="Q175" s="595"/>
      <c r="R175" s="595"/>
      <c r="S175" s="595"/>
      <c r="T175" s="595"/>
      <c r="U175" s="595"/>
      <c r="V175" s="595"/>
      <c r="W175" s="595"/>
      <c r="X175" s="595"/>
      <c r="Y175" s="595"/>
      <c r="Z175" s="595"/>
    </row>
    <row r="176" spans="1:26" ht="19.5" customHeight="1">
      <c r="A176" s="595"/>
      <c r="B176" s="595"/>
      <c r="C176" s="596"/>
      <c r="D176" s="595"/>
      <c r="E176" s="595"/>
      <c r="F176" s="595"/>
      <c r="G176" s="595"/>
      <c r="H176" s="595"/>
      <c r="I176" s="595"/>
      <c r="J176" s="595"/>
      <c r="K176" s="595"/>
      <c r="L176" s="595"/>
      <c r="M176" s="595"/>
      <c r="N176" s="595"/>
      <c r="O176" s="595"/>
      <c r="P176" s="595"/>
      <c r="Q176" s="595"/>
      <c r="R176" s="595"/>
      <c r="S176" s="595"/>
      <c r="T176" s="595"/>
      <c r="U176" s="595"/>
      <c r="V176" s="595"/>
      <c r="W176" s="595"/>
      <c r="X176" s="595"/>
      <c r="Y176" s="595"/>
      <c r="Z176" s="595"/>
    </row>
    <row r="177" spans="1:26" ht="19.5" customHeight="1">
      <c r="A177" s="595"/>
      <c r="B177" s="595"/>
      <c r="C177" s="596"/>
      <c r="D177" s="595"/>
      <c r="E177" s="595"/>
      <c r="F177" s="595"/>
      <c r="G177" s="595"/>
      <c r="H177" s="595"/>
      <c r="I177" s="595"/>
      <c r="J177" s="595"/>
      <c r="K177" s="595"/>
      <c r="L177" s="595"/>
      <c r="M177" s="595"/>
      <c r="N177" s="595"/>
      <c r="O177" s="595"/>
      <c r="P177" s="595"/>
      <c r="Q177" s="595"/>
      <c r="R177" s="595"/>
      <c r="S177" s="595"/>
      <c r="T177" s="595"/>
      <c r="U177" s="595"/>
      <c r="V177" s="595"/>
      <c r="W177" s="595"/>
      <c r="X177" s="595"/>
      <c r="Y177" s="595"/>
      <c r="Z177" s="595"/>
    </row>
    <row r="178" spans="1:26" ht="19.5" customHeight="1">
      <c r="A178" s="595"/>
      <c r="B178" s="595"/>
      <c r="C178" s="596"/>
      <c r="D178" s="595"/>
      <c r="E178" s="595"/>
      <c r="F178" s="595"/>
      <c r="G178" s="595"/>
      <c r="H178" s="595"/>
      <c r="I178" s="595"/>
      <c r="J178" s="595"/>
      <c r="K178" s="595"/>
      <c r="L178" s="595"/>
      <c r="M178" s="595"/>
      <c r="N178" s="595"/>
      <c r="O178" s="595"/>
      <c r="P178" s="595"/>
      <c r="Q178" s="595"/>
      <c r="R178" s="595"/>
      <c r="S178" s="595"/>
      <c r="T178" s="595"/>
      <c r="U178" s="595"/>
      <c r="V178" s="595"/>
      <c r="W178" s="595"/>
      <c r="X178" s="595"/>
      <c r="Y178" s="595"/>
      <c r="Z178" s="595"/>
    </row>
    <row r="179" spans="1:26" ht="19.5" customHeight="1">
      <c r="A179" s="595"/>
      <c r="B179" s="595"/>
      <c r="C179" s="596"/>
      <c r="D179" s="595"/>
      <c r="E179" s="595"/>
      <c r="F179" s="595"/>
      <c r="G179" s="595"/>
      <c r="H179" s="595"/>
      <c r="I179" s="595"/>
      <c r="J179" s="595"/>
      <c r="K179" s="595"/>
      <c r="L179" s="595"/>
      <c r="M179" s="595"/>
      <c r="N179" s="595"/>
      <c r="O179" s="595"/>
      <c r="P179" s="595"/>
      <c r="Q179" s="595"/>
      <c r="R179" s="595"/>
      <c r="S179" s="595"/>
      <c r="T179" s="595"/>
      <c r="U179" s="595"/>
      <c r="V179" s="595"/>
      <c r="W179" s="595"/>
      <c r="X179" s="595"/>
      <c r="Y179" s="595"/>
      <c r="Z179" s="595"/>
    </row>
    <row r="180" spans="1:26" ht="19.5" customHeight="1">
      <c r="A180" s="595"/>
      <c r="B180" s="595"/>
      <c r="C180" s="596"/>
      <c r="D180" s="595"/>
      <c r="E180" s="595"/>
      <c r="F180" s="595"/>
      <c r="G180" s="595"/>
      <c r="H180" s="595"/>
      <c r="I180" s="595"/>
      <c r="J180" s="595"/>
      <c r="K180" s="595"/>
      <c r="L180" s="595"/>
      <c r="M180" s="595"/>
      <c r="N180" s="595"/>
      <c r="O180" s="595"/>
      <c r="P180" s="595"/>
      <c r="Q180" s="595"/>
      <c r="R180" s="595"/>
      <c r="S180" s="595"/>
      <c r="T180" s="595"/>
      <c r="U180" s="595"/>
      <c r="V180" s="595"/>
      <c r="W180" s="595"/>
      <c r="X180" s="595"/>
      <c r="Y180" s="595"/>
      <c r="Z180" s="595"/>
    </row>
    <row r="181" spans="1:26" ht="19.5" customHeight="1">
      <c r="A181" s="595"/>
      <c r="B181" s="595"/>
      <c r="C181" s="596"/>
      <c r="D181" s="595"/>
      <c r="E181" s="595"/>
      <c r="F181" s="595"/>
      <c r="G181" s="595"/>
      <c r="H181" s="595"/>
      <c r="I181" s="595"/>
      <c r="J181" s="595"/>
      <c r="K181" s="595"/>
      <c r="L181" s="595"/>
      <c r="M181" s="595"/>
      <c r="N181" s="595"/>
      <c r="O181" s="595"/>
      <c r="P181" s="595"/>
      <c r="Q181" s="595"/>
      <c r="R181" s="595"/>
      <c r="S181" s="595"/>
      <c r="T181" s="595"/>
      <c r="U181" s="595"/>
      <c r="V181" s="595"/>
      <c r="W181" s="595"/>
      <c r="X181" s="595"/>
      <c r="Y181" s="595"/>
      <c r="Z181" s="595"/>
    </row>
    <row r="182" spans="1:26" ht="19.5" customHeight="1">
      <c r="A182" s="595"/>
      <c r="B182" s="595"/>
      <c r="C182" s="596"/>
      <c r="D182" s="595"/>
      <c r="E182" s="595"/>
      <c r="F182" s="595"/>
      <c r="G182" s="595"/>
      <c r="H182" s="595"/>
      <c r="I182" s="595"/>
      <c r="J182" s="595"/>
      <c r="K182" s="595"/>
      <c r="L182" s="595"/>
      <c r="M182" s="595"/>
      <c r="N182" s="595"/>
      <c r="O182" s="595"/>
      <c r="P182" s="595"/>
      <c r="Q182" s="595"/>
      <c r="R182" s="595"/>
      <c r="S182" s="595"/>
      <c r="T182" s="595"/>
      <c r="U182" s="595"/>
      <c r="V182" s="595"/>
      <c r="W182" s="595"/>
      <c r="X182" s="595"/>
      <c r="Y182" s="595"/>
      <c r="Z182" s="595"/>
    </row>
    <row r="183" spans="1:26" ht="19.5" customHeight="1">
      <c r="A183" s="595"/>
      <c r="B183" s="595"/>
      <c r="C183" s="596"/>
      <c r="D183" s="595"/>
      <c r="E183" s="595"/>
      <c r="F183" s="595"/>
      <c r="G183" s="595"/>
      <c r="H183" s="595"/>
      <c r="I183" s="595"/>
      <c r="J183" s="595"/>
      <c r="K183" s="595"/>
      <c r="L183" s="595"/>
      <c r="M183" s="595"/>
      <c r="N183" s="595"/>
      <c r="O183" s="595"/>
      <c r="P183" s="595"/>
      <c r="Q183" s="595"/>
      <c r="R183" s="595"/>
      <c r="S183" s="595"/>
      <c r="T183" s="595"/>
      <c r="U183" s="595"/>
      <c r="V183" s="595"/>
      <c r="W183" s="595"/>
      <c r="X183" s="595"/>
      <c r="Y183" s="595"/>
      <c r="Z183" s="595"/>
    </row>
    <row r="184" spans="1:26" ht="19.5" customHeight="1">
      <c r="A184" s="595"/>
      <c r="B184" s="595"/>
      <c r="C184" s="596"/>
      <c r="D184" s="595"/>
      <c r="E184" s="595"/>
      <c r="F184" s="595"/>
      <c r="G184" s="595"/>
      <c r="H184" s="595"/>
      <c r="I184" s="595"/>
      <c r="J184" s="595"/>
      <c r="K184" s="595"/>
      <c r="L184" s="595"/>
      <c r="M184" s="595"/>
      <c r="N184" s="595"/>
      <c r="O184" s="595"/>
      <c r="P184" s="595"/>
      <c r="Q184" s="595"/>
      <c r="R184" s="595"/>
      <c r="S184" s="595"/>
      <c r="T184" s="595"/>
      <c r="U184" s="595"/>
      <c r="V184" s="595"/>
      <c r="W184" s="595"/>
      <c r="X184" s="595"/>
      <c r="Y184" s="595"/>
      <c r="Z184" s="595"/>
    </row>
    <row r="185" spans="1:26" ht="19.5" customHeight="1">
      <c r="A185" s="595"/>
      <c r="B185" s="595"/>
      <c r="C185" s="596"/>
      <c r="D185" s="595"/>
      <c r="E185" s="595"/>
      <c r="F185" s="595"/>
      <c r="G185" s="595"/>
      <c r="H185" s="595"/>
      <c r="I185" s="595"/>
      <c r="J185" s="595"/>
      <c r="K185" s="595"/>
      <c r="L185" s="595"/>
      <c r="M185" s="595"/>
      <c r="N185" s="595"/>
      <c r="O185" s="595"/>
      <c r="P185" s="595"/>
      <c r="Q185" s="595"/>
      <c r="R185" s="595"/>
      <c r="S185" s="595"/>
      <c r="T185" s="595"/>
      <c r="U185" s="595"/>
      <c r="V185" s="595"/>
      <c r="W185" s="595"/>
      <c r="X185" s="595"/>
      <c r="Y185" s="595"/>
      <c r="Z185" s="595"/>
    </row>
    <row r="186" spans="1:26" ht="19.5" customHeight="1">
      <c r="A186" s="595"/>
      <c r="B186" s="595"/>
      <c r="C186" s="596"/>
      <c r="D186" s="595"/>
      <c r="E186" s="595"/>
      <c r="F186" s="595"/>
      <c r="G186" s="595"/>
      <c r="H186" s="595"/>
      <c r="I186" s="595"/>
      <c r="J186" s="595"/>
      <c r="K186" s="595"/>
      <c r="L186" s="595"/>
      <c r="M186" s="595"/>
      <c r="N186" s="595"/>
      <c r="O186" s="595"/>
      <c r="P186" s="595"/>
      <c r="Q186" s="595"/>
      <c r="R186" s="595"/>
      <c r="S186" s="595"/>
      <c r="T186" s="595"/>
      <c r="U186" s="595"/>
      <c r="V186" s="595"/>
      <c r="W186" s="595"/>
      <c r="X186" s="595"/>
      <c r="Y186" s="595"/>
      <c r="Z186" s="595"/>
    </row>
    <row r="187" spans="1:26" ht="19.5" customHeight="1">
      <c r="A187" s="595"/>
      <c r="B187" s="595"/>
      <c r="C187" s="596"/>
      <c r="D187" s="595"/>
      <c r="E187" s="595"/>
      <c r="F187" s="595"/>
      <c r="G187" s="595"/>
      <c r="H187" s="595"/>
      <c r="I187" s="595"/>
      <c r="J187" s="595"/>
      <c r="K187" s="595"/>
      <c r="L187" s="595"/>
      <c r="M187" s="595"/>
      <c r="N187" s="595"/>
      <c r="O187" s="595"/>
      <c r="P187" s="595"/>
      <c r="Q187" s="595"/>
      <c r="R187" s="595"/>
      <c r="S187" s="595"/>
      <c r="T187" s="595"/>
      <c r="U187" s="595"/>
      <c r="V187" s="595"/>
      <c r="W187" s="595"/>
      <c r="X187" s="595"/>
      <c r="Y187" s="595"/>
      <c r="Z187" s="595"/>
    </row>
    <row r="188" spans="1:26" ht="19.5" customHeight="1">
      <c r="A188" s="595"/>
      <c r="B188" s="595"/>
      <c r="C188" s="596"/>
      <c r="D188" s="595"/>
      <c r="E188" s="595"/>
      <c r="F188" s="595"/>
      <c r="G188" s="595"/>
      <c r="H188" s="595"/>
      <c r="I188" s="595"/>
      <c r="J188" s="595"/>
      <c r="K188" s="595"/>
      <c r="L188" s="595"/>
      <c r="M188" s="595"/>
      <c r="N188" s="595"/>
      <c r="O188" s="595"/>
      <c r="P188" s="595"/>
      <c r="Q188" s="595"/>
      <c r="R188" s="595"/>
      <c r="S188" s="595"/>
      <c r="T188" s="595"/>
      <c r="U188" s="595"/>
      <c r="V188" s="595"/>
      <c r="W188" s="595"/>
      <c r="X188" s="595"/>
      <c r="Y188" s="595"/>
      <c r="Z188" s="595"/>
    </row>
    <row r="189" spans="1:26" ht="19.5" customHeight="1">
      <c r="A189" s="595"/>
      <c r="B189" s="595"/>
      <c r="C189" s="596"/>
      <c r="D189" s="595"/>
      <c r="E189" s="595"/>
      <c r="F189" s="595"/>
      <c r="G189" s="595"/>
      <c r="H189" s="595"/>
      <c r="I189" s="595"/>
      <c r="J189" s="595"/>
      <c r="K189" s="595"/>
      <c r="L189" s="595"/>
      <c r="M189" s="595"/>
      <c r="N189" s="595"/>
      <c r="O189" s="595"/>
      <c r="P189" s="595"/>
      <c r="Q189" s="595"/>
      <c r="R189" s="595"/>
      <c r="S189" s="595"/>
      <c r="T189" s="595"/>
      <c r="U189" s="595"/>
      <c r="V189" s="595"/>
      <c r="W189" s="595"/>
      <c r="X189" s="595"/>
      <c r="Y189" s="595"/>
      <c r="Z189" s="595"/>
    </row>
    <row r="190" spans="1:26" ht="19.5" customHeight="1">
      <c r="A190" s="595"/>
      <c r="B190" s="595"/>
      <c r="C190" s="596"/>
      <c r="D190" s="595"/>
      <c r="E190" s="595"/>
      <c r="F190" s="595"/>
      <c r="G190" s="595"/>
      <c r="H190" s="595"/>
      <c r="I190" s="595"/>
      <c r="J190" s="595"/>
      <c r="K190" s="595"/>
      <c r="L190" s="595"/>
      <c r="M190" s="595"/>
      <c r="N190" s="595"/>
      <c r="O190" s="595"/>
      <c r="P190" s="595"/>
      <c r="Q190" s="595"/>
      <c r="R190" s="595"/>
      <c r="S190" s="595"/>
      <c r="T190" s="595"/>
      <c r="U190" s="595"/>
      <c r="V190" s="595"/>
      <c r="W190" s="595"/>
      <c r="X190" s="595"/>
      <c r="Y190" s="595"/>
      <c r="Z190" s="595"/>
    </row>
    <row r="191" spans="1:26" ht="19.5" customHeight="1">
      <c r="A191" s="595"/>
      <c r="B191" s="595"/>
      <c r="C191" s="596"/>
      <c r="D191" s="595"/>
      <c r="E191" s="595"/>
      <c r="F191" s="595"/>
      <c r="G191" s="595"/>
      <c r="H191" s="595"/>
      <c r="I191" s="595"/>
      <c r="J191" s="595"/>
      <c r="K191" s="595"/>
      <c r="L191" s="595"/>
      <c r="M191" s="595"/>
      <c r="N191" s="595"/>
      <c r="O191" s="595"/>
      <c r="P191" s="595"/>
      <c r="Q191" s="595"/>
      <c r="R191" s="595"/>
      <c r="S191" s="595"/>
      <c r="T191" s="595"/>
      <c r="U191" s="595"/>
      <c r="V191" s="595"/>
      <c r="W191" s="595"/>
      <c r="X191" s="595"/>
      <c r="Y191" s="595"/>
      <c r="Z191" s="595"/>
    </row>
    <row r="192" spans="1:26" ht="19.5" customHeight="1">
      <c r="A192" s="595"/>
      <c r="B192" s="595"/>
      <c r="C192" s="596"/>
      <c r="D192" s="595"/>
      <c r="E192" s="595"/>
      <c r="F192" s="595"/>
      <c r="G192" s="595"/>
      <c r="H192" s="595"/>
      <c r="I192" s="595"/>
      <c r="J192" s="595"/>
      <c r="K192" s="595"/>
      <c r="L192" s="595"/>
      <c r="M192" s="595"/>
      <c r="N192" s="595"/>
      <c r="O192" s="595"/>
      <c r="P192" s="595"/>
      <c r="Q192" s="595"/>
      <c r="R192" s="595"/>
      <c r="S192" s="595"/>
      <c r="T192" s="595"/>
      <c r="U192" s="595"/>
      <c r="V192" s="595"/>
      <c r="W192" s="595"/>
      <c r="X192" s="595"/>
      <c r="Y192" s="595"/>
      <c r="Z192" s="595"/>
    </row>
    <row r="193" spans="1:26" ht="19.5" customHeight="1">
      <c r="A193" s="595"/>
      <c r="B193" s="595"/>
      <c r="C193" s="596"/>
      <c r="D193" s="595"/>
      <c r="E193" s="595"/>
      <c r="F193" s="595"/>
      <c r="G193" s="595"/>
      <c r="H193" s="595"/>
      <c r="I193" s="595"/>
      <c r="J193" s="595"/>
      <c r="K193" s="595"/>
      <c r="L193" s="595"/>
      <c r="M193" s="595"/>
      <c r="N193" s="595"/>
      <c r="O193" s="595"/>
      <c r="P193" s="595"/>
      <c r="Q193" s="595"/>
      <c r="R193" s="595"/>
      <c r="S193" s="595"/>
      <c r="T193" s="595"/>
      <c r="U193" s="595"/>
      <c r="V193" s="595"/>
      <c r="W193" s="595"/>
      <c r="X193" s="595"/>
      <c r="Y193" s="595"/>
      <c r="Z193" s="595"/>
    </row>
    <row r="194" spans="1:26" ht="19.5" customHeight="1">
      <c r="A194" s="595"/>
      <c r="B194" s="595"/>
      <c r="C194" s="596"/>
      <c r="D194" s="595"/>
      <c r="E194" s="595"/>
      <c r="F194" s="595"/>
      <c r="G194" s="595"/>
      <c r="H194" s="595"/>
      <c r="I194" s="595"/>
      <c r="J194" s="595"/>
      <c r="K194" s="595"/>
      <c r="L194" s="595"/>
      <c r="M194" s="595"/>
      <c r="N194" s="595"/>
      <c r="O194" s="595"/>
      <c r="P194" s="595"/>
      <c r="Q194" s="595"/>
      <c r="R194" s="595"/>
      <c r="S194" s="595"/>
      <c r="T194" s="595"/>
      <c r="U194" s="595"/>
      <c r="V194" s="595"/>
      <c r="W194" s="595"/>
      <c r="X194" s="595"/>
      <c r="Y194" s="595"/>
      <c r="Z194" s="595"/>
    </row>
    <row r="195" spans="1:26" ht="19.5" customHeight="1">
      <c r="A195" s="595"/>
      <c r="B195" s="595"/>
      <c r="C195" s="596"/>
      <c r="D195" s="595"/>
      <c r="E195" s="595"/>
      <c r="F195" s="595"/>
      <c r="G195" s="595"/>
      <c r="H195" s="595"/>
      <c r="I195" s="595"/>
      <c r="J195" s="595"/>
      <c r="K195" s="595"/>
      <c r="L195" s="595"/>
      <c r="M195" s="595"/>
      <c r="N195" s="595"/>
      <c r="O195" s="595"/>
      <c r="P195" s="595"/>
      <c r="Q195" s="595"/>
      <c r="R195" s="595"/>
      <c r="S195" s="595"/>
      <c r="T195" s="595"/>
      <c r="U195" s="595"/>
      <c r="V195" s="595"/>
      <c r="W195" s="595"/>
      <c r="X195" s="595"/>
      <c r="Y195" s="595"/>
      <c r="Z195" s="595"/>
    </row>
    <row r="196" spans="1:26" ht="19.5" customHeight="1">
      <c r="A196" s="595"/>
      <c r="B196" s="595"/>
      <c r="C196" s="596"/>
      <c r="D196" s="595"/>
      <c r="E196" s="595"/>
      <c r="F196" s="595"/>
      <c r="G196" s="595"/>
      <c r="H196" s="595"/>
      <c r="I196" s="595"/>
      <c r="J196" s="595"/>
      <c r="K196" s="595"/>
      <c r="L196" s="595"/>
      <c r="M196" s="595"/>
      <c r="N196" s="595"/>
      <c r="O196" s="595"/>
      <c r="P196" s="595"/>
      <c r="Q196" s="595"/>
      <c r="R196" s="595"/>
      <c r="S196" s="595"/>
      <c r="T196" s="595"/>
      <c r="U196" s="595"/>
      <c r="V196" s="595"/>
      <c r="W196" s="595"/>
      <c r="X196" s="595"/>
      <c r="Y196" s="595"/>
      <c r="Z196" s="595"/>
    </row>
    <row r="197" spans="1:26" ht="19.5" customHeight="1">
      <c r="A197" s="595"/>
      <c r="B197" s="595"/>
      <c r="C197" s="596"/>
      <c r="D197" s="595"/>
      <c r="E197" s="595"/>
      <c r="F197" s="595"/>
      <c r="G197" s="595"/>
      <c r="H197" s="595"/>
      <c r="I197" s="595"/>
      <c r="J197" s="595"/>
      <c r="K197" s="595"/>
      <c r="L197" s="595"/>
      <c r="M197" s="595"/>
      <c r="N197" s="595"/>
      <c r="O197" s="595"/>
      <c r="P197" s="595"/>
      <c r="Q197" s="595"/>
      <c r="R197" s="595"/>
      <c r="S197" s="595"/>
      <c r="T197" s="595"/>
      <c r="U197" s="595"/>
      <c r="V197" s="595"/>
      <c r="W197" s="595"/>
      <c r="X197" s="595"/>
      <c r="Y197" s="595"/>
      <c r="Z197" s="595"/>
    </row>
    <row r="198" spans="1:26" ht="19.5" customHeight="1">
      <c r="A198" s="595"/>
      <c r="B198" s="595"/>
      <c r="C198" s="596"/>
      <c r="D198" s="595"/>
      <c r="E198" s="595"/>
      <c r="F198" s="595"/>
      <c r="G198" s="595"/>
      <c r="H198" s="595"/>
      <c r="I198" s="595"/>
      <c r="J198" s="595"/>
      <c r="K198" s="595"/>
      <c r="L198" s="595"/>
      <c r="M198" s="595"/>
      <c r="N198" s="595"/>
      <c r="O198" s="595"/>
      <c r="P198" s="595"/>
      <c r="Q198" s="595"/>
      <c r="R198" s="595"/>
      <c r="S198" s="595"/>
      <c r="T198" s="595"/>
      <c r="U198" s="595"/>
      <c r="V198" s="595"/>
      <c r="W198" s="595"/>
      <c r="X198" s="595"/>
      <c r="Y198" s="595"/>
      <c r="Z198" s="595"/>
    </row>
    <row r="199" spans="1:26" ht="19.5" customHeight="1">
      <c r="A199" s="595"/>
      <c r="B199" s="595"/>
      <c r="C199" s="596"/>
      <c r="D199" s="595"/>
      <c r="E199" s="595"/>
      <c r="F199" s="595"/>
      <c r="G199" s="595"/>
      <c r="H199" s="595"/>
      <c r="I199" s="595"/>
      <c r="J199" s="595"/>
      <c r="K199" s="595"/>
      <c r="L199" s="595"/>
      <c r="M199" s="595"/>
      <c r="N199" s="595"/>
      <c r="O199" s="595"/>
      <c r="P199" s="595"/>
      <c r="Q199" s="595"/>
      <c r="R199" s="595"/>
      <c r="S199" s="595"/>
      <c r="T199" s="595"/>
      <c r="U199" s="595"/>
      <c r="V199" s="595"/>
      <c r="W199" s="595"/>
      <c r="X199" s="595"/>
      <c r="Y199" s="595"/>
      <c r="Z199" s="595"/>
    </row>
    <row r="200" spans="1:26" ht="19.5" customHeight="1">
      <c r="A200" s="595"/>
      <c r="B200" s="595"/>
      <c r="C200" s="596"/>
      <c r="D200" s="595"/>
      <c r="E200" s="595"/>
      <c r="F200" s="595"/>
      <c r="G200" s="595"/>
      <c r="H200" s="595"/>
      <c r="I200" s="595"/>
      <c r="J200" s="595"/>
      <c r="K200" s="595"/>
      <c r="L200" s="595"/>
      <c r="M200" s="595"/>
      <c r="N200" s="595"/>
      <c r="O200" s="595"/>
      <c r="P200" s="595"/>
      <c r="Q200" s="595"/>
      <c r="R200" s="595"/>
      <c r="S200" s="595"/>
      <c r="T200" s="595"/>
      <c r="U200" s="595"/>
      <c r="V200" s="595"/>
      <c r="W200" s="595"/>
      <c r="X200" s="595"/>
      <c r="Y200" s="595"/>
      <c r="Z200" s="595"/>
    </row>
    <row r="201" spans="1:26" ht="19.5" customHeight="1">
      <c r="A201" s="595"/>
      <c r="B201" s="595"/>
      <c r="C201" s="596"/>
      <c r="D201" s="595"/>
      <c r="E201" s="595"/>
      <c r="F201" s="595"/>
      <c r="G201" s="595"/>
      <c r="H201" s="595"/>
      <c r="I201" s="595"/>
      <c r="J201" s="595"/>
      <c r="K201" s="595"/>
      <c r="L201" s="595"/>
      <c r="M201" s="595"/>
      <c r="N201" s="595"/>
      <c r="O201" s="595"/>
      <c r="P201" s="595"/>
      <c r="Q201" s="595"/>
      <c r="R201" s="595"/>
      <c r="S201" s="595"/>
      <c r="T201" s="595"/>
      <c r="U201" s="595"/>
      <c r="V201" s="595"/>
      <c r="W201" s="595"/>
      <c r="X201" s="595"/>
      <c r="Y201" s="595"/>
      <c r="Z201" s="595"/>
    </row>
    <row r="202" spans="1:26" ht="19.5" customHeight="1">
      <c r="A202" s="595"/>
      <c r="B202" s="595"/>
      <c r="C202" s="596"/>
      <c r="D202" s="595"/>
      <c r="E202" s="595"/>
      <c r="F202" s="595"/>
      <c r="G202" s="595"/>
      <c r="H202" s="595"/>
      <c r="I202" s="595"/>
      <c r="J202" s="595"/>
      <c r="K202" s="595"/>
      <c r="L202" s="595"/>
      <c r="M202" s="595"/>
      <c r="N202" s="595"/>
      <c r="O202" s="595"/>
      <c r="P202" s="595"/>
      <c r="Q202" s="595"/>
      <c r="R202" s="595"/>
      <c r="S202" s="595"/>
      <c r="T202" s="595"/>
      <c r="U202" s="595"/>
      <c r="V202" s="595"/>
      <c r="W202" s="595"/>
      <c r="X202" s="595"/>
      <c r="Y202" s="595"/>
      <c r="Z202" s="595"/>
    </row>
    <row r="203" spans="1:26" ht="19.5" customHeight="1">
      <c r="A203" s="595"/>
      <c r="B203" s="595"/>
      <c r="C203" s="596"/>
      <c r="D203" s="595"/>
      <c r="E203" s="595"/>
      <c r="F203" s="595"/>
      <c r="G203" s="595"/>
      <c r="H203" s="595"/>
      <c r="I203" s="595"/>
      <c r="J203" s="595"/>
      <c r="K203" s="595"/>
      <c r="L203" s="595"/>
      <c r="M203" s="595"/>
      <c r="N203" s="595"/>
      <c r="O203" s="595"/>
      <c r="P203" s="595"/>
      <c r="Q203" s="595"/>
      <c r="R203" s="595"/>
      <c r="S203" s="595"/>
      <c r="T203" s="595"/>
      <c r="U203" s="595"/>
      <c r="V203" s="595"/>
      <c r="W203" s="595"/>
      <c r="X203" s="595"/>
      <c r="Y203" s="595"/>
      <c r="Z203" s="595"/>
    </row>
    <row r="204" spans="1:26" ht="19.5" customHeight="1">
      <c r="A204" s="595"/>
      <c r="B204" s="595"/>
      <c r="C204" s="596"/>
      <c r="D204" s="595"/>
      <c r="E204" s="595"/>
      <c r="F204" s="595"/>
      <c r="G204" s="595"/>
      <c r="H204" s="595"/>
      <c r="I204" s="595"/>
      <c r="J204" s="595"/>
      <c r="K204" s="595"/>
      <c r="L204" s="595"/>
      <c r="M204" s="595"/>
      <c r="N204" s="595"/>
      <c r="O204" s="595"/>
      <c r="P204" s="595"/>
      <c r="Q204" s="595"/>
      <c r="R204" s="595"/>
      <c r="S204" s="595"/>
      <c r="T204" s="595"/>
      <c r="U204" s="595"/>
      <c r="V204" s="595"/>
      <c r="W204" s="595"/>
      <c r="X204" s="595"/>
      <c r="Y204" s="595"/>
      <c r="Z204" s="595"/>
    </row>
    <row r="205" spans="1:26" ht="19.5" customHeight="1">
      <c r="A205" s="595"/>
      <c r="B205" s="595"/>
      <c r="C205" s="596"/>
      <c r="D205" s="595"/>
      <c r="E205" s="595"/>
      <c r="F205" s="595"/>
      <c r="G205" s="595"/>
      <c r="H205" s="595"/>
      <c r="I205" s="595"/>
      <c r="J205" s="595"/>
      <c r="K205" s="595"/>
      <c r="L205" s="595"/>
      <c r="M205" s="595"/>
      <c r="N205" s="595"/>
      <c r="O205" s="595"/>
      <c r="P205" s="595"/>
      <c r="Q205" s="595"/>
      <c r="R205" s="595"/>
      <c r="S205" s="595"/>
      <c r="T205" s="595"/>
      <c r="U205" s="595"/>
      <c r="V205" s="595"/>
      <c r="W205" s="595"/>
      <c r="X205" s="595"/>
      <c r="Y205" s="595"/>
      <c r="Z205" s="595"/>
    </row>
    <row r="206" spans="1:26" ht="19.5" customHeight="1">
      <c r="A206" s="595"/>
      <c r="B206" s="595"/>
      <c r="C206" s="596"/>
      <c r="D206" s="595"/>
      <c r="E206" s="595"/>
      <c r="F206" s="595"/>
      <c r="G206" s="595"/>
      <c r="H206" s="595"/>
      <c r="I206" s="595"/>
      <c r="J206" s="595"/>
      <c r="K206" s="595"/>
      <c r="L206" s="595"/>
      <c r="M206" s="595"/>
      <c r="N206" s="595"/>
      <c r="O206" s="595"/>
      <c r="P206" s="595"/>
      <c r="Q206" s="595"/>
      <c r="R206" s="595"/>
      <c r="S206" s="595"/>
      <c r="T206" s="595"/>
      <c r="U206" s="595"/>
      <c r="V206" s="595"/>
      <c r="W206" s="595"/>
      <c r="X206" s="595"/>
      <c r="Y206" s="595"/>
      <c r="Z206" s="595"/>
    </row>
    <row r="207" spans="1:26" ht="19.5" customHeight="1">
      <c r="A207" s="595"/>
      <c r="B207" s="595"/>
      <c r="C207" s="596"/>
      <c r="D207" s="595"/>
      <c r="E207" s="595"/>
      <c r="F207" s="595"/>
      <c r="G207" s="595"/>
      <c r="H207" s="595"/>
      <c r="I207" s="595"/>
      <c r="J207" s="595"/>
      <c r="K207" s="595"/>
      <c r="L207" s="595"/>
      <c r="M207" s="595"/>
      <c r="N207" s="595"/>
      <c r="O207" s="595"/>
      <c r="P207" s="595"/>
      <c r="Q207" s="595"/>
      <c r="R207" s="595"/>
      <c r="S207" s="595"/>
      <c r="T207" s="595"/>
      <c r="U207" s="595"/>
      <c r="V207" s="595"/>
      <c r="W207" s="595"/>
      <c r="X207" s="595"/>
      <c r="Y207" s="595"/>
      <c r="Z207" s="595"/>
    </row>
    <row r="208" spans="1:26" ht="19.5" customHeight="1">
      <c r="A208" s="595"/>
      <c r="B208" s="595"/>
      <c r="C208" s="596"/>
      <c r="D208" s="595"/>
      <c r="E208" s="595"/>
      <c r="F208" s="595"/>
      <c r="G208" s="595"/>
      <c r="H208" s="595"/>
      <c r="I208" s="595"/>
      <c r="J208" s="595"/>
      <c r="K208" s="595"/>
      <c r="L208" s="595"/>
      <c r="M208" s="595"/>
      <c r="N208" s="595"/>
      <c r="O208" s="595"/>
      <c r="P208" s="595"/>
      <c r="Q208" s="595"/>
      <c r="R208" s="595"/>
      <c r="S208" s="595"/>
      <c r="T208" s="595"/>
      <c r="U208" s="595"/>
      <c r="V208" s="595"/>
      <c r="W208" s="595"/>
      <c r="X208" s="595"/>
      <c r="Y208" s="595"/>
      <c r="Z208" s="595"/>
    </row>
    <row r="209" spans="1:26" ht="19.5" customHeight="1">
      <c r="A209" s="595"/>
      <c r="B209" s="595"/>
      <c r="C209" s="596"/>
      <c r="D209" s="595"/>
      <c r="E209" s="595"/>
      <c r="F209" s="595"/>
      <c r="G209" s="595"/>
      <c r="H209" s="595"/>
      <c r="I209" s="595"/>
      <c r="J209" s="595"/>
      <c r="K209" s="595"/>
      <c r="L209" s="595"/>
      <c r="M209" s="595"/>
      <c r="N209" s="595"/>
      <c r="O209" s="595"/>
      <c r="P209" s="595"/>
      <c r="Q209" s="595"/>
      <c r="R209" s="595"/>
      <c r="S209" s="595"/>
      <c r="T209" s="595"/>
      <c r="U209" s="595"/>
      <c r="V209" s="595"/>
      <c r="W209" s="595"/>
      <c r="X209" s="595"/>
      <c r="Y209" s="595"/>
      <c r="Z209" s="595"/>
    </row>
    <row r="210" spans="1:26" ht="19.5" customHeight="1">
      <c r="A210" s="595"/>
      <c r="B210" s="595"/>
      <c r="C210" s="596"/>
      <c r="D210" s="595"/>
      <c r="E210" s="595"/>
      <c r="F210" s="595"/>
      <c r="G210" s="595"/>
      <c r="H210" s="595"/>
      <c r="I210" s="595"/>
      <c r="J210" s="595"/>
      <c r="K210" s="595"/>
      <c r="L210" s="595"/>
      <c r="M210" s="595"/>
      <c r="N210" s="595"/>
      <c r="O210" s="595"/>
      <c r="P210" s="595"/>
      <c r="Q210" s="595"/>
      <c r="R210" s="595"/>
      <c r="S210" s="595"/>
      <c r="T210" s="595"/>
      <c r="U210" s="595"/>
      <c r="V210" s="595"/>
      <c r="W210" s="595"/>
      <c r="X210" s="595"/>
      <c r="Y210" s="595"/>
      <c r="Z210" s="595"/>
    </row>
    <row r="211" spans="1:26" ht="19.5" customHeight="1">
      <c r="A211" s="595"/>
      <c r="B211" s="595"/>
      <c r="C211" s="596"/>
      <c r="D211" s="595"/>
      <c r="E211" s="595"/>
      <c r="F211" s="595"/>
      <c r="G211" s="595"/>
      <c r="H211" s="595"/>
      <c r="I211" s="595"/>
      <c r="J211" s="595"/>
      <c r="K211" s="595"/>
      <c r="L211" s="595"/>
      <c r="M211" s="595"/>
      <c r="N211" s="595"/>
      <c r="O211" s="595"/>
      <c r="P211" s="595"/>
      <c r="Q211" s="595"/>
      <c r="R211" s="595"/>
      <c r="S211" s="595"/>
      <c r="T211" s="595"/>
      <c r="U211" s="595"/>
      <c r="V211" s="595"/>
      <c r="W211" s="595"/>
      <c r="X211" s="595"/>
      <c r="Y211" s="595"/>
      <c r="Z211" s="595"/>
    </row>
    <row r="212" spans="1:26" ht="19.5" customHeight="1">
      <c r="A212" s="595"/>
      <c r="B212" s="595"/>
      <c r="C212" s="596"/>
      <c r="D212" s="595"/>
      <c r="E212" s="595"/>
      <c r="F212" s="595"/>
      <c r="G212" s="595"/>
      <c r="H212" s="595"/>
      <c r="I212" s="595"/>
      <c r="J212" s="595"/>
      <c r="K212" s="595"/>
      <c r="L212" s="595"/>
      <c r="M212" s="595"/>
      <c r="N212" s="595"/>
      <c r="O212" s="595"/>
      <c r="P212" s="595"/>
      <c r="Q212" s="595"/>
      <c r="R212" s="595"/>
      <c r="S212" s="595"/>
      <c r="T212" s="595"/>
      <c r="U212" s="595"/>
      <c r="V212" s="595"/>
      <c r="W212" s="595"/>
      <c r="X212" s="595"/>
      <c r="Y212" s="595"/>
      <c r="Z212" s="595"/>
    </row>
    <row r="213" spans="1:26" ht="19.5" customHeight="1">
      <c r="A213" s="595"/>
      <c r="B213" s="595"/>
      <c r="C213" s="596"/>
      <c r="D213" s="595"/>
      <c r="E213" s="595"/>
      <c r="F213" s="595"/>
      <c r="G213" s="595"/>
      <c r="H213" s="595"/>
      <c r="I213" s="595"/>
      <c r="J213" s="595"/>
      <c r="K213" s="595"/>
      <c r="L213" s="595"/>
      <c r="M213" s="595"/>
      <c r="N213" s="595"/>
      <c r="O213" s="595"/>
      <c r="P213" s="595"/>
      <c r="Q213" s="595"/>
      <c r="R213" s="595"/>
      <c r="S213" s="595"/>
      <c r="T213" s="595"/>
      <c r="U213" s="595"/>
      <c r="V213" s="595"/>
      <c r="W213" s="595"/>
      <c r="X213" s="595"/>
      <c r="Y213" s="595"/>
      <c r="Z213" s="595"/>
    </row>
    <row r="214" spans="1:26" ht="19.5" customHeight="1">
      <c r="A214" s="595"/>
      <c r="B214" s="595"/>
      <c r="C214" s="596"/>
      <c r="D214" s="595"/>
      <c r="E214" s="595"/>
      <c r="F214" s="595"/>
      <c r="G214" s="595"/>
      <c r="H214" s="595"/>
      <c r="I214" s="595"/>
      <c r="J214" s="595"/>
      <c r="K214" s="595"/>
      <c r="L214" s="595"/>
      <c r="M214" s="595"/>
      <c r="N214" s="595"/>
      <c r="O214" s="595"/>
      <c r="P214" s="595"/>
      <c r="Q214" s="595"/>
      <c r="R214" s="595"/>
      <c r="S214" s="595"/>
      <c r="T214" s="595"/>
      <c r="U214" s="595"/>
      <c r="V214" s="595"/>
      <c r="W214" s="595"/>
      <c r="X214" s="595"/>
      <c r="Y214" s="595"/>
      <c r="Z214" s="595"/>
    </row>
    <row r="215" spans="1:26" ht="19.5" customHeight="1">
      <c r="A215" s="595"/>
      <c r="B215" s="595"/>
      <c r="C215" s="596"/>
      <c r="D215" s="595"/>
      <c r="E215" s="595"/>
      <c r="F215" s="595"/>
      <c r="G215" s="595"/>
      <c r="H215" s="595"/>
      <c r="I215" s="595"/>
      <c r="J215" s="595"/>
      <c r="K215" s="595"/>
      <c r="L215" s="595"/>
      <c r="M215" s="595"/>
      <c r="N215" s="595"/>
      <c r="O215" s="595"/>
      <c r="P215" s="595"/>
      <c r="Q215" s="595"/>
      <c r="R215" s="595"/>
      <c r="S215" s="595"/>
      <c r="T215" s="595"/>
      <c r="U215" s="595"/>
      <c r="V215" s="595"/>
      <c r="W215" s="595"/>
      <c r="X215" s="595"/>
      <c r="Y215" s="595"/>
      <c r="Z215" s="595"/>
    </row>
    <row r="216" spans="1:26" ht="19.5" customHeight="1">
      <c r="A216" s="595"/>
      <c r="B216" s="595"/>
      <c r="C216" s="596"/>
      <c r="D216" s="595"/>
      <c r="E216" s="595"/>
      <c r="F216" s="595"/>
      <c r="G216" s="595"/>
      <c r="H216" s="595"/>
      <c r="I216" s="595"/>
      <c r="J216" s="595"/>
      <c r="K216" s="595"/>
      <c r="L216" s="595"/>
      <c r="M216" s="595"/>
      <c r="N216" s="595"/>
      <c r="O216" s="595"/>
      <c r="P216" s="595"/>
      <c r="Q216" s="595"/>
      <c r="R216" s="595"/>
      <c r="S216" s="595"/>
      <c r="T216" s="595"/>
      <c r="U216" s="595"/>
      <c r="V216" s="595"/>
      <c r="W216" s="595"/>
      <c r="X216" s="595"/>
      <c r="Y216" s="595"/>
      <c r="Z216" s="595"/>
    </row>
    <row r="217" spans="1:26" ht="19.5" customHeight="1">
      <c r="A217" s="595"/>
      <c r="B217" s="595"/>
      <c r="C217" s="596"/>
      <c r="D217" s="595"/>
      <c r="E217" s="595"/>
      <c r="F217" s="595"/>
      <c r="G217" s="595"/>
      <c r="H217" s="595"/>
      <c r="I217" s="595"/>
      <c r="J217" s="595"/>
      <c r="K217" s="595"/>
      <c r="L217" s="595"/>
      <c r="M217" s="595"/>
      <c r="N217" s="595"/>
      <c r="O217" s="595"/>
      <c r="P217" s="595"/>
      <c r="Q217" s="595"/>
      <c r="R217" s="595"/>
      <c r="S217" s="595"/>
      <c r="T217" s="595"/>
      <c r="U217" s="595"/>
      <c r="V217" s="595"/>
      <c r="W217" s="595"/>
      <c r="X217" s="595"/>
      <c r="Y217" s="595"/>
      <c r="Z217" s="595"/>
    </row>
    <row r="218" spans="1:26" ht="19.5" customHeight="1">
      <c r="A218" s="595"/>
      <c r="B218" s="595"/>
      <c r="C218" s="596"/>
      <c r="D218" s="595"/>
      <c r="E218" s="595"/>
      <c r="F218" s="595"/>
      <c r="G218" s="595"/>
      <c r="H218" s="595"/>
      <c r="I218" s="595"/>
      <c r="J218" s="595"/>
      <c r="K218" s="595"/>
      <c r="L218" s="595"/>
      <c r="M218" s="595"/>
      <c r="N218" s="595"/>
      <c r="O218" s="595"/>
      <c r="P218" s="595"/>
      <c r="Q218" s="595"/>
      <c r="R218" s="595"/>
      <c r="S218" s="595"/>
      <c r="T218" s="595"/>
      <c r="U218" s="595"/>
      <c r="V218" s="595"/>
      <c r="W218" s="595"/>
      <c r="X218" s="595"/>
      <c r="Y218" s="595"/>
      <c r="Z218" s="595"/>
    </row>
    <row r="219" spans="1:26" ht="19.5" customHeight="1">
      <c r="A219" s="595"/>
      <c r="B219" s="595"/>
      <c r="C219" s="596"/>
      <c r="D219" s="595"/>
      <c r="E219" s="595"/>
      <c r="F219" s="595"/>
      <c r="G219" s="595"/>
      <c r="H219" s="595"/>
      <c r="I219" s="595"/>
      <c r="J219" s="595"/>
      <c r="K219" s="595"/>
      <c r="L219" s="595"/>
      <c r="M219" s="595"/>
      <c r="N219" s="595"/>
      <c r="O219" s="595"/>
      <c r="P219" s="595"/>
      <c r="Q219" s="595"/>
      <c r="R219" s="595"/>
      <c r="S219" s="595"/>
      <c r="T219" s="595"/>
      <c r="U219" s="595"/>
      <c r="V219" s="595"/>
      <c r="W219" s="595"/>
      <c r="X219" s="595"/>
      <c r="Y219" s="595"/>
      <c r="Z219" s="595"/>
    </row>
    <row r="220" spans="1:26" ht="19.5" customHeight="1">
      <c r="A220" s="595"/>
      <c r="B220" s="595"/>
      <c r="C220" s="596"/>
      <c r="D220" s="595"/>
      <c r="E220" s="595"/>
      <c r="F220" s="595"/>
      <c r="G220" s="595"/>
      <c r="H220" s="595"/>
      <c r="I220" s="595"/>
      <c r="J220" s="595"/>
      <c r="K220" s="595"/>
      <c r="L220" s="595"/>
      <c r="M220" s="595"/>
      <c r="N220" s="595"/>
      <c r="O220" s="595"/>
      <c r="P220" s="595"/>
      <c r="Q220" s="595"/>
      <c r="R220" s="595"/>
      <c r="S220" s="595"/>
      <c r="T220" s="595"/>
      <c r="U220" s="595"/>
      <c r="V220" s="595"/>
      <c r="W220" s="595"/>
      <c r="X220" s="595"/>
      <c r="Y220" s="595"/>
      <c r="Z220" s="595"/>
    </row>
    <row r="221" spans="1:26" ht="19.5" customHeight="1">
      <c r="A221" s="595"/>
      <c r="B221" s="595"/>
      <c r="C221" s="596"/>
      <c r="D221" s="595"/>
      <c r="E221" s="595"/>
      <c r="F221" s="595"/>
      <c r="G221" s="595"/>
      <c r="H221" s="595"/>
      <c r="I221" s="595"/>
      <c r="J221" s="595"/>
      <c r="K221" s="595"/>
      <c r="L221" s="595"/>
      <c r="M221" s="595"/>
      <c r="N221" s="595"/>
      <c r="O221" s="595"/>
      <c r="P221" s="595"/>
      <c r="Q221" s="595"/>
      <c r="R221" s="595"/>
      <c r="S221" s="595"/>
      <c r="T221" s="595"/>
      <c r="U221" s="595"/>
      <c r="V221" s="595"/>
      <c r="W221" s="595"/>
      <c r="X221" s="595"/>
      <c r="Y221" s="595"/>
      <c r="Z221" s="595"/>
    </row>
    <row r="222" spans="1:26" ht="19.5" customHeight="1">
      <c r="A222" s="595"/>
      <c r="B222" s="595"/>
      <c r="C222" s="596"/>
      <c r="D222" s="595"/>
      <c r="E222" s="595"/>
      <c r="F222" s="595"/>
      <c r="G222" s="595"/>
      <c r="H222" s="595"/>
      <c r="I222" s="595"/>
      <c r="J222" s="595"/>
      <c r="K222" s="595"/>
      <c r="L222" s="595"/>
      <c r="M222" s="595"/>
      <c r="N222" s="595"/>
      <c r="O222" s="595"/>
      <c r="P222" s="595"/>
      <c r="Q222" s="595"/>
      <c r="R222" s="595"/>
      <c r="S222" s="595"/>
      <c r="T222" s="595"/>
      <c r="U222" s="595"/>
      <c r="V222" s="595"/>
      <c r="W222" s="595"/>
      <c r="X222" s="595"/>
      <c r="Y222" s="595"/>
      <c r="Z222" s="595"/>
    </row>
    <row r="223" spans="1:26" ht="19.5" customHeight="1">
      <c r="A223" s="595"/>
      <c r="B223" s="595"/>
      <c r="C223" s="596"/>
      <c r="D223" s="595"/>
      <c r="E223" s="595"/>
      <c r="F223" s="595"/>
      <c r="G223" s="595"/>
      <c r="H223" s="595"/>
      <c r="I223" s="595"/>
      <c r="J223" s="595"/>
      <c r="K223" s="595"/>
      <c r="L223" s="595"/>
      <c r="M223" s="595"/>
      <c r="N223" s="595"/>
      <c r="O223" s="595"/>
      <c r="P223" s="595"/>
      <c r="Q223" s="595"/>
      <c r="R223" s="595"/>
      <c r="S223" s="595"/>
      <c r="T223" s="595"/>
      <c r="U223" s="595"/>
      <c r="V223" s="595"/>
      <c r="W223" s="595"/>
      <c r="X223" s="595"/>
      <c r="Y223" s="595"/>
      <c r="Z223" s="595"/>
    </row>
    <row r="224" spans="1:26" ht="19.5" customHeight="1">
      <c r="A224" s="595"/>
      <c r="B224" s="595"/>
      <c r="C224" s="596"/>
      <c r="D224" s="595"/>
      <c r="E224" s="595"/>
      <c r="F224" s="595"/>
      <c r="G224" s="595"/>
      <c r="H224" s="595"/>
      <c r="I224" s="595"/>
      <c r="J224" s="595"/>
      <c r="K224" s="595"/>
      <c r="L224" s="595"/>
      <c r="M224" s="595"/>
      <c r="N224" s="595"/>
      <c r="O224" s="595"/>
      <c r="P224" s="595"/>
      <c r="Q224" s="595"/>
      <c r="R224" s="595"/>
      <c r="S224" s="595"/>
      <c r="T224" s="595"/>
      <c r="U224" s="595"/>
      <c r="V224" s="595"/>
      <c r="W224" s="595"/>
      <c r="X224" s="595"/>
      <c r="Y224" s="595"/>
      <c r="Z224" s="595"/>
    </row>
    <row r="225" spans="1:26" ht="19.5" customHeight="1">
      <c r="A225" s="595"/>
      <c r="B225" s="595"/>
      <c r="C225" s="596"/>
      <c r="D225" s="595"/>
      <c r="E225" s="595"/>
      <c r="F225" s="595"/>
      <c r="G225" s="595"/>
      <c r="H225" s="595"/>
      <c r="I225" s="595"/>
      <c r="J225" s="595"/>
      <c r="K225" s="595"/>
      <c r="L225" s="595"/>
      <c r="M225" s="595"/>
      <c r="N225" s="595"/>
      <c r="O225" s="595"/>
      <c r="P225" s="595"/>
      <c r="Q225" s="595"/>
      <c r="R225" s="595"/>
      <c r="S225" s="595"/>
      <c r="T225" s="595"/>
      <c r="U225" s="595"/>
      <c r="V225" s="595"/>
      <c r="W225" s="595"/>
      <c r="X225" s="595"/>
      <c r="Y225" s="595"/>
      <c r="Z225" s="595"/>
    </row>
    <row r="226" spans="1:26" ht="19.5" customHeight="1">
      <c r="A226" s="595"/>
      <c r="B226" s="595"/>
      <c r="C226" s="596"/>
      <c r="D226" s="595"/>
      <c r="E226" s="595"/>
      <c r="F226" s="595"/>
      <c r="G226" s="595"/>
      <c r="H226" s="595"/>
      <c r="I226" s="595"/>
      <c r="J226" s="595"/>
      <c r="K226" s="595"/>
      <c r="L226" s="595"/>
      <c r="M226" s="595"/>
      <c r="N226" s="595"/>
      <c r="O226" s="595"/>
      <c r="P226" s="595"/>
      <c r="Q226" s="595"/>
      <c r="R226" s="595"/>
      <c r="S226" s="595"/>
      <c r="T226" s="595"/>
      <c r="U226" s="595"/>
      <c r="V226" s="595"/>
      <c r="W226" s="595"/>
      <c r="X226" s="595"/>
      <c r="Y226" s="595"/>
      <c r="Z226" s="595"/>
    </row>
    <row r="227" spans="1:26" ht="19.5" customHeight="1">
      <c r="A227" s="595"/>
      <c r="B227" s="595"/>
      <c r="C227" s="596"/>
      <c r="D227" s="595"/>
      <c r="E227" s="595"/>
      <c r="F227" s="595"/>
      <c r="G227" s="595"/>
      <c r="H227" s="595"/>
      <c r="I227" s="595"/>
      <c r="J227" s="595"/>
      <c r="K227" s="595"/>
      <c r="L227" s="595"/>
      <c r="M227" s="595"/>
      <c r="N227" s="595"/>
      <c r="O227" s="595"/>
      <c r="P227" s="595"/>
      <c r="Q227" s="595"/>
      <c r="R227" s="595"/>
      <c r="S227" s="595"/>
      <c r="T227" s="595"/>
      <c r="U227" s="595"/>
      <c r="V227" s="595"/>
      <c r="W227" s="595"/>
      <c r="X227" s="595"/>
      <c r="Y227" s="595"/>
      <c r="Z227" s="595"/>
    </row>
    <row r="228" spans="1:26" ht="19.5" customHeight="1">
      <c r="A228" s="595"/>
      <c r="B228" s="595"/>
      <c r="C228" s="596"/>
      <c r="D228" s="595"/>
      <c r="E228" s="595"/>
      <c r="F228" s="595"/>
      <c r="G228" s="595"/>
      <c r="H228" s="595"/>
      <c r="I228" s="595"/>
      <c r="J228" s="595"/>
      <c r="K228" s="595"/>
      <c r="L228" s="595"/>
      <c r="M228" s="595"/>
      <c r="N228" s="595"/>
      <c r="O228" s="595"/>
      <c r="P228" s="595"/>
      <c r="Q228" s="595"/>
      <c r="R228" s="595"/>
      <c r="S228" s="595"/>
      <c r="T228" s="595"/>
      <c r="U228" s="595"/>
      <c r="V228" s="595"/>
      <c r="W228" s="595"/>
      <c r="X228" s="595"/>
      <c r="Y228" s="595"/>
      <c r="Z228" s="595"/>
    </row>
    <row r="229" spans="1:26" ht="19.5" customHeight="1">
      <c r="A229" s="595"/>
      <c r="B229" s="595"/>
      <c r="C229" s="596"/>
      <c r="D229" s="595"/>
      <c r="E229" s="595"/>
      <c r="F229" s="595"/>
      <c r="G229" s="595"/>
      <c r="H229" s="595"/>
      <c r="I229" s="595"/>
      <c r="J229" s="595"/>
      <c r="K229" s="595"/>
      <c r="L229" s="595"/>
      <c r="M229" s="595"/>
      <c r="N229" s="595"/>
      <c r="O229" s="595"/>
      <c r="P229" s="595"/>
      <c r="Q229" s="595"/>
      <c r="R229" s="595"/>
      <c r="S229" s="595"/>
      <c r="T229" s="595"/>
      <c r="U229" s="595"/>
      <c r="V229" s="595"/>
      <c r="W229" s="595"/>
      <c r="X229" s="595"/>
      <c r="Y229" s="595"/>
      <c r="Z229" s="595"/>
    </row>
    <row r="230" spans="1:26" ht="19.5" customHeight="1">
      <c r="A230" s="595"/>
      <c r="B230" s="595"/>
      <c r="C230" s="596"/>
      <c r="D230" s="595"/>
      <c r="E230" s="595"/>
      <c r="F230" s="595"/>
      <c r="G230" s="595"/>
      <c r="H230" s="595"/>
      <c r="I230" s="595"/>
      <c r="J230" s="595"/>
      <c r="K230" s="595"/>
      <c r="L230" s="595"/>
      <c r="M230" s="595"/>
      <c r="N230" s="595"/>
      <c r="O230" s="595"/>
      <c r="P230" s="595"/>
      <c r="Q230" s="595"/>
      <c r="R230" s="595"/>
      <c r="S230" s="595"/>
      <c r="T230" s="595"/>
      <c r="U230" s="595"/>
      <c r="V230" s="595"/>
      <c r="W230" s="595"/>
      <c r="X230" s="595"/>
      <c r="Y230" s="595"/>
      <c r="Z230" s="595"/>
    </row>
    <row r="231" spans="1:26" ht="19.5" customHeight="1">
      <c r="A231" s="595"/>
      <c r="B231" s="595"/>
      <c r="C231" s="596"/>
      <c r="D231" s="595"/>
      <c r="E231" s="595"/>
      <c r="F231" s="595"/>
      <c r="G231" s="595"/>
      <c r="H231" s="595"/>
      <c r="I231" s="595"/>
      <c r="J231" s="595"/>
      <c r="K231" s="595"/>
      <c r="L231" s="595"/>
      <c r="M231" s="595"/>
      <c r="N231" s="595"/>
      <c r="O231" s="595"/>
      <c r="P231" s="595"/>
      <c r="Q231" s="595"/>
      <c r="R231" s="595"/>
      <c r="S231" s="595"/>
      <c r="T231" s="595"/>
      <c r="U231" s="595"/>
      <c r="V231" s="595"/>
      <c r="W231" s="595"/>
      <c r="X231" s="595"/>
      <c r="Y231" s="595"/>
      <c r="Z231" s="595"/>
    </row>
    <row r="232" spans="1:26" ht="19.5" customHeight="1">
      <c r="A232" s="595"/>
      <c r="B232" s="595"/>
      <c r="C232" s="596"/>
      <c r="D232" s="595"/>
      <c r="E232" s="595"/>
      <c r="F232" s="595"/>
      <c r="G232" s="595"/>
      <c r="H232" s="595"/>
      <c r="I232" s="595"/>
      <c r="J232" s="595"/>
      <c r="K232" s="595"/>
      <c r="L232" s="595"/>
      <c r="M232" s="595"/>
      <c r="N232" s="595"/>
      <c r="O232" s="595"/>
      <c r="P232" s="595"/>
      <c r="Q232" s="595"/>
      <c r="R232" s="595"/>
      <c r="S232" s="595"/>
      <c r="T232" s="595"/>
      <c r="U232" s="595"/>
      <c r="V232" s="595"/>
      <c r="W232" s="595"/>
      <c r="X232" s="595"/>
      <c r="Y232" s="595"/>
      <c r="Z232" s="595"/>
    </row>
    <row r="233" spans="1:26" ht="19.5" customHeight="1">
      <c r="A233" s="595"/>
      <c r="B233" s="595"/>
      <c r="C233" s="596"/>
      <c r="D233" s="595"/>
      <c r="E233" s="595"/>
      <c r="F233" s="595"/>
      <c r="G233" s="595"/>
      <c r="H233" s="595"/>
      <c r="I233" s="595"/>
      <c r="J233" s="595"/>
      <c r="K233" s="595"/>
      <c r="L233" s="595"/>
      <c r="M233" s="595"/>
      <c r="N233" s="595"/>
      <c r="O233" s="595"/>
      <c r="P233" s="595"/>
      <c r="Q233" s="595"/>
      <c r="R233" s="595"/>
      <c r="S233" s="595"/>
      <c r="T233" s="595"/>
      <c r="U233" s="595"/>
      <c r="V233" s="595"/>
      <c r="W233" s="595"/>
      <c r="X233" s="595"/>
      <c r="Y233" s="595"/>
      <c r="Z233" s="595"/>
    </row>
    <row r="234" spans="1:26" ht="19.5" customHeight="1">
      <c r="A234" s="595"/>
      <c r="B234" s="595"/>
      <c r="C234" s="596"/>
      <c r="D234" s="595"/>
      <c r="E234" s="595"/>
      <c r="F234" s="595"/>
      <c r="G234" s="595"/>
      <c r="H234" s="595"/>
      <c r="I234" s="595"/>
      <c r="J234" s="595"/>
      <c r="K234" s="595"/>
      <c r="L234" s="595"/>
      <c r="M234" s="595"/>
      <c r="N234" s="595"/>
      <c r="O234" s="595"/>
      <c r="P234" s="595"/>
      <c r="Q234" s="595"/>
      <c r="R234" s="595"/>
      <c r="S234" s="595"/>
      <c r="T234" s="595"/>
      <c r="U234" s="595"/>
      <c r="V234" s="595"/>
      <c r="W234" s="595"/>
      <c r="X234" s="595"/>
      <c r="Y234" s="595"/>
      <c r="Z234" s="595"/>
    </row>
    <row r="235" spans="1:26" ht="19.5" customHeight="1">
      <c r="A235" s="595"/>
      <c r="B235" s="595"/>
      <c r="C235" s="596"/>
      <c r="D235" s="595"/>
      <c r="E235" s="595"/>
      <c r="F235" s="595"/>
      <c r="G235" s="595"/>
      <c r="H235" s="595"/>
      <c r="I235" s="595"/>
      <c r="J235" s="595"/>
      <c r="K235" s="595"/>
      <c r="L235" s="595"/>
      <c r="M235" s="595"/>
      <c r="N235" s="595"/>
      <c r="O235" s="595"/>
      <c r="P235" s="595"/>
      <c r="Q235" s="595"/>
      <c r="R235" s="595"/>
      <c r="S235" s="595"/>
      <c r="T235" s="595"/>
      <c r="U235" s="595"/>
      <c r="V235" s="595"/>
      <c r="W235" s="595"/>
      <c r="X235" s="595"/>
      <c r="Y235" s="595"/>
      <c r="Z235" s="595"/>
    </row>
    <row r="236" spans="1:26" ht="19.5" customHeight="1">
      <c r="A236" s="595"/>
      <c r="B236" s="595"/>
      <c r="C236" s="596"/>
      <c r="D236" s="595"/>
      <c r="E236" s="595"/>
      <c r="F236" s="595"/>
      <c r="G236" s="595"/>
      <c r="H236" s="595"/>
      <c r="I236" s="595"/>
      <c r="J236" s="595"/>
      <c r="K236" s="595"/>
      <c r="L236" s="595"/>
      <c r="M236" s="595"/>
      <c r="N236" s="595"/>
      <c r="O236" s="595"/>
      <c r="P236" s="595"/>
      <c r="Q236" s="595"/>
      <c r="R236" s="595"/>
      <c r="S236" s="595"/>
      <c r="T236" s="595"/>
      <c r="U236" s="595"/>
      <c r="V236" s="595"/>
      <c r="W236" s="595"/>
      <c r="X236" s="595"/>
      <c r="Y236" s="595"/>
      <c r="Z236" s="595"/>
    </row>
    <row r="237" spans="1:26" ht="19.5" customHeight="1">
      <c r="A237" s="595"/>
      <c r="B237" s="595"/>
      <c r="C237" s="596"/>
      <c r="D237" s="595"/>
      <c r="E237" s="595"/>
      <c r="F237" s="595"/>
      <c r="G237" s="595"/>
      <c r="H237" s="595"/>
      <c r="I237" s="595"/>
      <c r="J237" s="595"/>
      <c r="K237" s="595"/>
      <c r="L237" s="595"/>
      <c r="M237" s="595"/>
      <c r="N237" s="595"/>
      <c r="O237" s="595"/>
      <c r="P237" s="595"/>
      <c r="Q237" s="595"/>
      <c r="R237" s="595"/>
      <c r="S237" s="595"/>
      <c r="T237" s="595"/>
      <c r="U237" s="595"/>
      <c r="V237" s="595"/>
      <c r="W237" s="595"/>
      <c r="X237" s="595"/>
      <c r="Y237" s="595"/>
      <c r="Z237" s="595"/>
    </row>
    <row r="238" spans="1:26" ht="19.5" customHeight="1">
      <c r="A238" s="595"/>
      <c r="B238" s="595"/>
      <c r="C238" s="596"/>
      <c r="D238" s="595"/>
      <c r="E238" s="595"/>
      <c r="F238" s="595"/>
      <c r="G238" s="595"/>
      <c r="H238" s="595"/>
      <c r="I238" s="595"/>
      <c r="J238" s="595"/>
      <c r="K238" s="595"/>
      <c r="L238" s="595"/>
      <c r="M238" s="595"/>
      <c r="N238" s="595"/>
      <c r="O238" s="595"/>
      <c r="P238" s="595"/>
      <c r="Q238" s="595"/>
      <c r="R238" s="595"/>
      <c r="S238" s="595"/>
      <c r="T238" s="595"/>
      <c r="U238" s="595"/>
      <c r="V238" s="595"/>
      <c r="W238" s="595"/>
      <c r="X238" s="595"/>
      <c r="Y238" s="595"/>
      <c r="Z238" s="595"/>
    </row>
    <row r="239" spans="1:26" ht="19.5" customHeight="1">
      <c r="A239" s="595"/>
      <c r="B239" s="595"/>
      <c r="C239" s="596"/>
      <c r="D239" s="595"/>
      <c r="E239" s="595"/>
      <c r="F239" s="595"/>
      <c r="G239" s="595"/>
      <c r="H239" s="595"/>
      <c r="I239" s="595"/>
      <c r="J239" s="595"/>
      <c r="K239" s="595"/>
      <c r="L239" s="595"/>
      <c r="M239" s="595"/>
      <c r="N239" s="595"/>
      <c r="O239" s="595"/>
      <c r="P239" s="595"/>
      <c r="Q239" s="595"/>
      <c r="R239" s="595"/>
      <c r="S239" s="595"/>
      <c r="T239" s="595"/>
      <c r="U239" s="595"/>
      <c r="V239" s="595"/>
      <c r="W239" s="595"/>
      <c r="X239" s="595"/>
      <c r="Y239" s="595"/>
      <c r="Z239" s="595"/>
    </row>
    <row r="240" spans="1:26" ht="19.5" customHeight="1">
      <c r="A240" s="595"/>
      <c r="B240" s="595"/>
      <c r="C240" s="596"/>
      <c r="D240" s="595"/>
      <c r="E240" s="595"/>
      <c r="F240" s="595"/>
      <c r="G240" s="595"/>
      <c r="H240" s="595"/>
      <c r="I240" s="595"/>
      <c r="J240" s="595"/>
      <c r="K240" s="595"/>
      <c r="L240" s="595"/>
      <c r="M240" s="595"/>
      <c r="N240" s="595"/>
      <c r="O240" s="595"/>
      <c r="P240" s="595"/>
      <c r="Q240" s="595"/>
      <c r="R240" s="595"/>
      <c r="S240" s="595"/>
      <c r="T240" s="595"/>
      <c r="U240" s="595"/>
      <c r="V240" s="595"/>
      <c r="W240" s="595"/>
      <c r="X240" s="595"/>
      <c r="Y240" s="595"/>
      <c r="Z240" s="595"/>
    </row>
    <row r="241" spans="1:26" ht="19.5" customHeight="1">
      <c r="A241" s="595"/>
      <c r="B241" s="595"/>
      <c r="C241" s="596"/>
      <c r="D241" s="595"/>
      <c r="E241" s="595"/>
      <c r="F241" s="595"/>
      <c r="G241" s="595"/>
      <c r="H241" s="595"/>
      <c r="I241" s="595"/>
      <c r="J241" s="595"/>
      <c r="K241" s="595"/>
      <c r="L241" s="595"/>
      <c r="M241" s="595"/>
      <c r="N241" s="595"/>
      <c r="O241" s="595"/>
      <c r="P241" s="595"/>
      <c r="Q241" s="595"/>
      <c r="R241" s="595"/>
      <c r="S241" s="595"/>
      <c r="T241" s="595"/>
      <c r="U241" s="595"/>
      <c r="V241" s="595"/>
      <c r="W241" s="595"/>
      <c r="X241" s="595"/>
      <c r="Y241" s="595"/>
      <c r="Z241" s="595"/>
    </row>
    <row r="242" spans="1:26" ht="19.5" customHeight="1">
      <c r="A242" s="595"/>
      <c r="B242" s="595"/>
      <c r="C242" s="596"/>
      <c r="D242" s="595"/>
      <c r="E242" s="595"/>
      <c r="F242" s="595"/>
      <c r="G242" s="595"/>
      <c r="H242" s="595"/>
      <c r="I242" s="595"/>
      <c r="J242" s="595"/>
      <c r="K242" s="595"/>
      <c r="L242" s="595"/>
      <c r="M242" s="595"/>
      <c r="N242" s="595"/>
      <c r="O242" s="595"/>
      <c r="P242" s="595"/>
      <c r="Q242" s="595"/>
      <c r="R242" s="595"/>
      <c r="S242" s="595"/>
      <c r="T242" s="595"/>
      <c r="U242" s="595"/>
      <c r="V242" s="595"/>
      <c r="W242" s="595"/>
      <c r="X242" s="595"/>
      <c r="Y242" s="595"/>
      <c r="Z242" s="595"/>
    </row>
    <row r="243" spans="1:26" ht="19.5" customHeight="1">
      <c r="A243" s="595"/>
      <c r="B243" s="595"/>
      <c r="C243" s="596"/>
      <c r="D243" s="595"/>
      <c r="E243" s="595"/>
      <c r="F243" s="595"/>
      <c r="G243" s="595"/>
      <c r="H243" s="595"/>
      <c r="I243" s="595"/>
      <c r="J243" s="595"/>
      <c r="K243" s="595"/>
      <c r="L243" s="595"/>
      <c r="M243" s="595"/>
      <c r="N243" s="595"/>
      <c r="O243" s="595"/>
      <c r="P243" s="595"/>
      <c r="Q243" s="595"/>
      <c r="R243" s="595"/>
      <c r="S243" s="595"/>
      <c r="T243" s="595"/>
      <c r="U243" s="595"/>
      <c r="V243" s="595"/>
      <c r="W243" s="595"/>
      <c r="X243" s="595"/>
      <c r="Y243" s="595"/>
      <c r="Z243" s="595"/>
    </row>
    <row r="244" spans="1:26" ht="19.5" customHeight="1">
      <c r="A244" s="595"/>
      <c r="B244" s="595"/>
      <c r="C244" s="596"/>
      <c r="D244" s="595"/>
      <c r="E244" s="595"/>
      <c r="F244" s="595"/>
      <c r="G244" s="595"/>
      <c r="H244" s="595"/>
      <c r="I244" s="595"/>
      <c r="J244" s="595"/>
      <c r="K244" s="595"/>
      <c r="L244" s="595"/>
      <c r="M244" s="595"/>
      <c r="N244" s="595"/>
      <c r="O244" s="595"/>
      <c r="P244" s="595"/>
      <c r="Q244" s="595"/>
      <c r="R244" s="595"/>
      <c r="S244" s="595"/>
      <c r="T244" s="595"/>
      <c r="U244" s="595"/>
      <c r="V244" s="595"/>
      <c r="W244" s="595"/>
      <c r="X244" s="595"/>
      <c r="Y244" s="595"/>
      <c r="Z244" s="595"/>
    </row>
    <row r="245" spans="1:26" ht="19.5" customHeight="1">
      <c r="A245" s="595"/>
      <c r="B245" s="595"/>
      <c r="C245" s="596"/>
      <c r="D245" s="595"/>
      <c r="E245" s="595"/>
      <c r="F245" s="595"/>
      <c r="G245" s="595"/>
      <c r="H245" s="595"/>
      <c r="I245" s="595"/>
      <c r="J245" s="595"/>
      <c r="K245" s="595"/>
      <c r="L245" s="595"/>
      <c r="M245" s="595"/>
      <c r="N245" s="595"/>
      <c r="O245" s="595"/>
      <c r="P245" s="595"/>
      <c r="Q245" s="595"/>
      <c r="R245" s="595"/>
      <c r="S245" s="595"/>
      <c r="T245" s="595"/>
      <c r="U245" s="595"/>
      <c r="V245" s="595"/>
      <c r="W245" s="595"/>
      <c r="X245" s="595"/>
      <c r="Y245" s="595"/>
      <c r="Z245" s="595"/>
    </row>
    <row r="246" spans="1:26" ht="19.5" customHeight="1">
      <c r="A246" s="595"/>
      <c r="B246" s="595"/>
      <c r="C246" s="596"/>
      <c r="D246" s="595"/>
      <c r="E246" s="595"/>
      <c r="F246" s="595"/>
      <c r="G246" s="595"/>
      <c r="H246" s="595"/>
      <c r="I246" s="595"/>
      <c r="J246" s="595"/>
      <c r="K246" s="595"/>
      <c r="L246" s="595"/>
      <c r="M246" s="595"/>
      <c r="N246" s="595"/>
      <c r="O246" s="595"/>
      <c r="P246" s="595"/>
      <c r="Q246" s="595"/>
      <c r="R246" s="595"/>
      <c r="S246" s="595"/>
      <c r="T246" s="595"/>
      <c r="U246" s="595"/>
      <c r="V246" s="595"/>
      <c r="W246" s="595"/>
      <c r="X246" s="595"/>
      <c r="Y246" s="595"/>
      <c r="Z246" s="595"/>
    </row>
    <row r="247" spans="1:26" ht="19.5" customHeight="1">
      <c r="A247" s="595"/>
      <c r="B247" s="595"/>
      <c r="C247" s="596"/>
      <c r="D247" s="595"/>
      <c r="E247" s="595"/>
      <c r="F247" s="595"/>
      <c r="G247" s="595"/>
      <c r="H247" s="595"/>
      <c r="I247" s="595"/>
      <c r="J247" s="595"/>
      <c r="K247" s="595"/>
      <c r="L247" s="595"/>
      <c r="M247" s="595"/>
      <c r="N247" s="595"/>
      <c r="O247" s="595"/>
      <c r="P247" s="595"/>
      <c r="Q247" s="595"/>
      <c r="R247" s="595"/>
      <c r="S247" s="595"/>
      <c r="T247" s="595"/>
      <c r="U247" s="595"/>
      <c r="V247" s="595"/>
      <c r="W247" s="595"/>
      <c r="X247" s="595"/>
      <c r="Y247" s="595"/>
      <c r="Z247" s="595"/>
    </row>
    <row r="248" spans="1:26" ht="19.5" customHeight="1">
      <c r="A248" s="595"/>
      <c r="B248" s="595"/>
      <c r="C248" s="596"/>
      <c r="D248" s="595"/>
      <c r="E248" s="595"/>
      <c r="F248" s="595"/>
      <c r="G248" s="595"/>
      <c r="H248" s="595"/>
      <c r="I248" s="595"/>
      <c r="J248" s="595"/>
      <c r="K248" s="595"/>
      <c r="L248" s="595"/>
      <c r="M248" s="595"/>
      <c r="N248" s="595"/>
      <c r="O248" s="595"/>
      <c r="P248" s="595"/>
      <c r="Q248" s="595"/>
      <c r="R248" s="595"/>
      <c r="S248" s="595"/>
      <c r="T248" s="595"/>
      <c r="U248" s="595"/>
      <c r="V248" s="595"/>
      <c r="W248" s="595"/>
      <c r="X248" s="595"/>
      <c r="Y248" s="595"/>
      <c r="Z248" s="595"/>
    </row>
    <row r="249" spans="1:26" ht="19.5" customHeight="1">
      <c r="A249" s="595"/>
      <c r="B249" s="595"/>
      <c r="C249" s="596"/>
      <c r="D249" s="595"/>
      <c r="E249" s="595"/>
      <c r="F249" s="595"/>
      <c r="G249" s="595"/>
      <c r="H249" s="595"/>
      <c r="I249" s="595"/>
      <c r="J249" s="595"/>
      <c r="K249" s="595"/>
      <c r="L249" s="595"/>
      <c r="M249" s="595"/>
      <c r="N249" s="595"/>
      <c r="O249" s="595"/>
      <c r="P249" s="595"/>
      <c r="Q249" s="595"/>
      <c r="R249" s="595"/>
      <c r="S249" s="595"/>
      <c r="T249" s="595"/>
      <c r="U249" s="595"/>
      <c r="V249" s="595"/>
      <c r="W249" s="595"/>
      <c r="X249" s="595"/>
      <c r="Y249" s="595"/>
      <c r="Z249" s="595"/>
    </row>
    <row r="250" spans="1:26" ht="19.5" customHeight="1">
      <c r="A250" s="595"/>
      <c r="B250" s="595"/>
      <c r="C250" s="596"/>
      <c r="D250" s="595"/>
      <c r="E250" s="595"/>
      <c r="F250" s="595"/>
      <c r="G250" s="595"/>
      <c r="H250" s="595"/>
      <c r="I250" s="595"/>
      <c r="J250" s="595"/>
      <c r="K250" s="595"/>
      <c r="L250" s="595"/>
      <c r="M250" s="595"/>
      <c r="N250" s="595"/>
      <c r="O250" s="595"/>
      <c r="P250" s="595"/>
      <c r="Q250" s="595"/>
      <c r="R250" s="595"/>
      <c r="S250" s="595"/>
      <c r="T250" s="595"/>
      <c r="U250" s="595"/>
      <c r="V250" s="595"/>
      <c r="W250" s="595"/>
      <c r="X250" s="595"/>
      <c r="Y250" s="595"/>
      <c r="Z250" s="595"/>
    </row>
    <row r="251" spans="1:26" ht="19.5" customHeight="1">
      <c r="A251" s="595"/>
      <c r="B251" s="595"/>
      <c r="C251" s="596"/>
      <c r="D251" s="595"/>
      <c r="E251" s="595"/>
      <c r="F251" s="595"/>
      <c r="G251" s="595"/>
      <c r="H251" s="595"/>
      <c r="I251" s="595"/>
      <c r="J251" s="595"/>
      <c r="K251" s="595"/>
      <c r="L251" s="595"/>
      <c r="M251" s="595"/>
      <c r="N251" s="595"/>
      <c r="O251" s="595"/>
      <c r="P251" s="595"/>
      <c r="Q251" s="595"/>
      <c r="R251" s="595"/>
      <c r="S251" s="595"/>
      <c r="T251" s="595"/>
      <c r="U251" s="595"/>
      <c r="V251" s="595"/>
      <c r="W251" s="595"/>
      <c r="X251" s="595"/>
      <c r="Y251" s="595"/>
      <c r="Z251" s="595"/>
    </row>
    <row r="252" spans="1:26" ht="19.5" customHeight="1">
      <c r="A252" s="595"/>
      <c r="B252" s="595"/>
      <c r="C252" s="596"/>
      <c r="D252" s="595"/>
      <c r="E252" s="595"/>
      <c r="F252" s="595"/>
      <c r="G252" s="595"/>
      <c r="H252" s="595"/>
      <c r="I252" s="595"/>
      <c r="J252" s="595"/>
      <c r="K252" s="595"/>
      <c r="L252" s="595"/>
      <c r="M252" s="595"/>
      <c r="N252" s="595"/>
      <c r="O252" s="595"/>
      <c r="P252" s="595"/>
      <c r="Q252" s="595"/>
      <c r="R252" s="595"/>
      <c r="S252" s="595"/>
      <c r="T252" s="595"/>
      <c r="U252" s="595"/>
      <c r="V252" s="595"/>
      <c r="W252" s="595"/>
      <c r="X252" s="595"/>
      <c r="Y252" s="595"/>
      <c r="Z252" s="595"/>
    </row>
    <row r="253" spans="1:26" ht="19.5" customHeight="1">
      <c r="A253" s="595"/>
      <c r="B253" s="595"/>
      <c r="C253" s="596"/>
      <c r="D253" s="595"/>
      <c r="E253" s="595"/>
      <c r="F253" s="595"/>
      <c r="G253" s="595"/>
      <c r="H253" s="595"/>
      <c r="I253" s="595"/>
      <c r="J253" s="595"/>
      <c r="K253" s="595"/>
      <c r="L253" s="595"/>
      <c r="M253" s="595"/>
      <c r="N253" s="595"/>
      <c r="O253" s="595"/>
      <c r="P253" s="595"/>
      <c r="Q253" s="595"/>
      <c r="R253" s="595"/>
      <c r="S253" s="595"/>
      <c r="T253" s="595"/>
      <c r="U253" s="595"/>
      <c r="V253" s="595"/>
      <c r="W253" s="595"/>
      <c r="X253" s="595"/>
      <c r="Y253" s="595"/>
      <c r="Z253" s="595"/>
    </row>
    <row r="254" spans="1:26" ht="19.5" customHeight="1">
      <c r="A254" s="595"/>
      <c r="B254" s="595"/>
      <c r="C254" s="596"/>
      <c r="D254" s="595"/>
      <c r="E254" s="595"/>
      <c r="F254" s="595"/>
      <c r="G254" s="595"/>
      <c r="H254" s="595"/>
      <c r="I254" s="595"/>
      <c r="J254" s="595"/>
      <c r="K254" s="595"/>
      <c r="L254" s="595"/>
      <c r="M254" s="595"/>
      <c r="N254" s="595"/>
      <c r="O254" s="595"/>
      <c r="P254" s="595"/>
      <c r="Q254" s="595"/>
      <c r="R254" s="595"/>
      <c r="S254" s="595"/>
      <c r="T254" s="595"/>
      <c r="U254" s="595"/>
      <c r="V254" s="595"/>
      <c r="W254" s="595"/>
      <c r="X254" s="595"/>
      <c r="Y254" s="595"/>
      <c r="Z254" s="595"/>
    </row>
    <row r="255" spans="1:26" ht="19.5" customHeight="1">
      <c r="A255" s="595"/>
      <c r="B255" s="595"/>
      <c r="C255" s="596"/>
      <c r="D255" s="595"/>
      <c r="E255" s="595"/>
      <c r="F255" s="595"/>
      <c r="G255" s="595"/>
      <c r="H255" s="595"/>
      <c r="I255" s="595"/>
      <c r="J255" s="595"/>
      <c r="K255" s="595"/>
      <c r="L255" s="595"/>
      <c r="M255" s="595"/>
      <c r="N255" s="595"/>
      <c r="O255" s="595"/>
      <c r="P255" s="595"/>
      <c r="Q255" s="595"/>
      <c r="R255" s="595"/>
      <c r="S255" s="595"/>
      <c r="T255" s="595"/>
      <c r="U255" s="595"/>
      <c r="V255" s="595"/>
      <c r="W255" s="595"/>
      <c r="X255" s="595"/>
      <c r="Y255" s="595"/>
      <c r="Z255" s="595"/>
    </row>
    <row r="256" spans="1:26" ht="19.5" customHeight="1">
      <c r="A256" s="595"/>
      <c r="B256" s="595"/>
      <c r="C256" s="596"/>
      <c r="D256" s="595"/>
      <c r="E256" s="595"/>
      <c r="F256" s="595"/>
      <c r="G256" s="595"/>
      <c r="H256" s="595"/>
      <c r="I256" s="595"/>
      <c r="J256" s="595"/>
      <c r="K256" s="595"/>
      <c r="L256" s="595"/>
      <c r="M256" s="595"/>
      <c r="N256" s="595"/>
      <c r="O256" s="595"/>
      <c r="P256" s="595"/>
      <c r="Q256" s="595"/>
      <c r="R256" s="595"/>
      <c r="S256" s="595"/>
      <c r="T256" s="595"/>
      <c r="U256" s="595"/>
      <c r="V256" s="595"/>
      <c r="W256" s="595"/>
      <c r="X256" s="595"/>
      <c r="Y256" s="595"/>
      <c r="Z256" s="595"/>
    </row>
    <row r="257" spans="1:26" ht="19.5" customHeight="1">
      <c r="A257" s="595"/>
      <c r="B257" s="595"/>
      <c r="C257" s="596"/>
      <c r="D257" s="595"/>
      <c r="E257" s="595"/>
      <c r="F257" s="595"/>
      <c r="G257" s="595"/>
      <c r="H257" s="595"/>
      <c r="I257" s="595"/>
      <c r="J257" s="595"/>
      <c r="K257" s="595"/>
      <c r="L257" s="595"/>
      <c r="M257" s="595"/>
      <c r="N257" s="595"/>
      <c r="O257" s="595"/>
      <c r="P257" s="595"/>
      <c r="Q257" s="595"/>
      <c r="R257" s="595"/>
      <c r="S257" s="595"/>
      <c r="T257" s="595"/>
      <c r="U257" s="595"/>
      <c r="V257" s="595"/>
      <c r="W257" s="595"/>
      <c r="X257" s="595"/>
      <c r="Y257" s="595"/>
      <c r="Z257" s="595"/>
    </row>
    <row r="258" spans="1:26" ht="19.5" customHeight="1">
      <c r="A258" s="595"/>
      <c r="B258" s="595"/>
      <c r="C258" s="596"/>
      <c r="D258" s="595"/>
      <c r="E258" s="595"/>
      <c r="F258" s="595"/>
      <c r="G258" s="595"/>
      <c r="H258" s="595"/>
      <c r="I258" s="595"/>
      <c r="J258" s="595"/>
      <c r="K258" s="595"/>
      <c r="L258" s="595"/>
      <c r="M258" s="595"/>
      <c r="N258" s="595"/>
      <c r="O258" s="595"/>
      <c r="P258" s="595"/>
      <c r="Q258" s="595"/>
      <c r="R258" s="595"/>
      <c r="S258" s="595"/>
      <c r="T258" s="595"/>
      <c r="U258" s="595"/>
      <c r="V258" s="595"/>
      <c r="W258" s="595"/>
      <c r="X258" s="595"/>
      <c r="Y258" s="595"/>
      <c r="Z258" s="595"/>
    </row>
    <row r="259" spans="1:26" ht="19.5" customHeight="1">
      <c r="A259" s="595"/>
      <c r="B259" s="595"/>
      <c r="C259" s="596"/>
      <c r="D259" s="595"/>
      <c r="E259" s="595"/>
      <c r="F259" s="595"/>
      <c r="G259" s="595"/>
      <c r="H259" s="595"/>
      <c r="I259" s="595"/>
      <c r="J259" s="595"/>
      <c r="K259" s="595"/>
      <c r="L259" s="595"/>
      <c r="M259" s="595"/>
      <c r="N259" s="595"/>
      <c r="O259" s="595"/>
      <c r="P259" s="595"/>
      <c r="Q259" s="595"/>
      <c r="R259" s="595"/>
      <c r="S259" s="595"/>
      <c r="T259" s="595"/>
      <c r="U259" s="595"/>
      <c r="V259" s="595"/>
      <c r="W259" s="595"/>
      <c r="X259" s="595"/>
      <c r="Y259" s="595"/>
      <c r="Z259" s="595"/>
    </row>
    <row r="260" spans="1:26" ht="19.5" customHeight="1">
      <c r="A260" s="595"/>
      <c r="B260" s="595"/>
      <c r="C260" s="596"/>
      <c r="D260" s="595"/>
      <c r="E260" s="595"/>
      <c r="F260" s="595"/>
      <c r="G260" s="595"/>
      <c r="H260" s="595"/>
      <c r="I260" s="595"/>
      <c r="J260" s="595"/>
      <c r="K260" s="595"/>
      <c r="L260" s="595"/>
      <c r="M260" s="595"/>
      <c r="N260" s="595"/>
      <c r="O260" s="595"/>
      <c r="P260" s="595"/>
      <c r="Q260" s="595"/>
      <c r="R260" s="595"/>
      <c r="S260" s="595"/>
      <c r="T260" s="595"/>
      <c r="U260" s="595"/>
      <c r="V260" s="595"/>
      <c r="W260" s="595"/>
      <c r="X260" s="595"/>
      <c r="Y260" s="595"/>
      <c r="Z260" s="595"/>
    </row>
    <row r="261" spans="1:26" ht="19.5" customHeight="1">
      <c r="A261" s="595"/>
      <c r="B261" s="595"/>
      <c r="C261" s="596"/>
      <c r="D261" s="595"/>
      <c r="E261" s="595"/>
      <c r="F261" s="595"/>
      <c r="G261" s="595"/>
      <c r="H261" s="595"/>
      <c r="I261" s="595"/>
      <c r="J261" s="595"/>
      <c r="K261" s="595"/>
      <c r="L261" s="595"/>
      <c r="M261" s="595"/>
      <c r="N261" s="595"/>
      <c r="O261" s="595"/>
      <c r="P261" s="595"/>
      <c r="Q261" s="595"/>
      <c r="R261" s="595"/>
      <c r="S261" s="595"/>
      <c r="T261" s="595"/>
      <c r="U261" s="595"/>
      <c r="V261" s="595"/>
      <c r="W261" s="595"/>
      <c r="X261" s="595"/>
      <c r="Y261" s="595"/>
      <c r="Z261" s="595"/>
    </row>
    <row r="262" spans="1:26" ht="19.5" customHeight="1">
      <c r="A262" s="595"/>
      <c r="B262" s="595"/>
      <c r="C262" s="596"/>
      <c r="D262" s="595"/>
      <c r="E262" s="595"/>
      <c r="F262" s="595"/>
      <c r="G262" s="595"/>
      <c r="H262" s="595"/>
      <c r="I262" s="595"/>
      <c r="J262" s="595"/>
      <c r="K262" s="595"/>
      <c r="L262" s="595"/>
      <c r="M262" s="595"/>
      <c r="N262" s="595"/>
      <c r="O262" s="595"/>
      <c r="P262" s="595"/>
      <c r="Q262" s="595"/>
      <c r="R262" s="595"/>
      <c r="S262" s="595"/>
      <c r="T262" s="595"/>
      <c r="U262" s="595"/>
      <c r="V262" s="595"/>
      <c r="W262" s="595"/>
      <c r="X262" s="595"/>
      <c r="Y262" s="595"/>
      <c r="Z262" s="595"/>
    </row>
    <row r="263" spans="1:26" ht="19.5" customHeight="1">
      <c r="A263" s="595"/>
      <c r="B263" s="595"/>
      <c r="C263" s="596"/>
      <c r="D263" s="595"/>
      <c r="E263" s="595"/>
      <c r="F263" s="595"/>
      <c r="G263" s="595"/>
      <c r="H263" s="595"/>
      <c r="I263" s="595"/>
      <c r="J263" s="595"/>
      <c r="K263" s="595"/>
      <c r="L263" s="595"/>
      <c r="M263" s="595"/>
      <c r="N263" s="595"/>
      <c r="O263" s="595"/>
      <c r="P263" s="595"/>
      <c r="Q263" s="595"/>
      <c r="R263" s="595"/>
      <c r="S263" s="595"/>
      <c r="T263" s="595"/>
      <c r="U263" s="595"/>
      <c r="V263" s="595"/>
      <c r="W263" s="595"/>
      <c r="X263" s="595"/>
      <c r="Y263" s="595"/>
      <c r="Z263" s="595"/>
    </row>
    <row r="264" spans="1:26" ht="19.5" customHeight="1">
      <c r="A264" s="595"/>
      <c r="B264" s="595"/>
      <c r="C264" s="596"/>
      <c r="D264" s="595"/>
      <c r="E264" s="595"/>
      <c r="F264" s="595"/>
      <c r="G264" s="595"/>
      <c r="H264" s="595"/>
      <c r="I264" s="595"/>
      <c r="J264" s="595"/>
      <c r="K264" s="595"/>
      <c r="L264" s="595"/>
      <c r="M264" s="595"/>
      <c r="N264" s="595"/>
      <c r="O264" s="595"/>
      <c r="P264" s="595"/>
      <c r="Q264" s="595"/>
      <c r="R264" s="595"/>
      <c r="S264" s="595"/>
      <c r="T264" s="595"/>
      <c r="U264" s="595"/>
      <c r="V264" s="595"/>
      <c r="W264" s="595"/>
      <c r="X264" s="595"/>
      <c r="Y264" s="595"/>
      <c r="Z264" s="595"/>
    </row>
    <row r="265" spans="1:26" ht="19.5" customHeight="1">
      <c r="A265" s="595"/>
      <c r="B265" s="595"/>
      <c r="C265" s="596"/>
      <c r="D265" s="595"/>
      <c r="E265" s="595"/>
      <c r="F265" s="595"/>
      <c r="G265" s="595"/>
      <c r="H265" s="595"/>
      <c r="I265" s="595"/>
      <c r="J265" s="595"/>
      <c r="K265" s="595"/>
      <c r="L265" s="595"/>
      <c r="M265" s="595"/>
      <c r="N265" s="595"/>
      <c r="O265" s="595"/>
      <c r="P265" s="595"/>
      <c r="Q265" s="595"/>
      <c r="R265" s="595"/>
      <c r="S265" s="595"/>
      <c r="T265" s="595"/>
      <c r="U265" s="595"/>
      <c r="V265" s="595"/>
      <c r="W265" s="595"/>
      <c r="X265" s="595"/>
      <c r="Y265" s="595"/>
      <c r="Z265" s="595"/>
    </row>
    <row r="266" spans="1:26" ht="19.5" customHeight="1">
      <c r="A266" s="595"/>
      <c r="B266" s="595"/>
      <c r="C266" s="596"/>
      <c r="D266" s="595"/>
      <c r="E266" s="595"/>
      <c r="F266" s="595"/>
      <c r="G266" s="595"/>
      <c r="H266" s="595"/>
      <c r="I266" s="595"/>
      <c r="J266" s="595"/>
      <c r="K266" s="595"/>
      <c r="L266" s="595"/>
      <c r="M266" s="595"/>
      <c r="N266" s="595"/>
      <c r="O266" s="595"/>
      <c r="P266" s="595"/>
      <c r="Q266" s="595"/>
      <c r="R266" s="595"/>
      <c r="S266" s="595"/>
      <c r="T266" s="595"/>
      <c r="U266" s="595"/>
      <c r="V266" s="595"/>
      <c r="W266" s="595"/>
      <c r="X266" s="595"/>
      <c r="Y266" s="595"/>
      <c r="Z266" s="595"/>
    </row>
    <row r="267" spans="1:26" ht="19.5" customHeight="1">
      <c r="A267" s="595"/>
      <c r="B267" s="595"/>
      <c r="C267" s="596"/>
      <c r="D267" s="595"/>
      <c r="E267" s="595"/>
      <c r="F267" s="595"/>
      <c r="G267" s="595"/>
      <c r="H267" s="595"/>
      <c r="I267" s="595"/>
      <c r="J267" s="595"/>
      <c r="K267" s="595"/>
      <c r="L267" s="595"/>
      <c r="M267" s="595"/>
      <c r="N267" s="595"/>
      <c r="O267" s="595"/>
      <c r="P267" s="595"/>
      <c r="Q267" s="595"/>
      <c r="R267" s="595"/>
      <c r="S267" s="595"/>
      <c r="T267" s="595"/>
      <c r="U267" s="595"/>
      <c r="V267" s="595"/>
      <c r="W267" s="595"/>
      <c r="X267" s="595"/>
      <c r="Y267" s="595"/>
      <c r="Z267" s="595"/>
    </row>
    <row r="268" spans="1:26" ht="19.5" customHeight="1">
      <c r="A268" s="595"/>
      <c r="B268" s="595"/>
      <c r="C268" s="596"/>
      <c r="D268" s="595"/>
      <c r="E268" s="595"/>
      <c r="F268" s="595"/>
      <c r="G268" s="595"/>
      <c r="H268" s="595"/>
      <c r="I268" s="595"/>
      <c r="J268" s="595"/>
      <c r="K268" s="595"/>
      <c r="L268" s="595"/>
      <c r="M268" s="595"/>
      <c r="N268" s="595"/>
      <c r="O268" s="595"/>
      <c r="P268" s="595"/>
      <c r="Q268" s="595"/>
      <c r="R268" s="595"/>
      <c r="S268" s="595"/>
      <c r="T268" s="595"/>
      <c r="U268" s="595"/>
      <c r="V268" s="595"/>
      <c r="W268" s="595"/>
      <c r="X268" s="595"/>
      <c r="Y268" s="595"/>
      <c r="Z268" s="595"/>
    </row>
    <row r="269" spans="1:26" ht="19.5" customHeight="1">
      <c r="A269" s="595"/>
      <c r="B269" s="595"/>
      <c r="C269" s="596"/>
      <c r="D269" s="595"/>
      <c r="E269" s="595"/>
      <c r="F269" s="595"/>
      <c r="G269" s="595"/>
      <c r="H269" s="595"/>
      <c r="I269" s="595"/>
      <c r="J269" s="595"/>
      <c r="K269" s="595"/>
      <c r="L269" s="595"/>
      <c r="M269" s="595"/>
      <c r="N269" s="595"/>
      <c r="O269" s="595"/>
      <c r="P269" s="595"/>
      <c r="Q269" s="595"/>
      <c r="R269" s="595"/>
      <c r="S269" s="595"/>
      <c r="T269" s="595"/>
      <c r="U269" s="595"/>
      <c r="V269" s="595"/>
      <c r="W269" s="595"/>
      <c r="X269" s="595"/>
      <c r="Y269" s="595"/>
      <c r="Z269" s="595"/>
    </row>
    <row r="270" spans="1:26" ht="19.5" customHeight="1">
      <c r="A270" s="595"/>
      <c r="B270" s="595"/>
      <c r="C270" s="596"/>
      <c r="D270" s="595"/>
      <c r="E270" s="595"/>
      <c r="F270" s="595"/>
      <c r="G270" s="595"/>
      <c r="H270" s="595"/>
      <c r="I270" s="595"/>
      <c r="J270" s="595"/>
      <c r="K270" s="595"/>
      <c r="L270" s="595"/>
      <c r="M270" s="595"/>
      <c r="N270" s="595"/>
      <c r="O270" s="595"/>
      <c r="P270" s="595"/>
      <c r="Q270" s="595"/>
      <c r="R270" s="595"/>
      <c r="S270" s="595"/>
      <c r="T270" s="595"/>
      <c r="U270" s="595"/>
      <c r="V270" s="595"/>
      <c r="W270" s="595"/>
      <c r="X270" s="595"/>
      <c r="Y270" s="595"/>
      <c r="Z270" s="595"/>
    </row>
    <row r="271" spans="1:26" ht="19.5" customHeight="1">
      <c r="A271" s="595"/>
      <c r="B271" s="595"/>
      <c r="C271" s="596"/>
      <c r="D271" s="595"/>
      <c r="E271" s="595"/>
      <c r="F271" s="595"/>
      <c r="G271" s="595"/>
      <c r="H271" s="595"/>
      <c r="I271" s="595"/>
      <c r="J271" s="595"/>
      <c r="K271" s="595"/>
      <c r="L271" s="595"/>
      <c r="M271" s="595"/>
      <c r="N271" s="595"/>
      <c r="O271" s="595"/>
      <c r="P271" s="595"/>
      <c r="Q271" s="595"/>
      <c r="R271" s="595"/>
      <c r="S271" s="595"/>
      <c r="T271" s="595"/>
      <c r="U271" s="595"/>
      <c r="V271" s="595"/>
      <c r="W271" s="595"/>
      <c r="X271" s="595"/>
      <c r="Y271" s="595"/>
      <c r="Z271" s="595"/>
    </row>
    <row r="272" spans="1:26" ht="19.5" customHeight="1">
      <c r="A272" s="595"/>
      <c r="B272" s="595"/>
      <c r="C272" s="596"/>
      <c r="D272" s="595"/>
      <c r="E272" s="595"/>
      <c r="F272" s="595"/>
      <c r="G272" s="595"/>
      <c r="H272" s="595"/>
      <c r="I272" s="595"/>
      <c r="J272" s="595"/>
      <c r="K272" s="595"/>
      <c r="L272" s="595"/>
      <c r="M272" s="595"/>
      <c r="N272" s="595"/>
      <c r="O272" s="595"/>
      <c r="P272" s="595"/>
      <c r="Q272" s="595"/>
      <c r="R272" s="595"/>
      <c r="S272" s="595"/>
      <c r="T272" s="595"/>
      <c r="U272" s="595"/>
      <c r="V272" s="595"/>
      <c r="W272" s="595"/>
      <c r="X272" s="595"/>
      <c r="Y272" s="595"/>
      <c r="Z272" s="595"/>
    </row>
    <row r="273" spans="1:26" ht="19.5" customHeight="1">
      <c r="A273" s="595"/>
      <c r="B273" s="595"/>
      <c r="C273" s="596"/>
      <c r="D273" s="595"/>
      <c r="E273" s="595"/>
      <c r="F273" s="595"/>
      <c r="G273" s="595"/>
      <c r="H273" s="595"/>
      <c r="I273" s="595"/>
      <c r="J273" s="595"/>
      <c r="K273" s="595"/>
      <c r="L273" s="595"/>
      <c r="M273" s="595"/>
      <c r="N273" s="595"/>
      <c r="O273" s="595"/>
      <c r="P273" s="595"/>
      <c r="Q273" s="595"/>
      <c r="R273" s="595"/>
      <c r="S273" s="595"/>
      <c r="T273" s="595"/>
      <c r="U273" s="595"/>
      <c r="V273" s="595"/>
      <c r="W273" s="595"/>
      <c r="X273" s="595"/>
      <c r="Y273" s="595"/>
      <c r="Z273" s="595"/>
    </row>
    <row r="274" spans="1:26" ht="19.5" customHeight="1">
      <c r="A274" s="595"/>
      <c r="B274" s="595"/>
      <c r="C274" s="596"/>
      <c r="D274" s="595"/>
      <c r="E274" s="595"/>
      <c r="F274" s="595"/>
      <c r="G274" s="595"/>
      <c r="H274" s="595"/>
      <c r="I274" s="595"/>
      <c r="J274" s="595"/>
      <c r="K274" s="595"/>
      <c r="L274" s="595"/>
      <c r="M274" s="595"/>
      <c r="N274" s="595"/>
      <c r="O274" s="595"/>
      <c r="P274" s="595"/>
      <c r="Q274" s="595"/>
      <c r="R274" s="595"/>
      <c r="S274" s="595"/>
      <c r="T274" s="595"/>
      <c r="U274" s="595"/>
      <c r="V274" s="595"/>
      <c r="W274" s="595"/>
      <c r="X274" s="595"/>
      <c r="Y274" s="595"/>
      <c r="Z274" s="595"/>
    </row>
    <row r="275" spans="1:26" ht="19.5" customHeight="1">
      <c r="A275" s="595"/>
      <c r="B275" s="595"/>
      <c r="C275" s="596"/>
      <c r="D275" s="595"/>
      <c r="E275" s="595"/>
      <c r="F275" s="595"/>
      <c r="G275" s="595"/>
      <c r="H275" s="595"/>
      <c r="I275" s="595"/>
      <c r="J275" s="595"/>
      <c r="K275" s="595"/>
      <c r="L275" s="595"/>
      <c r="M275" s="595"/>
      <c r="N275" s="595"/>
      <c r="O275" s="595"/>
      <c r="P275" s="595"/>
      <c r="Q275" s="595"/>
      <c r="R275" s="595"/>
      <c r="S275" s="595"/>
      <c r="T275" s="595"/>
      <c r="U275" s="595"/>
      <c r="V275" s="595"/>
      <c r="W275" s="595"/>
      <c r="X275" s="595"/>
      <c r="Y275" s="595"/>
      <c r="Z275" s="595"/>
    </row>
    <row r="276" spans="1:26" ht="19.5" customHeight="1">
      <c r="A276" s="595"/>
      <c r="B276" s="595"/>
      <c r="C276" s="596"/>
      <c r="D276" s="595"/>
      <c r="E276" s="595"/>
      <c r="F276" s="595"/>
      <c r="G276" s="595"/>
      <c r="H276" s="595"/>
      <c r="I276" s="595"/>
      <c r="J276" s="595"/>
      <c r="K276" s="595"/>
      <c r="L276" s="595"/>
      <c r="M276" s="595"/>
      <c r="N276" s="595"/>
      <c r="O276" s="595"/>
      <c r="P276" s="595"/>
      <c r="Q276" s="595"/>
      <c r="R276" s="595"/>
      <c r="S276" s="595"/>
      <c r="T276" s="595"/>
      <c r="U276" s="595"/>
      <c r="V276" s="595"/>
      <c r="W276" s="595"/>
      <c r="X276" s="595"/>
      <c r="Y276" s="595"/>
      <c r="Z276" s="595"/>
    </row>
    <row r="277" spans="1:26" ht="19.5" customHeight="1">
      <c r="A277" s="595"/>
      <c r="B277" s="595"/>
      <c r="C277" s="596"/>
      <c r="D277" s="595"/>
      <c r="E277" s="595"/>
      <c r="F277" s="595"/>
      <c r="G277" s="595"/>
      <c r="H277" s="595"/>
      <c r="I277" s="595"/>
      <c r="J277" s="595"/>
      <c r="K277" s="595"/>
      <c r="L277" s="595"/>
      <c r="M277" s="595"/>
      <c r="N277" s="595"/>
      <c r="O277" s="595"/>
      <c r="P277" s="595"/>
      <c r="Q277" s="595"/>
      <c r="R277" s="595"/>
      <c r="S277" s="595"/>
      <c r="T277" s="595"/>
      <c r="U277" s="595"/>
      <c r="V277" s="595"/>
      <c r="W277" s="595"/>
      <c r="X277" s="595"/>
      <c r="Y277" s="595"/>
      <c r="Z277" s="595"/>
    </row>
    <row r="278" spans="1:26" ht="19.5" customHeight="1">
      <c r="A278" s="595"/>
      <c r="B278" s="595"/>
      <c r="C278" s="596"/>
      <c r="D278" s="595"/>
      <c r="E278" s="595"/>
      <c r="F278" s="595"/>
      <c r="G278" s="595"/>
      <c r="H278" s="595"/>
      <c r="I278" s="595"/>
      <c r="J278" s="595"/>
      <c r="K278" s="595"/>
      <c r="L278" s="595"/>
      <c r="M278" s="595"/>
      <c r="N278" s="595"/>
      <c r="O278" s="595"/>
      <c r="P278" s="595"/>
      <c r="Q278" s="595"/>
      <c r="R278" s="595"/>
      <c r="S278" s="595"/>
      <c r="T278" s="595"/>
      <c r="U278" s="595"/>
      <c r="V278" s="595"/>
      <c r="W278" s="595"/>
      <c r="X278" s="595"/>
      <c r="Y278" s="595"/>
      <c r="Z278" s="595"/>
    </row>
    <row r="279" spans="1:26" ht="19.5" customHeight="1">
      <c r="A279" s="595"/>
      <c r="B279" s="595"/>
      <c r="C279" s="596"/>
      <c r="D279" s="595"/>
      <c r="E279" s="595"/>
      <c r="F279" s="595"/>
      <c r="G279" s="595"/>
      <c r="H279" s="595"/>
      <c r="I279" s="595"/>
      <c r="J279" s="595"/>
      <c r="K279" s="595"/>
      <c r="L279" s="595"/>
      <c r="M279" s="595"/>
      <c r="N279" s="595"/>
      <c r="O279" s="595"/>
      <c r="P279" s="595"/>
      <c r="Q279" s="595"/>
      <c r="R279" s="595"/>
      <c r="S279" s="595"/>
      <c r="T279" s="595"/>
      <c r="U279" s="595"/>
      <c r="V279" s="595"/>
      <c r="W279" s="595"/>
      <c r="X279" s="595"/>
      <c r="Y279" s="595"/>
      <c r="Z279" s="595"/>
    </row>
    <row r="280" spans="1:26" ht="19.5" customHeight="1">
      <c r="A280" s="595"/>
      <c r="B280" s="595"/>
      <c r="C280" s="596"/>
      <c r="D280" s="595"/>
      <c r="E280" s="595"/>
      <c r="F280" s="595"/>
      <c r="G280" s="595"/>
      <c r="H280" s="595"/>
      <c r="I280" s="595"/>
      <c r="J280" s="595"/>
      <c r="K280" s="595"/>
      <c r="L280" s="595"/>
      <c r="M280" s="595"/>
      <c r="N280" s="595"/>
      <c r="O280" s="595"/>
      <c r="P280" s="595"/>
      <c r="Q280" s="595"/>
      <c r="R280" s="595"/>
      <c r="S280" s="595"/>
      <c r="T280" s="595"/>
      <c r="U280" s="595"/>
      <c r="V280" s="595"/>
      <c r="W280" s="595"/>
      <c r="X280" s="595"/>
      <c r="Y280" s="595"/>
      <c r="Z280" s="595"/>
    </row>
    <row r="281" spans="1:26" ht="19.5" customHeight="1">
      <c r="A281" s="595"/>
      <c r="B281" s="595"/>
      <c r="C281" s="596"/>
      <c r="D281" s="595"/>
      <c r="E281" s="595"/>
      <c r="F281" s="595"/>
      <c r="G281" s="595"/>
      <c r="H281" s="595"/>
      <c r="I281" s="595"/>
      <c r="J281" s="595"/>
      <c r="K281" s="595"/>
      <c r="L281" s="595"/>
      <c r="M281" s="595"/>
      <c r="N281" s="595"/>
      <c r="O281" s="595"/>
      <c r="P281" s="595"/>
      <c r="Q281" s="595"/>
      <c r="R281" s="595"/>
      <c r="S281" s="595"/>
      <c r="T281" s="595"/>
      <c r="U281" s="595"/>
      <c r="V281" s="595"/>
      <c r="W281" s="595"/>
      <c r="X281" s="595"/>
      <c r="Y281" s="595"/>
      <c r="Z281" s="595"/>
    </row>
    <row r="282" spans="1:26" ht="19.5" customHeight="1">
      <c r="A282" s="595"/>
      <c r="B282" s="595"/>
      <c r="C282" s="596"/>
      <c r="D282" s="595"/>
      <c r="E282" s="595"/>
      <c r="F282" s="595"/>
      <c r="G282" s="595"/>
      <c r="H282" s="595"/>
      <c r="I282" s="595"/>
      <c r="J282" s="595"/>
      <c r="K282" s="595"/>
      <c r="L282" s="595"/>
      <c r="M282" s="595"/>
      <c r="N282" s="595"/>
      <c r="O282" s="595"/>
      <c r="P282" s="595"/>
      <c r="Q282" s="595"/>
      <c r="R282" s="595"/>
      <c r="S282" s="595"/>
      <c r="T282" s="595"/>
      <c r="U282" s="595"/>
      <c r="V282" s="595"/>
      <c r="W282" s="595"/>
      <c r="X282" s="595"/>
      <c r="Y282" s="595"/>
      <c r="Z282" s="595"/>
    </row>
    <row r="283" spans="1:26" ht="19.5" customHeight="1">
      <c r="A283" s="595"/>
      <c r="B283" s="595"/>
      <c r="C283" s="596"/>
      <c r="D283" s="595"/>
      <c r="E283" s="595"/>
      <c r="F283" s="595"/>
      <c r="G283" s="595"/>
      <c r="H283" s="595"/>
      <c r="I283" s="595"/>
      <c r="J283" s="595"/>
      <c r="K283" s="595"/>
      <c r="L283" s="595"/>
      <c r="M283" s="595"/>
      <c r="N283" s="595"/>
      <c r="O283" s="595"/>
      <c r="P283" s="595"/>
      <c r="Q283" s="595"/>
      <c r="R283" s="595"/>
      <c r="S283" s="595"/>
      <c r="T283" s="595"/>
      <c r="U283" s="595"/>
      <c r="V283" s="595"/>
      <c r="W283" s="595"/>
      <c r="X283" s="595"/>
      <c r="Y283" s="595"/>
      <c r="Z283" s="595"/>
    </row>
    <row r="284" spans="1:26" ht="19.5" customHeight="1">
      <c r="A284" s="595"/>
      <c r="B284" s="595"/>
      <c r="C284" s="596"/>
      <c r="D284" s="595"/>
      <c r="E284" s="595"/>
      <c r="F284" s="595"/>
      <c r="G284" s="595"/>
      <c r="H284" s="595"/>
      <c r="I284" s="595"/>
      <c r="J284" s="595"/>
      <c r="K284" s="595"/>
      <c r="L284" s="595"/>
      <c r="M284" s="595"/>
      <c r="N284" s="595"/>
      <c r="O284" s="595"/>
      <c r="P284" s="595"/>
      <c r="Q284" s="595"/>
      <c r="R284" s="595"/>
      <c r="S284" s="595"/>
      <c r="T284" s="595"/>
      <c r="U284" s="595"/>
      <c r="V284" s="595"/>
      <c r="W284" s="595"/>
      <c r="X284" s="595"/>
      <c r="Y284" s="595"/>
      <c r="Z284" s="595"/>
    </row>
    <row r="285" spans="1:26" ht="19.5" customHeight="1">
      <c r="A285" s="595"/>
      <c r="B285" s="595"/>
      <c r="C285" s="596"/>
      <c r="D285" s="595"/>
      <c r="E285" s="595"/>
      <c r="F285" s="595"/>
      <c r="G285" s="595"/>
      <c r="H285" s="595"/>
      <c r="I285" s="595"/>
      <c r="J285" s="595"/>
      <c r="K285" s="595"/>
      <c r="L285" s="595"/>
      <c r="M285" s="595"/>
      <c r="N285" s="595"/>
      <c r="O285" s="595"/>
      <c r="P285" s="595"/>
      <c r="Q285" s="595"/>
      <c r="R285" s="595"/>
      <c r="S285" s="595"/>
      <c r="T285" s="595"/>
      <c r="U285" s="595"/>
      <c r="V285" s="595"/>
      <c r="W285" s="595"/>
      <c r="X285" s="595"/>
      <c r="Y285" s="595"/>
      <c r="Z285" s="595"/>
    </row>
    <row r="286" spans="1:26" ht="19.5" customHeight="1">
      <c r="A286" s="595"/>
      <c r="B286" s="595"/>
      <c r="C286" s="596"/>
      <c r="D286" s="595"/>
      <c r="E286" s="595"/>
      <c r="F286" s="595"/>
      <c r="G286" s="595"/>
      <c r="H286" s="595"/>
      <c r="I286" s="595"/>
      <c r="J286" s="595"/>
      <c r="K286" s="595"/>
      <c r="L286" s="595"/>
      <c r="M286" s="595"/>
      <c r="N286" s="595"/>
      <c r="O286" s="595"/>
      <c r="P286" s="595"/>
      <c r="Q286" s="595"/>
      <c r="R286" s="595"/>
      <c r="S286" s="595"/>
      <c r="T286" s="595"/>
      <c r="U286" s="595"/>
      <c r="V286" s="595"/>
      <c r="W286" s="595"/>
      <c r="X286" s="595"/>
      <c r="Y286" s="595"/>
      <c r="Z286" s="595"/>
    </row>
    <row r="287" spans="1:26" ht="19.5" customHeight="1">
      <c r="A287" s="595"/>
      <c r="B287" s="595"/>
      <c r="C287" s="596"/>
      <c r="D287" s="595"/>
      <c r="E287" s="595"/>
      <c r="F287" s="595"/>
      <c r="G287" s="595"/>
      <c r="H287" s="595"/>
      <c r="I287" s="595"/>
      <c r="J287" s="595"/>
      <c r="K287" s="595"/>
      <c r="L287" s="595"/>
      <c r="M287" s="595"/>
      <c r="N287" s="595"/>
      <c r="O287" s="595"/>
      <c r="P287" s="595"/>
      <c r="Q287" s="595"/>
      <c r="R287" s="595"/>
      <c r="S287" s="595"/>
      <c r="T287" s="595"/>
      <c r="U287" s="595"/>
      <c r="V287" s="595"/>
      <c r="W287" s="595"/>
      <c r="X287" s="595"/>
      <c r="Y287" s="595"/>
      <c r="Z287" s="595"/>
    </row>
    <row r="288" spans="1:26" ht="19.5" customHeight="1">
      <c r="A288" s="595"/>
      <c r="B288" s="595"/>
      <c r="C288" s="596"/>
      <c r="D288" s="595"/>
      <c r="E288" s="595"/>
      <c r="F288" s="595"/>
      <c r="G288" s="595"/>
      <c r="H288" s="595"/>
      <c r="I288" s="595"/>
      <c r="J288" s="595"/>
      <c r="K288" s="595"/>
      <c r="L288" s="595"/>
      <c r="M288" s="595"/>
      <c r="N288" s="595"/>
      <c r="O288" s="595"/>
      <c r="P288" s="595"/>
      <c r="Q288" s="595"/>
      <c r="R288" s="595"/>
      <c r="S288" s="595"/>
      <c r="T288" s="595"/>
      <c r="U288" s="595"/>
      <c r="V288" s="595"/>
      <c r="W288" s="595"/>
      <c r="X288" s="595"/>
      <c r="Y288" s="595"/>
      <c r="Z288" s="595"/>
    </row>
    <row r="289" spans="1:26" ht="19.5" customHeight="1">
      <c r="A289" s="595"/>
      <c r="B289" s="595"/>
      <c r="C289" s="596"/>
      <c r="D289" s="595"/>
      <c r="E289" s="595"/>
      <c r="F289" s="595"/>
      <c r="G289" s="595"/>
      <c r="H289" s="595"/>
      <c r="I289" s="595"/>
      <c r="J289" s="595"/>
      <c r="K289" s="595"/>
      <c r="L289" s="595"/>
      <c r="M289" s="595"/>
      <c r="N289" s="595"/>
      <c r="O289" s="595"/>
      <c r="P289" s="595"/>
      <c r="Q289" s="595"/>
      <c r="R289" s="595"/>
      <c r="S289" s="595"/>
      <c r="T289" s="595"/>
      <c r="U289" s="595"/>
      <c r="V289" s="595"/>
      <c r="W289" s="595"/>
      <c r="X289" s="595"/>
      <c r="Y289" s="595"/>
      <c r="Z289" s="595"/>
    </row>
    <row r="290" spans="1:26" ht="19.5" customHeight="1">
      <c r="A290" s="595"/>
      <c r="B290" s="595"/>
      <c r="C290" s="596"/>
      <c r="D290" s="595"/>
      <c r="E290" s="595"/>
      <c r="F290" s="595"/>
      <c r="G290" s="595"/>
      <c r="H290" s="595"/>
      <c r="I290" s="595"/>
      <c r="J290" s="595"/>
      <c r="K290" s="595"/>
      <c r="L290" s="595"/>
      <c r="M290" s="595"/>
      <c r="N290" s="595"/>
      <c r="O290" s="595"/>
      <c r="P290" s="595"/>
      <c r="Q290" s="595"/>
      <c r="R290" s="595"/>
      <c r="S290" s="595"/>
      <c r="T290" s="595"/>
      <c r="U290" s="595"/>
      <c r="V290" s="595"/>
      <c r="W290" s="595"/>
      <c r="X290" s="595"/>
      <c r="Y290" s="595"/>
      <c r="Z290" s="595"/>
    </row>
    <row r="291" spans="1:26" ht="19.5" customHeight="1">
      <c r="A291" s="595"/>
      <c r="B291" s="595"/>
      <c r="C291" s="596"/>
      <c r="D291" s="595"/>
      <c r="E291" s="595"/>
      <c r="F291" s="595"/>
      <c r="G291" s="595"/>
      <c r="H291" s="595"/>
      <c r="I291" s="595"/>
      <c r="J291" s="595"/>
      <c r="K291" s="595"/>
      <c r="L291" s="595"/>
      <c r="M291" s="595"/>
      <c r="N291" s="595"/>
      <c r="O291" s="595"/>
      <c r="P291" s="595"/>
      <c r="Q291" s="595"/>
      <c r="R291" s="595"/>
      <c r="S291" s="595"/>
      <c r="T291" s="595"/>
      <c r="U291" s="595"/>
      <c r="V291" s="595"/>
      <c r="W291" s="595"/>
      <c r="X291" s="595"/>
      <c r="Y291" s="595"/>
      <c r="Z291" s="595"/>
    </row>
    <row r="292" spans="1:26" ht="19.5" customHeight="1">
      <c r="A292" s="595"/>
      <c r="B292" s="595"/>
      <c r="C292" s="596"/>
      <c r="D292" s="595"/>
      <c r="E292" s="595"/>
      <c r="F292" s="595"/>
      <c r="G292" s="595"/>
      <c r="H292" s="595"/>
      <c r="I292" s="595"/>
      <c r="J292" s="595"/>
      <c r="K292" s="595"/>
      <c r="L292" s="595"/>
      <c r="M292" s="595"/>
      <c r="N292" s="595"/>
      <c r="O292" s="595"/>
      <c r="P292" s="595"/>
      <c r="Q292" s="595"/>
      <c r="R292" s="595"/>
      <c r="S292" s="595"/>
      <c r="T292" s="595"/>
      <c r="U292" s="595"/>
      <c r="V292" s="595"/>
      <c r="W292" s="595"/>
      <c r="X292" s="595"/>
      <c r="Y292" s="595"/>
      <c r="Z292" s="595"/>
    </row>
    <row r="293" spans="1:26" ht="19.5" customHeight="1">
      <c r="A293" s="595"/>
      <c r="B293" s="595"/>
      <c r="C293" s="596"/>
      <c r="D293" s="595"/>
      <c r="E293" s="595"/>
      <c r="F293" s="595"/>
      <c r="G293" s="595"/>
      <c r="H293" s="595"/>
      <c r="I293" s="595"/>
      <c r="J293" s="595"/>
      <c r="K293" s="595"/>
      <c r="L293" s="595"/>
      <c r="M293" s="595"/>
      <c r="N293" s="595"/>
      <c r="O293" s="595"/>
      <c r="P293" s="595"/>
      <c r="Q293" s="595"/>
      <c r="R293" s="595"/>
      <c r="S293" s="595"/>
      <c r="T293" s="595"/>
      <c r="U293" s="595"/>
      <c r="V293" s="595"/>
      <c r="W293" s="595"/>
      <c r="X293" s="595"/>
      <c r="Y293" s="595"/>
      <c r="Z293" s="595"/>
    </row>
    <row r="294" spans="1:26" ht="19.5" customHeight="1">
      <c r="A294" s="595"/>
      <c r="B294" s="595"/>
      <c r="C294" s="596"/>
      <c r="D294" s="595"/>
      <c r="E294" s="595"/>
      <c r="F294" s="595"/>
      <c r="G294" s="595"/>
      <c r="H294" s="595"/>
      <c r="I294" s="595"/>
      <c r="J294" s="595"/>
      <c r="K294" s="595"/>
      <c r="L294" s="595"/>
      <c r="M294" s="595"/>
      <c r="N294" s="595"/>
      <c r="O294" s="595"/>
      <c r="P294" s="595"/>
      <c r="Q294" s="595"/>
      <c r="R294" s="595"/>
      <c r="S294" s="595"/>
      <c r="T294" s="595"/>
      <c r="U294" s="595"/>
      <c r="V294" s="595"/>
      <c r="W294" s="595"/>
      <c r="X294" s="595"/>
      <c r="Y294" s="595"/>
      <c r="Z294" s="595"/>
    </row>
    <row r="295" spans="1:26" ht="19.5" customHeight="1">
      <c r="A295" s="595"/>
      <c r="B295" s="595"/>
      <c r="C295" s="596"/>
      <c r="D295" s="595"/>
      <c r="E295" s="595"/>
      <c r="F295" s="595"/>
      <c r="G295" s="595"/>
      <c r="H295" s="595"/>
      <c r="I295" s="595"/>
      <c r="J295" s="595"/>
      <c r="K295" s="595"/>
      <c r="L295" s="595"/>
      <c r="M295" s="595"/>
      <c r="N295" s="595"/>
      <c r="O295" s="595"/>
      <c r="P295" s="595"/>
      <c r="Q295" s="595"/>
      <c r="R295" s="595"/>
      <c r="S295" s="595"/>
      <c r="T295" s="595"/>
      <c r="U295" s="595"/>
      <c r="V295" s="595"/>
      <c r="W295" s="595"/>
      <c r="X295" s="595"/>
      <c r="Y295" s="595"/>
      <c r="Z295" s="595"/>
    </row>
    <row r="296" spans="1:26" ht="19.5" customHeight="1">
      <c r="A296" s="595"/>
      <c r="B296" s="595"/>
      <c r="C296" s="596"/>
      <c r="D296" s="595"/>
      <c r="E296" s="595"/>
      <c r="F296" s="595"/>
      <c r="G296" s="595"/>
      <c r="H296" s="595"/>
      <c r="I296" s="595"/>
      <c r="J296" s="595"/>
      <c r="K296" s="595"/>
      <c r="L296" s="595"/>
      <c r="M296" s="595"/>
      <c r="N296" s="595"/>
      <c r="O296" s="595"/>
      <c r="P296" s="595"/>
      <c r="Q296" s="595"/>
      <c r="R296" s="595"/>
      <c r="S296" s="595"/>
      <c r="T296" s="595"/>
      <c r="U296" s="595"/>
      <c r="V296" s="595"/>
      <c r="W296" s="595"/>
      <c r="X296" s="595"/>
      <c r="Y296" s="595"/>
      <c r="Z296" s="595"/>
    </row>
    <row r="297" spans="1:26" ht="19.5" customHeight="1">
      <c r="A297" s="595"/>
      <c r="B297" s="595"/>
      <c r="C297" s="596"/>
      <c r="D297" s="595"/>
      <c r="E297" s="595"/>
      <c r="F297" s="595"/>
      <c r="G297" s="595"/>
      <c r="H297" s="595"/>
      <c r="I297" s="595"/>
      <c r="J297" s="595"/>
      <c r="K297" s="595"/>
      <c r="L297" s="595"/>
      <c r="M297" s="595"/>
      <c r="N297" s="595"/>
      <c r="O297" s="595"/>
      <c r="P297" s="595"/>
      <c r="Q297" s="595"/>
      <c r="R297" s="595"/>
      <c r="S297" s="595"/>
      <c r="T297" s="595"/>
      <c r="U297" s="595"/>
      <c r="V297" s="595"/>
      <c r="W297" s="595"/>
      <c r="X297" s="595"/>
      <c r="Y297" s="595"/>
      <c r="Z297" s="595"/>
    </row>
    <row r="298" spans="1:26" ht="19.5" customHeight="1">
      <c r="A298" s="595"/>
      <c r="B298" s="595"/>
      <c r="C298" s="596"/>
      <c r="D298" s="595"/>
      <c r="E298" s="595"/>
      <c r="F298" s="595"/>
      <c r="G298" s="595"/>
      <c r="H298" s="595"/>
      <c r="I298" s="595"/>
      <c r="J298" s="595"/>
      <c r="K298" s="595"/>
      <c r="L298" s="595"/>
      <c r="M298" s="595"/>
      <c r="N298" s="595"/>
      <c r="O298" s="595"/>
      <c r="P298" s="595"/>
      <c r="Q298" s="595"/>
      <c r="R298" s="595"/>
      <c r="S298" s="595"/>
      <c r="T298" s="595"/>
      <c r="U298" s="595"/>
      <c r="V298" s="595"/>
      <c r="W298" s="595"/>
      <c r="X298" s="595"/>
      <c r="Y298" s="595"/>
      <c r="Z298" s="595"/>
    </row>
    <row r="299" spans="1:26" ht="19.5" customHeight="1">
      <c r="A299" s="595"/>
      <c r="B299" s="595"/>
      <c r="C299" s="596"/>
      <c r="D299" s="595"/>
      <c r="E299" s="595"/>
      <c r="F299" s="595"/>
      <c r="G299" s="595"/>
      <c r="H299" s="595"/>
      <c r="I299" s="595"/>
      <c r="J299" s="595"/>
      <c r="K299" s="595"/>
      <c r="L299" s="595"/>
      <c r="M299" s="595"/>
      <c r="N299" s="595"/>
      <c r="O299" s="595"/>
      <c r="P299" s="595"/>
      <c r="Q299" s="595"/>
      <c r="R299" s="595"/>
      <c r="S299" s="595"/>
      <c r="T299" s="595"/>
      <c r="U299" s="595"/>
      <c r="V299" s="595"/>
      <c r="W299" s="595"/>
      <c r="X299" s="595"/>
      <c r="Y299" s="595"/>
      <c r="Z299" s="595"/>
    </row>
    <row r="300" spans="1:26" ht="19.5" customHeight="1">
      <c r="A300" s="595"/>
      <c r="B300" s="595"/>
      <c r="C300" s="596"/>
      <c r="D300" s="595"/>
      <c r="E300" s="595"/>
      <c r="F300" s="595"/>
      <c r="G300" s="595"/>
      <c r="H300" s="595"/>
      <c r="I300" s="595"/>
      <c r="J300" s="595"/>
      <c r="K300" s="595"/>
      <c r="L300" s="595"/>
      <c r="M300" s="595"/>
      <c r="N300" s="595"/>
      <c r="O300" s="595"/>
      <c r="P300" s="595"/>
      <c r="Q300" s="595"/>
      <c r="R300" s="595"/>
      <c r="S300" s="595"/>
      <c r="T300" s="595"/>
      <c r="U300" s="595"/>
      <c r="V300" s="595"/>
      <c r="W300" s="595"/>
      <c r="X300" s="595"/>
      <c r="Y300" s="595"/>
      <c r="Z300" s="595"/>
    </row>
    <row r="301" spans="1:26" ht="19.5" customHeight="1">
      <c r="A301" s="595"/>
      <c r="B301" s="595"/>
      <c r="C301" s="596"/>
      <c r="D301" s="595"/>
      <c r="E301" s="595"/>
      <c r="F301" s="595"/>
      <c r="G301" s="595"/>
      <c r="H301" s="595"/>
      <c r="I301" s="595"/>
      <c r="J301" s="595"/>
      <c r="K301" s="595"/>
      <c r="L301" s="595"/>
      <c r="M301" s="595"/>
      <c r="N301" s="595"/>
      <c r="O301" s="595"/>
      <c r="P301" s="595"/>
      <c r="Q301" s="595"/>
      <c r="R301" s="595"/>
      <c r="S301" s="595"/>
      <c r="T301" s="595"/>
      <c r="U301" s="595"/>
      <c r="V301" s="595"/>
      <c r="W301" s="595"/>
      <c r="X301" s="595"/>
      <c r="Y301" s="595"/>
      <c r="Z301" s="595"/>
    </row>
    <row r="302" spans="1:26" ht="19.5" customHeight="1">
      <c r="A302" s="595"/>
      <c r="B302" s="595"/>
      <c r="C302" s="596"/>
      <c r="D302" s="595"/>
      <c r="E302" s="595"/>
      <c r="F302" s="595"/>
      <c r="G302" s="595"/>
      <c r="H302" s="595"/>
      <c r="I302" s="595"/>
      <c r="J302" s="595"/>
      <c r="K302" s="595"/>
      <c r="L302" s="595"/>
      <c r="M302" s="595"/>
      <c r="N302" s="595"/>
      <c r="O302" s="595"/>
      <c r="P302" s="595"/>
      <c r="Q302" s="595"/>
      <c r="R302" s="595"/>
      <c r="S302" s="595"/>
      <c r="T302" s="595"/>
      <c r="U302" s="595"/>
      <c r="V302" s="595"/>
      <c r="W302" s="595"/>
      <c r="X302" s="595"/>
      <c r="Y302" s="595"/>
      <c r="Z302" s="595"/>
    </row>
    <row r="303" spans="1:26" ht="19.5" customHeight="1">
      <c r="A303" s="595"/>
      <c r="B303" s="595"/>
      <c r="C303" s="596"/>
      <c r="D303" s="595"/>
      <c r="E303" s="595"/>
      <c r="F303" s="595"/>
      <c r="G303" s="595"/>
      <c r="H303" s="595"/>
      <c r="I303" s="595"/>
      <c r="J303" s="595"/>
      <c r="K303" s="595"/>
      <c r="L303" s="595"/>
      <c r="M303" s="595"/>
      <c r="N303" s="595"/>
      <c r="O303" s="595"/>
      <c r="P303" s="595"/>
      <c r="Q303" s="595"/>
      <c r="R303" s="595"/>
      <c r="S303" s="595"/>
      <c r="T303" s="595"/>
      <c r="U303" s="595"/>
      <c r="V303" s="595"/>
      <c r="W303" s="595"/>
      <c r="X303" s="595"/>
      <c r="Y303" s="595"/>
      <c r="Z303" s="595"/>
    </row>
    <row r="304" spans="1:26" ht="19.5" customHeight="1">
      <c r="A304" s="595"/>
      <c r="B304" s="595"/>
      <c r="C304" s="596"/>
      <c r="D304" s="595"/>
      <c r="E304" s="595"/>
      <c r="F304" s="595"/>
      <c r="G304" s="595"/>
      <c r="H304" s="595"/>
      <c r="I304" s="595"/>
      <c r="J304" s="595"/>
      <c r="K304" s="595"/>
      <c r="L304" s="595"/>
      <c r="M304" s="595"/>
      <c r="N304" s="595"/>
      <c r="O304" s="595"/>
      <c r="P304" s="595"/>
      <c r="Q304" s="595"/>
      <c r="R304" s="595"/>
      <c r="S304" s="595"/>
      <c r="T304" s="595"/>
      <c r="U304" s="595"/>
      <c r="V304" s="595"/>
      <c r="W304" s="595"/>
      <c r="X304" s="595"/>
      <c r="Y304" s="595"/>
      <c r="Z304" s="595"/>
    </row>
    <row r="305" spans="1:26" ht="19.5" customHeight="1">
      <c r="A305" s="595"/>
      <c r="B305" s="595"/>
      <c r="C305" s="596"/>
      <c r="D305" s="595"/>
      <c r="E305" s="595"/>
      <c r="F305" s="595"/>
      <c r="G305" s="595"/>
      <c r="H305" s="595"/>
      <c r="I305" s="595"/>
      <c r="J305" s="595"/>
      <c r="K305" s="595"/>
      <c r="L305" s="595"/>
      <c r="M305" s="595"/>
      <c r="N305" s="595"/>
      <c r="O305" s="595"/>
      <c r="P305" s="595"/>
      <c r="Q305" s="595"/>
      <c r="R305" s="595"/>
      <c r="S305" s="595"/>
      <c r="T305" s="595"/>
      <c r="U305" s="595"/>
      <c r="V305" s="595"/>
      <c r="W305" s="595"/>
      <c r="X305" s="595"/>
      <c r="Y305" s="595"/>
      <c r="Z305" s="595"/>
    </row>
    <row r="306" spans="1:26" ht="19.5" customHeight="1">
      <c r="A306" s="595"/>
      <c r="B306" s="595"/>
      <c r="C306" s="596"/>
      <c r="D306" s="595"/>
      <c r="E306" s="595"/>
      <c r="F306" s="595"/>
      <c r="G306" s="595"/>
      <c r="H306" s="595"/>
      <c r="I306" s="595"/>
      <c r="J306" s="595"/>
      <c r="K306" s="595"/>
      <c r="L306" s="595"/>
      <c r="M306" s="595"/>
      <c r="N306" s="595"/>
      <c r="O306" s="595"/>
      <c r="P306" s="595"/>
      <c r="Q306" s="595"/>
      <c r="R306" s="595"/>
      <c r="S306" s="595"/>
      <c r="T306" s="595"/>
      <c r="U306" s="595"/>
      <c r="V306" s="595"/>
      <c r="W306" s="595"/>
      <c r="X306" s="595"/>
      <c r="Y306" s="595"/>
      <c r="Z306" s="595"/>
    </row>
    <row r="307" spans="1:26" ht="19.5" customHeight="1">
      <c r="A307" s="595"/>
      <c r="B307" s="595"/>
      <c r="C307" s="596"/>
      <c r="D307" s="595"/>
      <c r="E307" s="595"/>
      <c r="F307" s="595"/>
      <c r="G307" s="595"/>
      <c r="H307" s="595"/>
      <c r="I307" s="595"/>
      <c r="J307" s="595"/>
      <c r="K307" s="595"/>
      <c r="L307" s="595"/>
      <c r="M307" s="595"/>
      <c r="N307" s="595"/>
      <c r="O307" s="595"/>
      <c r="P307" s="595"/>
      <c r="Q307" s="595"/>
      <c r="R307" s="595"/>
      <c r="S307" s="595"/>
      <c r="T307" s="595"/>
      <c r="U307" s="595"/>
      <c r="V307" s="595"/>
      <c r="W307" s="595"/>
      <c r="X307" s="595"/>
      <c r="Y307" s="595"/>
      <c r="Z307" s="595"/>
    </row>
    <row r="308" spans="1:26" ht="19.5" customHeight="1">
      <c r="A308" s="595"/>
      <c r="B308" s="595"/>
      <c r="C308" s="596"/>
      <c r="D308" s="595"/>
      <c r="E308" s="595"/>
      <c r="F308" s="595"/>
      <c r="G308" s="595"/>
      <c r="H308" s="595"/>
      <c r="I308" s="595"/>
      <c r="J308" s="595"/>
      <c r="K308" s="595"/>
      <c r="L308" s="595"/>
      <c r="M308" s="595"/>
      <c r="N308" s="595"/>
      <c r="O308" s="595"/>
      <c r="P308" s="595"/>
      <c r="Q308" s="595"/>
      <c r="R308" s="595"/>
      <c r="S308" s="595"/>
      <c r="T308" s="595"/>
      <c r="U308" s="595"/>
      <c r="V308" s="595"/>
      <c r="W308" s="595"/>
      <c r="X308" s="595"/>
      <c r="Y308" s="595"/>
      <c r="Z308" s="595"/>
    </row>
    <row r="309" spans="1:26" ht="19.5" customHeight="1">
      <c r="A309" s="595"/>
      <c r="B309" s="595"/>
      <c r="C309" s="596"/>
      <c r="D309" s="595"/>
      <c r="E309" s="595"/>
      <c r="F309" s="595"/>
      <c r="G309" s="595"/>
      <c r="H309" s="595"/>
      <c r="I309" s="595"/>
      <c r="J309" s="595"/>
      <c r="K309" s="595"/>
      <c r="L309" s="595"/>
      <c r="M309" s="595"/>
      <c r="N309" s="595"/>
      <c r="O309" s="595"/>
      <c r="P309" s="595"/>
      <c r="Q309" s="595"/>
      <c r="R309" s="595"/>
      <c r="S309" s="595"/>
      <c r="T309" s="595"/>
      <c r="U309" s="595"/>
      <c r="V309" s="595"/>
      <c r="W309" s="595"/>
      <c r="X309" s="595"/>
      <c r="Y309" s="595"/>
      <c r="Z309" s="595"/>
    </row>
    <row r="310" spans="1:26" ht="19.5" customHeight="1">
      <c r="A310" s="595"/>
      <c r="B310" s="595"/>
      <c r="C310" s="596"/>
      <c r="D310" s="595"/>
      <c r="E310" s="595"/>
      <c r="F310" s="595"/>
      <c r="G310" s="595"/>
      <c r="H310" s="595"/>
      <c r="I310" s="595"/>
      <c r="J310" s="595"/>
      <c r="K310" s="595"/>
      <c r="L310" s="595"/>
      <c r="M310" s="595"/>
      <c r="N310" s="595"/>
      <c r="O310" s="595"/>
      <c r="P310" s="595"/>
      <c r="Q310" s="595"/>
      <c r="R310" s="595"/>
      <c r="S310" s="595"/>
      <c r="T310" s="595"/>
      <c r="U310" s="595"/>
      <c r="V310" s="595"/>
      <c r="W310" s="595"/>
      <c r="X310" s="595"/>
      <c r="Y310" s="595"/>
      <c r="Z310" s="595"/>
    </row>
    <row r="311" spans="1:26" ht="19.5" customHeight="1">
      <c r="A311" s="595"/>
      <c r="B311" s="595"/>
      <c r="C311" s="596"/>
      <c r="D311" s="595"/>
      <c r="E311" s="595"/>
      <c r="F311" s="595"/>
      <c r="G311" s="595"/>
      <c r="H311" s="595"/>
      <c r="I311" s="595"/>
      <c r="J311" s="595"/>
      <c r="K311" s="595"/>
      <c r="L311" s="595"/>
      <c r="M311" s="595"/>
      <c r="N311" s="595"/>
      <c r="O311" s="595"/>
      <c r="P311" s="595"/>
      <c r="Q311" s="595"/>
      <c r="R311" s="595"/>
      <c r="S311" s="595"/>
      <c r="T311" s="595"/>
      <c r="U311" s="595"/>
      <c r="V311" s="595"/>
      <c r="W311" s="595"/>
      <c r="X311" s="595"/>
      <c r="Y311" s="595"/>
      <c r="Z311" s="595"/>
    </row>
    <row r="312" spans="1:26" ht="19.5" customHeight="1">
      <c r="A312" s="595"/>
      <c r="B312" s="595"/>
      <c r="C312" s="596"/>
      <c r="D312" s="595"/>
      <c r="E312" s="595"/>
      <c r="F312" s="595"/>
      <c r="G312" s="595"/>
      <c r="H312" s="595"/>
      <c r="I312" s="595"/>
      <c r="J312" s="595"/>
      <c r="K312" s="595"/>
      <c r="L312" s="595"/>
      <c r="M312" s="595"/>
      <c r="N312" s="595"/>
      <c r="O312" s="595"/>
      <c r="P312" s="595"/>
      <c r="Q312" s="595"/>
      <c r="R312" s="595"/>
      <c r="S312" s="595"/>
      <c r="T312" s="595"/>
      <c r="U312" s="595"/>
      <c r="V312" s="595"/>
      <c r="W312" s="595"/>
      <c r="X312" s="595"/>
      <c r="Y312" s="595"/>
      <c r="Z312" s="595"/>
    </row>
    <row r="313" spans="1:26" ht="19.5" customHeight="1">
      <c r="A313" s="595"/>
      <c r="B313" s="595"/>
      <c r="C313" s="596"/>
      <c r="D313" s="595"/>
      <c r="E313" s="595"/>
      <c r="F313" s="595"/>
      <c r="G313" s="595"/>
      <c r="H313" s="595"/>
      <c r="I313" s="595"/>
      <c r="J313" s="595"/>
      <c r="K313" s="595"/>
      <c r="L313" s="595"/>
      <c r="M313" s="595"/>
      <c r="N313" s="595"/>
      <c r="O313" s="595"/>
      <c r="P313" s="595"/>
      <c r="Q313" s="595"/>
      <c r="R313" s="595"/>
      <c r="S313" s="595"/>
      <c r="T313" s="595"/>
      <c r="U313" s="595"/>
      <c r="V313" s="595"/>
      <c r="W313" s="595"/>
      <c r="X313" s="595"/>
      <c r="Y313" s="595"/>
      <c r="Z313" s="595"/>
    </row>
    <row r="314" spans="1:26" ht="19.5" customHeight="1">
      <c r="A314" s="595"/>
      <c r="B314" s="595"/>
      <c r="C314" s="596"/>
      <c r="D314" s="595"/>
      <c r="E314" s="595"/>
      <c r="F314" s="595"/>
      <c r="G314" s="595"/>
      <c r="H314" s="595"/>
      <c r="I314" s="595"/>
      <c r="J314" s="595"/>
      <c r="K314" s="595"/>
      <c r="L314" s="595"/>
      <c r="M314" s="595"/>
      <c r="N314" s="595"/>
      <c r="O314" s="595"/>
      <c r="P314" s="595"/>
      <c r="Q314" s="595"/>
      <c r="R314" s="595"/>
      <c r="S314" s="595"/>
      <c r="T314" s="595"/>
      <c r="U314" s="595"/>
      <c r="V314" s="595"/>
      <c r="W314" s="595"/>
      <c r="X314" s="595"/>
      <c r="Y314" s="595"/>
      <c r="Z314" s="595"/>
    </row>
    <row r="315" spans="1:26" ht="19.5" customHeight="1">
      <c r="A315" s="595"/>
      <c r="B315" s="595"/>
      <c r="C315" s="596"/>
      <c r="D315" s="595"/>
      <c r="E315" s="595"/>
      <c r="F315" s="595"/>
      <c r="G315" s="595"/>
      <c r="H315" s="595"/>
      <c r="I315" s="595"/>
      <c r="J315" s="595"/>
      <c r="K315" s="595"/>
      <c r="L315" s="595"/>
      <c r="M315" s="595"/>
      <c r="N315" s="595"/>
      <c r="O315" s="595"/>
      <c r="P315" s="595"/>
      <c r="Q315" s="595"/>
      <c r="R315" s="595"/>
      <c r="S315" s="595"/>
      <c r="T315" s="595"/>
      <c r="U315" s="595"/>
      <c r="V315" s="595"/>
      <c r="W315" s="595"/>
      <c r="X315" s="595"/>
      <c r="Y315" s="595"/>
      <c r="Z315" s="595"/>
    </row>
    <row r="316" spans="1:26" ht="19.5" customHeight="1">
      <c r="A316" s="595"/>
      <c r="B316" s="595"/>
      <c r="C316" s="596"/>
      <c r="D316" s="595"/>
      <c r="E316" s="595"/>
      <c r="F316" s="595"/>
      <c r="G316" s="595"/>
      <c r="H316" s="595"/>
      <c r="I316" s="595"/>
      <c r="J316" s="595"/>
      <c r="K316" s="595"/>
      <c r="L316" s="595"/>
      <c r="M316" s="595"/>
      <c r="N316" s="595"/>
      <c r="O316" s="595"/>
      <c r="P316" s="595"/>
      <c r="Q316" s="595"/>
      <c r="R316" s="595"/>
      <c r="S316" s="595"/>
      <c r="T316" s="595"/>
      <c r="U316" s="595"/>
      <c r="V316" s="595"/>
      <c r="W316" s="595"/>
      <c r="X316" s="595"/>
      <c r="Y316" s="595"/>
      <c r="Z316" s="595"/>
    </row>
    <row r="317" spans="1:26" ht="19.5" customHeight="1">
      <c r="A317" s="595"/>
      <c r="B317" s="595"/>
      <c r="C317" s="596"/>
      <c r="D317" s="595"/>
      <c r="E317" s="595"/>
      <c r="F317" s="595"/>
      <c r="G317" s="595"/>
      <c r="H317" s="595"/>
      <c r="I317" s="595"/>
      <c r="J317" s="595"/>
      <c r="K317" s="595"/>
      <c r="L317" s="595"/>
      <c r="M317" s="595"/>
      <c r="N317" s="595"/>
      <c r="O317" s="595"/>
      <c r="P317" s="595"/>
      <c r="Q317" s="595"/>
      <c r="R317" s="595"/>
      <c r="S317" s="595"/>
      <c r="T317" s="595"/>
      <c r="U317" s="595"/>
      <c r="V317" s="595"/>
      <c r="W317" s="595"/>
      <c r="X317" s="595"/>
      <c r="Y317" s="595"/>
      <c r="Z317" s="595"/>
    </row>
    <row r="318" spans="1:26" ht="19.5" customHeight="1">
      <c r="A318" s="595"/>
      <c r="B318" s="595"/>
      <c r="C318" s="596"/>
      <c r="D318" s="595"/>
      <c r="E318" s="595"/>
      <c r="F318" s="595"/>
      <c r="G318" s="595"/>
      <c r="H318" s="595"/>
      <c r="I318" s="595"/>
      <c r="J318" s="595"/>
      <c r="K318" s="595"/>
      <c r="L318" s="595"/>
      <c r="M318" s="595"/>
      <c r="N318" s="595"/>
      <c r="O318" s="595"/>
      <c r="P318" s="595"/>
      <c r="Q318" s="595"/>
      <c r="R318" s="595"/>
      <c r="S318" s="595"/>
      <c r="T318" s="595"/>
      <c r="U318" s="595"/>
      <c r="V318" s="595"/>
      <c r="W318" s="595"/>
      <c r="X318" s="595"/>
      <c r="Y318" s="595"/>
      <c r="Z318" s="595"/>
    </row>
    <row r="319" spans="1:26" ht="19.5" customHeight="1">
      <c r="A319" s="595"/>
      <c r="B319" s="595"/>
      <c r="C319" s="596"/>
      <c r="D319" s="595"/>
      <c r="E319" s="595"/>
      <c r="F319" s="595"/>
      <c r="G319" s="595"/>
      <c r="H319" s="595"/>
      <c r="I319" s="595"/>
      <c r="J319" s="595"/>
      <c r="K319" s="595"/>
      <c r="L319" s="595"/>
      <c r="M319" s="595"/>
      <c r="N319" s="595"/>
      <c r="O319" s="595"/>
      <c r="P319" s="595"/>
      <c r="Q319" s="595"/>
      <c r="R319" s="595"/>
      <c r="S319" s="595"/>
      <c r="T319" s="595"/>
      <c r="U319" s="595"/>
      <c r="V319" s="595"/>
      <c r="W319" s="595"/>
      <c r="X319" s="595"/>
      <c r="Y319" s="595"/>
      <c r="Z319" s="595"/>
    </row>
    <row r="320" spans="1:26" ht="19.5" customHeight="1">
      <c r="A320" s="595"/>
      <c r="B320" s="595"/>
      <c r="C320" s="596"/>
      <c r="D320" s="595"/>
      <c r="E320" s="595"/>
      <c r="F320" s="595"/>
      <c r="G320" s="595"/>
      <c r="H320" s="595"/>
      <c r="I320" s="595"/>
      <c r="J320" s="595"/>
      <c r="K320" s="595"/>
      <c r="L320" s="595"/>
      <c r="M320" s="595"/>
      <c r="N320" s="595"/>
      <c r="O320" s="595"/>
      <c r="P320" s="595"/>
      <c r="Q320" s="595"/>
      <c r="R320" s="595"/>
      <c r="S320" s="595"/>
      <c r="T320" s="595"/>
      <c r="U320" s="595"/>
      <c r="V320" s="595"/>
      <c r="W320" s="595"/>
      <c r="X320" s="595"/>
      <c r="Y320" s="595"/>
      <c r="Z320" s="595"/>
    </row>
    <row r="321" spans="1:26" ht="19.5" customHeight="1">
      <c r="A321" s="595"/>
      <c r="B321" s="595"/>
      <c r="C321" s="596"/>
      <c r="D321" s="595"/>
      <c r="E321" s="595"/>
      <c r="F321" s="595"/>
      <c r="G321" s="595"/>
      <c r="H321" s="595"/>
      <c r="I321" s="595"/>
      <c r="J321" s="595"/>
      <c r="K321" s="595"/>
      <c r="L321" s="595"/>
      <c r="M321" s="595"/>
      <c r="N321" s="595"/>
      <c r="O321" s="595"/>
      <c r="P321" s="595"/>
      <c r="Q321" s="595"/>
      <c r="R321" s="595"/>
      <c r="S321" s="595"/>
      <c r="T321" s="595"/>
      <c r="U321" s="595"/>
      <c r="V321" s="595"/>
      <c r="W321" s="595"/>
      <c r="X321" s="595"/>
      <c r="Y321" s="595"/>
      <c r="Z321" s="595"/>
    </row>
    <row r="322" spans="1:26" ht="19.5" customHeight="1">
      <c r="A322" s="595"/>
      <c r="B322" s="595"/>
      <c r="C322" s="596"/>
      <c r="D322" s="595"/>
      <c r="E322" s="595"/>
      <c r="F322" s="595"/>
      <c r="G322" s="595"/>
      <c r="H322" s="595"/>
      <c r="I322" s="595"/>
      <c r="J322" s="595"/>
      <c r="K322" s="595"/>
      <c r="L322" s="595"/>
      <c r="M322" s="595"/>
      <c r="N322" s="595"/>
      <c r="O322" s="595"/>
      <c r="P322" s="595"/>
      <c r="Q322" s="595"/>
      <c r="R322" s="595"/>
      <c r="S322" s="595"/>
      <c r="T322" s="595"/>
      <c r="U322" s="595"/>
      <c r="V322" s="595"/>
      <c r="W322" s="595"/>
      <c r="X322" s="595"/>
      <c r="Y322" s="595"/>
      <c r="Z322" s="595"/>
    </row>
    <row r="323" spans="1:26" ht="19.5" customHeight="1">
      <c r="A323" s="595"/>
      <c r="B323" s="595"/>
      <c r="C323" s="596"/>
      <c r="D323" s="595"/>
      <c r="E323" s="595"/>
      <c r="F323" s="595"/>
      <c r="G323" s="595"/>
      <c r="H323" s="595"/>
      <c r="I323" s="595"/>
      <c r="J323" s="595"/>
      <c r="K323" s="595"/>
      <c r="L323" s="595"/>
      <c r="M323" s="595"/>
      <c r="N323" s="595"/>
      <c r="O323" s="595"/>
      <c r="P323" s="595"/>
      <c r="Q323" s="595"/>
      <c r="R323" s="595"/>
      <c r="S323" s="595"/>
      <c r="T323" s="595"/>
      <c r="U323" s="595"/>
      <c r="V323" s="595"/>
      <c r="W323" s="595"/>
      <c r="X323" s="595"/>
      <c r="Y323" s="595"/>
      <c r="Z323" s="595"/>
    </row>
    <row r="324" spans="1:26" ht="19.5" customHeight="1">
      <c r="A324" s="595"/>
      <c r="B324" s="595"/>
      <c r="C324" s="596"/>
      <c r="D324" s="595"/>
      <c r="E324" s="595"/>
      <c r="F324" s="595"/>
      <c r="G324" s="595"/>
      <c r="H324" s="595"/>
      <c r="I324" s="595"/>
      <c r="J324" s="595"/>
      <c r="K324" s="595"/>
      <c r="L324" s="595"/>
      <c r="M324" s="595"/>
      <c r="N324" s="595"/>
      <c r="O324" s="595"/>
      <c r="P324" s="595"/>
      <c r="Q324" s="595"/>
      <c r="R324" s="595"/>
      <c r="S324" s="595"/>
      <c r="T324" s="595"/>
      <c r="U324" s="595"/>
      <c r="V324" s="595"/>
      <c r="W324" s="595"/>
      <c r="X324" s="595"/>
      <c r="Y324" s="595"/>
      <c r="Z324" s="595"/>
    </row>
    <row r="325" spans="1:26" ht="19.5" customHeight="1">
      <c r="A325" s="595"/>
      <c r="B325" s="595"/>
      <c r="C325" s="596"/>
      <c r="D325" s="595"/>
      <c r="E325" s="595"/>
      <c r="F325" s="595"/>
      <c r="G325" s="595"/>
      <c r="H325" s="595"/>
      <c r="I325" s="595"/>
      <c r="J325" s="595"/>
      <c r="K325" s="595"/>
      <c r="L325" s="595"/>
      <c r="M325" s="595"/>
      <c r="N325" s="595"/>
      <c r="O325" s="595"/>
      <c r="P325" s="595"/>
      <c r="Q325" s="595"/>
      <c r="R325" s="595"/>
      <c r="S325" s="595"/>
      <c r="T325" s="595"/>
      <c r="U325" s="595"/>
      <c r="V325" s="595"/>
      <c r="W325" s="595"/>
      <c r="X325" s="595"/>
      <c r="Y325" s="595"/>
      <c r="Z325" s="595"/>
    </row>
    <row r="326" spans="1:26" ht="19.5" customHeight="1">
      <c r="A326" s="595"/>
      <c r="B326" s="595"/>
      <c r="C326" s="596"/>
      <c r="D326" s="595"/>
      <c r="E326" s="595"/>
      <c r="F326" s="595"/>
      <c r="G326" s="595"/>
      <c r="H326" s="595"/>
      <c r="I326" s="595"/>
      <c r="J326" s="595"/>
      <c r="K326" s="595"/>
      <c r="L326" s="595"/>
      <c r="M326" s="595"/>
      <c r="N326" s="595"/>
      <c r="O326" s="595"/>
      <c r="P326" s="595"/>
      <c r="Q326" s="595"/>
      <c r="R326" s="595"/>
      <c r="S326" s="595"/>
      <c r="T326" s="595"/>
      <c r="U326" s="595"/>
      <c r="V326" s="595"/>
      <c r="W326" s="595"/>
      <c r="X326" s="595"/>
      <c r="Y326" s="595"/>
      <c r="Z326" s="595"/>
    </row>
    <row r="327" spans="1:26" ht="19.5" customHeight="1">
      <c r="A327" s="595"/>
      <c r="B327" s="595"/>
      <c r="C327" s="596"/>
      <c r="D327" s="595"/>
      <c r="E327" s="595"/>
      <c r="F327" s="595"/>
      <c r="G327" s="595"/>
      <c r="H327" s="595"/>
      <c r="I327" s="595"/>
      <c r="J327" s="595"/>
      <c r="K327" s="595"/>
      <c r="L327" s="595"/>
      <c r="M327" s="595"/>
      <c r="N327" s="595"/>
      <c r="O327" s="595"/>
      <c r="P327" s="595"/>
      <c r="Q327" s="595"/>
      <c r="R327" s="595"/>
      <c r="S327" s="595"/>
      <c r="T327" s="595"/>
      <c r="U327" s="595"/>
      <c r="V327" s="595"/>
      <c r="W327" s="595"/>
      <c r="X327" s="595"/>
      <c r="Y327" s="595"/>
      <c r="Z327" s="595"/>
    </row>
    <row r="328" spans="1:26" ht="19.5" customHeight="1">
      <c r="A328" s="595"/>
      <c r="B328" s="595"/>
      <c r="C328" s="596"/>
      <c r="D328" s="595"/>
      <c r="E328" s="595"/>
      <c r="F328" s="595"/>
      <c r="G328" s="595"/>
      <c r="H328" s="595"/>
      <c r="I328" s="595"/>
      <c r="J328" s="595"/>
      <c r="K328" s="595"/>
      <c r="L328" s="595"/>
      <c r="M328" s="595"/>
      <c r="N328" s="595"/>
      <c r="O328" s="595"/>
      <c r="P328" s="595"/>
      <c r="Q328" s="595"/>
      <c r="R328" s="595"/>
      <c r="S328" s="595"/>
      <c r="T328" s="595"/>
      <c r="U328" s="595"/>
      <c r="V328" s="595"/>
      <c r="W328" s="595"/>
      <c r="X328" s="595"/>
      <c r="Y328" s="595"/>
      <c r="Z328" s="595"/>
    </row>
    <row r="329" spans="1:26" ht="19.5" customHeight="1">
      <c r="A329" s="595"/>
      <c r="B329" s="595"/>
      <c r="C329" s="596"/>
      <c r="D329" s="595"/>
      <c r="E329" s="595"/>
      <c r="F329" s="595"/>
      <c r="G329" s="595"/>
      <c r="H329" s="595"/>
      <c r="I329" s="595"/>
      <c r="J329" s="595"/>
      <c r="K329" s="595"/>
      <c r="L329" s="595"/>
      <c r="M329" s="595"/>
      <c r="N329" s="595"/>
      <c r="O329" s="595"/>
      <c r="P329" s="595"/>
      <c r="Q329" s="595"/>
      <c r="R329" s="595"/>
      <c r="S329" s="595"/>
      <c r="T329" s="595"/>
      <c r="U329" s="595"/>
      <c r="V329" s="595"/>
      <c r="W329" s="595"/>
      <c r="X329" s="595"/>
      <c r="Y329" s="595"/>
      <c r="Z329" s="595"/>
    </row>
    <row r="330" spans="1:26" ht="19.5" customHeight="1">
      <c r="A330" s="595"/>
      <c r="B330" s="595"/>
      <c r="C330" s="596"/>
      <c r="D330" s="595"/>
      <c r="E330" s="595"/>
      <c r="F330" s="595"/>
      <c r="G330" s="595"/>
      <c r="H330" s="595"/>
      <c r="I330" s="595"/>
      <c r="J330" s="595"/>
      <c r="K330" s="595"/>
      <c r="L330" s="595"/>
      <c r="M330" s="595"/>
      <c r="N330" s="595"/>
      <c r="O330" s="595"/>
      <c r="P330" s="595"/>
      <c r="Q330" s="595"/>
      <c r="R330" s="595"/>
      <c r="S330" s="595"/>
      <c r="T330" s="595"/>
      <c r="U330" s="595"/>
      <c r="V330" s="595"/>
      <c r="W330" s="595"/>
      <c r="X330" s="595"/>
      <c r="Y330" s="595"/>
      <c r="Z330" s="595"/>
    </row>
    <row r="331" spans="1:26" ht="19.5" customHeight="1">
      <c r="A331" s="595"/>
      <c r="B331" s="595"/>
      <c r="C331" s="596"/>
      <c r="D331" s="595"/>
      <c r="E331" s="595"/>
      <c r="F331" s="595"/>
      <c r="G331" s="595"/>
      <c r="H331" s="595"/>
      <c r="I331" s="595"/>
      <c r="J331" s="595"/>
      <c r="K331" s="595"/>
      <c r="L331" s="595"/>
      <c r="M331" s="595"/>
      <c r="N331" s="595"/>
      <c r="O331" s="595"/>
      <c r="P331" s="595"/>
      <c r="Q331" s="595"/>
      <c r="R331" s="595"/>
      <c r="S331" s="595"/>
      <c r="T331" s="595"/>
      <c r="U331" s="595"/>
      <c r="V331" s="595"/>
      <c r="W331" s="595"/>
      <c r="X331" s="595"/>
      <c r="Y331" s="595"/>
      <c r="Z331" s="595"/>
    </row>
    <row r="332" spans="1:26" ht="19.5" customHeight="1">
      <c r="A332" s="595"/>
      <c r="B332" s="595"/>
      <c r="C332" s="596"/>
      <c r="D332" s="595"/>
      <c r="E332" s="595"/>
      <c r="F332" s="595"/>
      <c r="G332" s="595"/>
      <c r="H332" s="595"/>
      <c r="I332" s="595"/>
      <c r="J332" s="595"/>
      <c r="K332" s="595"/>
      <c r="L332" s="595"/>
      <c r="M332" s="595"/>
      <c r="N332" s="595"/>
      <c r="O332" s="595"/>
      <c r="P332" s="595"/>
      <c r="Q332" s="595"/>
      <c r="R332" s="595"/>
      <c r="S332" s="595"/>
      <c r="T332" s="595"/>
      <c r="U332" s="595"/>
      <c r="V332" s="595"/>
      <c r="W332" s="595"/>
      <c r="X332" s="595"/>
      <c r="Y332" s="595"/>
      <c r="Z332" s="595"/>
    </row>
    <row r="333" spans="1:26" ht="19.5" customHeight="1">
      <c r="A333" s="595"/>
      <c r="B333" s="595"/>
      <c r="C333" s="596"/>
      <c r="D333" s="595"/>
      <c r="E333" s="595"/>
      <c r="F333" s="595"/>
      <c r="G333" s="595"/>
      <c r="H333" s="595"/>
      <c r="I333" s="595"/>
      <c r="J333" s="595"/>
      <c r="K333" s="595"/>
      <c r="L333" s="595"/>
      <c r="M333" s="595"/>
      <c r="N333" s="595"/>
      <c r="O333" s="595"/>
      <c r="P333" s="595"/>
      <c r="Q333" s="595"/>
      <c r="R333" s="595"/>
      <c r="S333" s="595"/>
      <c r="T333" s="595"/>
      <c r="U333" s="595"/>
      <c r="V333" s="595"/>
      <c r="W333" s="595"/>
      <c r="X333" s="595"/>
      <c r="Y333" s="595"/>
      <c r="Z333" s="595"/>
    </row>
    <row r="334" spans="1:26" ht="19.5" customHeight="1">
      <c r="A334" s="595"/>
      <c r="B334" s="595"/>
      <c r="C334" s="596"/>
      <c r="D334" s="595"/>
      <c r="E334" s="595"/>
      <c r="F334" s="595"/>
      <c r="G334" s="595"/>
      <c r="H334" s="595"/>
      <c r="I334" s="595"/>
      <c r="J334" s="595"/>
      <c r="K334" s="595"/>
      <c r="L334" s="595"/>
      <c r="M334" s="595"/>
      <c r="N334" s="595"/>
      <c r="O334" s="595"/>
      <c r="P334" s="595"/>
      <c r="Q334" s="595"/>
      <c r="R334" s="595"/>
      <c r="S334" s="595"/>
      <c r="T334" s="595"/>
      <c r="U334" s="595"/>
      <c r="V334" s="595"/>
      <c r="W334" s="595"/>
      <c r="X334" s="595"/>
      <c r="Y334" s="595"/>
      <c r="Z334" s="595"/>
    </row>
    <row r="335" spans="1:26" ht="19.5" customHeight="1">
      <c r="A335" s="595"/>
      <c r="B335" s="595"/>
      <c r="C335" s="596"/>
      <c r="D335" s="595"/>
      <c r="E335" s="595"/>
      <c r="F335" s="595"/>
      <c r="G335" s="595"/>
      <c r="H335" s="595"/>
      <c r="I335" s="595"/>
      <c r="J335" s="595"/>
      <c r="K335" s="595"/>
      <c r="L335" s="595"/>
      <c r="M335" s="595"/>
      <c r="N335" s="595"/>
      <c r="O335" s="595"/>
      <c r="P335" s="595"/>
      <c r="Q335" s="595"/>
      <c r="R335" s="595"/>
      <c r="S335" s="595"/>
      <c r="T335" s="595"/>
      <c r="U335" s="595"/>
      <c r="V335" s="595"/>
      <c r="W335" s="595"/>
      <c r="X335" s="595"/>
      <c r="Y335" s="595"/>
      <c r="Z335" s="595"/>
    </row>
    <row r="336" spans="1:26" ht="19.5" customHeight="1">
      <c r="A336" s="595"/>
      <c r="B336" s="595"/>
      <c r="C336" s="596"/>
      <c r="D336" s="595"/>
      <c r="E336" s="595"/>
      <c r="F336" s="595"/>
      <c r="G336" s="595"/>
      <c r="H336" s="595"/>
      <c r="I336" s="595"/>
      <c r="J336" s="595"/>
      <c r="K336" s="595"/>
      <c r="L336" s="595"/>
      <c r="M336" s="595"/>
      <c r="N336" s="595"/>
      <c r="O336" s="595"/>
      <c r="P336" s="595"/>
      <c r="Q336" s="595"/>
      <c r="R336" s="595"/>
      <c r="S336" s="595"/>
      <c r="T336" s="595"/>
      <c r="U336" s="595"/>
      <c r="V336" s="595"/>
      <c r="W336" s="595"/>
      <c r="X336" s="595"/>
      <c r="Y336" s="595"/>
      <c r="Z336" s="595"/>
    </row>
    <row r="337" spans="1:26" ht="19.5" customHeight="1">
      <c r="A337" s="595"/>
      <c r="B337" s="595"/>
      <c r="C337" s="596"/>
      <c r="D337" s="595"/>
      <c r="E337" s="595"/>
      <c r="F337" s="595"/>
      <c r="G337" s="595"/>
      <c r="H337" s="595"/>
      <c r="I337" s="595"/>
      <c r="J337" s="595"/>
      <c r="K337" s="595"/>
      <c r="L337" s="595"/>
      <c r="M337" s="595"/>
      <c r="N337" s="595"/>
      <c r="O337" s="595"/>
      <c r="P337" s="595"/>
      <c r="Q337" s="595"/>
      <c r="R337" s="595"/>
      <c r="S337" s="595"/>
      <c r="T337" s="595"/>
      <c r="U337" s="595"/>
      <c r="V337" s="595"/>
      <c r="W337" s="595"/>
      <c r="X337" s="595"/>
      <c r="Y337" s="595"/>
      <c r="Z337" s="595"/>
    </row>
    <row r="338" spans="1:26" ht="19.5" customHeight="1">
      <c r="A338" s="595"/>
      <c r="B338" s="595"/>
      <c r="C338" s="596"/>
      <c r="D338" s="595"/>
      <c r="E338" s="595"/>
      <c r="F338" s="595"/>
      <c r="G338" s="595"/>
      <c r="H338" s="595"/>
      <c r="I338" s="595"/>
      <c r="J338" s="595"/>
      <c r="K338" s="595"/>
      <c r="L338" s="595"/>
      <c r="M338" s="595"/>
      <c r="N338" s="595"/>
      <c r="O338" s="595"/>
      <c r="P338" s="595"/>
      <c r="Q338" s="595"/>
      <c r="R338" s="595"/>
      <c r="S338" s="595"/>
      <c r="T338" s="595"/>
      <c r="U338" s="595"/>
      <c r="V338" s="595"/>
      <c r="W338" s="595"/>
      <c r="X338" s="595"/>
      <c r="Y338" s="595"/>
      <c r="Z338" s="595"/>
    </row>
    <row r="339" spans="1:26" ht="19.5" customHeight="1">
      <c r="A339" s="595"/>
      <c r="B339" s="595"/>
      <c r="C339" s="596"/>
      <c r="D339" s="595"/>
      <c r="E339" s="595"/>
      <c r="F339" s="595"/>
      <c r="G339" s="595"/>
      <c r="H339" s="595"/>
      <c r="I339" s="595"/>
      <c r="J339" s="595"/>
      <c r="K339" s="595"/>
      <c r="L339" s="595"/>
      <c r="M339" s="595"/>
      <c r="N339" s="595"/>
      <c r="O339" s="595"/>
      <c r="P339" s="595"/>
      <c r="Q339" s="595"/>
      <c r="R339" s="595"/>
      <c r="S339" s="595"/>
      <c r="T339" s="595"/>
      <c r="U339" s="595"/>
      <c r="V339" s="595"/>
      <c r="W339" s="595"/>
      <c r="X339" s="595"/>
      <c r="Y339" s="595"/>
      <c r="Z339" s="595"/>
    </row>
    <row r="340" spans="1:26" ht="19.5" customHeight="1">
      <c r="A340" s="595"/>
      <c r="B340" s="595"/>
      <c r="C340" s="596"/>
      <c r="D340" s="595"/>
      <c r="E340" s="595"/>
      <c r="F340" s="595"/>
      <c r="G340" s="595"/>
      <c r="H340" s="595"/>
      <c r="I340" s="595"/>
      <c r="J340" s="595"/>
      <c r="K340" s="595"/>
      <c r="L340" s="595"/>
      <c r="M340" s="595"/>
      <c r="N340" s="595"/>
      <c r="O340" s="595"/>
      <c r="P340" s="595"/>
      <c r="Q340" s="595"/>
      <c r="R340" s="595"/>
      <c r="S340" s="595"/>
      <c r="T340" s="595"/>
      <c r="U340" s="595"/>
      <c r="V340" s="595"/>
      <c r="W340" s="595"/>
      <c r="X340" s="595"/>
      <c r="Y340" s="595"/>
      <c r="Z340" s="595"/>
    </row>
    <row r="341" spans="1:26" ht="19.5" customHeight="1">
      <c r="A341" s="595"/>
      <c r="B341" s="595"/>
      <c r="C341" s="596"/>
      <c r="D341" s="595"/>
      <c r="E341" s="595"/>
      <c r="F341" s="595"/>
      <c r="G341" s="595"/>
      <c r="H341" s="595"/>
      <c r="I341" s="595"/>
      <c r="J341" s="595"/>
      <c r="K341" s="595"/>
      <c r="L341" s="595"/>
      <c r="M341" s="595"/>
      <c r="N341" s="595"/>
      <c r="O341" s="595"/>
      <c r="P341" s="595"/>
      <c r="Q341" s="595"/>
      <c r="R341" s="595"/>
      <c r="S341" s="595"/>
      <c r="T341" s="595"/>
      <c r="U341" s="595"/>
      <c r="V341" s="595"/>
      <c r="W341" s="595"/>
      <c r="X341" s="595"/>
      <c r="Y341" s="595"/>
      <c r="Z341" s="595"/>
    </row>
    <row r="342" spans="1:26" ht="19.5" customHeight="1">
      <c r="A342" s="595"/>
      <c r="B342" s="595"/>
      <c r="C342" s="596"/>
      <c r="D342" s="595"/>
      <c r="E342" s="595"/>
      <c r="F342" s="595"/>
      <c r="G342" s="595"/>
      <c r="H342" s="595"/>
      <c r="I342" s="595"/>
      <c r="J342" s="595"/>
      <c r="K342" s="595"/>
      <c r="L342" s="595"/>
      <c r="M342" s="595"/>
      <c r="N342" s="595"/>
      <c r="O342" s="595"/>
      <c r="P342" s="595"/>
      <c r="Q342" s="595"/>
      <c r="R342" s="595"/>
      <c r="S342" s="595"/>
      <c r="T342" s="595"/>
      <c r="U342" s="595"/>
      <c r="V342" s="595"/>
      <c r="W342" s="595"/>
      <c r="X342" s="595"/>
      <c r="Y342" s="595"/>
      <c r="Z342" s="595"/>
    </row>
    <row r="343" spans="1:26" ht="19.5" customHeight="1">
      <c r="A343" s="595"/>
      <c r="B343" s="595"/>
      <c r="C343" s="596"/>
      <c r="D343" s="595"/>
      <c r="E343" s="595"/>
      <c r="F343" s="595"/>
      <c r="G343" s="595"/>
      <c r="H343" s="595"/>
      <c r="I343" s="595"/>
      <c r="J343" s="595"/>
      <c r="K343" s="595"/>
      <c r="L343" s="595"/>
      <c r="M343" s="595"/>
      <c r="N343" s="595"/>
      <c r="O343" s="595"/>
      <c r="P343" s="595"/>
      <c r="Q343" s="595"/>
      <c r="R343" s="595"/>
      <c r="S343" s="595"/>
      <c r="T343" s="595"/>
      <c r="U343" s="595"/>
      <c r="V343" s="595"/>
      <c r="W343" s="595"/>
      <c r="X343" s="595"/>
      <c r="Y343" s="595"/>
      <c r="Z343" s="595"/>
    </row>
    <row r="344" spans="1:26" ht="19.5" customHeight="1">
      <c r="A344" s="595"/>
      <c r="B344" s="595"/>
      <c r="C344" s="596"/>
      <c r="D344" s="595"/>
      <c r="E344" s="595"/>
      <c r="F344" s="595"/>
      <c r="G344" s="595"/>
      <c r="H344" s="595"/>
      <c r="I344" s="595"/>
      <c r="J344" s="595"/>
      <c r="K344" s="595"/>
      <c r="L344" s="595"/>
      <c r="M344" s="595"/>
      <c r="N344" s="595"/>
      <c r="O344" s="595"/>
      <c r="P344" s="595"/>
      <c r="Q344" s="595"/>
      <c r="R344" s="595"/>
      <c r="S344" s="595"/>
      <c r="T344" s="595"/>
      <c r="U344" s="595"/>
      <c r="V344" s="595"/>
      <c r="W344" s="595"/>
      <c r="X344" s="595"/>
      <c r="Y344" s="595"/>
      <c r="Z344" s="595"/>
    </row>
    <row r="345" spans="1:26" ht="19.5" customHeight="1">
      <c r="A345" s="595"/>
      <c r="B345" s="595"/>
      <c r="C345" s="596"/>
      <c r="D345" s="595"/>
      <c r="E345" s="595"/>
      <c r="F345" s="595"/>
      <c r="G345" s="595"/>
      <c r="H345" s="595"/>
      <c r="I345" s="595"/>
      <c r="J345" s="595"/>
      <c r="K345" s="595"/>
      <c r="L345" s="595"/>
      <c r="M345" s="595"/>
      <c r="N345" s="595"/>
      <c r="O345" s="595"/>
      <c r="P345" s="595"/>
      <c r="Q345" s="595"/>
      <c r="R345" s="595"/>
      <c r="S345" s="595"/>
      <c r="T345" s="595"/>
      <c r="U345" s="595"/>
      <c r="V345" s="595"/>
      <c r="W345" s="595"/>
      <c r="X345" s="595"/>
      <c r="Y345" s="595"/>
      <c r="Z345" s="595"/>
    </row>
    <row r="346" spans="1:26" ht="19.5" customHeight="1">
      <c r="A346" s="595"/>
      <c r="B346" s="595"/>
      <c r="C346" s="596"/>
      <c r="D346" s="595"/>
      <c r="E346" s="595"/>
      <c r="F346" s="595"/>
      <c r="G346" s="595"/>
      <c r="H346" s="595"/>
      <c r="I346" s="595"/>
      <c r="J346" s="595"/>
      <c r="K346" s="595"/>
      <c r="L346" s="595"/>
      <c r="M346" s="595"/>
      <c r="N346" s="595"/>
      <c r="O346" s="595"/>
      <c r="P346" s="595"/>
      <c r="Q346" s="595"/>
      <c r="R346" s="595"/>
      <c r="S346" s="595"/>
      <c r="T346" s="595"/>
      <c r="U346" s="595"/>
      <c r="V346" s="595"/>
      <c r="W346" s="595"/>
      <c r="X346" s="595"/>
      <c r="Y346" s="595"/>
      <c r="Z346" s="595"/>
    </row>
    <row r="347" spans="1:26" ht="19.5" customHeight="1">
      <c r="A347" s="595"/>
      <c r="B347" s="595"/>
      <c r="C347" s="596"/>
      <c r="D347" s="595"/>
      <c r="E347" s="595"/>
      <c r="F347" s="595"/>
      <c r="G347" s="595"/>
      <c r="H347" s="595"/>
      <c r="I347" s="595"/>
      <c r="J347" s="595"/>
      <c r="K347" s="595"/>
      <c r="L347" s="595"/>
      <c r="M347" s="595"/>
      <c r="N347" s="595"/>
      <c r="O347" s="595"/>
      <c r="P347" s="595"/>
      <c r="Q347" s="595"/>
      <c r="R347" s="595"/>
      <c r="S347" s="595"/>
      <c r="T347" s="595"/>
      <c r="U347" s="595"/>
      <c r="V347" s="595"/>
      <c r="W347" s="595"/>
      <c r="X347" s="595"/>
      <c r="Y347" s="595"/>
      <c r="Z347" s="595"/>
    </row>
    <row r="348" spans="1:26" ht="19.5" customHeight="1">
      <c r="A348" s="595"/>
      <c r="B348" s="595"/>
      <c r="C348" s="596"/>
      <c r="D348" s="595"/>
      <c r="E348" s="595"/>
      <c r="F348" s="595"/>
      <c r="G348" s="595"/>
      <c r="H348" s="595"/>
      <c r="I348" s="595"/>
      <c r="J348" s="595"/>
      <c r="K348" s="595"/>
      <c r="L348" s="595"/>
      <c r="M348" s="595"/>
      <c r="N348" s="595"/>
      <c r="O348" s="595"/>
      <c r="P348" s="595"/>
      <c r="Q348" s="595"/>
      <c r="R348" s="595"/>
      <c r="S348" s="595"/>
      <c r="T348" s="595"/>
      <c r="U348" s="595"/>
      <c r="V348" s="595"/>
      <c r="W348" s="595"/>
      <c r="X348" s="595"/>
      <c r="Y348" s="595"/>
      <c r="Z348" s="595"/>
    </row>
    <row r="349" spans="1:26" ht="19.5" customHeight="1">
      <c r="A349" s="595"/>
      <c r="B349" s="595"/>
      <c r="C349" s="596"/>
      <c r="D349" s="595"/>
      <c r="E349" s="595"/>
      <c r="F349" s="595"/>
      <c r="G349" s="595"/>
      <c r="H349" s="595"/>
      <c r="I349" s="595"/>
      <c r="J349" s="595"/>
      <c r="K349" s="595"/>
      <c r="L349" s="595"/>
      <c r="M349" s="595"/>
      <c r="N349" s="595"/>
      <c r="O349" s="595"/>
      <c r="P349" s="595"/>
      <c r="Q349" s="595"/>
      <c r="R349" s="595"/>
      <c r="S349" s="595"/>
      <c r="T349" s="595"/>
      <c r="U349" s="595"/>
      <c r="V349" s="595"/>
      <c r="W349" s="595"/>
      <c r="X349" s="595"/>
      <c r="Y349" s="595"/>
      <c r="Z349" s="595"/>
    </row>
    <row r="350" spans="1:26" ht="19.5" customHeight="1">
      <c r="A350" s="595"/>
      <c r="B350" s="595"/>
      <c r="C350" s="596"/>
      <c r="D350" s="595"/>
      <c r="E350" s="595"/>
      <c r="F350" s="595"/>
      <c r="G350" s="595"/>
      <c r="H350" s="595"/>
      <c r="I350" s="595"/>
      <c r="J350" s="595"/>
      <c r="K350" s="595"/>
      <c r="L350" s="595"/>
      <c r="M350" s="595"/>
      <c r="N350" s="595"/>
      <c r="O350" s="595"/>
      <c r="P350" s="595"/>
      <c r="Q350" s="595"/>
      <c r="R350" s="595"/>
      <c r="S350" s="595"/>
      <c r="T350" s="595"/>
      <c r="U350" s="595"/>
      <c r="V350" s="595"/>
      <c r="W350" s="595"/>
      <c r="X350" s="595"/>
      <c r="Y350" s="595"/>
      <c r="Z350" s="595"/>
    </row>
    <row r="351" spans="1:26" ht="19.5" customHeight="1">
      <c r="A351" s="595"/>
      <c r="B351" s="595"/>
      <c r="C351" s="596"/>
      <c r="D351" s="595"/>
      <c r="E351" s="595"/>
      <c r="F351" s="595"/>
      <c r="G351" s="595"/>
      <c r="H351" s="595"/>
      <c r="I351" s="595"/>
      <c r="J351" s="595"/>
      <c r="K351" s="595"/>
      <c r="L351" s="595"/>
      <c r="M351" s="595"/>
      <c r="N351" s="595"/>
      <c r="O351" s="595"/>
      <c r="P351" s="595"/>
      <c r="Q351" s="595"/>
      <c r="R351" s="595"/>
      <c r="S351" s="595"/>
      <c r="T351" s="595"/>
      <c r="U351" s="595"/>
      <c r="V351" s="595"/>
      <c r="W351" s="595"/>
      <c r="X351" s="595"/>
      <c r="Y351" s="595"/>
      <c r="Z351" s="595"/>
    </row>
    <row r="352" spans="1:26" ht="19.5" customHeight="1">
      <c r="A352" s="595"/>
      <c r="B352" s="595"/>
      <c r="C352" s="596"/>
      <c r="D352" s="595"/>
      <c r="E352" s="595"/>
      <c r="F352" s="595"/>
      <c r="G352" s="595"/>
      <c r="H352" s="595"/>
      <c r="I352" s="595"/>
      <c r="J352" s="595"/>
      <c r="K352" s="595"/>
      <c r="L352" s="595"/>
      <c r="M352" s="595"/>
      <c r="N352" s="595"/>
      <c r="O352" s="595"/>
      <c r="P352" s="595"/>
      <c r="Q352" s="595"/>
      <c r="R352" s="595"/>
      <c r="S352" s="595"/>
      <c r="T352" s="595"/>
      <c r="U352" s="595"/>
      <c r="V352" s="595"/>
      <c r="W352" s="595"/>
      <c r="X352" s="595"/>
      <c r="Y352" s="595"/>
      <c r="Z352" s="595"/>
    </row>
    <row r="353" spans="1:26" ht="19.5" customHeight="1">
      <c r="A353" s="595"/>
      <c r="B353" s="595"/>
      <c r="C353" s="596"/>
      <c r="D353" s="595"/>
      <c r="E353" s="595"/>
      <c r="F353" s="595"/>
      <c r="G353" s="595"/>
      <c r="H353" s="595"/>
      <c r="I353" s="595"/>
      <c r="J353" s="595"/>
      <c r="K353" s="595"/>
      <c r="L353" s="595"/>
      <c r="M353" s="595"/>
      <c r="N353" s="595"/>
      <c r="O353" s="595"/>
      <c r="P353" s="595"/>
      <c r="Q353" s="595"/>
      <c r="R353" s="595"/>
      <c r="S353" s="595"/>
      <c r="T353" s="595"/>
      <c r="U353" s="595"/>
      <c r="V353" s="595"/>
      <c r="W353" s="595"/>
      <c r="X353" s="595"/>
      <c r="Y353" s="595"/>
      <c r="Z353" s="595"/>
    </row>
    <row r="354" spans="1:26" ht="19.5" customHeight="1">
      <c r="A354" s="595"/>
      <c r="B354" s="595"/>
      <c r="C354" s="596"/>
      <c r="D354" s="595"/>
      <c r="E354" s="595"/>
      <c r="F354" s="595"/>
      <c r="G354" s="595"/>
      <c r="H354" s="595"/>
      <c r="I354" s="595"/>
      <c r="J354" s="595"/>
      <c r="K354" s="595"/>
      <c r="L354" s="595"/>
      <c r="M354" s="595"/>
      <c r="N354" s="595"/>
      <c r="O354" s="595"/>
      <c r="P354" s="595"/>
      <c r="Q354" s="595"/>
      <c r="R354" s="595"/>
      <c r="S354" s="595"/>
      <c r="T354" s="595"/>
      <c r="U354" s="595"/>
      <c r="V354" s="595"/>
      <c r="W354" s="595"/>
      <c r="X354" s="595"/>
      <c r="Y354" s="595"/>
      <c r="Z354" s="595"/>
    </row>
    <row r="355" spans="1:26" ht="19.5" customHeight="1">
      <c r="A355" s="595"/>
      <c r="B355" s="595"/>
      <c r="C355" s="596"/>
      <c r="D355" s="595"/>
      <c r="E355" s="595"/>
      <c r="F355" s="595"/>
      <c r="G355" s="595"/>
      <c r="H355" s="595"/>
      <c r="I355" s="595"/>
      <c r="J355" s="595"/>
      <c r="K355" s="595"/>
      <c r="L355" s="595"/>
      <c r="M355" s="595"/>
      <c r="N355" s="595"/>
      <c r="O355" s="595"/>
      <c r="P355" s="595"/>
      <c r="Q355" s="595"/>
      <c r="R355" s="595"/>
      <c r="S355" s="595"/>
      <c r="T355" s="595"/>
      <c r="U355" s="595"/>
      <c r="V355" s="595"/>
      <c r="W355" s="595"/>
      <c r="X355" s="595"/>
      <c r="Y355" s="595"/>
      <c r="Z355" s="595"/>
    </row>
    <row r="356" spans="1:26" ht="19.5" customHeight="1">
      <c r="A356" s="595"/>
      <c r="B356" s="595"/>
      <c r="C356" s="596"/>
      <c r="D356" s="595"/>
      <c r="E356" s="595"/>
      <c r="F356" s="595"/>
      <c r="G356" s="595"/>
      <c r="H356" s="595"/>
      <c r="I356" s="595"/>
      <c r="J356" s="595"/>
      <c r="K356" s="595"/>
      <c r="L356" s="595"/>
      <c r="M356" s="595"/>
      <c r="N356" s="595"/>
      <c r="O356" s="595"/>
      <c r="P356" s="595"/>
      <c r="Q356" s="595"/>
      <c r="R356" s="595"/>
      <c r="S356" s="595"/>
      <c r="T356" s="595"/>
      <c r="U356" s="595"/>
      <c r="V356" s="595"/>
      <c r="W356" s="595"/>
      <c r="X356" s="595"/>
      <c r="Y356" s="595"/>
      <c r="Z356" s="595"/>
    </row>
    <row r="357" spans="1:26" ht="19.5" customHeight="1">
      <c r="A357" s="595"/>
      <c r="B357" s="595"/>
      <c r="C357" s="596"/>
      <c r="D357" s="595"/>
      <c r="E357" s="595"/>
      <c r="F357" s="595"/>
      <c r="G357" s="595"/>
      <c r="H357" s="595"/>
      <c r="I357" s="595"/>
      <c r="J357" s="595"/>
      <c r="K357" s="595"/>
      <c r="L357" s="595"/>
      <c r="M357" s="595"/>
      <c r="N357" s="595"/>
      <c r="O357" s="595"/>
      <c r="P357" s="595"/>
      <c r="Q357" s="595"/>
      <c r="R357" s="595"/>
      <c r="S357" s="595"/>
      <c r="T357" s="595"/>
      <c r="U357" s="595"/>
      <c r="V357" s="595"/>
      <c r="W357" s="595"/>
      <c r="X357" s="595"/>
      <c r="Y357" s="595"/>
      <c r="Z357" s="595"/>
    </row>
    <row r="358" spans="1:26" ht="19.5" customHeight="1">
      <c r="A358" s="595"/>
      <c r="B358" s="595"/>
      <c r="C358" s="596"/>
      <c r="D358" s="595"/>
      <c r="E358" s="595"/>
      <c r="F358" s="595"/>
      <c r="G358" s="595"/>
      <c r="H358" s="595"/>
      <c r="I358" s="595"/>
      <c r="J358" s="595"/>
      <c r="K358" s="595"/>
      <c r="L358" s="595"/>
      <c r="M358" s="595"/>
      <c r="N358" s="595"/>
      <c r="O358" s="595"/>
      <c r="P358" s="595"/>
      <c r="Q358" s="595"/>
      <c r="R358" s="595"/>
      <c r="S358" s="595"/>
      <c r="T358" s="595"/>
      <c r="U358" s="595"/>
      <c r="V358" s="595"/>
      <c r="W358" s="595"/>
      <c r="X358" s="595"/>
      <c r="Y358" s="595"/>
      <c r="Z358" s="595"/>
    </row>
    <row r="359" spans="1:26" ht="19.5" customHeight="1">
      <c r="A359" s="595"/>
      <c r="B359" s="595"/>
      <c r="C359" s="596"/>
      <c r="D359" s="595"/>
      <c r="E359" s="595"/>
      <c r="F359" s="595"/>
      <c r="G359" s="595"/>
      <c r="H359" s="595"/>
      <c r="I359" s="595"/>
      <c r="J359" s="595"/>
      <c r="K359" s="595"/>
      <c r="L359" s="595"/>
      <c r="M359" s="595"/>
      <c r="N359" s="595"/>
      <c r="O359" s="595"/>
      <c r="P359" s="595"/>
      <c r="Q359" s="595"/>
      <c r="R359" s="595"/>
      <c r="S359" s="595"/>
      <c r="T359" s="595"/>
      <c r="U359" s="595"/>
      <c r="V359" s="595"/>
      <c r="W359" s="595"/>
      <c r="X359" s="595"/>
      <c r="Y359" s="595"/>
      <c r="Z359" s="595"/>
    </row>
    <row r="360" spans="1:26" ht="19.5" customHeight="1">
      <c r="A360" s="595"/>
      <c r="B360" s="595"/>
      <c r="C360" s="596"/>
      <c r="D360" s="595"/>
      <c r="E360" s="595"/>
      <c r="F360" s="595"/>
      <c r="G360" s="595"/>
      <c r="H360" s="595"/>
      <c r="I360" s="595"/>
      <c r="J360" s="595"/>
      <c r="K360" s="595"/>
      <c r="L360" s="595"/>
      <c r="M360" s="595"/>
      <c r="N360" s="595"/>
      <c r="O360" s="595"/>
      <c r="P360" s="595"/>
      <c r="Q360" s="595"/>
      <c r="R360" s="595"/>
      <c r="S360" s="595"/>
      <c r="T360" s="595"/>
      <c r="U360" s="595"/>
      <c r="V360" s="595"/>
      <c r="W360" s="595"/>
      <c r="X360" s="595"/>
      <c r="Y360" s="595"/>
      <c r="Z360" s="595"/>
    </row>
    <row r="361" spans="1:26" ht="19.5" customHeight="1">
      <c r="A361" s="595"/>
      <c r="B361" s="595"/>
      <c r="C361" s="596"/>
      <c r="D361" s="595"/>
      <c r="E361" s="595"/>
      <c r="F361" s="595"/>
      <c r="G361" s="595"/>
      <c r="H361" s="595"/>
      <c r="I361" s="595"/>
      <c r="J361" s="595"/>
      <c r="K361" s="595"/>
      <c r="L361" s="595"/>
      <c r="M361" s="595"/>
      <c r="N361" s="595"/>
      <c r="O361" s="595"/>
      <c r="P361" s="595"/>
      <c r="Q361" s="595"/>
      <c r="R361" s="595"/>
      <c r="S361" s="595"/>
      <c r="T361" s="595"/>
      <c r="U361" s="595"/>
      <c r="V361" s="595"/>
      <c r="W361" s="595"/>
      <c r="X361" s="595"/>
      <c r="Y361" s="595"/>
      <c r="Z361" s="595"/>
    </row>
    <row r="362" spans="1:26" ht="19.5" customHeight="1">
      <c r="A362" s="595"/>
      <c r="B362" s="595"/>
      <c r="C362" s="596"/>
      <c r="D362" s="595"/>
      <c r="E362" s="595"/>
      <c r="F362" s="595"/>
      <c r="G362" s="595"/>
      <c r="H362" s="595"/>
      <c r="I362" s="595"/>
      <c r="J362" s="595"/>
      <c r="K362" s="595"/>
      <c r="L362" s="595"/>
      <c r="M362" s="595"/>
      <c r="N362" s="595"/>
      <c r="O362" s="595"/>
      <c r="P362" s="595"/>
      <c r="Q362" s="595"/>
      <c r="R362" s="595"/>
      <c r="S362" s="595"/>
      <c r="T362" s="595"/>
      <c r="U362" s="595"/>
      <c r="V362" s="595"/>
      <c r="W362" s="595"/>
      <c r="X362" s="595"/>
      <c r="Y362" s="595"/>
      <c r="Z362" s="595"/>
    </row>
    <row r="363" spans="1:26" ht="19.5" customHeight="1">
      <c r="A363" s="595"/>
      <c r="B363" s="595"/>
      <c r="C363" s="596"/>
      <c r="D363" s="595"/>
      <c r="E363" s="595"/>
      <c r="F363" s="595"/>
      <c r="G363" s="595"/>
      <c r="H363" s="595"/>
      <c r="I363" s="595"/>
      <c r="J363" s="595"/>
      <c r="K363" s="595"/>
      <c r="L363" s="595"/>
      <c r="M363" s="595"/>
      <c r="N363" s="595"/>
      <c r="O363" s="595"/>
      <c r="P363" s="595"/>
      <c r="Q363" s="595"/>
      <c r="R363" s="595"/>
      <c r="S363" s="595"/>
      <c r="T363" s="595"/>
      <c r="U363" s="595"/>
      <c r="V363" s="595"/>
      <c r="W363" s="595"/>
      <c r="X363" s="595"/>
      <c r="Y363" s="595"/>
      <c r="Z363" s="595"/>
    </row>
    <row r="364" spans="1:26" ht="19.5" customHeight="1">
      <c r="A364" s="595"/>
      <c r="B364" s="595"/>
      <c r="C364" s="596"/>
      <c r="D364" s="595"/>
      <c r="E364" s="595"/>
      <c r="F364" s="595"/>
      <c r="G364" s="595"/>
      <c r="H364" s="595"/>
      <c r="I364" s="595"/>
      <c r="J364" s="595"/>
      <c r="K364" s="595"/>
      <c r="L364" s="595"/>
      <c r="M364" s="595"/>
      <c r="N364" s="595"/>
      <c r="O364" s="595"/>
      <c r="P364" s="595"/>
      <c r="Q364" s="595"/>
      <c r="R364" s="595"/>
      <c r="S364" s="595"/>
      <c r="T364" s="595"/>
      <c r="U364" s="595"/>
      <c r="V364" s="595"/>
      <c r="W364" s="595"/>
      <c r="X364" s="595"/>
      <c r="Y364" s="595"/>
      <c r="Z364" s="595"/>
    </row>
    <row r="365" spans="1:26" ht="19.5" customHeight="1">
      <c r="A365" s="595"/>
      <c r="B365" s="595"/>
      <c r="C365" s="596"/>
      <c r="D365" s="595"/>
      <c r="E365" s="595"/>
      <c r="F365" s="595"/>
      <c r="G365" s="595"/>
      <c r="H365" s="595"/>
      <c r="I365" s="595"/>
      <c r="J365" s="595"/>
      <c r="K365" s="595"/>
      <c r="L365" s="595"/>
      <c r="M365" s="595"/>
      <c r="N365" s="595"/>
      <c r="O365" s="595"/>
      <c r="P365" s="595"/>
      <c r="Q365" s="595"/>
      <c r="R365" s="595"/>
      <c r="S365" s="595"/>
      <c r="T365" s="595"/>
      <c r="U365" s="595"/>
      <c r="V365" s="595"/>
      <c r="W365" s="595"/>
      <c r="X365" s="595"/>
      <c r="Y365" s="595"/>
      <c r="Z365" s="595"/>
    </row>
    <row r="366" spans="1:26" ht="19.5" customHeight="1">
      <c r="A366" s="595"/>
      <c r="B366" s="595"/>
      <c r="C366" s="596"/>
      <c r="D366" s="595"/>
      <c r="E366" s="595"/>
      <c r="F366" s="595"/>
      <c r="G366" s="595"/>
      <c r="H366" s="595"/>
      <c r="I366" s="595"/>
      <c r="J366" s="595"/>
      <c r="K366" s="595"/>
      <c r="L366" s="595"/>
      <c r="M366" s="595"/>
      <c r="N366" s="595"/>
      <c r="O366" s="595"/>
      <c r="P366" s="595"/>
      <c r="Q366" s="595"/>
      <c r="R366" s="595"/>
      <c r="S366" s="595"/>
      <c r="T366" s="595"/>
      <c r="U366" s="595"/>
      <c r="V366" s="595"/>
      <c r="W366" s="595"/>
      <c r="X366" s="595"/>
      <c r="Y366" s="595"/>
      <c r="Z366" s="595"/>
    </row>
    <row r="367" spans="1:26" ht="19.5" customHeight="1">
      <c r="A367" s="595"/>
      <c r="B367" s="595"/>
      <c r="C367" s="596"/>
      <c r="D367" s="595"/>
      <c r="E367" s="595"/>
      <c r="F367" s="595"/>
      <c r="G367" s="595"/>
      <c r="H367" s="595"/>
      <c r="I367" s="595"/>
      <c r="J367" s="595"/>
      <c r="K367" s="595"/>
      <c r="L367" s="595"/>
      <c r="M367" s="595"/>
      <c r="N367" s="595"/>
      <c r="O367" s="595"/>
      <c r="P367" s="595"/>
      <c r="Q367" s="595"/>
      <c r="R367" s="595"/>
      <c r="S367" s="595"/>
      <c r="T367" s="595"/>
      <c r="U367" s="595"/>
      <c r="V367" s="595"/>
      <c r="W367" s="595"/>
      <c r="X367" s="595"/>
      <c r="Y367" s="595"/>
      <c r="Z367" s="595"/>
    </row>
    <row r="368" spans="1:26" ht="19.5" customHeight="1">
      <c r="A368" s="595"/>
      <c r="B368" s="595"/>
      <c r="C368" s="596"/>
      <c r="D368" s="595"/>
      <c r="E368" s="595"/>
      <c r="F368" s="595"/>
      <c r="G368" s="595"/>
      <c r="H368" s="595"/>
      <c r="I368" s="595"/>
      <c r="J368" s="595"/>
      <c r="K368" s="595"/>
      <c r="L368" s="595"/>
      <c r="M368" s="595"/>
      <c r="N368" s="595"/>
      <c r="O368" s="595"/>
      <c r="P368" s="595"/>
      <c r="Q368" s="595"/>
      <c r="R368" s="595"/>
      <c r="S368" s="595"/>
      <c r="T368" s="595"/>
      <c r="U368" s="595"/>
      <c r="V368" s="595"/>
      <c r="W368" s="595"/>
      <c r="X368" s="595"/>
      <c r="Y368" s="595"/>
      <c r="Z368" s="595"/>
    </row>
    <row r="369" spans="1:26" ht="19.5" customHeight="1">
      <c r="A369" s="595"/>
      <c r="B369" s="595"/>
      <c r="C369" s="596"/>
      <c r="D369" s="595"/>
      <c r="E369" s="595"/>
      <c r="F369" s="595"/>
      <c r="G369" s="595"/>
      <c r="H369" s="595"/>
      <c r="I369" s="595"/>
      <c r="J369" s="595"/>
      <c r="K369" s="595"/>
      <c r="L369" s="595"/>
      <c r="M369" s="595"/>
      <c r="N369" s="595"/>
      <c r="O369" s="595"/>
      <c r="P369" s="595"/>
      <c r="Q369" s="595"/>
      <c r="R369" s="595"/>
      <c r="S369" s="595"/>
      <c r="T369" s="595"/>
      <c r="U369" s="595"/>
      <c r="V369" s="595"/>
      <c r="W369" s="595"/>
      <c r="X369" s="595"/>
      <c r="Y369" s="595"/>
      <c r="Z369" s="595"/>
    </row>
    <row r="370" spans="1:26" ht="19.5" customHeight="1">
      <c r="A370" s="595"/>
      <c r="B370" s="595"/>
      <c r="C370" s="596"/>
      <c r="D370" s="595"/>
      <c r="E370" s="595"/>
      <c r="F370" s="595"/>
      <c r="G370" s="595"/>
      <c r="H370" s="595"/>
      <c r="I370" s="595"/>
      <c r="J370" s="595"/>
      <c r="K370" s="595"/>
      <c r="L370" s="595"/>
      <c r="M370" s="595"/>
      <c r="N370" s="595"/>
      <c r="O370" s="595"/>
      <c r="P370" s="595"/>
      <c r="Q370" s="595"/>
      <c r="R370" s="595"/>
      <c r="S370" s="595"/>
      <c r="T370" s="595"/>
      <c r="U370" s="595"/>
      <c r="V370" s="595"/>
      <c r="W370" s="595"/>
      <c r="X370" s="595"/>
      <c r="Y370" s="595"/>
      <c r="Z370" s="595"/>
    </row>
    <row r="371" spans="1:26" ht="19.5" customHeight="1">
      <c r="A371" s="595"/>
      <c r="B371" s="595"/>
      <c r="C371" s="596"/>
      <c r="D371" s="595"/>
      <c r="E371" s="595"/>
      <c r="F371" s="595"/>
      <c r="G371" s="595"/>
      <c r="H371" s="595"/>
      <c r="I371" s="595"/>
      <c r="J371" s="595"/>
      <c r="K371" s="595"/>
      <c r="L371" s="595"/>
      <c r="M371" s="595"/>
      <c r="N371" s="595"/>
      <c r="O371" s="595"/>
      <c r="P371" s="595"/>
      <c r="Q371" s="595"/>
      <c r="R371" s="595"/>
      <c r="S371" s="595"/>
      <c r="T371" s="595"/>
      <c r="U371" s="595"/>
      <c r="V371" s="595"/>
      <c r="W371" s="595"/>
      <c r="X371" s="595"/>
      <c r="Y371" s="595"/>
      <c r="Z371" s="595"/>
    </row>
    <row r="372" spans="1:26" ht="19.5" customHeight="1">
      <c r="A372" s="595"/>
      <c r="B372" s="595"/>
      <c r="C372" s="596"/>
      <c r="D372" s="595"/>
      <c r="E372" s="595"/>
      <c r="F372" s="595"/>
      <c r="G372" s="595"/>
      <c r="H372" s="595"/>
      <c r="I372" s="595"/>
      <c r="J372" s="595"/>
      <c r="K372" s="595"/>
      <c r="L372" s="595"/>
      <c r="M372" s="595"/>
      <c r="N372" s="595"/>
      <c r="O372" s="595"/>
      <c r="P372" s="595"/>
      <c r="Q372" s="595"/>
      <c r="R372" s="595"/>
      <c r="S372" s="595"/>
      <c r="T372" s="595"/>
      <c r="U372" s="595"/>
      <c r="V372" s="595"/>
      <c r="W372" s="595"/>
      <c r="X372" s="595"/>
      <c r="Y372" s="595"/>
      <c r="Z372" s="595"/>
    </row>
    <row r="373" spans="1:26" ht="19.5" customHeight="1">
      <c r="A373" s="595"/>
      <c r="B373" s="595"/>
      <c r="C373" s="596"/>
      <c r="D373" s="595"/>
      <c r="E373" s="595"/>
      <c r="F373" s="595"/>
      <c r="G373" s="595"/>
      <c r="H373" s="595"/>
      <c r="I373" s="595"/>
      <c r="J373" s="595"/>
      <c r="K373" s="595"/>
      <c r="L373" s="595"/>
      <c r="M373" s="595"/>
      <c r="N373" s="595"/>
      <c r="O373" s="595"/>
      <c r="P373" s="595"/>
      <c r="Q373" s="595"/>
      <c r="R373" s="595"/>
      <c r="S373" s="595"/>
      <c r="T373" s="595"/>
      <c r="U373" s="595"/>
      <c r="V373" s="595"/>
      <c r="W373" s="595"/>
      <c r="X373" s="595"/>
      <c r="Y373" s="595"/>
      <c r="Z373" s="595"/>
    </row>
    <row r="374" spans="1:26" ht="19.5" customHeight="1">
      <c r="A374" s="595"/>
      <c r="B374" s="595"/>
      <c r="C374" s="596"/>
      <c r="D374" s="595"/>
      <c r="E374" s="595"/>
      <c r="F374" s="595"/>
      <c r="G374" s="595"/>
      <c r="H374" s="595"/>
      <c r="I374" s="595"/>
      <c r="J374" s="595"/>
      <c r="K374" s="595"/>
      <c r="L374" s="595"/>
      <c r="M374" s="595"/>
      <c r="N374" s="595"/>
      <c r="O374" s="595"/>
      <c r="P374" s="595"/>
      <c r="Q374" s="595"/>
      <c r="R374" s="595"/>
      <c r="S374" s="595"/>
      <c r="T374" s="595"/>
      <c r="U374" s="595"/>
      <c r="V374" s="595"/>
      <c r="W374" s="595"/>
      <c r="X374" s="595"/>
      <c r="Y374" s="595"/>
      <c r="Z374" s="595"/>
    </row>
    <row r="375" spans="1:26" ht="19.5" customHeight="1">
      <c r="A375" s="595"/>
      <c r="B375" s="595"/>
      <c r="C375" s="596"/>
      <c r="D375" s="595"/>
      <c r="E375" s="595"/>
      <c r="F375" s="595"/>
      <c r="G375" s="595"/>
      <c r="H375" s="595"/>
      <c r="I375" s="595"/>
      <c r="J375" s="595"/>
      <c r="K375" s="595"/>
      <c r="L375" s="595"/>
      <c r="M375" s="595"/>
      <c r="N375" s="595"/>
      <c r="O375" s="595"/>
      <c r="P375" s="595"/>
      <c r="Q375" s="595"/>
      <c r="R375" s="595"/>
      <c r="S375" s="595"/>
      <c r="T375" s="595"/>
      <c r="U375" s="595"/>
      <c r="V375" s="595"/>
      <c r="W375" s="595"/>
      <c r="X375" s="595"/>
      <c r="Y375" s="595"/>
      <c r="Z375" s="595"/>
    </row>
    <row r="376" spans="1:26" ht="19.5" customHeight="1">
      <c r="A376" s="595"/>
      <c r="B376" s="595"/>
      <c r="C376" s="596"/>
      <c r="D376" s="595"/>
      <c r="E376" s="595"/>
      <c r="F376" s="595"/>
      <c r="G376" s="595"/>
      <c r="H376" s="595"/>
      <c r="I376" s="595"/>
      <c r="J376" s="595"/>
      <c r="K376" s="595"/>
      <c r="L376" s="595"/>
      <c r="M376" s="595"/>
      <c r="N376" s="595"/>
      <c r="O376" s="595"/>
      <c r="P376" s="595"/>
      <c r="Q376" s="595"/>
      <c r="R376" s="595"/>
      <c r="S376" s="595"/>
      <c r="T376" s="595"/>
      <c r="U376" s="595"/>
      <c r="V376" s="595"/>
      <c r="W376" s="595"/>
      <c r="X376" s="595"/>
      <c r="Y376" s="595"/>
      <c r="Z376" s="595"/>
    </row>
    <row r="377" spans="1:26" ht="19.5" customHeight="1">
      <c r="A377" s="595"/>
      <c r="B377" s="595"/>
      <c r="C377" s="596"/>
      <c r="D377" s="595"/>
      <c r="E377" s="595"/>
      <c r="F377" s="595"/>
      <c r="G377" s="595"/>
      <c r="H377" s="595"/>
      <c r="I377" s="595"/>
      <c r="J377" s="595"/>
      <c r="K377" s="595"/>
      <c r="L377" s="595"/>
      <c r="M377" s="595"/>
      <c r="N377" s="595"/>
      <c r="O377" s="595"/>
      <c r="P377" s="595"/>
      <c r="Q377" s="595"/>
      <c r="R377" s="595"/>
      <c r="S377" s="595"/>
      <c r="T377" s="595"/>
      <c r="U377" s="595"/>
      <c r="V377" s="595"/>
      <c r="W377" s="595"/>
      <c r="X377" s="595"/>
      <c r="Y377" s="595"/>
      <c r="Z377" s="595"/>
    </row>
    <row r="378" spans="1:26" ht="19.5" customHeight="1">
      <c r="A378" s="595"/>
      <c r="B378" s="595"/>
      <c r="C378" s="596"/>
      <c r="D378" s="595"/>
      <c r="E378" s="595"/>
      <c r="F378" s="595"/>
      <c r="G378" s="595"/>
      <c r="H378" s="595"/>
      <c r="I378" s="595"/>
      <c r="J378" s="595"/>
      <c r="K378" s="595"/>
      <c r="L378" s="595"/>
      <c r="M378" s="595"/>
      <c r="N378" s="595"/>
      <c r="O378" s="595"/>
      <c r="P378" s="595"/>
      <c r="Q378" s="595"/>
      <c r="R378" s="595"/>
      <c r="S378" s="595"/>
      <c r="T378" s="595"/>
      <c r="U378" s="595"/>
      <c r="V378" s="595"/>
      <c r="W378" s="595"/>
      <c r="X378" s="595"/>
      <c r="Y378" s="595"/>
      <c r="Z378" s="595"/>
    </row>
    <row r="379" spans="1:26" ht="19.5" customHeight="1">
      <c r="A379" s="595"/>
      <c r="B379" s="595"/>
      <c r="C379" s="596"/>
      <c r="D379" s="595"/>
      <c r="E379" s="595"/>
      <c r="F379" s="595"/>
      <c r="G379" s="595"/>
      <c r="H379" s="595"/>
      <c r="I379" s="595"/>
      <c r="J379" s="595"/>
      <c r="K379" s="595"/>
      <c r="L379" s="595"/>
      <c r="M379" s="595"/>
      <c r="N379" s="595"/>
      <c r="O379" s="595"/>
      <c r="P379" s="595"/>
      <c r="Q379" s="595"/>
      <c r="R379" s="595"/>
      <c r="S379" s="595"/>
      <c r="T379" s="595"/>
      <c r="U379" s="595"/>
      <c r="V379" s="595"/>
      <c r="W379" s="595"/>
      <c r="X379" s="595"/>
      <c r="Y379" s="595"/>
      <c r="Z379" s="595"/>
    </row>
    <row r="380" spans="1:26" ht="19.5" customHeight="1">
      <c r="A380" s="595"/>
      <c r="B380" s="595"/>
      <c r="C380" s="596"/>
      <c r="D380" s="595"/>
      <c r="E380" s="595"/>
      <c r="F380" s="595"/>
      <c r="G380" s="595"/>
      <c r="H380" s="595"/>
      <c r="I380" s="595"/>
      <c r="J380" s="595"/>
      <c r="K380" s="595"/>
      <c r="L380" s="595"/>
      <c r="M380" s="595"/>
      <c r="N380" s="595"/>
      <c r="O380" s="595"/>
      <c r="P380" s="595"/>
      <c r="Q380" s="595"/>
      <c r="R380" s="595"/>
      <c r="S380" s="595"/>
      <c r="T380" s="595"/>
      <c r="U380" s="595"/>
      <c r="V380" s="595"/>
      <c r="W380" s="595"/>
      <c r="X380" s="595"/>
      <c r="Y380" s="595"/>
      <c r="Z380" s="595"/>
    </row>
    <row r="381" spans="1:26" ht="19.5" customHeight="1">
      <c r="A381" s="595"/>
      <c r="B381" s="595"/>
      <c r="C381" s="596"/>
      <c r="D381" s="595"/>
      <c r="E381" s="595"/>
      <c r="F381" s="595"/>
      <c r="G381" s="595"/>
      <c r="H381" s="595"/>
      <c r="I381" s="595"/>
      <c r="J381" s="595"/>
      <c r="K381" s="595"/>
      <c r="L381" s="595"/>
      <c r="M381" s="595"/>
      <c r="N381" s="595"/>
      <c r="O381" s="595"/>
      <c r="P381" s="595"/>
      <c r="Q381" s="595"/>
      <c r="R381" s="595"/>
      <c r="S381" s="595"/>
      <c r="T381" s="595"/>
      <c r="U381" s="595"/>
      <c r="V381" s="595"/>
      <c r="W381" s="595"/>
      <c r="X381" s="595"/>
      <c r="Y381" s="595"/>
      <c r="Z381" s="595"/>
    </row>
    <row r="382" spans="1:26" ht="19.5" customHeight="1">
      <c r="A382" s="595"/>
      <c r="B382" s="595"/>
      <c r="C382" s="596"/>
      <c r="D382" s="595"/>
      <c r="E382" s="595"/>
      <c r="F382" s="595"/>
      <c r="G382" s="595"/>
      <c r="H382" s="595"/>
      <c r="I382" s="595"/>
      <c r="J382" s="595"/>
      <c r="K382" s="595"/>
      <c r="L382" s="595"/>
      <c r="M382" s="595"/>
      <c r="N382" s="595"/>
      <c r="O382" s="595"/>
      <c r="P382" s="595"/>
      <c r="Q382" s="595"/>
      <c r="R382" s="595"/>
      <c r="S382" s="595"/>
      <c r="T382" s="595"/>
      <c r="U382" s="595"/>
      <c r="V382" s="595"/>
      <c r="W382" s="595"/>
      <c r="X382" s="595"/>
      <c r="Y382" s="595"/>
      <c r="Z382" s="595"/>
    </row>
    <row r="383" spans="1:26" ht="19.5" customHeight="1">
      <c r="A383" s="595"/>
      <c r="B383" s="595"/>
      <c r="C383" s="596"/>
      <c r="D383" s="595"/>
      <c r="E383" s="595"/>
      <c r="F383" s="595"/>
      <c r="G383" s="595"/>
      <c r="H383" s="595"/>
      <c r="I383" s="595"/>
      <c r="J383" s="595"/>
      <c r="K383" s="595"/>
      <c r="L383" s="595"/>
      <c r="M383" s="595"/>
      <c r="N383" s="595"/>
      <c r="O383" s="595"/>
      <c r="P383" s="595"/>
      <c r="Q383" s="595"/>
      <c r="R383" s="595"/>
      <c r="S383" s="595"/>
      <c r="T383" s="595"/>
      <c r="U383" s="595"/>
      <c r="V383" s="595"/>
      <c r="W383" s="595"/>
      <c r="X383" s="595"/>
      <c r="Y383" s="595"/>
      <c r="Z383" s="595"/>
    </row>
    <row r="384" spans="1:26" ht="19.5" customHeight="1">
      <c r="A384" s="595"/>
      <c r="B384" s="595"/>
      <c r="C384" s="596"/>
      <c r="D384" s="595"/>
      <c r="E384" s="595"/>
      <c r="F384" s="595"/>
      <c r="G384" s="595"/>
      <c r="H384" s="595"/>
      <c r="I384" s="595"/>
      <c r="J384" s="595"/>
      <c r="K384" s="595"/>
      <c r="L384" s="595"/>
      <c r="M384" s="595"/>
      <c r="N384" s="595"/>
      <c r="O384" s="595"/>
      <c r="P384" s="595"/>
      <c r="Q384" s="595"/>
      <c r="R384" s="595"/>
      <c r="S384" s="595"/>
      <c r="T384" s="595"/>
      <c r="U384" s="595"/>
      <c r="V384" s="595"/>
      <c r="W384" s="595"/>
      <c r="X384" s="595"/>
      <c r="Y384" s="595"/>
      <c r="Z384" s="595"/>
    </row>
    <row r="385" spans="1:26" ht="19.5" customHeight="1">
      <c r="A385" s="595"/>
      <c r="B385" s="595"/>
      <c r="C385" s="596"/>
      <c r="D385" s="595"/>
      <c r="E385" s="595"/>
      <c r="F385" s="595"/>
      <c r="G385" s="595"/>
      <c r="H385" s="595"/>
      <c r="I385" s="595"/>
      <c r="J385" s="595"/>
      <c r="K385" s="595"/>
      <c r="L385" s="595"/>
      <c r="M385" s="595"/>
      <c r="N385" s="595"/>
      <c r="O385" s="595"/>
      <c r="P385" s="595"/>
      <c r="Q385" s="595"/>
      <c r="R385" s="595"/>
      <c r="S385" s="595"/>
      <c r="T385" s="595"/>
      <c r="U385" s="595"/>
      <c r="V385" s="595"/>
      <c r="W385" s="595"/>
      <c r="X385" s="595"/>
      <c r="Y385" s="595"/>
      <c r="Z385" s="595"/>
    </row>
    <row r="386" spans="1:26" ht="19.5" customHeight="1">
      <c r="A386" s="595"/>
      <c r="B386" s="595"/>
      <c r="C386" s="596"/>
      <c r="D386" s="595"/>
      <c r="E386" s="595"/>
      <c r="F386" s="595"/>
      <c r="G386" s="595"/>
      <c r="H386" s="595"/>
      <c r="I386" s="595"/>
      <c r="J386" s="595"/>
      <c r="K386" s="595"/>
      <c r="L386" s="595"/>
      <c r="M386" s="595"/>
      <c r="N386" s="595"/>
      <c r="O386" s="595"/>
      <c r="P386" s="595"/>
      <c r="Q386" s="595"/>
      <c r="R386" s="595"/>
      <c r="S386" s="595"/>
      <c r="T386" s="595"/>
      <c r="U386" s="595"/>
      <c r="V386" s="595"/>
      <c r="W386" s="595"/>
      <c r="X386" s="595"/>
      <c r="Y386" s="595"/>
      <c r="Z386" s="595"/>
    </row>
    <row r="387" spans="1:26" ht="19.5" customHeight="1">
      <c r="A387" s="595"/>
      <c r="B387" s="595"/>
      <c r="C387" s="596"/>
      <c r="D387" s="595"/>
      <c r="E387" s="595"/>
      <c r="F387" s="595"/>
      <c r="G387" s="595"/>
      <c r="H387" s="595"/>
      <c r="I387" s="595"/>
      <c r="J387" s="595"/>
      <c r="K387" s="595"/>
      <c r="L387" s="595"/>
      <c r="M387" s="595"/>
      <c r="N387" s="595"/>
      <c r="O387" s="595"/>
      <c r="P387" s="595"/>
      <c r="Q387" s="595"/>
      <c r="R387" s="595"/>
      <c r="S387" s="595"/>
      <c r="T387" s="595"/>
      <c r="U387" s="595"/>
      <c r="V387" s="595"/>
      <c r="W387" s="595"/>
      <c r="X387" s="595"/>
      <c r="Y387" s="595"/>
      <c r="Z387" s="595"/>
    </row>
    <row r="388" spans="1:26" ht="19.5" customHeight="1">
      <c r="A388" s="595"/>
      <c r="B388" s="595"/>
      <c r="C388" s="596"/>
      <c r="D388" s="595"/>
      <c r="E388" s="595"/>
      <c r="F388" s="595"/>
      <c r="G388" s="595"/>
      <c r="H388" s="595"/>
      <c r="I388" s="595"/>
      <c r="J388" s="595"/>
      <c r="K388" s="595"/>
      <c r="L388" s="595"/>
      <c r="M388" s="595"/>
      <c r="N388" s="595"/>
      <c r="O388" s="595"/>
      <c r="P388" s="595"/>
      <c r="Q388" s="595"/>
      <c r="R388" s="595"/>
      <c r="S388" s="595"/>
      <c r="T388" s="595"/>
      <c r="U388" s="595"/>
      <c r="V388" s="595"/>
      <c r="W388" s="595"/>
      <c r="X388" s="595"/>
      <c r="Y388" s="595"/>
      <c r="Z388" s="595"/>
    </row>
    <row r="389" spans="1:26" ht="19.5" customHeight="1">
      <c r="A389" s="595"/>
      <c r="B389" s="595"/>
      <c r="C389" s="596"/>
      <c r="D389" s="595"/>
      <c r="E389" s="595"/>
      <c r="F389" s="595"/>
      <c r="G389" s="595"/>
      <c r="H389" s="595"/>
      <c r="I389" s="595"/>
      <c r="J389" s="595"/>
      <c r="K389" s="595"/>
      <c r="L389" s="595"/>
      <c r="M389" s="595"/>
      <c r="N389" s="595"/>
      <c r="O389" s="595"/>
      <c r="P389" s="595"/>
      <c r="Q389" s="595"/>
      <c r="R389" s="595"/>
      <c r="S389" s="595"/>
      <c r="T389" s="595"/>
      <c r="U389" s="595"/>
      <c r="V389" s="595"/>
      <c r="W389" s="595"/>
      <c r="X389" s="595"/>
      <c r="Y389" s="595"/>
      <c r="Z389" s="595"/>
    </row>
    <row r="390" spans="1:26" ht="19.5" customHeight="1">
      <c r="A390" s="595"/>
      <c r="B390" s="595"/>
      <c r="C390" s="596"/>
      <c r="D390" s="595"/>
      <c r="E390" s="595"/>
      <c r="F390" s="595"/>
      <c r="G390" s="595"/>
      <c r="H390" s="595"/>
      <c r="I390" s="595"/>
      <c r="J390" s="595"/>
      <c r="K390" s="595"/>
      <c r="L390" s="595"/>
      <c r="M390" s="595"/>
      <c r="N390" s="595"/>
      <c r="O390" s="595"/>
      <c r="P390" s="595"/>
      <c r="Q390" s="595"/>
      <c r="R390" s="595"/>
      <c r="S390" s="595"/>
      <c r="T390" s="595"/>
      <c r="U390" s="595"/>
      <c r="V390" s="595"/>
      <c r="W390" s="595"/>
      <c r="X390" s="595"/>
      <c r="Y390" s="595"/>
      <c r="Z390" s="595"/>
    </row>
    <row r="391" spans="1:26" ht="19.5" customHeight="1">
      <c r="A391" s="595"/>
      <c r="B391" s="595"/>
      <c r="C391" s="596"/>
      <c r="D391" s="595"/>
      <c r="E391" s="595"/>
      <c r="F391" s="595"/>
      <c r="G391" s="595"/>
      <c r="H391" s="595"/>
      <c r="I391" s="595"/>
      <c r="J391" s="595"/>
      <c r="K391" s="595"/>
      <c r="L391" s="595"/>
      <c r="M391" s="595"/>
      <c r="N391" s="595"/>
      <c r="O391" s="595"/>
      <c r="P391" s="595"/>
      <c r="Q391" s="595"/>
      <c r="R391" s="595"/>
      <c r="S391" s="595"/>
      <c r="T391" s="595"/>
      <c r="U391" s="595"/>
      <c r="V391" s="595"/>
      <c r="W391" s="595"/>
      <c r="X391" s="595"/>
      <c r="Y391" s="595"/>
      <c r="Z391" s="595"/>
    </row>
    <row r="392" spans="1:26" ht="19.5" customHeight="1">
      <c r="A392" s="595"/>
      <c r="B392" s="595"/>
      <c r="C392" s="596"/>
      <c r="D392" s="595"/>
      <c r="E392" s="595"/>
      <c r="F392" s="595"/>
      <c r="G392" s="595"/>
      <c r="H392" s="595"/>
      <c r="I392" s="595"/>
      <c r="J392" s="595"/>
      <c r="K392" s="595"/>
      <c r="L392" s="595"/>
      <c r="M392" s="595"/>
      <c r="N392" s="595"/>
      <c r="O392" s="595"/>
      <c r="P392" s="595"/>
      <c r="Q392" s="595"/>
      <c r="R392" s="595"/>
      <c r="S392" s="595"/>
      <c r="T392" s="595"/>
      <c r="U392" s="595"/>
      <c r="V392" s="595"/>
      <c r="W392" s="595"/>
      <c r="X392" s="595"/>
      <c r="Y392" s="595"/>
      <c r="Z392" s="595"/>
    </row>
    <row r="393" spans="1:26" ht="19.5" customHeight="1">
      <c r="A393" s="595"/>
      <c r="B393" s="595"/>
      <c r="C393" s="596"/>
      <c r="D393" s="595"/>
      <c r="E393" s="595"/>
      <c r="F393" s="595"/>
      <c r="G393" s="595"/>
      <c r="H393" s="595"/>
      <c r="I393" s="595"/>
      <c r="J393" s="595"/>
      <c r="K393" s="595"/>
      <c r="L393" s="595"/>
      <c r="M393" s="595"/>
      <c r="N393" s="595"/>
      <c r="O393" s="595"/>
      <c r="P393" s="595"/>
      <c r="Q393" s="595"/>
      <c r="R393" s="595"/>
      <c r="S393" s="595"/>
      <c r="T393" s="595"/>
      <c r="U393" s="595"/>
      <c r="V393" s="595"/>
      <c r="W393" s="595"/>
      <c r="X393" s="595"/>
      <c r="Y393" s="595"/>
      <c r="Z393" s="595"/>
    </row>
    <row r="394" spans="1:26" ht="19.5" customHeight="1">
      <c r="A394" s="595"/>
      <c r="B394" s="595"/>
      <c r="C394" s="596"/>
      <c r="D394" s="595"/>
      <c r="E394" s="595"/>
      <c r="F394" s="595"/>
      <c r="G394" s="595"/>
      <c r="H394" s="595"/>
      <c r="I394" s="595"/>
      <c r="J394" s="595"/>
      <c r="K394" s="595"/>
      <c r="L394" s="595"/>
      <c r="M394" s="595"/>
      <c r="N394" s="595"/>
      <c r="O394" s="595"/>
      <c r="P394" s="595"/>
      <c r="Q394" s="595"/>
      <c r="R394" s="595"/>
      <c r="S394" s="595"/>
      <c r="T394" s="595"/>
      <c r="U394" s="595"/>
      <c r="V394" s="595"/>
      <c r="W394" s="595"/>
      <c r="X394" s="595"/>
      <c r="Y394" s="595"/>
      <c r="Z394" s="595"/>
    </row>
    <row r="395" spans="1:26" ht="19.5" customHeight="1">
      <c r="A395" s="595"/>
      <c r="B395" s="595"/>
      <c r="C395" s="596"/>
      <c r="D395" s="595"/>
      <c r="E395" s="595"/>
      <c r="F395" s="595"/>
      <c r="G395" s="595"/>
      <c r="H395" s="595"/>
      <c r="I395" s="595"/>
      <c r="J395" s="595"/>
      <c r="K395" s="595"/>
      <c r="L395" s="595"/>
      <c r="M395" s="595"/>
      <c r="N395" s="595"/>
      <c r="O395" s="595"/>
      <c r="P395" s="595"/>
      <c r="Q395" s="595"/>
      <c r="R395" s="595"/>
      <c r="S395" s="595"/>
      <c r="T395" s="595"/>
      <c r="U395" s="595"/>
      <c r="V395" s="595"/>
      <c r="W395" s="595"/>
      <c r="X395" s="595"/>
      <c r="Y395" s="595"/>
      <c r="Z395" s="595"/>
    </row>
    <row r="396" spans="1:26" ht="19.5" customHeight="1">
      <c r="A396" s="595"/>
      <c r="B396" s="595"/>
      <c r="C396" s="596"/>
      <c r="D396" s="595"/>
      <c r="E396" s="595"/>
      <c r="F396" s="595"/>
      <c r="G396" s="595"/>
      <c r="H396" s="595"/>
      <c r="I396" s="595"/>
      <c r="J396" s="595"/>
      <c r="K396" s="595"/>
      <c r="L396" s="595"/>
      <c r="M396" s="595"/>
      <c r="N396" s="595"/>
      <c r="O396" s="595"/>
      <c r="P396" s="595"/>
      <c r="Q396" s="595"/>
      <c r="R396" s="595"/>
      <c r="S396" s="595"/>
      <c r="T396" s="595"/>
      <c r="U396" s="595"/>
      <c r="V396" s="595"/>
      <c r="W396" s="595"/>
      <c r="X396" s="595"/>
      <c r="Y396" s="595"/>
      <c r="Z396" s="595"/>
    </row>
    <row r="397" spans="1:26" ht="19.5" customHeight="1">
      <c r="A397" s="595"/>
      <c r="B397" s="595"/>
      <c r="C397" s="596"/>
      <c r="D397" s="595"/>
      <c r="E397" s="595"/>
      <c r="F397" s="595"/>
      <c r="G397" s="595"/>
      <c r="H397" s="595"/>
      <c r="I397" s="595"/>
      <c r="J397" s="595"/>
      <c r="K397" s="595"/>
      <c r="L397" s="595"/>
      <c r="M397" s="595"/>
      <c r="N397" s="595"/>
      <c r="O397" s="595"/>
      <c r="P397" s="595"/>
      <c r="Q397" s="595"/>
      <c r="R397" s="595"/>
      <c r="S397" s="595"/>
      <c r="T397" s="595"/>
      <c r="U397" s="595"/>
      <c r="V397" s="595"/>
      <c r="W397" s="595"/>
      <c r="X397" s="595"/>
      <c r="Y397" s="595"/>
      <c r="Z397" s="595"/>
    </row>
    <row r="398" spans="1:26" ht="19.5" customHeight="1">
      <c r="A398" s="595"/>
      <c r="B398" s="595"/>
      <c r="C398" s="596"/>
      <c r="D398" s="595"/>
      <c r="E398" s="595"/>
      <c r="F398" s="595"/>
      <c r="G398" s="595"/>
      <c r="H398" s="595"/>
      <c r="I398" s="595"/>
      <c r="J398" s="595"/>
      <c r="K398" s="595"/>
      <c r="L398" s="595"/>
      <c r="M398" s="595"/>
      <c r="N398" s="595"/>
      <c r="O398" s="595"/>
      <c r="P398" s="595"/>
      <c r="Q398" s="595"/>
      <c r="R398" s="595"/>
      <c r="S398" s="595"/>
      <c r="T398" s="595"/>
      <c r="U398" s="595"/>
      <c r="V398" s="595"/>
      <c r="W398" s="595"/>
      <c r="X398" s="595"/>
      <c r="Y398" s="595"/>
      <c r="Z398" s="595"/>
    </row>
    <row r="399" spans="1:26" ht="19.5" customHeight="1">
      <c r="A399" s="595"/>
      <c r="B399" s="595"/>
      <c r="C399" s="596"/>
      <c r="D399" s="595"/>
      <c r="E399" s="595"/>
      <c r="F399" s="595"/>
      <c r="G399" s="595"/>
      <c r="H399" s="595"/>
      <c r="I399" s="595"/>
      <c r="J399" s="595"/>
      <c r="K399" s="595"/>
      <c r="L399" s="595"/>
      <c r="M399" s="595"/>
      <c r="N399" s="595"/>
      <c r="O399" s="595"/>
      <c r="P399" s="595"/>
      <c r="Q399" s="595"/>
      <c r="R399" s="595"/>
      <c r="S399" s="595"/>
      <c r="T399" s="595"/>
      <c r="U399" s="595"/>
      <c r="V399" s="595"/>
      <c r="W399" s="595"/>
      <c r="X399" s="595"/>
      <c r="Y399" s="595"/>
      <c r="Z399" s="595"/>
    </row>
    <row r="400" spans="1:26" ht="19.5" customHeight="1">
      <c r="A400" s="595"/>
      <c r="B400" s="595"/>
      <c r="C400" s="596"/>
      <c r="D400" s="595"/>
      <c r="E400" s="595"/>
      <c r="F400" s="595"/>
      <c r="G400" s="595"/>
      <c r="H400" s="595"/>
      <c r="I400" s="595"/>
      <c r="J400" s="595"/>
      <c r="K400" s="595"/>
      <c r="L400" s="595"/>
      <c r="M400" s="595"/>
      <c r="N400" s="595"/>
      <c r="O400" s="595"/>
      <c r="P400" s="595"/>
      <c r="Q400" s="595"/>
      <c r="R400" s="595"/>
      <c r="S400" s="595"/>
      <c r="T400" s="595"/>
      <c r="U400" s="595"/>
      <c r="V400" s="595"/>
      <c r="W400" s="595"/>
      <c r="X400" s="595"/>
      <c r="Y400" s="595"/>
      <c r="Z400" s="595"/>
    </row>
    <row r="401" spans="1:26" ht="19.5" customHeight="1">
      <c r="A401" s="595"/>
      <c r="B401" s="595"/>
      <c r="C401" s="596"/>
      <c r="D401" s="595"/>
      <c r="E401" s="595"/>
      <c r="F401" s="595"/>
      <c r="G401" s="595"/>
      <c r="H401" s="595"/>
      <c r="I401" s="595"/>
      <c r="J401" s="595"/>
      <c r="K401" s="595"/>
      <c r="L401" s="595"/>
      <c r="M401" s="595"/>
      <c r="N401" s="595"/>
      <c r="O401" s="595"/>
      <c r="P401" s="595"/>
      <c r="Q401" s="595"/>
      <c r="R401" s="595"/>
      <c r="S401" s="595"/>
      <c r="T401" s="595"/>
      <c r="U401" s="595"/>
      <c r="V401" s="595"/>
      <c r="W401" s="595"/>
      <c r="X401" s="595"/>
      <c r="Y401" s="595"/>
      <c r="Z401" s="595"/>
    </row>
    <row r="402" spans="1:26" ht="19.5" customHeight="1">
      <c r="A402" s="595"/>
      <c r="B402" s="595"/>
      <c r="C402" s="596"/>
      <c r="D402" s="595"/>
      <c r="E402" s="595"/>
      <c r="F402" s="595"/>
      <c r="G402" s="595"/>
      <c r="H402" s="595"/>
      <c r="I402" s="595"/>
      <c r="J402" s="595"/>
      <c r="K402" s="595"/>
      <c r="L402" s="595"/>
      <c r="M402" s="595"/>
      <c r="N402" s="595"/>
      <c r="O402" s="595"/>
      <c r="P402" s="595"/>
      <c r="Q402" s="595"/>
      <c r="R402" s="595"/>
      <c r="S402" s="595"/>
      <c r="T402" s="595"/>
      <c r="U402" s="595"/>
      <c r="V402" s="595"/>
      <c r="W402" s="595"/>
      <c r="X402" s="595"/>
      <c r="Y402" s="595"/>
      <c r="Z402" s="595"/>
    </row>
    <row r="403" spans="1:26" ht="19.5" customHeight="1">
      <c r="A403" s="595"/>
      <c r="B403" s="595"/>
      <c r="C403" s="596"/>
      <c r="D403" s="595"/>
      <c r="E403" s="595"/>
      <c r="F403" s="595"/>
      <c r="G403" s="595"/>
      <c r="H403" s="595"/>
      <c r="I403" s="595"/>
      <c r="J403" s="595"/>
      <c r="K403" s="595"/>
      <c r="L403" s="595"/>
      <c r="M403" s="595"/>
      <c r="N403" s="595"/>
      <c r="O403" s="595"/>
      <c r="P403" s="595"/>
      <c r="Q403" s="595"/>
      <c r="R403" s="595"/>
      <c r="S403" s="595"/>
      <c r="T403" s="595"/>
      <c r="U403" s="595"/>
      <c r="V403" s="595"/>
      <c r="W403" s="595"/>
      <c r="X403" s="595"/>
      <c r="Y403" s="595"/>
      <c r="Z403" s="595"/>
    </row>
    <row r="404" spans="1:26" ht="19.5" customHeight="1">
      <c r="A404" s="595"/>
      <c r="B404" s="595"/>
      <c r="C404" s="596"/>
      <c r="D404" s="595"/>
      <c r="E404" s="595"/>
      <c r="F404" s="595"/>
      <c r="G404" s="595"/>
      <c r="H404" s="595"/>
      <c r="I404" s="595"/>
      <c r="J404" s="595"/>
      <c r="K404" s="595"/>
      <c r="L404" s="595"/>
      <c r="M404" s="595"/>
      <c r="N404" s="595"/>
      <c r="O404" s="595"/>
      <c r="P404" s="595"/>
      <c r="Q404" s="595"/>
      <c r="R404" s="595"/>
      <c r="S404" s="595"/>
      <c r="T404" s="595"/>
      <c r="U404" s="595"/>
      <c r="V404" s="595"/>
      <c r="W404" s="595"/>
      <c r="X404" s="595"/>
      <c r="Y404" s="595"/>
      <c r="Z404" s="595"/>
    </row>
    <row r="405" spans="1:26" ht="19.5" customHeight="1">
      <c r="A405" s="595"/>
      <c r="B405" s="595"/>
      <c r="C405" s="596"/>
      <c r="D405" s="595"/>
      <c r="E405" s="595"/>
      <c r="F405" s="595"/>
      <c r="G405" s="595"/>
      <c r="H405" s="595"/>
      <c r="I405" s="595"/>
      <c r="J405" s="595"/>
      <c r="K405" s="595"/>
      <c r="L405" s="595"/>
      <c r="M405" s="595"/>
      <c r="N405" s="595"/>
      <c r="O405" s="595"/>
      <c r="P405" s="595"/>
      <c r="Q405" s="595"/>
      <c r="R405" s="595"/>
      <c r="S405" s="595"/>
      <c r="T405" s="595"/>
      <c r="U405" s="595"/>
      <c r="V405" s="595"/>
      <c r="W405" s="595"/>
      <c r="X405" s="595"/>
      <c r="Y405" s="595"/>
      <c r="Z405" s="595"/>
    </row>
    <row r="406" spans="1:26" ht="19.5" customHeight="1">
      <c r="A406" s="595"/>
      <c r="B406" s="595"/>
      <c r="C406" s="596"/>
      <c r="D406" s="595"/>
      <c r="E406" s="595"/>
      <c r="F406" s="595"/>
      <c r="G406" s="595"/>
      <c r="H406" s="595"/>
      <c r="I406" s="595"/>
      <c r="J406" s="595"/>
      <c r="K406" s="595"/>
      <c r="L406" s="595"/>
      <c r="M406" s="595"/>
      <c r="N406" s="595"/>
      <c r="O406" s="595"/>
      <c r="P406" s="595"/>
      <c r="Q406" s="595"/>
      <c r="R406" s="595"/>
      <c r="S406" s="595"/>
      <c r="T406" s="595"/>
      <c r="U406" s="595"/>
      <c r="V406" s="595"/>
      <c r="W406" s="595"/>
      <c r="X406" s="595"/>
      <c r="Y406" s="595"/>
      <c r="Z406" s="595"/>
    </row>
    <row r="407" spans="1:26" ht="19.5" customHeight="1">
      <c r="A407" s="595"/>
      <c r="B407" s="595"/>
      <c r="C407" s="596"/>
      <c r="D407" s="595"/>
      <c r="E407" s="595"/>
      <c r="F407" s="595"/>
      <c r="G407" s="595"/>
      <c r="H407" s="595"/>
      <c r="I407" s="595"/>
      <c r="J407" s="595"/>
      <c r="K407" s="595"/>
      <c r="L407" s="595"/>
      <c r="M407" s="595"/>
      <c r="N407" s="595"/>
      <c r="O407" s="595"/>
      <c r="P407" s="595"/>
      <c r="Q407" s="595"/>
      <c r="R407" s="595"/>
      <c r="S407" s="595"/>
      <c r="T407" s="595"/>
      <c r="U407" s="595"/>
      <c r="V407" s="595"/>
      <c r="W407" s="595"/>
      <c r="X407" s="595"/>
      <c r="Y407" s="595"/>
      <c r="Z407" s="595"/>
    </row>
    <row r="408" spans="1:26" ht="19.5" customHeight="1">
      <c r="A408" s="595"/>
      <c r="B408" s="595"/>
      <c r="C408" s="596"/>
      <c r="D408" s="595"/>
      <c r="E408" s="595"/>
      <c r="F408" s="595"/>
      <c r="G408" s="595"/>
      <c r="H408" s="595"/>
      <c r="I408" s="595"/>
      <c r="J408" s="595"/>
      <c r="K408" s="595"/>
      <c r="L408" s="595"/>
      <c r="M408" s="595"/>
      <c r="N408" s="595"/>
      <c r="O408" s="595"/>
      <c r="P408" s="595"/>
      <c r="Q408" s="595"/>
      <c r="R408" s="595"/>
      <c r="S408" s="595"/>
      <c r="T408" s="595"/>
      <c r="U408" s="595"/>
      <c r="V408" s="595"/>
      <c r="W408" s="595"/>
      <c r="X408" s="595"/>
      <c r="Y408" s="595"/>
      <c r="Z408" s="595"/>
    </row>
    <row r="409" spans="1:26" ht="19.5" customHeight="1">
      <c r="A409" s="595"/>
      <c r="B409" s="595"/>
      <c r="C409" s="596"/>
      <c r="D409" s="595"/>
      <c r="E409" s="595"/>
      <c r="F409" s="595"/>
      <c r="G409" s="595"/>
      <c r="H409" s="595"/>
      <c r="I409" s="595"/>
      <c r="J409" s="595"/>
      <c r="K409" s="595"/>
      <c r="L409" s="595"/>
      <c r="M409" s="595"/>
      <c r="N409" s="595"/>
      <c r="O409" s="595"/>
      <c r="P409" s="595"/>
      <c r="Q409" s="595"/>
      <c r="R409" s="595"/>
      <c r="S409" s="595"/>
      <c r="T409" s="595"/>
      <c r="U409" s="595"/>
      <c r="V409" s="595"/>
      <c r="W409" s="595"/>
      <c r="X409" s="595"/>
      <c r="Y409" s="595"/>
      <c r="Z409" s="595"/>
    </row>
    <row r="410" spans="1:26" ht="19.5" customHeight="1">
      <c r="A410" s="595"/>
      <c r="B410" s="595"/>
      <c r="C410" s="596"/>
      <c r="D410" s="595"/>
      <c r="E410" s="595"/>
      <c r="F410" s="595"/>
      <c r="G410" s="595"/>
      <c r="H410" s="595"/>
      <c r="I410" s="595"/>
      <c r="J410" s="595"/>
      <c r="K410" s="595"/>
      <c r="L410" s="595"/>
      <c r="M410" s="595"/>
      <c r="N410" s="595"/>
      <c r="O410" s="595"/>
      <c r="P410" s="595"/>
      <c r="Q410" s="595"/>
      <c r="R410" s="595"/>
      <c r="S410" s="595"/>
      <c r="T410" s="595"/>
      <c r="U410" s="595"/>
      <c r="V410" s="595"/>
      <c r="W410" s="595"/>
      <c r="X410" s="595"/>
      <c r="Y410" s="595"/>
      <c r="Z410" s="595"/>
    </row>
    <row r="411" spans="1:26" ht="19.5" customHeight="1">
      <c r="A411" s="595"/>
      <c r="B411" s="595"/>
      <c r="C411" s="596"/>
      <c r="D411" s="595"/>
      <c r="E411" s="595"/>
      <c r="F411" s="595"/>
      <c r="G411" s="595"/>
      <c r="H411" s="595"/>
      <c r="I411" s="595"/>
      <c r="J411" s="595"/>
      <c r="K411" s="595"/>
      <c r="L411" s="595"/>
      <c r="M411" s="595"/>
      <c r="N411" s="595"/>
      <c r="O411" s="595"/>
      <c r="P411" s="595"/>
      <c r="Q411" s="595"/>
      <c r="R411" s="595"/>
      <c r="S411" s="595"/>
      <c r="T411" s="595"/>
      <c r="U411" s="595"/>
      <c r="V411" s="595"/>
      <c r="W411" s="595"/>
      <c r="X411" s="595"/>
      <c r="Y411" s="595"/>
      <c r="Z411" s="595"/>
    </row>
    <row r="412" spans="1:26" ht="19.5" customHeight="1">
      <c r="A412" s="595"/>
      <c r="B412" s="595"/>
      <c r="C412" s="596"/>
      <c r="D412" s="595"/>
      <c r="E412" s="595"/>
      <c r="F412" s="595"/>
      <c r="G412" s="595"/>
      <c r="H412" s="595"/>
      <c r="I412" s="595"/>
      <c r="J412" s="595"/>
      <c r="K412" s="595"/>
      <c r="L412" s="595"/>
      <c r="M412" s="595"/>
      <c r="N412" s="595"/>
      <c r="O412" s="595"/>
      <c r="P412" s="595"/>
      <c r="Q412" s="595"/>
      <c r="R412" s="595"/>
      <c r="S412" s="595"/>
      <c r="T412" s="595"/>
      <c r="U412" s="595"/>
      <c r="V412" s="595"/>
      <c r="W412" s="595"/>
      <c r="X412" s="595"/>
      <c r="Y412" s="595"/>
      <c r="Z412" s="595"/>
    </row>
    <row r="413" spans="1:26" ht="19.5" customHeight="1">
      <c r="A413" s="595"/>
      <c r="B413" s="595"/>
      <c r="C413" s="596"/>
      <c r="D413" s="595"/>
      <c r="E413" s="595"/>
      <c r="F413" s="595"/>
      <c r="G413" s="595"/>
      <c r="H413" s="595"/>
      <c r="I413" s="595"/>
      <c r="J413" s="595"/>
      <c r="K413" s="595"/>
      <c r="L413" s="595"/>
      <c r="M413" s="595"/>
      <c r="N413" s="595"/>
      <c r="O413" s="595"/>
      <c r="P413" s="595"/>
      <c r="Q413" s="595"/>
      <c r="R413" s="595"/>
      <c r="S413" s="595"/>
      <c r="T413" s="595"/>
      <c r="U413" s="595"/>
      <c r="V413" s="595"/>
      <c r="W413" s="595"/>
      <c r="X413" s="595"/>
      <c r="Y413" s="595"/>
      <c r="Z413" s="595"/>
    </row>
    <row r="414" spans="1:26" ht="19.5" customHeight="1">
      <c r="A414" s="595"/>
      <c r="B414" s="595"/>
      <c r="C414" s="596"/>
      <c r="D414" s="595"/>
      <c r="E414" s="595"/>
      <c r="F414" s="595"/>
      <c r="G414" s="595"/>
      <c r="H414" s="595"/>
      <c r="I414" s="595"/>
      <c r="J414" s="595"/>
      <c r="K414" s="595"/>
      <c r="L414" s="595"/>
      <c r="M414" s="595"/>
      <c r="N414" s="595"/>
      <c r="O414" s="595"/>
      <c r="P414" s="595"/>
      <c r="Q414" s="595"/>
      <c r="R414" s="595"/>
      <c r="S414" s="595"/>
      <c r="T414" s="595"/>
      <c r="U414" s="595"/>
      <c r="V414" s="595"/>
      <c r="W414" s="595"/>
      <c r="X414" s="595"/>
      <c r="Y414" s="595"/>
      <c r="Z414" s="595"/>
    </row>
    <row r="415" spans="1:26" ht="19.5" customHeight="1">
      <c r="A415" s="595"/>
      <c r="B415" s="595"/>
      <c r="C415" s="596"/>
      <c r="D415" s="595"/>
      <c r="E415" s="595"/>
      <c r="F415" s="595"/>
      <c r="G415" s="595"/>
      <c r="H415" s="595"/>
      <c r="I415" s="595"/>
      <c r="J415" s="595"/>
      <c r="K415" s="595"/>
      <c r="L415" s="595"/>
      <c r="M415" s="595"/>
      <c r="N415" s="595"/>
      <c r="O415" s="595"/>
      <c r="P415" s="595"/>
      <c r="Q415" s="595"/>
      <c r="R415" s="595"/>
      <c r="S415" s="595"/>
      <c r="T415" s="595"/>
      <c r="U415" s="595"/>
      <c r="V415" s="595"/>
      <c r="W415" s="595"/>
      <c r="X415" s="595"/>
      <c r="Y415" s="595"/>
      <c r="Z415" s="595"/>
    </row>
    <row r="416" spans="1:26" ht="19.5" customHeight="1">
      <c r="A416" s="595"/>
      <c r="B416" s="595"/>
      <c r="C416" s="596"/>
      <c r="D416" s="595"/>
      <c r="E416" s="595"/>
      <c r="F416" s="595"/>
      <c r="G416" s="595"/>
      <c r="H416" s="595"/>
      <c r="I416" s="595"/>
      <c r="J416" s="595"/>
      <c r="K416" s="595"/>
      <c r="L416" s="595"/>
      <c r="M416" s="595"/>
      <c r="N416" s="595"/>
      <c r="O416" s="595"/>
      <c r="P416" s="595"/>
      <c r="Q416" s="595"/>
      <c r="R416" s="595"/>
      <c r="S416" s="595"/>
      <c r="T416" s="595"/>
      <c r="U416" s="595"/>
      <c r="V416" s="595"/>
      <c r="W416" s="595"/>
      <c r="X416" s="595"/>
      <c r="Y416" s="595"/>
      <c r="Z416" s="595"/>
    </row>
    <row r="417" spans="1:26" ht="19.5" customHeight="1">
      <c r="A417" s="595"/>
      <c r="B417" s="595"/>
      <c r="C417" s="596"/>
      <c r="D417" s="595"/>
      <c r="E417" s="595"/>
      <c r="F417" s="595"/>
      <c r="G417" s="595"/>
      <c r="H417" s="595"/>
      <c r="I417" s="595"/>
      <c r="J417" s="595"/>
      <c r="K417" s="595"/>
      <c r="L417" s="595"/>
      <c r="M417" s="595"/>
      <c r="N417" s="595"/>
      <c r="O417" s="595"/>
      <c r="P417" s="595"/>
      <c r="Q417" s="595"/>
      <c r="R417" s="595"/>
      <c r="S417" s="595"/>
      <c r="T417" s="595"/>
      <c r="U417" s="595"/>
      <c r="V417" s="595"/>
      <c r="W417" s="595"/>
      <c r="X417" s="595"/>
      <c r="Y417" s="595"/>
      <c r="Z417" s="595"/>
    </row>
    <row r="418" spans="1:26" ht="19.5" customHeight="1">
      <c r="A418" s="595"/>
      <c r="B418" s="595"/>
      <c r="C418" s="596"/>
      <c r="D418" s="595"/>
      <c r="E418" s="595"/>
      <c r="F418" s="595"/>
      <c r="G418" s="595"/>
      <c r="H418" s="595"/>
      <c r="I418" s="595"/>
      <c r="J418" s="595"/>
      <c r="K418" s="595"/>
      <c r="L418" s="595"/>
      <c r="M418" s="595"/>
      <c r="N418" s="595"/>
      <c r="O418" s="595"/>
      <c r="P418" s="595"/>
      <c r="Q418" s="595"/>
      <c r="R418" s="595"/>
      <c r="S418" s="595"/>
      <c r="T418" s="595"/>
      <c r="U418" s="595"/>
      <c r="V418" s="595"/>
      <c r="W418" s="595"/>
      <c r="X418" s="595"/>
      <c r="Y418" s="595"/>
      <c r="Z418" s="595"/>
    </row>
    <row r="419" spans="1:26" ht="19.5" customHeight="1">
      <c r="A419" s="595"/>
      <c r="B419" s="595"/>
      <c r="C419" s="596"/>
      <c r="D419" s="595"/>
      <c r="E419" s="595"/>
      <c r="F419" s="595"/>
      <c r="G419" s="595"/>
      <c r="H419" s="595"/>
      <c r="I419" s="595"/>
      <c r="J419" s="595"/>
      <c r="K419" s="595"/>
      <c r="L419" s="595"/>
      <c r="M419" s="595"/>
      <c r="N419" s="595"/>
      <c r="O419" s="595"/>
      <c r="P419" s="595"/>
      <c r="Q419" s="595"/>
      <c r="R419" s="595"/>
      <c r="S419" s="595"/>
      <c r="T419" s="595"/>
      <c r="U419" s="595"/>
      <c r="V419" s="595"/>
      <c r="W419" s="595"/>
      <c r="X419" s="595"/>
      <c r="Y419" s="595"/>
      <c r="Z419" s="595"/>
    </row>
    <row r="420" spans="1:26" ht="19.5" customHeight="1">
      <c r="A420" s="595"/>
      <c r="B420" s="595"/>
      <c r="C420" s="596"/>
      <c r="D420" s="595"/>
      <c r="E420" s="595"/>
      <c r="F420" s="595"/>
      <c r="G420" s="595"/>
      <c r="H420" s="595"/>
      <c r="I420" s="595"/>
      <c r="J420" s="595"/>
      <c r="K420" s="595"/>
      <c r="L420" s="595"/>
      <c r="M420" s="595"/>
      <c r="N420" s="595"/>
      <c r="O420" s="595"/>
      <c r="P420" s="595"/>
      <c r="Q420" s="595"/>
      <c r="R420" s="595"/>
      <c r="S420" s="595"/>
      <c r="T420" s="595"/>
      <c r="U420" s="595"/>
      <c r="V420" s="595"/>
      <c r="W420" s="595"/>
      <c r="X420" s="595"/>
      <c r="Y420" s="595"/>
      <c r="Z420" s="595"/>
    </row>
    <row r="421" spans="1:26" ht="19.5" customHeight="1">
      <c r="A421" s="595"/>
      <c r="B421" s="595"/>
      <c r="C421" s="596"/>
      <c r="D421" s="595"/>
      <c r="E421" s="595"/>
      <c r="F421" s="595"/>
      <c r="G421" s="595"/>
      <c r="H421" s="595"/>
      <c r="I421" s="595"/>
      <c r="J421" s="595"/>
      <c r="K421" s="595"/>
      <c r="L421" s="595"/>
      <c r="M421" s="595"/>
      <c r="N421" s="595"/>
      <c r="O421" s="595"/>
      <c r="P421" s="595"/>
      <c r="Q421" s="595"/>
      <c r="R421" s="595"/>
      <c r="S421" s="595"/>
      <c r="T421" s="595"/>
      <c r="U421" s="595"/>
      <c r="V421" s="595"/>
      <c r="W421" s="595"/>
      <c r="X421" s="595"/>
      <c r="Y421" s="595"/>
      <c r="Z421" s="595"/>
    </row>
    <row r="422" spans="1:26" ht="19.5" customHeight="1">
      <c r="A422" s="595"/>
      <c r="B422" s="595"/>
      <c r="C422" s="596"/>
      <c r="D422" s="595"/>
      <c r="E422" s="595"/>
      <c r="F422" s="595"/>
      <c r="G422" s="595"/>
      <c r="H422" s="595"/>
      <c r="I422" s="595"/>
      <c r="J422" s="595"/>
      <c r="K422" s="595"/>
      <c r="L422" s="595"/>
      <c r="M422" s="595"/>
      <c r="N422" s="595"/>
      <c r="O422" s="595"/>
      <c r="P422" s="595"/>
      <c r="Q422" s="595"/>
      <c r="R422" s="595"/>
      <c r="S422" s="595"/>
      <c r="T422" s="595"/>
      <c r="U422" s="595"/>
      <c r="V422" s="595"/>
      <c r="W422" s="595"/>
      <c r="X422" s="595"/>
      <c r="Y422" s="595"/>
      <c r="Z422" s="595"/>
    </row>
    <row r="423" spans="1:26" ht="19.5" customHeight="1">
      <c r="A423" s="595"/>
      <c r="B423" s="595"/>
      <c r="C423" s="596"/>
      <c r="D423" s="595"/>
      <c r="E423" s="595"/>
      <c r="F423" s="595"/>
      <c r="G423" s="595"/>
      <c r="H423" s="595"/>
      <c r="I423" s="595"/>
      <c r="J423" s="595"/>
      <c r="K423" s="595"/>
      <c r="L423" s="595"/>
      <c r="M423" s="595"/>
      <c r="N423" s="595"/>
      <c r="O423" s="595"/>
      <c r="P423" s="595"/>
      <c r="Q423" s="595"/>
      <c r="R423" s="595"/>
      <c r="S423" s="595"/>
      <c r="T423" s="595"/>
      <c r="U423" s="595"/>
      <c r="V423" s="595"/>
      <c r="W423" s="595"/>
      <c r="X423" s="595"/>
      <c r="Y423" s="595"/>
      <c r="Z423" s="595"/>
    </row>
    <row r="424" spans="1:26" ht="19.5" customHeight="1">
      <c r="A424" s="595"/>
      <c r="B424" s="595"/>
      <c r="C424" s="596"/>
      <c r="D424" s="595"/>
      <c r="E424" s="595"/>
      <c r="F424" s="595"/>
      <c r="G424" s="595"/>
      <c r="H424" s="595"/>
      <c r="I424" s="595"/>
      <c r="J424" s="595"/>
      <c r="K424" s="595"/>
      <c r="L424" s="595"/>
      <c r="M424" s="595"/>
      <c r="N424" s="595"/>
      <c r="O424" s="595"/>
      <c r="P424" s="595"/>
      <c r="Q424" s="595"/>
      <c r="R424" s="595"/>
      <c r="S424" s="595"/>
      <c r="T424" s="595"/>
      <c r="U424" s="595"/>
      <c r="V424" s="595"/>
      <c r="W424" s="595"/>
      <c r="X424" s="595"/>
      <c r="Y424" s="595"/>
      <c r="Z424" s="595"/>
    </row>
    <row r="425" spans="1:26" ht="19.5" customHeight="1">
      <c r="A425" s="595"/>
      <c r="B425" s="595"/>
      <c r="C425" s="596"/>
      <c r="D425" s="595"/>
      <c r="E425" s="595"/>
      <c r="F425" s="595"/>
      <c r="G425" s="595"/>
      <c r="H425" s="595"/>
      <c r="I425" s="595"/>
      <c r="J425" s="595"/>
      <c r="K425" s="595"/>
      <c r="L425" s="595"/>
      <c r="M425" s="595"/>
      <c r="N425" s="595"/>
      <c r="O425" s="595"/>
      <c r="P425" s="595"/>
      <c r="Q425" s="595"/>
      <c r="R425" s="595"/>
      <c r="S425" s="595"/>
      <c r="T425" s="595"/>
      <c r="U425" s="595"/>
      <c r="V425" s="595"/>
      <c r="W425" s="595"/>
      <c r="X425" s="595"/>
      <c r="Y425" s="595"/>
      <c r="Z425" s="595"/>
    </row>
    <row r="426" spans="1:26" ht="19.5" customHeight="1">
      <c r="A426" s="595"/>
      <c r="B426" s="595"/>
      <c r="C426" s="596"/>
      <c r="D426" s="595"/>
      <c r="E426" s="595"/>
      <c r="F426" s="595"/>
      <c r="G426" s="595"/>
      <c r="H426" s="595"/>
      <c r="I426" s="595"/>
      <c r="J426" s="595"/>
      <c r="K426" s="595"/>
      <c r="L426" s="595"/>
      <c r="M426" s="595"/>
      <c r="N426" s="595"/>
      <c r="O426" s="595"/>
      <c r="P426" s="595"/>
      <c r="Q426" s="595"/>
      <c r="R426" s="595"/>
      <c r="S426" s="595"/>
      <c r="T426" s="595"/>
      <c r="U426" s="595"/>
      <c r="V426" s="595"/>
      <c r="W426" s="595"/>
      <c r="X426" s="595"/>
      <c r="Y426" s="595"/>
      <c r="Z426" s="595"/>
    </row>
    <row r="427" spans="1:26" ht="19.5" customHeight="1">
      <c r="A427" s="595"/>
      <c r="B427" s="595"/>
      <c r="C427" s="596"/>
      <c r="D427" s="595"/>
      <c r="E427" s="595"/>
      <c r="F427" s="595"/>
      <c r="G427" s="595"/>
      <c r="H427" s="595"/>
      <c r="I427" s="595"/>
      <c r="J427" s="595"/>
      <c r="K427" s="595"/>
      <c r="L427" s="595"/>
      <c r="M427" s="595"/>
      <c r="N427" s="595"/>
      <c r="O427" s="595"/>
      <c r="P427" s="595"/>
      <c r="Q427" s="595"/>
      <c r="R427" s="595"/>
      <c r="S427" s="595"/>
      <c r="T427" s="595"/>
      <c r="U427" s="595"/>
      <c r="V427" s="595"/>
      <c r="W427" s="595"/>
      <c r="X427" s="595"/>
      <c r="Y427" s="595"/>
      <c r="Z427" s="595"/>
    </row>
    <row r="428" spans="1:26" ht="19.5" customHeight="1">
      <c r="A428" s="595"/>
      <c r="B428" s="595"/>
      <c r="C428" s="596"/>
      <c r="D428" s="595"/>
      <c r="E428" s="595"/>
      <c r="F428" s="595"/>
      <c r="G428" s="595"/>
      <c r="H428" s="595"/>
      <c r="I428" s="595"/>
      <c r="J428" s="595"/>
      <c r="K428" s="595"/>
      <c r="L428" s="595"/>
      <c r="M428" s="595"/>
      <c r="N428" s="595"/>
      <c r="O428" s="595"/>
      <c r="P428" s="595"/>
      <c r="Q428" s="595"/>
      <c r="R428" s="595"/>
      <c r="S428" s="595"/>
      <c r="T428" s="595"/>
      <c r="U428" s="595"/>
      <c r="V428" s="595"/>
      <c r="W428" s="595"/>
      <c r="X428" s="595"/>
      <c r="Y428" s="595"/>
      <c r="Z428" s="595"/>
    </row>
    <row r="429" spans="1:26" ht="19.5" customHeight="1">
      <c r="A429" s="595"/>
      <c r="B429" s="595"/>
      <c r="C429" s="596"/>
      <c r="D429" s="595"/>
      <c r="E429" s="595"/>
      <c r="F429" s="595"/>
      <c r="G429" s="595"/>
      <c r="H429" s="595"/>
      <c r="I429" s="595"/>
      <c r="J429" s="595"/>
      <c r="K429" s="595"/>
      <c r="L429" s="595"/>
      <c r="M429" s="595"/>
      <c r="N429" s="595"/>
      <c r="O429" s="595"/>
      <c r="P429" s="595"/>
      <c r="Q429" s="595"/>
      <c r="R429" s="595"/>
      <c r="S429" s="595"/>
      <c r="T429" s="595"/>
      <c r="U429" s="595"/>
      <c r="V429" s="595"/>
      <c r="W429" s="595"/>
      <c r="X429" s="595"/>
      <c r="Y429" s="595"/>
      <c r="Z429" s="595"/>
    </row>
    <row r="430" spans="1:26" ht="19.5" customHeight="1">
      <c r="A430" s="595"/>
      <c r="B430" s="595"/>
      <c r="C430" s="596"/>
      <c r="D430" s="595"/>
      <c r="E430" s="595"/>
      <c r="F430" s="595"/>
      <c r="G430" s="595"/>
      <c r="H430" s="595"/>
      <c r="I430" s="595"/>
      <c r="J430" s="595"/>
      <c r="K430" s="595"/>
      <c r="L430" s="595"/>
      <c r="M430" s="595"/>
      <c r="N430" s="595"/>
      <c r="O430" s="595"/>
      <c r="P430" s="595"/>
      <c r="Q430" s="595"/>
      <c r="R430" s="595"/>
      <c r="S430" s="595"/>
      <c r="T430" s="595"/>
      <c r="U430" s="595"/>
      <c r="V430" s="595"/>
      <c r="W430" s="595"/>
      <c r="X430" s="595"/>
      <c r="Y430" s="595"/>
      <c r="Z430" s="595"/>
    </row>
    <row r="431" spans="1:26" ht="19.5" customHeight="1">
      <c r="A431" s="595"/>
      <c r="B431" s="595"/>
      <c r="C431" s="596"/>
      <c r="D431" s="595"/>
      <c r="E431" s="595"/>
      <c r="F431" s="595"/>
      <c r="G431" s="595"/>
      <c r="H431" s="595"/>
      <c r="I431" s="595"/>
      <c r="J431" s="595"/>
      <c r="K431" s="595"/>
      <c r="L431" s="595"/>
      <c r="M431" s="595"/>
      <c r="N431" s="595"/>
      <c r="O431" s="595"/>
      <c r="P431" s="595"/>
      <c r="Q431" s="595"/>
      <c r="R431" s="595"/>
      <c r="S431" s="595"/>
      <c r="T431" s="595"/>
      <c r="U431" s="595"/>
      <c r="V431" s="595"/>
      <c r="W431" s="595"/>
      <c r="X431" s="595"/>
      <c r="Y431" s="595"/>
      <c r="Z431" s="595"/>
    </row>
    <row r="432" spans="1:26" ht="19.5" customHeight="1">
      <c r="A432" s="595"/>
      <c r="B432" s="595"/>
      <c r="C432" s="596"/>
      <c r="D432" s="595"/>
      <c r="E432" s="595"/>
      <c r="F432" s="595"/>
      <c r="G432" s="595"/>
      <c r="H432" s="595"/>
      <c r="I432" s="595"/>
      <c r="J432" s="595"/>
      <c r="K432" s="595"/>
      <c r="L432" s="595"/>
      <c r="M432" s="595"/>
      <c r="N432" s="595"/>
      <c r="O432" s="595"/>
      <c r="P432" s="595"/>
      <c r="Q432" s="595"/>
      <c r="R432" s="595"/>
      <c r="S432" s="595"/>
      <c r="T432" s="595"/>
      <c r="U432" s="595"/>
      <c r="V432" s="595"/>
      <c r="W432" s="595"/>
      <c r="X432" s="595"/>
      <c r="Y432" s="595"/>
      <c r="Z432" s="595"/>
    </row>
    <row r="433" spans="1:26" ht="19.5" customHeight="1">
      <c r="A433" s="595"/>
      <c r="B433" s="595"/>
      <c r="C433" s="596"/>
      <c r="D433" s="595"/>
      <c r="E433" s="595"/>
      <c r="F433" s="595"/>
      <c r="G433" s="595"/>
      <c r="H433" s="595"/>
      <c r="I433" s="595"/>
      <c r="J433" s="595"/>
      <c r="K433" s="595"/>
      <c r="L433" s="595"/>
      <c r="M433" s="595"/>
      <c r="N433" s="595"/>
      <c r="O433" s="595"/>
      <c r="P433" s="595"/>
      <c r="Q433" s="595"/>
      <c r="R433" s="595"/>
      <c r="S433" s="595"/>
      <c r="T433" s="595"/>
      <c r="U433" s="595"/>
      <c r="V433" s="595"/>
      <c r="W433" s="595"/>
      <c r="X433" s="595"/>
      <c r="Y433" s="595"/>
      <c r="Z433" s="595"/>
    </row>
    <row r="434" spans="1:26" ht="19.5" customHeight="1">
      <c r="A434" s="595"/>
      <c r="B434" s="595"/>
      <c r="C434" s="596"/>
      <c r="D434" s="595"/>
      <c r="E434" s="595"/>
      <c r="F434" s="595"/>
      <c r="G434" s="595"/>
      <c r="H434" s="595"/>
      <c r="I434" s="595"/>
      <c r="J434" s="595"/>
      <c r="K434" s="595"/>
      <c r="L434" s="595"/>
      <c r="M434" s="595"/>
      <c r="N434" s="595"/>
      <c r="O434" s="595"/>
      <c r="P434" s="595"/>
      <c r="Q434" s="595"/>
      <c r="R434" s="595"/>
      <c r="S434" s="595"/>
      <c r="T434" s="595"/>
      <c r="U434" s="595"/>
      <c r="V434" s="595"/>
      <c r="W434" s="595"/>
      <c r="X434" s="595"/>
      <c r="Y434" s="595"/>
      <c r="Z434" s="595"/>
    </row>
    <row r="435" spans="1:26" ht="19.5" customHeight="1">
      <c r="A435" s="595"/>
      <c r="B435" s="595"/>
      <c r="C435" s="596"/>
      <c r="D435" s="595"/>
      <c r="E435" s="595"/>
      <c r="F435" s="595"/>
      <c r="G435" s="595"/>
      <c r="H435" s="595"/>
      <c r="I435" s="595"/>
      <c r="J435" s="595"/>
      <c r="K435" s="595"/>
      <c r="L435" s="595"/>
      <c r="M435" s="595"/>
      <c r="N435" s="595"/>
      <c r="O435" s="595"/>
      <c r="P435" s="595"/>
      <c r="Q435" s="595"/>
      <c r="R435" s="595"/>
      <c r="S435" s="595"/>
      <c r="T435" s="595"/>
      <c r="U435" s="595"/>
      <c r="V435" s="595"/>
      <c r="W435" s="595"/>
      <c r="X435" s="595"/>
      <c r="Y435" s="595"/>
      <c r="Z435" s="595"/>
    </row>
    <row r="436" spans="1:26" ht="19.5" customHeight="1">
      <c r="A436" s="595"/>
      <c r="B436" s="595"/>
      <c r="C436" s="596"/>
      <c r="D436" s="595"/>
      <c r="E436" s="595"/>
      <c r="F436" s="595"/>
      <c r="G436" s="595"/>
      <c r="H436" s="595"/>
      <c r="I436" s="595"/>
      <c r="J436" s="595"/>
      <c r="K436" s="595"/>
      <c r="L436" s="595"/>
      <c r="M436" s="595"/>
      <c r="N436" s="595"/>
      <c r="O436" s="595"/>
      <c r="P436" s="595"/>
      <c r="Q436" s="595"/>
      <c r="R436" s="595"/>
      <c r="S436" s="595"/>
      <c r="T436" s="595"/>
      <c r="U436" s="595"/>
      <c r="V436" s="595"/>
      <c r="W436" s="595"/>
      <c r="X436" s="595"/>
      <c r="Y436" s="595"/>
      <c r="Z436" s="595"/>
    </row>
    <row r="437" spans="1:26" ht="19.5" customHeight="1">
      <c r="A437" s="595"/>
      <c r="B437" s="595"/>
      <c r="C437" s="596"/>
      <c r="D437" s="595"/>
      <c r="E437" s="595"/>
      <c r="F437" s="595"/>
      <c r="G437" s="595"/>
      <c r="H437" s="595"/>
      <c r="I437" s="595"/>
      <c r="J437" s="595"/>
      <c r="K437" s="595"/>
      <c r="L437" s="595"/>
      <c r="M437" s="595"/>
      <c r="N437" s="595"/>
      <c r="O437" s="595"/>
      <c r="P437" s="595"/>
      <c r="Q437" s="595"/>
      <c r="R437" s="595"/>
      <c r="S437" s="595"/>
      <c r="T437" s="595"/>
      <c r="U437" s="595"/>
      <c r="V437" s="595"/>
      <c r="W437" s="595"/>
      <c r="X437" s="595"/>
      <c r="Y437" s="595"/>
      <c r="Z437" s="595"/>
    </row>
    <row r="438" spans="1:26" ht="19.5" customHeight="1">
      <c r="A438" s="595"/>
      <c r="B438" s="595"/>
      <c r="C438" s="596"/>
      <c r="D438" s="595"/>
      <c r="E438" s="595"/>
      <c r="F438" s="595"/>
      <c r="G438" s="595"/>
      <c r="H438" s="595"/>
      <c r="I438" s="595"/>
      <c r="J438" s="595"/>
      <c r="K438" s="595"/>
      <c r="L438" s="595"/>
      <c r="M438" s="595"/>
      <c r="N438" s="595"/>
      <c r="O438" s="595"/>
      <c r="P438" s="595"/>
      <c r="Q438" s="595"/>
      <c r="R438" s="595"/>
      <c r="S438" s="595"/>
      <c r="T438" s="595"/>
      <c r="U438" s="595"/>
      <c r="V438" s="595"/>
      <c r="W438" s="595"/>
      <c r="X438" s="595"/>
      <c r="Y438" s="595"/>
      <c r="Z438" s="595"/>
    </row>
    <row r="439" spans="1:26" ht="19.5" customHeight="1">
      <c r="A439" s="595"/>
      <c r="B439" s="595"/>
      <c r="C439" s="596"/>
      <c r="D439" s="595"/>
      <c r="E439" s="595"/>
      <c r="F439" s="595"/>
      <c r="G439" s="595"/>
      <c r="H439" s="595"/>
      <c r="I439" s="595"/>
      <c r="J439" s="595"/>
      <c r="K439" s="595"/>
      <c r="L439" s="595"/>
      <c r="M439" s="595"/>
      <c r="N439" s="595"/>
      <c r="O439" s="595"/>
      <c r="P439" s="595"/>
      <c r="Q439" s="595"/>
      <c r="R439" s="595"/>
      <c r="S439" s="595"/>
      <c r="T439" s="595"/>
      <c r="U439" s="595"/>
      <c r="V439" s="595"/>
      <c r="W439" s="595"/>
      <c r="X439" s="595"/>
      <c r="Y439" s="595"/>
      <c r="Z439" s="595"/>
    </row>
    <row r="440" spans="1:26" ht="19.5" customHeight="1">
      <c r="A440" s="595"/>
      <c r="B440" s="595"/>
      <c r="C440" s="596"/>
      <c r="D440" s="595"/>
      <c r="E440" s="595"/>
      <c r="F440" s="595"/>
      <c r="G440" s="595"/>
      <c r="H440" s="595"/>
      <c r="I440" s="595"/>
      <c r="J440" s="595"/>
      <c r="K440" s="595"/>
      <c r="L440" s="595"/>
      <c r="M440" s="595"/>
      <c r="N440" s="595"/>
      <c r="O440" s="595"/>
      <c r="P440" s="595"/>
      <c r="Q440" s="595"/>
      <c r="R440" s="595"/>
      <c r="S440" s="595"/>
      <c r="T440" s="595"/>
      <c r="U440" s="595"/>
      <c r="V440" s="595"/>
      <c r="W440" s="595"/>
      <c r="X440" s="595"/>
      <c r="Y440" s="595"/>
      <c r="Z440" s="595"/>
    </row>
    <row r="441" spans="1:26" ht="19.5" customHeight="1">
      <c r="A441" s="595"/>
      <c r="B441" s="595"/>
      <c r="C441" s="596"/>
      <c r="D441" s="595"/>
      <c r="E441" s="595"/>
      <c r="F441" s="595"/>
      <c r="G441" s="595"/>
      <c r="H441" s="595"/>
      <c r="I441" s="595"/>
      <c r="J441" s="595"/>
      <c r="K441" s="595"/>
      <c r="L441" s="595"/>
      <c r="M441" s="595"/>
      <c r="N441" s="595"/>
      <c r="O441" s="595"/>
      <c r="P441" s="595"/>
      <c r="Q441" s="595"/>
      <c r="R441" s="595"/>
      <c r="S441" s="595"/>
      <c r="T441" s="595"/>
      <c r="U441" s="595"/>
      <c r="V441" s="595"/>
      <c r="W441" s="595"/>
      <c r="X441" s="595"/>
      <c r="Y441" s="595"/>
      <c r="Z441" s="595"/>
    </row>
    <row r="442" spans="1:26" ht="19.5" customHeight="1">
      <c r="A442" s="595"/>
      <c r="B442" s="595"/>
      <c r="C442" s="596"/>
      <c r="D442" s="595"/>
      <c r="E442" s="595"/>
      <c r="F442" s="595"/>
      <c r="G442" s="595"/>
      <c r="H442" s="595"/>
      <c r="I442" s="595"/>
      <c r="J442" s="595"/>
      <c r="K442" s="595"/>
      <c r="L442" s="595"/>
      <c r="M442" s="595"/>
      <c r="N442" s="595"/>
      <c r="O442" s="595"/>
      <c r="P442" s="595"/>
      <c r="Q442" s="595"/>
      <c r="R442" s="595"/>
      <c r="S442" s="595"/>
      <c r="T442" s="595"/>
      <c r="U442" s="595"/>
      <c r="V442" s="595"/>
      <c r="W442" s="595"/>
      <c r="X442" s="595"/>
      <c r="Y442" s="595"/>
      <c r="Z442" s="595"/>
    </row>
    <row r="443" spans="1:26" ht="19.5" customHeight="1">
      <c r="A443" s="595"/>
      <c r="B443" s="595"/>
      <c r="C443" s="596"/>
      <c r="D443" s="595"/>
      <c r="E443" s="595"/>
      <c r="F443" s="595"/>
      <c r="G443" s="595"/>
      <c r="H443" s="595"/>
      <c r="I443" s="595"/>
      <c r="J443" s="595"/>
      <c r="K443" s="595"/>
      <c r="L443" s="595"/>
      <c r="M443" s="595"/>
      <c r="N443" s="595"/>
      <c r="O443" s="595"/>
      <c r="P443" s="595"/>
      <c r="Q443" s="595"/>
      <c r="R443" s="595"/>
      <c r="S443" s="595"/>
      <c r="T443" s="595"/>
      <c r="U443" s="595"/>
      <c r="V443" s="595"/>
      <c r="W443" s="595"/>
      <c r="X443" s="595"/>
      <c r="Y443" s="595"/>
      <c r="Z443" s="595"/>
    </row>
    <row r="444" spans="1:26" ht="19.5" customHeight="1">
      <c r="A444" s="595"/>
      <c r="B444" s="595"/>
      <c r="C444" s="596"/>
      <c r="D444" s="595"/>
      <c r="E444" s="595"/>
      <c r="F444" s="595"/>
      <c r="G444" s="595"/>
      <c r="H444" s="595"/>
      <c r="I444" s="595"/>
      <c r="J444" s="595"/>
      <c r="K444" s="595"/>
      <c r="L444" s="595"/>
      <c r="M444" s="595"/>
      <c r="N444" s="595"/>
      <c r="O444" s="595"/>
      <c r="P444" s="595"/>
      <c r="Q444" s="595"/>
      <c r="R444" s="595"/>
      <c r="S444" s="595"/>
      <c r="T444" s="595"/>
      <c r="U444" s="595"/>
      <c r="V444" s="595"/>
      <c r="W444" s="595"/>
      <c r="X444" s="595"/>
      <c r="Y444" s="595"/>
      <c r="Z444" s="595"/>
    </row>
    <row r="445" spans="1:26" ht="19.5" customHeight="1">
      <c r="A445" s="595"/>
      <c r="B445" s="595"/>
      <c r="C445" s="596"/>
      <c r="D445" s="595"/>
      <c r="E445" s="595"/>
      <c r="F445" s="595"/>
      <c r="G445" s="595"/>
      <c r="H445" s="595"/>
      <c r="I445" s="595"/>
      <c r="J445" s="595"/>
      <c r="K445" s="595"/>
      <c r="L445" s="595"/>
      <c r="M445" s="595"/>
      <c r="N445" s="595"/>
      <c r="O445" s="595"/>
      <c r="P445" s="595"/>
      <c r="Q445" s="595"/>
      <c r="R445" s="595"/>
      <c r="S445" s="595"/>
      <c r="T445" s="595"/>
      <c r="U445" s="595"/>
      <c r="V445" s="595"/>
      <c r="W445" s="595"/>
      <c r="X445" s="595"/>
      <c r="Y445" s="595"/>
      <c r="Z445" s="595"/>
    </row>
    <row r="446" spans="1:26" ht="19.5" customHeight="1">
      <c r="A446" s="595"/>
      <c r="B446" s="595"/>
      <c r="C446" s="596"/>
      <c r="D446" s="595"/>
      <c r="E446" s="595"/>
      <c r="F446" s="595"/>
      <c r="G446" s="595"/>
      <c r="H446" s="595"/>
      <c r="I446" s="595"/>
      <c r="J446" s="595"/>
      <c r="K446" s="595"/>
      <c r="L446" s="595"/>
      <c r="M446" s="595"/>
      <c r="N446" s="595"/>
      <c r="O446" s="595"/>
      <c r="P446" s="595"/>
      <c r="Q446" s="595"/>
      <c r="R446" s="595"/>
      <c r="S446" s="595"/>
      <c r="T446" s="595"/>
      <c r="U446" s="595"/>
      <c r="V446" s="595"/>
      <c r="W446" s="595"/>
      <c r="X446" s="595"/>
      <c r="Y446" s="595"/>
      <c r="Z446" s="595"/>
    </row>
    <row r="447" spans="1:26" ht="19.5" customHeight="1">
      <c r="A447" s="595"/>
      <c r="B447" s="595"/>
      <c r="C447" s="596"/>
      <c r="D447" s="595"/>
      <c r="E447" s="595"/>
      <c r="F447" s="595"/>
      <c r="G447" s="595"/>
      <c r="H447" s="595"/>
      <c r="I447" s="595"/>
      <c r="J447" s="595"/>
      <c r="K447" s="595"/>
      <c r="L447" s="595"/>
      <c r="M447" s="595"/>
      <c r="N447" s="595"/>
      <c r="O447" s="595"/>
      <c r="P447" s="595"/>
      <c r="Q447" s="595"/>
      <c r="R447" s="595"/>
      <c r="S447" s="595"/>
      <c r="T447" s="595"/>
      <c r="U447" s="595"/>
      <c r="V447" s="595"/>
      <c r="W447" s="595"/>
      <c r="X447" s="595"/>
      <c r="Y447" s="595"/>
      <c r="Z447" s="595"/>
    </row>
    <row r="448" spans="1:26" ht="19.5" customHeight="1">
      <c r="A448" s="595"/>
      <c r="B448" s="595"/>
      <c r="C448" s="596"/>
      <c r="D448" s="595"/>
      <c r="E448" s="595"/>
      <c r="F448" s="595"/>
      <c r="G448" s="595"/>
      <c r="H448" s="595"/>
      <c r="I448" s="595"/>
      <c r="J448" s="595"/>
      <c r="K448" s="595"/>
      <c r="L448" s="595"/>
      <c r="M448" s="595"/>
      <c r="N448" s="595"/>
      <c r="O448" s="595"/>
      <c r="P448" s="595"/>
      <c r="Q448" s="595"/>
      <c r="R448" s="595"/>
      <c r="S448" s="595"/>
      <c r="T448" s="595"/>
      <c r="U448" s="595"/>
      <c r="V448" s="595"/>
      <c r="W448" s="595"/>
      <c r="X448" s="595"/>
      <c r="Y448" s="595"/>
      <c r="Z448" s="595"/>
    </row>
    <row r="449" spans="1:26" ht="19.5" customHeight="1">
      <c r="A449" s="595"/>
      <c r="B449" s="595"/>
      <c r="C449" s="596"/>
      <c r="D449" s="595"/>
      <c r="E449" s="595"/>
      <c r="F449" s="595"/>
      <c r="G449" s="595"/>
      <c r="H449" s="595"/>
      <c r="I449" s="595"/>
      <c r="J449" s="595"/>
      <c r="K449" s="595"/>
      <c r="L449" s="595"/>
      <c r="M449" s="595"/>
      <c r="N449" s="595"/>
      <c r="O449" s="595"/>
      <c r="P449" s="595"/>
      <c r="Q449" s="595"/>
      <c r="R449" s="595"/>
      <c r="S449" s="595"/>
      <c r="T449" s="595"/>
      <c r="U449" s="595"/>
      <c r="V449" s="595"/>
      <c r="W449" s="595"/>
      <c r="X449" s="595"/>
      <c r="Y449" s="595"/>
      <c r="Z449" s="595"/>
    </row>
    <row r="450" spans="1:26" ht="19.5" customHeight="1">
      <c r="A450" s="595"/>
      <c r="B450" s="595"/>
      <c r="C450" s="596"/>
      <c r="D450" s="595"/>
      <c r="E450" s="595"/>
      <c r="F450" s="595"/>
      <c r="G450" s="595"/>
      <c r="H450" s="595"/>
      <c r="I450" s="595"/>
      <c r="J450" s="595"/>
      <c r="K450" s="595"/>
      <c r="L450" s="595"/>
      <c r="M450" s="595"/>
      <c r="N450" s="595"/>
      <c r="O450" s="595"/>
      <c r="P450" s="595"/>
      <c r="Q450" s="595"/>
      <c r="R450" s="595"/>
      <c r="S450" s="595"/>
      <c r="T450" s="595"/>
      <c r="U450" s="595"/>
      <c r="V450" s="595"/>
      <c r="W450" s="595"/>
      <c r="X450" s="595"/>
      <c r="Y450" s="595"/>
      <c r="Z450" s="595"/>
    </row>
    <row r="451" spans="1:26" ht="19.5" customHeight="1">
      <c r="A451" s="595"/>
      <c r="B451" s="595"/>
      <c r="C451" s="596"/>
      <c r="D451" s="595"/>
      <c r="E451" s="595"/>
      <c r="F451" s="595"/>
      <c r="G451" s="595"/>
      <c r="H451" s="595"/>
      <c r="I451" s="595"/>
      <c r="J451" s="595"/>
      <c r="K451" s="595"/>
      <c r="L451" s="595"/>
      <c r="M451" s="595"/>
      <c r="N451" s="595"/>
      <c r="O451" s="595"/>
      <c r="P451" s="595"/>
      <c r="Q451" s="595"/>
      <c r="R451" s="595"/>
      <c r="S451" s="595"/>
      <c r="T451" s="595"/>
      <c r="U451" s="595"/>
      <c r="V451" s="595"/>
      <c r="W451" s="595"/>
      <c r="X451" s="595"/>
      <c r="Y451" s="595"/>
      <c r="Z451" s="595"/>
    </row>
    <row r="452" spans="1:26" ht="19.5" customHeight="1">
      <c r="A452" s="595"/>
      <c r="B452" s="595"/>
      <c r="C452" s="596"/>
      <c r="D452" s="595"/>
      <c r="E452" s="595"/>
      <c r="F452" s="595"/>
      <c r="G452" s="595"/>
      <c r="H452" s="595"/>
      <c r="I452" s="595"/>
      <c r="J452" s="595"/>
      <c r="K452" s="595"/>
      <c r="L452" s="595"/>
      <c r="M452" s="595"/>
      <c r="N452" s="595"/>
      <c r="O452" s="595"/>
      <c r="P452" s="595"/>
      <c r="Q452" s="595"/>
      <c r="R452" s="595"/>
      <c r="S452" s="595"/>
      <c r="T452" s="595"/>
      <c r="U452" s="595"/>
      <c r="V452" s="595"/>
      <c r="W452" s="595"/>
      <c r="X452" s="595"/>
      <c r="Y452" s="595"/>
      <c r="Z452" s="595"/>
    </row>
    <row r="453" spans="1:26" ht="19.5" customHeight="1">
      <c r="A453" s="595"/>
      <c r="B453" s="595"/>
      <c r="C453" s="596"/>
      <c r="D453" s="595"/>
      <c r="E453" s="595"/>
      <c r="F453" s="595"/>
      <c r="G453" s="595"/>
      <c r="H453" s="595"/>
      <c r="I453" s="595"/>
      <c r="J453" s="595"/>
      <c r="K453" s="595"/>
      <c r="L453" s="595"/>
      <c r="M453" s="595"/>
      <c r="N453" s="595"/>
      <c r="O453" s="595"/>
      <c r="P453" s="595"/>
      <c r="Q453" s="595"/>
      <c r="R453" s="595"/>
      <c r="S453" s="595"/>
      <c r="T453" s="595"/>
      <c r="U453" s="595"/>
      <c r="V453" s="595"/>
      <c r="W453" s="595"/>
      <c r="X453" s="595"/>
      <c r="Y453" s="595"/>
      <c r="Z453" s="595"/>
    </row>
    <row r="454" spans="1:26" ht="19.5" customHeight="1">
      <c r="A454" s="595"/>
      <c r="B454" s="595"/>
      <c r="C454" s="596"/>
      <c r="D454" s="595"/>
      <c r="E454" s="595"/>
      <c r="F454" s="595"/>
      <c r="G454" s="595"/>
      <c r="H454" s="595"/>
      <c r="I454" s="595"/>
      <c r="J454" s="595"/>
      <c r="K454" s="595"/>
      <c r="L454" s="595"/>
      <c r="M454" s="595"/>
      <c r="N454" s="595"/>
      <c r="O454" s="595"/>
      <c r="P454" s="595"/>
      <c r="Q454" s="595"/>
      <c r="R454" s="595"/>
      <c r="S454" s="595"/>
      <c r="T454" s="595"/>
      <c r="U454" s="595"/>
      <c r="V454" s="595"/>
      <c r="W454" s="595"/>
      <c r="X454" s="595"/>
      <c r="Y454" s="595"/>
      <c r="Z454" s="595"/>
    </row>
    <row r="455" spans="1:26" ht="19.5" customHeight="1">
      <c r="A455" s="595"/>
      <c r="B455" s="595"/>
      <c r="C455" s="596"/>
      <c r="D455" s="595"/>
      <c r="E455" s="595"/>
      <c r="F455" s="595"/>
      <c r="G455" s="595"/>
      <c r="H455" s="595"/>
      <c r="I455" s="595"/>
      <c r="J455" s="595"/>
      <c r="K455" s="595"/>
      <c r="L455" s="595"/>
      <c r="M455" s="595"/>
      <c r="N455" s="595"/>
      <c r="O455" s="595"/>
      <c r="P455" s="595"/>
      <c r="Q455" s="595"/>
      <c r="R455" s="595"/>
      <c r="S455" s="595"/>
      <c r="T455" s="595"/>
      <c r="U455" s="595"/>
      <c r="V455" s="595"/>
      <c r="W455" s="595"/>
      <c r="X455" s="595"/>
      <c r="Y455" s="595"/>
      <c r="Z455" s="595"/>
    </row>
    <row r="456" spans="1:26" ht="19.5" customHeight="1">
      <c r="A456" s="595"/>
      <c r="B456" s="595"/>
      <c r="C456" s="596"/>
      <c r="D456" s="595"/>
      <c r="E456" s="595"/>
      <c r="F456" s="595"/>
      <c r="G456" s="595"/>
      <c r="H456" s="595"/>
      <c r="I456" s="595"/>
      <c r="J456" s="595"/>
      <c r="K456" s="595"/>
      <c r="L456" s="595"/>
      <c r="M456" s="595"/>
      <c r="N456" s="595"/>
      <c r="O456" s="595"/>
      <c r="P456" s="595"/>
      <c r="Q456" s="595"/>
      <c r="R456" s="595"/>
      <c r="S456" s="595"/>
      <c r="T456" s="595"/>
      <c r="U456" s="595"/>
      <c r="V456" s="595"/>
      <c r="W456" s="595"/>
      <c r="X456" s="595"/>
      <c r="Y456" s="595"/>
      <c r="Z456" s="595"/>
    </row>
    <row r="457" spans="1:26" ht="19.5" customHeight="1">
      <c r="A457" s="595"/>
      <c r="B457" s="595"/>
      <c r="C457" s="596"/>
      <c r="D457" s="595"/>
      <c r="E457" s="595"/>
      <c r="F457" s="595"/>
      <c r="G457" s="595"/>
      <c r="H457" s="595"/>
      <c r="I457" s="595"/>
      <c r="J457" s="595"/>
      <c r="K457" s="595"/>
      <c r="L457" s="595"/>
      <c r="M457" s="595"/>
      <c r="N457" s="595"/>
      <c r="O457" s="595"/>
      <c r="P457" s="595"/>
      <c r="Q457" s="595"/>
      <c r="R457" s="595"/>
      <c r="S457" s="595"/>
      <c r="T457" s="595"/>
      <c r="U457" s="595"/>
      <c r="V457" s="595"/>
      <c r="W457" s="595"/>
      <c r="X457" s="595"/>
      <c r="Y457" s="595"/>
      <c r="Z457" s="595"/>
    </row>
    <row r="458" spans="1:26" ht="19.5" customHeight="1">
      <c r="A458" s="595"/>
      <c r="B458" s="595"/>
      <c r="C458" s="596"/>
      <c r="D458" s="595"/>
      <c r="E458" s="595"/>
      <c r="F458" s="595"/>
      <c r="G458" s="595"/>
      <c r="H458" s="595"/>
      <c r="I458" s="595"/>
      <c r="J458" s="595"/>
      <c r="K458" s="595"/>
      <c r="L458" s="595"/>
      <c r="M458" s="595"/>
      <c r="N458" s="595"/>
      <c r="O458" s="595"/>
      <c r="P458" s="595"/>
      <c r="Q458" s="595"/>
      <c r="R458" s="595"/>
      <c r="S458" s="595"/>
      <c r="T458" s="595"/>
      <c r="U458" s="595"/>
      <c r="V458" s="595"/>
      <c r="W458" s="595"/>
      <c r="X458" s="595"/>
      <c r="Y458" s="595"/>
      <c r="Z458" s="595"/>
    </row>
    <row r="459" spans="1:26" ht="19.5" customHeight="1">
      <c r="A459" s="595"/>
      <c r="B459" s="595"/>
      <c r="C459" s="596"/>
      <c r="D459" s="595"/>
      <c r="E459" s="595"/>
      <c r="F459" s="595"/>
      <c r="G459" s="595"/>
      <c r="H459" s="595"/>
      <c r="I459" s="595"/>
      <c r="J459" s="595"/>
      <c r="K459" s="595"/>
      <c r="L459" s="595"/>
      <c r="M459" s="595"/>
      <c r="N459" s="595"/>
      <c r="O459" s="595"/>
      <c r="P459" s="595"/>
      <c r="Q459" s="595"/>
      <c r="R459" s="595"/>
      <c r="S459" s="595"/>
      <c r="T459" s="595"/>
      <c r="U459" s="595"/>
      <c r="V459" s="595"/>
      <c r="W459" s="595"/>
      <c r="X459" s="595"/>
      <c r="Y459" s="595"/>
      <c r="Z459" s="595"/>
    </row>
    <row r="460" spans="1:26" ht="19.5" customHeight="1">
      <c r="A460" s="595"/>
      <c r="B460" s="595"/>
      <c r="C460" s="596"/>
      <c r="D460" s="595"/>
      <c r="E460" s="595"/>
      <c r="F460" s="595"/>
      <c r="G460" s="595"/>
      <c r="H460" s="595"/>
      <c r="I460" s="595"/>
      <c r="J460" s="595"/>
      <c r="K460" s="595"/>
      <c r="L460" s="595"/>
      <c r="M460" s="595"/>
      <c r="N460" s="595"/>
      <c r="O460" s="595"/>
      <c r="P460" s="595"/>
      <c r="Q460" s="595"/>
      <c r="R460" s="595"/>
      <c r="S460" s="595"/>
      <c r="T460" s="595"/>
      <c r="U460" s="595"/>
      <c r="V460" s="595"/>
      <c r="W460" s="595"/>
      <c r="X460" s="595"/>
      <c r="Y460" s="595"/>
      <c r="Z460" s="595"/>
    </row>
    <row r="461" spans="1:26" ht="19.5" customHeight="1">
      <c r="A461" s="595"/>
      <c r="B461" s="595"/>
      <c r="C461" s="596"/>
      <c r="D461" s="595"/>
      <c r="E461" s="595"/>
      <c r="F461" s="595"/>
      <c r="G461" s="595"/>
      <c r="H461" s="595"/>
      <c r="I461" s="595"/>
      <c r="J461" s="595"/>
      <c r="K461" s="595"/>
      <c r="L461" s="595"/>
      <c r="M461" s="595"/>
      <c r="N461" s="595"/>
      <c r="O461" s="595"/>
      <c r="P461" s="595"/>
      <c r="Q461" s="595"/>
      <c r="R461" s="595"/>
      <c r="S461" s="595"/>
      <c r="T461" s="595"/>
      <c r="U461" s="595"/>
      <c r="V461" s="595"/>
      <c r="W461" s="595"/>
      <c r="X461" s="595"/>
      <c r="Y461" s="595"/>
      <c r="Z461" s="595"/>
    </row>
    <row r="462" spans="1:26" ht="19.5" customHeight="1">
      <c r="A462" s="595"/>
      <c r="B462" s="595"/>
      <c r="C462" s="596"/>
      <c r="D462" s="595"/>
      <c r="E462" s="595"/>
      <c r="F462" s="595"/>
      <c r="G462" s="595"/>
      <c r="H462" s="595"/>
      <c r="I462" s="595"/>
      <c r="J462" s="595"/>
      <c r="K462" s="595"/>
      <c r="L462" s="595"/>
      <c r="M462" s="595"/>
      <c r="N462" s="595"/>
      <c r="O462" s="595"/>
      <c r="P462" s="595"/>
      <c r="Q462" s="595"/>
      <c r="R462" s="595"/>
      <c r="S462" s="595"/>
      <c r="T462" s="595"/>
      <c r="U462" s="595"/>
      <c r="V462" s="595"/>
      <c r="W462" s="595"/>
      <c r="X462" s="595"/>
      <c r="Y462" s="595"/>
      <c r="Z462" s="595"/>
    </row>
    <row r="463" spans="1:26" ht="19.5" customHeight="1">
      <c r="A463" s="595"/>
      <c r="B463" s="595"/>
      <c r="C463" s="596"/>
      <c r="D463" s="595"/>
      <c r="E463" s="595"/>
      <c r="F463" s="595"/>
      <c r="G463" s="595"/>
      <c r="H463" s="595"/>
      <c r="I463" s="595"/>
      <c r="J463" s="595"/>
      <c r="K463" s="595"/>
      <c r="L463" s="595"/>
      <c r="M463" s="595"/>
      <c r="N463" s="595"/>
      <c r="O463" s="595"/>
      <c r="P463" s="595"/>
      <c r="Q463" s="595"/>
      <c r="R463" s="595"/>
      <c r="S463" s="595"/>
      <c r="T463" s="595"/>
      <c r="U463" s="595"/>
      <c r="V463" s="595"/>
      <c r="W463" s="595"/>
      <c r="X463" s="595"/>
      <c r="Y463" s="595"/>
      <c r="Z463" s="595"/>
    </row>
    <row r="464" spans="1:26" ht="19.5" customHeight="1">
      <c r="A464" s="595"/>
      <c r="B464" s="595"/>
      <c r="C464" s="596"/>
      <c r="D464" s="595"/>
      <c r="E464" s="595"/>
      <c r="F464" s="595"/>
      <c r="G464" s="595"/>
      <c r="H464" s="595"/>
      <c r="I464" s="595"/>
      <c r="J464" s="595"/>
      <c r="K464" s="595"/>
      <c r="L464" s="595"/>
      <c r="M464" s="595"/>
      <c r="N464" s="595"/>
      <c r="O464" s="595"/>
      <c r="P464" s="595"/>
      <c r="Q464" s="595"/>
      <c r="R464" s="595"/>
      <c r="S464" s="595"/>
      <c r="T464" s="595"/>
      <c r="U464" s="595"/>
      <c r="V464" s="595"/>
      <c r="W464" s="595"/>
      <c r="X464" s="595"/>
      <c r="Y464" s="595"/>
      <c r="Z464" s="595"/>
    </row>
    <row r="465" spans="1:26" ht="19.5" customHeight="1">
      <c r="A465" s="595"/>
      <c r="B465" s="595"/>
      <c r="C465" s="596"/>
      <c r="D465" s="595"/>
      <c r="E465" s="595"/>
      <c r="F465" s="595"/>
      <c r="G465" s="595"/>
      <c r="H465" s="595"/>
      <c r="I465" s="595"/>
      <c r="J465" s="595"/>
      <c r="K465" s="595"/>
      <c r="L465" s="595"/>
      <c r="M465" s="595"/>
      <c r="N465" s="595"/>
      <c r="O465" s="595"/>
      <c r="P465" s="595"/>
      <c r="Q465" s="595"/>
      <c r="R465" s="595"/>
      <c r="S465" s="595"/>
      <c r="T465" s="595"/>
      <c r="U465" s="595"/>
      <c r="V465" s="595"/>
      <c r="W465" s="595"/>
      <c r="X465" s="595"/>
      <c r="Y465" s="595"/>
      <c r="Z465" s="595"/>
    </row>
    <row r="466" spans="1:26" ht="19.5" customHeight="1">
      <c r="A466" s="595"/>
      <c r="B466" s="595"/>
      <c r="C466" s="596"/>
      <c r="D466" s="595"/>
      <c r="E466" s="595"/>
      <c r="F466" s="595"/>
      <c r="G466" s="595"/>
      <c r="H466" s="595"/>
      <c r="I466" s="595"/>
      <c r="J466" s="595"/>
      <c r="K466" s="595"/>
      <c r="L466" s="595"/>
      <c r="M466" s="595"/>
      <c r="N466" s="595"/>
      <c r="O466" s="595"/>
      <c r="P466" s="595"/>
      <c r="Q466" s="595"/>
      <c r="R466" s="595"/>
      <c r="S466" s="595"/>
      <c r="T466" s="595"/>
      <c r="U466" s="595"/>
      <c r="V466" s="595"/>
      <c r="W466" s="595"/>
      <c r="X466" s="595"/>
      <c r="Y466" s="595"/>
      <c r="Z466" s="595"/>
    </row>
    <row r="467" spans="1:26" ht="19.5" customHeight="1">
      <c r="A467" s="595"/>
      <c r="B467" s="595"/>
      <c r="C467" s="596"/>
      <c r="D467" s="595"/>
      <c r="E467" s="595"/>
      <c r="F467" s="595"/>
      <c r="G467" s="595"/>
      <c r="H467" s="595"/>
      <c r="I467" s="595"/>
      <c r="J467" s="595"/>
      <c r="K467" s="595"/>
      <c r="L467" s="595"/>
      <c r="M467" s="595"/>
      <c r="N467" s="595"/>
      <c r="O467" s="595"/>
      <c r="P467" s="595"/>
      <c r="Q467" s="595"/>
      <c r="R467" s="595"/>
      <c r="S467" s="595"/>
      <c r="T467" s="595"/>
      <c r="U467" s="595"/>
      <c r="V467" s="595"/>
      <c r="W467" s="595"/>
      <c r="X467" s="595"/>
      <c r="Y467" s="595"/>
      <c r="Z467" s="595"/>
    </row>
    <row r="468" spans="1:26" ht="19.5" customHeight="1">
      <c r="A468" s="595"/>
      <c r="B468" s="595"/>
      <c r="C468" s="596"/>
      <c r="D468" s="595"/>
      <c r="E468" s="595"/>
      <c r="F468" s="595"/>
      <c r="G468" s="595"/>
      <c r="H468" s="595"/>
      <c r="I468" s="595"/>
      <c r="J468" s="595"/>
      <c r="K468" s="595"/>
      <c r="L468" s="595"/>
      <c r="M468" s="595"/>
      <c r="N468" s="595"/>
      <c r="O468" s="595"/>
      <c r="P468" s="595"/>
      <c r="Q468" s="595"/>
      <c r="R468" s="595"/>
      <c r="S468" s="595"/>
      <c r="T468" s="595"/>
      <c r="U468" s="595"/>
      <c r="V468" s="595"/>
      <c r="W468" s="595"/>
      <c r="X468" s="595"/>
      <c r="Y468" s="595"/>
      <c r="Z468" s="595"/>
    </row>
    <row r="469" spans="1:26" ht="19.5" customHeight="1">
      <c r="A469" s="595"/>
      <c r="B469" s="595"/>
      <c r="C469" s="596"/>
      <c r="D469" s="595"/>
      <c r="E469" s="595"/>
      <c r="F469" s="595"/>
      <c r="G469" s="595"/>
      <c r="H469" s="595"/>
      <c r="I469" s="595"/>
      <c r="J469" s="595"/>
      <c r="K469" s="595"/>
      <c r="L469" s="595"/>
      <c r="M469" s="595"/>
      <c r="N469" s="595"/>
      <c r="O469" s="595"/>
      <c r="P469" s="595"/>
      <c r="Q469" s="595"/>
      <c r="R469" s="595"/>
      <c r="S469" s="595"/>
      <c r="T469" s="595"/>
      <c r="U469" s="595"/>
      <c r="V469" s="595"/>
      <c r="W469" s="595"/>
      <c r="X469" s="595"/>
      <c r="Y469" s="595"/>
      <c r="Z469" s="595"/>
    </row>
    <row r="470" spans="1:26" ht="19.5" customHeight="1">
      <c r="A470" s="595"/>
      <c r="B470" s="595"/>
      <c r="C470" s="596"/>
      <c r="D470" s="595"/>
      <c r="E470" s="595"/>
      <c r="F470" s="595"/>
      <c r="G470" s="595"/>
      <c r="H470" s="595"/>
      <c r="I470" s="595"/>
      <c r="J470" s="595"/>
      <c r="K470" s="595"/>
      <c r="L470" s="595"/>
      <c r="M470" s="595"/>
      <c r="N470" s="595"/>
      <c r="O470" s="595"/>
      <c r="P470" s="595"/>
      <c r="Q470" s="595"/>
      <c r="R470" s="595"/>
      <c r="S470" s="595"/>
      <c r="T470" s="595"/>
      <c r="U470" s="595"/>
      <c r="V470" s="595"/>
      <c r="W470" s="595"/>
      <c r="X470" s="595"/>
      <c r="Y470" s="595"/>
      <c r="Z470" s="595"/>
    </row>
    <row r="471" spans="1:26" ht="19.5" customHeight="1">
      <c r="A471" s="595"/>
      <c r="B471" s="595"/>
      <c r="C471" s="596"/>
      <c r="D471" s="595"/>
      <c r="E471" s="595"/>
      <c r="F471" s="595"/>
      <c r="G471" s="595"/>
      <c r="H471" s="595"/>
      <c r="I471" s="595"/>
      <c r="J471" s="595"/>
      <c r="K471" s="595"/>
      <c r="L471" s="595"/>
      <c r="M471" s="595"/>
      <c r="N471" s="595"/>
      <c r="O471" s="595"/>
      <c r="P471" s="595"/>
      <c r="Q471" s="595"/>
      <c r="R471" s="595"/>
      <c r="S471" s="595"/>
      <c r="T471" s="595"/>
      <c r="U471" s="595"/>
      <c r="V471" s="595"/>
      <c r="W471" s="595"/>
      <c r="X471" s="595"/>
      <c r="Y471" s="595"/>
      <c r="Z471" s="595"/>
    </row>
    <row r="472" spans="1:26" ht="19.5" customHeight="1">
      <c r="A472" s="595"/>
      <c r="B472" s="595"/>
      <c r="C472" s="596"/>
      <c r="D472" s="595"/>
      <c r="E472" s="595"/>
      <c r="F472" s="595"/>
      <c r="G472" s="595"/>
      <c r="H472" s="595"/>
      <c r="I472" s="595"/>
      <c r="J472" s="595"/>
      <c r="K472" s="595"/>
      <c r="L472" s="595"/>
      <c r="M472" s="595"/>
      <c r="N472" s="595"/>
      <c r="O472" s="595"/>
      <c r="P472" s="595"/>
      <c r="Q472" s="595"/>
      <c r="R472" s="595"/>
      <c r="S472" s="595"/>
      <c r="T472" s="595"/>
      <c r="U472" s="595"/>
      <c r="V472" s="595"/>
      <c r="W472" s="595"/>
      <c r="X472" s="595"/>
      <c r="Y472" s="595"/>
      <c r="Z472" s="595"/>
    </row>
    <row r="473" spans="1:26" ht="19.5" customHeight="1">
      <c r="A473" s="595"/>
      <c r="B473" s="595"/>
      <c r="C473" s="596"/>
      <c r="D473" s="595"/>
      <c r="E473" s="595"/>
      <c r="F473" s="595"/>
      <c r="G473" s="595"/>
      <c r="H473" s="595"/>
      <c r="I473" s="595"/>
      <c r="J473" s="595"/>
      <c r="K473" s="595"/>
      <c r="L473" s="595"/>
      <c r="M473" s="595"/>
      <c r="N473" s="595"/>
      <c r="O473" s="595"/>
      <c r="P473" s="595"/>
      <c r="Q473" s="595"/>
      <c r="R473" s="595"/>
      <c r="S473" s="595"/>
      <c r="T473" s="595"/>
      <c r="U473" s="595"/>
      <c r="V473" s="595"/>
      <c r="W473" s="595"/>
      <c r="X473" s="595"/>
      <c r="Y473" s="595"/>
      <c r="Z473" s="595"/>
    </row>
    <row r="474" spans="1:26" ht="19.5" customHeight="1">
      <c r="A474" s="595"/>
      <c r="B474" s="595"/>
      <c r="C474" s="596"/>
      <c r="D474" s="595"/>
      <c r="E474" s="595"/>
      <c r="F474" s="595"/>
      <c r="G474" s="595"/>
      <c r="H474" s="595"/>
      <c r="I474" s="595"/>
      <c r="J474" s="595"/>
      <c r="K474" s="595"/>
      <c r="L474" s="595"/>
      <c r="M474" s="595"/>
      <c r="N474" s="595"/>
      <c r="O474" s="595"/>
      <c r="P474" s="595"/>
      <c r="Q474" s="595"/>
      <c r="R474" s="595"/>
      <c r="S474" s="595"/>
      <c r="T474" s="595"/>
      <c r="U474" s="595"/>
      <c r="V474" s="595"/>
      <c r="W474" s="595"/>
      <c r="X474" s="595"/>
      <c r="Y474" s="595"/>
      <c r="Z474" s="595"/>
    </row>
    <row r="475" spans="1:26" ht="19.5" customHeight="1">
      <c r="A475" s="595"/>
      <c r="B475" s="595"/>
      <c r="C475" s="596"/>
      <c r="D475" s="595"/>
      <c r="E475" s="595"/>
      <c r="F475" s="595"/>
      <c r="G475" s="595"/>
      <c r="H475" s="595"/>
      <c r="I475" s="595"/>
      <c r="J475" s="595"/>
      <c r="K475" s="595"/>
      <c r="L475" s="595"/>
      <c r="M475" s="595"/>
      <c r="N475" s="595"/>
      <c r="O475" s="595"/>
      <c r="P475" s="595"/>
      <c r="Q475" s="595"/>
      <c r="R475" s="595"/>
      <c r="S475" s="595"/>
      <c r="T475" s="595"/>
      <c r="U475" s="595"/>
      <c r="V475" s="595"/>
      <c r="W475" s="595"/>
      <c r="X475" s="595"/>
      <c r="Y475" s="595"/>
      <c r="Z475" s="595"/>
    </row>
    <row r="476" spans="1:26" ht="19.5" customHeight="1">
      <c r="A476" s="595"/>
      <c r="B476" s="595"/>
      <c r="C476" s="596"/>
      <c r="D476" s="595"/>
      <c r="E476" s="595"/>
      <c r="F476" s="595"/>
      <c r="G476" s="595"/>
      <c r="H476" s="595"/>
      <c r="I476" s="595"/>
      <c r="J476" s="595"/>
      <c r="K476" s="595"/>
      <c r="L476" s="595"/>
      <c r="M476" s="595"/>
      <c r="N476" s="595"/>
      <c r="O476" s="595"/>
      <c r="P476" s="595"/>
      <c r="Q476" s="595"/>
      <c r="R476" s="595"/>
      <c r="S476" s="595"/>
      <c r="T476" s="595"/>
      <c r="U476" s="595"/>
      <c r="V476" s="595"/>
      <c r="W476" s="595"/>
      <c r="X476" s="595"/>
      <c r="Y476" s="595"/>
      <c r="Z476" s="595"/>
    </row>
    <row r="477" spans="1:26" ht="19.5" customHeight="1">
      <c r="A477" s="595"/>
      <c r="B477" s="595"/>
      <c r="C477" s="596"/>
      <c r="D477" s="595"/>
      <c r="E477" s="595"/>
      <c r="F477" s="595"/>
      <c r="G477" s="595"/>
      <c r="H477" s="595"/>
      <c r="I477" s="595"/>
      <c r="J477" s="595"/>
      <c r="K477" s="595"/>
      <c r="L477" s="595"/>
      <c r="M477" s="595"/>
      <c r="N477" s="595"/>
      <c r="O477" s="595"/>
      <c r="P477" s="595"/>
      <c r="Q477" s="595"/>
      <c r="R477" s="595"/>
      <c r="S477" s="595"/>
      <c r="T477" s="595"/>
      <c r="U477" s="595"/>
      <c r="V477" s="595"/>
      <c r="W477" s="595"/>
      <c r="X477" s="595"/>
      <c r="Y477" s="595"/>
      <c r="Z477" s="595"/>
    </row>
    <row r="478" spans="1:26" ht="19.5" customHeight="1">
      <c r="A478" s="595"/>
      <c r="B478" s="595"/>
      <c r="C478" s="596"/>
      <c r="D478" s="595"/>
      <c r="E478" s="595"/>
      <c r="F478" s="595"/>
      <c r="G478" s="595"/>
      <c r="H478" s="595"/>
      <c r="I478" s="595"/>
      <c r="J478" s="595"/>
      <c r="K478" s="595"/>
      <c r="L478" s="595"/>
      <c r="M478" s="595"/>
      <c r="N478" s="595"/>
      <c r="O478" s="595"/>
      <c r="P478" s="595"/>
      <c r="Q478" s="595"/>
      <c r="R478" s="595"/>
      <c r="S478" s="595"/>
      <c r="T478" s="595"/>
      <c r="U478" s="595"/>
      <c r="V478" s="595"/>
      <c r="W478" s="595"/>
      <c r="X478" s="595"/>
      <c r="Y478" s="595"/>
      <c r="Z478" s="595"/>
    </row>
    <row r="479" spans="1:26" ht="19.5" customHeight="1">
      <c r="A479" s="595"/>
      <c r="B479" s="595"/>
      <c r="C479" s="596"/>
      <c r="D479" s="595"/>
      <c r="E479" s="595"/>
      <c r="F479" s="595"/>
      <c r="G479" s="595"/>
      <c r="H479" s="595"/>
      <c r="I479" s="595"/>
      <c r="J479" s="595"/>
      <c r="K479" s="595"/>
      <c r="L479" s="595"/>
      <c r="M479" s="595"/>
      <c r="N479" s="595"/>
      <c r="O479" s="595"/>
      <c r="P479" s="595"/>
      <c r="Q479" s="595"/>
      <c r="R479" s="595"/>
      <c r="S479" s="595"/>
      <c r="T479" s="595"/>
      <c r="U479" s="595"/>
      <c r="V479" s="595"/>
      <c r="W479" s="595"/>
      <c r="X479" s="595"/>
      <c r="Y479" s="595"/>
      <c r="Z479" s="595"/>
    </row>
    <row r="480" spans="1:26" ht="19.5" customHeight="1">
      <c r="A480" s="595"/>
      <c r="B480" s="595"/>
      <c r="C480" s="596"/>
      <c r="D480" s="595"/>
      <c r="E480" s="595"/>
      <c r="F480" s="595"/>
      <c r="G480" s="595"/>
      <c r="H480" s="595"/>
      <c r="I480" s="595"/>
      <c r="J480" s="595"/>
      <c r="K480" s="595"/>
      <c r="L480" s="595"/>
      <c r="M480" s="595"/>
      <c r="N480" s="595"/>
      <c r="O480" s="595"/>
      <c r="P480" s="595"/>
      <c r="Q480" s="595"/>
      <c r="R480" s="595"/>
      <c r="S480" s="595"/>
      <c r="T480" s="595"/>
      <c r="U480" s="595"/>
      <c r="V480" s="595"/>
      <c r="W480" s="595"/>
      <c r="X480" s="595"/>
      <c r="Y480" s="595"/>
      <c r="Z480" s="595"/>
    </row>
    <row r="481" spans="1:26" ht="19.5" customHeight="1">
      <c r="A481" s="595"/>
      <c r="B481" s="595"/>
      <c r="C481" s="596"/>
      <c r="D481" s="595"/>
      <c r="E481" s="595"/>
      <c r="F481" s="595"/>
      <c r="G481" s="595"/>
      <c r="H481" s="595"/>
      <c r="I481" s="595"/>
      <c r="J481" s="595"/>
      <c r="K481" s="595"/>
      <c r="L481" s="595"/>
      <c r="M481" s="595"/>
      <c r="N481" s="595"/>
      <c r="O481" s="595"/>
      <c r="P481" s="595"/>
      <c r="Q481" s="595"/>
      <c r="R481" s="595"/>
      <c r="S481" s="595"/>
      <c r="T481" s="595"/>
      <c r="U481" s="595"/>
      <c r="V481" s="595"/>
      <c r="W481" s="595"/>
      <c r="X481" s="595"/>
      <c r="Y481" s="595"/>
      <c r="Z481" s="595"/>
    </row>
    <row r="482" spans="1:26" ht="19.5" customHeight="1">
      <c r="A482" s="595"/>
      <c r="B482" s="595"/>
      <c r="C482" s="596"/>
      <c r="D482" s="595"/>
      <c r="E482" s="595"/>
      <c r="F482" s="595"/>
      <c r="G482" s="595"/>
      <c r="H482" s="595"/>
      <c r="I482" s="595"/>
      <c r="J482" s="595"/>
      <c r="K482" s="595"/>
      <c r="L482" s="595"/>
      <c r="M482" s="595"/>
      <c r="N482" s="595"/>
      <c r="O482" s="595"/>
      <c r="P482" s="595"/>
      <c r="Q482" s="595"/>
      <c r="R482" s="595"/>
      <c r="S482" s="595"/>
      <c r="T482" s="595"/>
      <c r="U482" s="595"/>
      <c r="V482" s="595"/>
      <c r="W482" s="595"/>
      <c r="X482" s="595"/>
      <c r="Y482" s="595"/>
      <c r="Z482" s="595"/>
    </row>
    <row r="483" spans="1:26" ht="19.5" customHeight="1">
      <c r="A483" s="595"/>
      <c r="B483" s="595"/>
      <c r="C483" s="596"/>
      <c r="D483" s="595"/>
      <c r="E483" s="595"/>
      <c r="F483" s="595"/>
      <c r="G483" s="595"/>
      <c r="H483" s="595"/>
      <c r="I483" s="595"/>
      <c r="J483" s="595"/>
      <c r="K483" s="595"/>
      <c r="L483" s="595"/>
      <c r="M483" s="595"/>
      <c r="N483" s="595"/>
      <c r="O483" s="595"/>
      <c r="P483" s="595"/>
      <c r="Q483" s="595"/>
      <c r="R483" s="595"/>
      <c r="S483" s="595"/>
      <c r="T483" s="595"/>
      <c r="U483" s="595"/>
      <c r="V483" s="595"/>
      <c r="W483" s="595"/>
      <c r="X483" s="595"/>
      <c r="Y483" s="595"/>
      <c r="Z483" s="595"/>
    </row>
    <row r="484" spans="1:26" ht="19.5" customHeight="1">
      <c r="A484" s="595"/>
      <c r="B484" s="595"/>
      <c r="C484" s="596"/>
      <c r="D484" s="595"/>
      <c r="E484" s="595"/>
      <c r="F484" s="595"/>
      <c r="G484" s="595"/>
      <c r="H484" s="595"/>
      <c r="I484" s="595"/>
      <c r="J484" s="595"/>
      <c r="K484" s="595"/>
      <c r="L484" s="595"/>
      <c r="M484" s="595"/>
      <c r="N484" s="595"/>
      <c r="O484" s="595"/>
      <c r="P484" s="595"/>
      <c r="Q484" s="595"/>
      <c r="R484" s="595"/>
      <c r="S484" s="595"/>
      <c r="T484" s="595"/>
      <c r="U484" s="595"/>
      <c r="V484" s="595"/>
      <c r="W484" s="595"/>
      <c r="X484" s="595"/>
      <c r="Y484" s="595"/>
      <c r="Z484" s="595"/>
    </row>
    <row r="485" spans="1:26" ht="19.5" customHeight="1">
      <c r="A485" s="595"/>
      <c r="B485" s="595"/>
      <c r="C485" s="596"/>
      <c r="D485" s="595"/>
      <c r="E485" s="595"/>
      <c r="F485" s="595"/>
      <c r="G485" s="595"/>
      <c r="H485" s="595"/>
      <c r="I485" s="595"/>
      <c r="J485" s="595"/>
      <c r="K485" s="595"/>
      <c r="L485" s="595"/>
      <c r="M485" s="595"/>
      <c r="N485" s="595"/>
      <c r="O485" s="595"/>
      <c r="P485" s="595"/>
      <c r="Q485" s="595"/>
      <c r="R485" s="595"/>
      <c r="S485" s="595"/>
      <c r="T485" s="595"/>
      <c r="U485" s="595"/>
      <c r="V485" s="595"/>
      <c r="W485" s="595"/>
      <c r="X485" s="595"/>
      <c r="Y485" s="595"/>
      <c r="Z485" s="595"/>
    </row>
    <row r="486" spans="1:26" ht="19.5" customHeight="1">
      <c r="A486" s="595"/>
      <c r="B486" s="595"/>
      <c r="C486" s="596"/>
      <c r="D486" s="595"/>
      <c r="E486" s="595"/>
      <c r="F486" s="595"/>
      <c r="G486" s="595"/>
      <c r="H486" s="595"/>
      <c r="I486" s="595"/>
      <c r="J486" s="595"/>
      <c r="K486" s="595"/>
      <c r="L486" s="595"/>
      <c r="M486" s="595"/>
      <c r="N486" s="595"/>
      <c r="O486" s="595"/>
      <c r="P486" s="595"/>
      <c r="Q486" s="595"/>
      <c r="R486" s="595"/>
      <c r="S486" s="595"/>
      <c r="T486" s="595"/>
      <c r="U486" s="595"/>
      <c r="V486" s="595"/>
      <c r="W486" s="595"/>
      <c r="X486" s="595"/>
      <c r="Y486" s="595"/>
      <c r="Z486" s="595"/>
    </row>
    <row r="487" spans="1:26" ht="19.5" customHeight="1">
      <c r="A487" s="595"/>
      <c r="B487" s="595"/>
      <c r="C487" s="596"/>
      <c r="D487" s="595"/>
      <c r="E487" s="595"/>
      <c r="F487" s="595"/>
      <c r="G487" s="595"/>
      <c r="H487" s="595"/>
      <c r="I487" s="595"/>
      <c r="J487" s="595"/>
      <c r="K487" s="595"/>
      <c r="L487" s="595"/>
      <c r="M487" s="595"/>
      <c r="N487" s="595"/>
      <c r="O487" s="595"/>
      <c r="P487" s="595"/>
      <c r="Q487" s="595"/>
      <c r="R487" s="595"/>
      <c r="S487" s="595"/>
      <c r="T487" s="595"/>
      <c r="U487" s="595"/>
      <c r="V487" s="595"/>
      <c r="W487" s="595"/>
      <c r="X487" s="595"/>
      <c r="Y487" s="595"/>
      <c r="Z487" s="595"/>
    </row>
    <row r="488" spans="1:26" ht="19.5" customHeight="1">
      <c r="A488" s="595"/>
      <c r="B488" s="595"/>
      <c r="C488" s="596"/>
      <c r="D488" s="595"/>
      <c r="E488" s="595"/>
      <c r="F488" s="595"/>
      <c r="G488" s="595"/>
      <c r="H488" s="595"/>
      <c r="I488" s="595"/>
      <c r="J488" s="595"/>
      <c r="K488" s="595"/>
      <c r="L488" s="595"/>
      <c r="M488" s="595"/>
      <c r="N488" s="595"/>
      <c r="O488" s="595"/>
      <c r="P488" s="595"/>
      <c r="Q488" s="595"/>
      <c r="R488" s="595"/>
      <c r="S488" s="595"/>
      <c r="T488" s="595"/>
      <c r="U488" s="595"/>
      <c r="V488" s="595"/>
      <c r="W488" s="595"/>
      <c r="X488" s="595"/>
      <c r="Y488" s="595"/>
      <c r="Z488" s="595"/>
    </row>
    <row r="489" spans="1:26" ht="19.5" customHeight="1">
      <c r="A489" s="595"/>
      <c r="B489" s="595"/>
      <c r="C489" s="596"/>
      <c r="D489" s="595"/>
      <c r="E489" s="595"/>
      <c r="F489" s="595"/>
      <c r="G489" s="595"/>
      <c r="H489" s="595"/>
      <c r="I489" s="595"/>
      <c r="J489" s="595"/>
      <c r="K489" s="595"/>
      <c r="L489" s="595"/>
      <c r="M489" s="595"/>
      <c r="N489" s="595"/>
      <c r="O489" s="595"/>
      <c r="P489" s="595"/>
      <c r="Q489" s="595"/>
      <c r="R489" s="595"/>
      <c r="S489" s="595"/>
      <c r="T489" s="595"/>
      <c r="U489" s="595"/>
      <c r="V489" s="595"/>
      <c r="W489" s="595"/>
      <c r="X489" s="595"/>
      <c r="Y489" s="595"/>
      <c r="Z489" s="595"/>
    </row>
    <row r="490" spans="1:26" ht="19.5" customHeight="1">
      <c r="A490" s="595"/>
      <c r="B490" s="595"/>
      <c r="C490" s="596"/>
      <c r="D490" s="595"/>
      <c r="E490" s="595"/>
      <c r="F490" s="595"/>
      <c r="G490" s="595"/>
      <c r="H490" s="595"/>
      <c r="I490" s="595"/>
      <c r="J490" s="595"/>
      <c r="K490" s="595"/>
      <c r="L490" s="595"/>
      <c r="M490" s="595"/>
      <c r="N490" s="595"/>
      <c r="O490" s="595"/>
      <c r="P490" s="595"/>
      <c r="Q490" s="595"/>
      <c r="R490" s="595"/>
      <c r="S490" s="595"/>
      <c r="T490" s="595"/>
      <c r="U490" s="595"/>
      <c r="V490" s="595"/>
      <c r="W490" s="595"/>
      <c r="X490" s="595"/>
      <c r="Y490" s="595"/>
      <c r="Z490" s="595"/>
    </row>
    <row r="491" spans="1:26" ht="19.5" customHeight="1">
      <c r="A491" s="595"/>
      <c r="B491" s="595"/>
      <c r="C491" s="596"/>
      <c r="D491" s="595"/>
      <c r="E491" s="595"/>
      <c r="F491" s="595"/>
      <c r="G491" s="595"/>
      <c r="H491" s="595"/>
      <c r="I491" s="595"/>
      <c r="J491" s="595"/>
      <c r="K491" s="595"/>
      <c r="L491" s="595"/>
      <c r="M491" s="595"/>
      <c r="N491" s="595"/>
      <c r="O491" s="595"/>
      <c r="P491" s="595"/>
      <c r="Q491" s="595"/>
      <c r="R491" s="595"/>
      <c r="S491" s="595"/>
      <c r="T491" s="595"/>
      <c r="U491" s="595"/>
      <c r="V491" s="595"/>
      <c r="W491" s="595"/>
      <c r="X491" s="595"/>
      <c r="Y491" s="595"/>
      <c r="Z491" s="595"/>
    </row>
    <row r="492" spans="1:26" ht="19.5" customHeight="1">
      <c r="A492" s="595"/>
      <c r="B492" s="595"/>
      <c r="C492" s="596"/>
      <c r="D492" s="595"/>
      <c r="E492" s="595"/>
      <c r="F492" s="595"/>
      <c r="G492" s="595"/>
      <c r="H492" s="595"/>
      <c r="I492" s="595"/>
      <c r="J492" s="595"/>
      <c r="K492" s="595"/>
      <c r="L492" s="595"/>
      <c r="M492" s="595"/>
      <c r="N492" s="595"/>
      <c r="O492" s="595"/>
      <c r="P492" s="595"/>
      <c r="Q492" s="595"/>
      <c r="R492" s="595"/>
      <c r="S492" s="595"/>
      <c r="T492" s="595"/>
      <c r="U492" s="595"/>
      <c r="V492" s="595"/>
      <c r="W492" s="595"/>
      <c r="X492" s="595"/>
      <c r="Y492" s="595"/>
      <c r="Z492" s="595"/>
    </row>
    <row r="493" spans="1:26" ht="19.5" customHeight="1">
      <c r="A493" s="595"/>
      <c r="B493" s="595"/>
      <c r="C493" s="596"/>
      <c r="D493" s="595"/>
      <c r="E493" s="595"/>
      <c r="F493" s="595"/>
      <c r="G493" s="595"/>
      <c r="H493" s="595"/>
      <c r="I493" s="595"/>
      <c r="J493" s="595"/>
      <c r="K493" s="595"/>
      <c r="L493" s="595"/>
      <c r="M493" s="595"/>
      <c r="N493" s="595"/>
      <c r="O493" s="595"/>
      <c r="P493" s="595"/>
      <c r="Q493" s="595"/>
      <c r="R493" s="595"/>
      <c r="S493" s="595"/>
      <c r="T493" s="595"/>
      <c r="U493" s="595"/>
      <c r="V493" s="595"/>
      <c r="W493" s="595"/>
      <c r="X493" s="595"/>
      <c r="Y493" s="595"/>
      <c r="Z493" s="595"/>
    </row>
    <row r="494" spans="1:26" ht="19.5" customHeight="1">
      <c r="A494" s="595"/>
      <c r="B494" s="595"/>
      <c r="C494" s="596"/>
      <c r="D494" s="595"/>
      <c r="E494" s="595"/>
      <c r="F494" s="595"/>
      <c r="G494" s="595"/>
      <c r="H494" s="595"/>
      <c r="I494" s="595"/>
      <c r="J494" s="595"/>
      <c r="K494" s="595"/>
      <c r="L494" s="595"/>
      <c r="M494" s="595"/>
      <c r="N494" s="595"/>
      <c r="O494" s="595"/>
      <c r="P494" s="595"/>
      <c r="Q494" s="595"/>
      <c r="R494" s="595"/>
      <c r="S494" s="595"/>
      <c r="T494" s="595"/>
      <c r="U494" s="595"/>
      <c r="V494" s="595"/>
      <c r="W494" s="595"/>
      <c r="X494" s="595"/>
      <c r="Y494" s="595"/>
      <c r="Z494" s="595"/>
    </row>
    <row r="495" spans="1:26" ht="19.5" customHeight="1">
      <c r="A495" s="595"/>
      <c r="B495" s="595"/>
      <c r="C495" s="596"/>
      <c r="D495" s="595"/>
      <c r="E495" s="595"/>
      <c r="F495" s="595"/>
      <c r="G495" s="595"/>
      <c r="H495" s="595"/>
      <c r="I495" s="595"/>
      <c r="J495" s="595"/>
      <c r="K495" s="595"/>
      <c r="L495" s="595"/>
      <c r="M495" s="595"/>
      <c r="N495" s="595"/>
      <c r="O495" s="595"/>
      <c r="P495" s="595"/>
      <c r="Q495" s="595"/>
      <c r="R495" s="595"/>
      <c r="S495" s="595"/>
      <c r="T495" s="595"/>
      <c r="U495" s="595"/>
      <c r="V495" s="595"/>
      <c r="W495" s="595"/>
      <c r="X495" s="595"/>
      <c r="Y495" s="595"/>
      <c r="Z495" s="595"/>
    </row>
    <row r="496" spans="1:26" ht="19.5" customHeight="1">
      <c r="A496" s="595"/>
      <c r="B496" s="595"/>
      <c r="C496" s="596"/>
      <c r="D496" s="595"/>
      <c r="E496" s="595"/>
      <c r="F496" s="595"/>
      <c r="G496" s="595"/>
      <c r="H496" s="595"/>
      <c r="I496" s="595"/>
      <c r="J496" s="595"/>
      <c r="K496" s="595"/>
      <c r="L496" s="595"/>
      <c r="M496" s="595"/>
      <c r="N496" s="595"/>
      <c r="O496" s="595"/>
      <c r="P496" s="595"/>
      <c r="Q496" s="595"/>
      <c r="R496" s="595"/>
      <c r="S496" s="595"/>
      <c r="T496" s="595"/>
      <c r="U496" s="595"/>
      <c r="V496" s="595"/>
      <c r="W496" s="595"/>
      <c r="X496" s="595"/>
      <c r="Y496" s="595"/>
      <c r="Z496" s="595"/>
    </row>
    <row r="497" spans="1:26" ht="19.5" customHeight="1">
      <c r="A497" s="595"/>
      <c r="B497" s="595"/>
      <c r="C497" s="596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  <c r="N497" s="595"/>
      <c r="O497" s="595"/>
      <c r="P497" s="595"/>
      <c r="Q497" s="595"/>
      <c r="R497" s="595"/>
      <c r="S497" s="595"/>
      <c r="T497" s="595"/>
      <c r="U497" s="595"/>
      <c r="V497" s="595"/>
      <c r="W497" s="595"/>
      <c r="X497" s="595"/>
      <c r="Y497" s="595"/>
      <c r="Z497" s="595"/>
    </row>
    <row r="498" spans="1:26" ht="19.5" customHeight="1">
      <c r="A498" s="595"/>
      <c r="B498" s="595"/>
      <c r="C498" s="596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  <c r="N498" s="595"/>
      <c r="O498" s="595"/>
      <c r="P498" s="595"/>
      <c r="Q498" s="595"/>
      <c r="R498" s="595"/>
      <c r="S498" s="595"/>
      <c r="T498" s="595"/>
      <c r="U498" s="595"/>
      <c r="V498" s="595"/>
      <c r="W498" s="595"/>
      <c r="X498" s="595"/>
      <c r="Y498" s="595"/>
      <c r="Z498" s="595"/>
    </row>
    <row r="499" spans="1:26" ht="19.5" customHeight="1">
      <c r="A499" s="595"/>
      <c r="B499" s="595"/>
      <c r="C499" s="596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  <c r="N499" s="595"/>
      <c r="O499" s="595"/>
      <c r="P499" s="595"/>
      <c r="Q499" s="595"/>
      <c r="R499" s="595"/>
      <c r="S499" s="595"/>
      <c r="T499" s="595"/>
      <c r="U499" s="595"/>
      <c r="V499" s="595"/>
      <c r="W499" s="595"/>
      <c r="X499" s="595"/>
      <c r="Y499" s="595"/>
      <c r="Z499" s="595"/>
    </row>
    <row r="500" spans="1:26" ht="19.5" customHeight="1">
      <c r="A500" s="595"/>
      <c r="B500" s="595"/>
      <c r="C500" s="596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</row>
    <row r="501" spans="1:26" ht="19.5" customHeight="1">
      <c r="A501" s="595"/>
      <c r="B501" s="595"/>
      <c r="C501" s="596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  <c r="N501" s="595"/>
      <c r="O501" s="595"/>
      <c r="P501" s="595"/>
      <c r="Q501" s="595"/>
      <c r="R501" s="595"/>
      <c r="S501" s="595"/>
      <c r="T501" s="595"/>
      <c r="U501" s="595"/>
      <c r="V501" s="595"/>
      <c r="W501" s="595"/>
      <c r="X501" s="595"/>
      <c r="Y501" s="595"/>
      <c r="Z501" s="595"/>
    </row>
    <row r="502" spans="1:26" ht="19.5" customHeight="1">
      <c r="A502" s="595"/>
      <c r="B502" s="595"/>
      <c r="C502" s="596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  <c r="N502" s="595"/>
      <c r="O502" s="595"/>
      <c r="P502" s="595"/>
      <c r="Q502" s="595"/>
      <c r="R502" s="595"/>
      <c r="S502" s="595"/>
      <c r="T502" s="595"/>
      <c r="U502" s="595"/>
      <c r="V502" s="595"/>
      <c r="W502" s="595"/>
      <c r="X502" s="595"/>
      <c r="Y502" s="595"/>
      <c r="Z502" s="595"/>
    </row>
    <row r="503" spans="1:26" ht="19.5" customHeight="1">
      <c r="A503" s="595"/>
      <c r="B503" s="595"/>
      <c r="C503" s="596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  <c r="N503" s="595"/>
      <c r="O503" s="595"/>
      <c r="P503" s="595"/>
      <c r="Q503" s="595"/>
      <c r="R503" s="595"/>
      <c r="S503" s="595"/>
      <c r="T503" s="595"/>
      <c r="U503" s="595"/>
      <c r="V503" s="595"/>
      <c r="W503" s="595"/>
      <c r="X503" s="595"/>
      <c r="Y503" s="595"/>
      <c r="Z503" s="595"/>
    </row>
    <row r="504" spans="1:26" ht="19.5" customHeight="1">
      <c r="A504" s="595"/>
      <c r="B504" s="595"/>
      <c r="C504" s="596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  <c r="P504" s="595"/>
      <c r="Q504" s="595"/>
      <c r="R504" s="595"/>
      <c r="S504" s="595"/>
      <c r="T504" s="595"/>
      <c r="U504" s="595"/>
      <c r="V504" s="595"/>
      <c r="W504" s="595"/>
      <c r="X504" s="595"/>
      <c r="Y504" s="595"/>
      <c r="Z504" s="595"/>
    </row>
    <row r="505" spans="1:26" ht="19.5" customHeight="1">
      <c r="A505" s="595"/>
      <c r="B505" s="595"/>
      <c r="C505" s="596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95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</row>
    <row r="506" spans="1:26" ht="19.5" customHeight="1">
      <c r="A506" s="595"/>
      <c r="B506" s="595"/>
      <c r="C506" s="596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  <c r="N506" s="595"/>
      <c r="O506" s="595"/>
      <c r="P506" s="595"/>
      <c r="Q506" s="595"/>
      <c r="R506" s="595"/>
      <c r="S506" s="595"/>
      <c r="T506" s="595"/>
      <c r="U506" s="595"/>
      <c r="V506" s="595"/>
      <c r="W506" s="595"/>
      <c r="X506" s="595"/>
      <c r="Y506" s="595"/>
      <c r="Z506" s="595"/>
    </row>
    <row r="507" spans="1:26" ht="19.5" customHeight="1">
      <c r="A507" s="595"/>
      <c r="B507" s="595"/>
      <c r="C507" s="596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  <c r="N507" s="595"/>
      <c r="O507" s="595"/>
      <c r="P507" s="595"/>
      <c r="Q507" s="595"/>
      <c r="R507" s="595"/>
      <c r="S507" s="595"/>
      <c r="T507" s="595"/>
      <c r="U507" s="595"/>
      <c r="V507" s="595"/>
      <c r="W507" s="595"/>
      <c r="X507" s="595"/>
      <c r="Y507" s="595"/>
      <c r="Z507" s="595"/>
    </row>
    <row r="508" spans="1:26" ht="19.5" customHeight="1">
      <c r="A508" s="595"/>
      <c r="B508" s="595"/>
      <c r="C508" s="596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  <c r="N508" s="595"/>
      <c r="O508" s="595"/>
      <c r="P508" s="595"/>
      <c r="Q508" s="595"/>
      <c r="R508" s="595"/>
      <c r="S508" s="595"/>
      <c r="T508" s="595"/>
      <c r="U508" s="595"/>
      <c r="V508" s="595"/>
      <c r="W508" s="595"/>
      <c r="X508" s="595"/>
      <c r="Y508" s="595"/>
      <c r="Z508" s="595"/>
    </row>
    <row r="509" spans="1:26" ht="19.5" customHeight="1">
      <c r="A509" s="595"/>
      <c r="B509" s="595"/>
      <c r="C509" s="596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  <c r="N509" s="595"/>
      <c r="O509" s="595"/>
      <c r="P509" s="595"/>
      <c r="Q509" s="595"/>
      <c r="R509" s="595"/>
      <c r="S509" s="595"/>
      <c r="T509" s="595"/>
      <c r="U509" s="595"/>
      <c r="V509" s="595"/>
      <c r="W509" s="595"/>
      <c r="X509" s="595"/>
      <c r="Y509" s="595"/>
      <c r="Z509" s="595"/>
    </row>
    <row r="510" spans="1:26" ht="19.5" customHeight="1">
      <c r="A510" s="595"/>
      <c r="B510" s="595"/>
      <c r="C510" s="596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  <c r="P510" s="595"/>
      <c r="Q510" s="595"/>
      <c r="R510" s="595"/>
      <c r="S510" s="595"/>
      <c r="T510" s="595"/>
      <c r="U510" s="595"/>
      <c r="V510" s="595"/>
      <c r="W510" s="595"/>
      <c r="X510" s="595"/>
      <c r="Y510" s="595"/>
      <c r="Z510" s="595"/>
    </row>
    <row r="511" spans="1:26" ht="19.5" customHeight="1">
      <c r="A511" s="595"/>
      <c r="B511" s="595"/>
      <c r="C511" s="596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  <c r="N511" s="595"/>
      <c r="O511" s="595"/>
      <c r="P511" s="595"/>
      <c r="Q511" s="595"/>
      <c r="R511" s="595"/>
      <c r="S511" s="595"/>
      <c r="T511" s="595"/>
      <c r="U511" s="595"/>
      <c r="V511" s="595"/>
      <c r="W511" s="595"/>
      <c r="X511" s="595"/>
      <c r="Y511" s="595"/>
      <c r="Z511" s="595"/>
    </row>
    <row r="512" spans="1:26" ht="19.5" customHeight="1">
      <c r="A512" s="595"/>
      <c r="B512" s="595"/>
      <c r="C512" s="596"/>
      <c r="D512" s="595"/>
      <c r="E512" s="595"/>
      <c r="F512" s="595"/>
      <c r="G512" s="595"/>
      <c r="H512" s="595"/>
      <c r="I512" s="595"/>
      <c r="J512" s="595"/>
      <c r="K512" s="595"/>
      <c r="L512" s="595"/>
      <c r="M512" s="595"/>
      <c r="N512" s="595"/>
      <c r="O512" s="595"/>
      <c r="P512" s="595"/>
      <c r="Q512" s="595"/>
      <c r="R512" s="595"/>
      <c r="S512" s="595"/>
      <c r="T512" s="595"/>
      <c r="U512" s="595"/>
      <c r="V512" s="595"/>
      <c r="W512" s="595"/>
      <c r="X512" s="595"/>
      <c r="Y512" s="595"/>
      <c r="Z512" s="595"/>
    </row>
    <row r="513" spans="1:26" ht="19.5" customHeight="1">
      <c r="A513" s="595"/>
      <c r="B513" s="595"/>
      <c r="C513" s="596"/>
      <c r="D513" s="595"/>
      <c r="E513" s="595"/>
      <c r="F513" s="595"/>
      <c r="G513" s="595"/>
      <c r="H513" s="595"/>
      <c r="I513" s="595"/>
      <c r="J513" s="595"/>
      <c r="K513" s="595"/>
      <c r="L513" s="595"/>
      <c r="M513" s="595"/>
      <c r="N513" s="595"/>
      <c r="O513" s="595"/>
      <c r="P513" s="595"/>
      <c r="Q513" s="595"/>
      <c r="R513" s="595"/>
      <c r="S513" s="595"/>
      <c r="T513" s="595"/>
      <c r="U513" s="595"/>
      <c r="V513" s="595"/>
      <c r="W513" s="595"/>
      <c r="X513" s="595"/>
      <c r="Y513" s="595"/>
      <c r="Z513" s="595"/>
    </row>
    <row r="514" spans="1:26" ht="19.5" customHeight="1">
      <c r="A514" s="595"/>
      <c r="B514" s="595"/>
      <c r="C514" s="596"/>
      <c r="D514" s="595"/>
      <c r="E514" s="595"/>
      <c r="F514" s="595"/>
      <c r="G514" s="595"/>
      <c r="H514" s="595"/>
      <c r="I514" s="595"/>
      <c r="J514" s="595"/>
      <c r="K514" s="595"/>
      <c r="L514" s="595"/>
      <c r="M514" s="595"/>
      <c r="N514" s="595"/>
      <c r="O514" s="595"/>
      <c r="P514" s="595"/>
      <c r="Q514" s="595"/>
      <c r="R514" s="595"/>
      <c r="S514" s="595"/>
      <c r="T514" s="595"/>
      <c r="U514" s="595"/>
      <c r="V514" s="595"/>
      <c r="W514" s="595"/>
      <c r="X514" s="595"/>
      <c r="Y514" s="595"/>
      <c r="Z514" s="595"/>
    </row>
    <row r="515" spans="1:26" ht="19.5" customHeight="1">
      <c r="A515" s="595"/>
      <c r="B515" s="595"/>
      <c r="C515" s="596"/>
      <c r="D515" s="595"/>
      <c r="E515" s="595"/>
      <c r="F515" s="595"/>
      <c r="G515" s="595"/>
      <c r="H515" s="595"/>
      <c r="I515" s="595"/>
      <c r="J515" s="595"/>
      <c r="K515" s="595"/>
      <c r="L515" s="595"/>
      <c r="M515" s="595"/>
      <c r="N515" s="595"/>
      <c r="O515" s="595"/>
      <c r="P515" s="595"/>
      <c r="Q515" s="595"/>
      <c r="R515" s="595"/>
      <c r="S515" s="595"/>
      <c r="T515" s="595"/>
      <c r="U515" s="595"/>
      <c r="V515" s="595"/>
      <c r="W515" s="595"/>
      <c r="X515" s="595"/>
      <c r="Y515" s="595"/>
      <c r="Z515" s="595"/>
    </row>
    <row r="516" spans="1:26" ht="19.5" customHeight="1">
      <c r="A516" s="595"/>
      <c r="B516" s="595"/>
      <c r="C516" s="596"/>
      <c r="D516" s="595"/>
      <c r="E516" s="595"/>
      <c r="F516" s="595"/>
      <c r="G516" s="595"/>
      <c r="H516" s="595"/>
      <c r="I516" s="595"/>
      <c r="J516" s="595"/>
      <c r="K516" s="595"/>
      <c r="L516" s="595"/>
      <c r="M516" s="595"/>
      <c r="N516" s="595"/>
      <c r="O516" s="595"/>
      <c r="P516" s="595"/>
      <c r="Q516" s="595"/>
      <c r="R516" s="595"/>
      <c r="S516" s="595"/>
      <c r="T516" s="595"/>
      <c r="U516" s="595"/>
      <c r="V516" s="595"/>
      <c r="W516" s="595"/>
      <c r="X516" s="595"/>
      <c r="Y516" s="595"/>
      <c r="Z516" s="595"/>
    </row>
    <row r="517" spans="1:26" ht="19.5" customHeight="1">
      <c r="A517" s="595"/>
      <c r="B517" s="595"/>
      <c r="C517" s="596"/>
      <c r="D517" s="595"/>
      <c r="E517" s="595"/>
      <c r="F517" s="595"/>
      <c r="G517" s="595"/>
      <c r="H517" s="595"/>
      <c r="I517" s="595"/>
      <c r="J517" s="595"/>
      <c r="K517" s="595"/>
      <c r="L517" s="595"/>
      <c r="M517" s="595"/>
      <c r="N517" s="595"/>
      <c r="O517" s="595"/>
      <c r="P517" s="595"/>
      <c r="Q517" s="595"/>
      <c r="R517" s="595"/>
      <c r="S517" s="595"/>
      <c r="T517" s="595"/>
      <c r="U517" s="595"/>
      <c r="V517" s="595"/>
      <c r="W517" s="595"/>
      <c r="X517" s="595"/>
      <c r="Y517" s="595"/>
      <c r="Z517" s="595"/>
    </row>
    <row r="518" spans="1:26" ht="19.5" customHeight="1">
      <c r="A518" s="595"/>
      <c r="B518" s="595"/>
      <c r="C518" s="596"/>
      <c r="D518" s="595"/>
      <c r="E518" s="595"/>
      <c r="F518" s="595"/>
      <c r="G518" s="595"/>
      <c r="H518" s="595"/>
      <c r="I518" s="595"/>
      <c r="J518" s="595"/>
      <c r="K518" s="595"/>
      <c r="L518" s="595"/>
      <c r="M518" s="595"/>
      <c r="N518" s="595"/>
      <c r="O518" s="595"/>
      <c r="P518" s="595"/>
      <c r="Q518" s="595"/>
      <c r="R518" s="595"/>
      <c r="S518" s="595"/>
      <c r="T518" s="595"/>
      <c r="U518" s="595"/>
      <c r="V518" s="595"/>
      <c r="W518" s="595"/>
      <c r="X518" s="595"/>
      <c r="Y518" s="595"/>
      <c r="Z518" s="595"/>
    </row>
    <row r="519" spans="1:26" ht="19.5" customHeight="1">
      <c r="A519" s="595"/>
      <c r="B519" s="595"/>
      <c r="C519" s="596"/>
      <c r="D519" s="595"/>
      <c r="E519" s="595"/>
      <c r="F519" s="595"/>
      <c r="G519" s="595"/>
      <c r="H519" s="595"/>
      <c r="I519" s="595"/>
      <c r="J519" s="595"/>
      <c r="K519" s="595"/>
      <c r="L519" s="595"/>
      <c r="M519" s="595"/>
      <c r="N519" s="595"/>
      <c r="O519" s="595"/>
      <c r="P519" s="595"/>
      <c r="Q519" s="595"/>
      <c r="R519" s="595"/>
      <c r="S519" s="595"/>
      <c r="T519" s="595"/>
      <c r="U519" s="595"/>
      <c r="V519" s="595"/>
      <c r="W519" s="595"/>
      <c r="X519" s="595"/>
      <c r="Y519" s="595"/>
      <c r="Z519" s="595"/>
    </row>
    <row r="520" spans="1:26" ht="19.5" customHeight="1">
      <c r="A520" s="595"/>
      <c r="B520" s="595"/>
      <c r="C520" s="596"/>
      <c r="D520" s="595"/>
      <c r="E520" s="595"/>
      <c r="F520" s="595"/>
      <c r="G520" s="595"/>
      <c r="H520" s="595"/>
      <c r="I520" s="595"/>
      <c r="J520" s="595"/>
      <c r="K520" s="595"/>
      <c r="L520" s="595"/>
      <c r="M520" s="595"/>
      <c r="N520" s="595"/>
      <c r="O520" s="595"/>
      <c r="P520" s="595"/>
      <c r="Q520" s="595"/>
      <c r="R520" s="595"/>
      <c r="S520" s="595"/>
      <c r="T520" s="595"/>
      <c r="U520" s="595"/>
      <c r="V520" s="595"/>
      <c r="W520" s="595"/>
      <c r="X520" s="595"/>
      <c r="Y520" s="595"/>
      <c r="Z520" s="595"/>
    </row>
    <row r="521" spans="1:26" ht="19.5" customHeight="1">
      <c r="A521" s="595"/>
      <c r="B521" s="595"/>
      <c r="C521" s="596"/>
      <c r="D521" s="595"/>
      <c r="E521" s="595"/>
      <c r="F521" s="595"/>
      <c r="G521" s="595"/>
      <c r="H521" s="595"/>
      <c r="I521" s="595"/>
      <c r="J521" s="595"/>
      <c r="K521" s="595"/>
      <c r="L521" s="595"/>
      <c r="M521" s="595"/>
      <c r="N521" s="595"/>
      <c r="O521" s="595"/>
      <c r="P521" s="595"/>
      <c r="Q521" s="595"/>
      <c r="R521" s="595"/>
      <c r="S521" s="595"/>
      <c r="T521" s="595"/>
      <c r="U521" s="595"/>
      <c r="V521" s="595"/>
      <c r="W521" s="595"/>
      <c r="X521" s="595"/>
      <c r="Y521" s="595"/>
      <c r="Z521" s="595"/>
    </row>
    <row r="522" spans="1:26" ht="19.5" customHeight="1">
      <c r="A522" s="595"/>
      <c r="B522" s="595"/>
      <c r="C522" s="596"/>
      <c r="D522" s="595"/>
      <c r="E522" s="595"/>
      <c r="F522" s="595"/>
      <c r="G522" s="595"/>
      <c r="H522" s="595"/>
      <c r="I522" s="595"/>
      <c r="J522" s="595"/>
      <c r="K522" s="595"/>
      <c r="L522" s="595"/>
      <c r="M522" s="595"/>
      <c r="N522" s="595"/>
      <c r="O522" s="595"/>
      <c r="P522" s="595"/>
      <c r="Q522" s="595"/>
      <c r="R522" s="595"/>
      <c r="S522" s="595"/>
      <c r="T522" s="595"/>
      <c r="U522" s="595"/>
      <c r="V522" s="595"/>
      <c r="W522" s="595"/>
      <c r="X522" s="595"/>
      <c r="Y522" s="595"/>
      <c r="Z522" s="595"/>
    </row>
    <row r="523" spans="1:26" ht="19.5" customHeight="1">
      <c r="A523" s="595"/>
      <c r="B523" s="595"/>
      <c r="C523" s="596"/>
      <c r="D523" s="595"/>
      <c r="E523" s="595"/>
      <c r="F523" s="595"/>
      <c r="G523" s="595"/>
      <c r="H523" s="595"/>
      <c r="I523" s="595"/>
      <c r="J523" s="595"/>
      <c r="K523" s="595"/>
      <c r="L523" s="595"/>
      <c r="M523" s="595"/>
      <c r="N523" s="595"/>
      <c r="O523" s="595"/>
      <c r="P523" s="595"/>
      <c r="Q523" s="595"/>
      <c r="R523" s="595"/>
      <c r="S523" s="595"/>
      <c r="T523" s="595"/>
      <c r="U523" s="595"/>
      <c r="V523" s="595"/>
      <c r="W523" s="595"/>
      <c r="X523" s="595"/>
      <c r="Y523" s="595"/>
      <c r="Z523" s="595"/>
    </row>
    <row r="524" spans="1:26" ht="19.5" customHeight="1">
      <c r="A524" s="595"/>
      <c r="B524" s="595"/>
      <c r="C524" s="596"/>
      <c r="D524" s="595"/>
      <c r="E524" s="595"/>
      <c r="F524" s="595"/>
      <c r="G524" s="595"/>
      <c r="H524" s="595"/>
      <c r="I524" s="595"/>
      <c r="J524" s="595"/>
      <c r="K524" s="595"/>
      <c r="L524" s="595"/>
      <c r="M524" s="595"/>
      <c r="N524" s="595"/>
      <c r="O524" s="595"/>
      <c r="P524" s="595"/>
      <c r="Q524" s="595"/>
      <c r="R524" s="595"/>
      <c r="S524" s="595"/>
      <c r="T524" s="595"/>
      <c r="U524" s="595"/>
      <c r="V524" s="595"/>
      <c r="W524" s="595"/>
      <c r="X524" s="595"/>
      <c r="Y524" s="595"/>
      <c r="Z524" s="595"/>
    </row>
    <row r="525" spans="1:26" ht="19.5" customHeight="1">
      <c r="A525" s="595"/>
      <c r="B525" s="595"/>
      <c r="C525" s="596"/>
      <c r="D525" s="595"/>
      <c r="E525" s="595"/>
      <c r="F525" s="595"/>
      <c r="G525" s="595"/>
      <c r="H525" s="595"/>
      <c r="I525" s="595"/>
      <c r="J525" s="595"/>
      <c r="K525" s="595"/>
      <c r="L525" s="595"/>
      <c r="M525" s="595"/>
      <c r="N525" s="595"/>
      <c r="O525" s="595"/>
      <c r="P525" s="595"/>
      <c r="Q525" s="595"/>
      <c r="R525" s="595"/>
      <c r="S525" s="595"/>
      <c r="T525" s="595"/>
      <c r="U525" s="595"/>
      <c r="V525" s="595"/>
      <c r="W525" s="595"/>
      <c r="X525" s="595"/>
      <c r="Y525" s="595"/>
      <c r="Z525" s="595"/>
    </row>
    <row r="526" spans="1:26" ht="19.5" customHeight="1">
      <c r="A526" s="595"/>
      <c r="B526" s="595"/>
      <c r="C526" s="596"/>
      <c r="D526" s="595"/>
      <c r="E526" s="595"/>
      <c r="F526" s="595"/>
      <c r="G526" s="595"/>
      <c r="H526" s="595"/>
      <c r="I526" s="595"/>
      <c r="J526" s="595"/>
      <c r="K526" s="595"/>
      <c r="L526" s="595"/>
      <c r="M526" s="595"/>
      <c r="N526" s="595"/>
      <c r="O526" s="595"/>
      <c r="P526" s="595"/>
      <c r="Q526" s="595"/>
      <c r="R526" s="595"/>
      <c r="S526" s="595"/>
      <c r="T526" s="595"/>
      <c r="U526" s="595"/>
      <c r="V526" s="595"/>
      <c r="W526" s="595"/>
      <c r="X526" s="595"/>
      <c r="Y526" s="595"/>
      <c r="Z526" s="595"/>
    </row>
    <row r="527" spans="1:26" ht="19.5" customHeight="1">
      <c r="A527" s="595"/>
      <c r="B527" s="595"/>
      <c r="C527" s="596"/>
      <c r="D527" s="595"/>
      <c r="E527" s="595"/>
      <c r="F527" s="595"/>
      <c r="G527" s="595"/>
      <c r="H527" s="595"/>
      <c r="I527" s="595"/>
      <c r="J527" s="595"/>
      <c r="K527" s="595"/>
      <c r="L527" s="595"/>
      <c r="M527" s="595"/>
      <c r="N527" s="595"/>
      <c r="O527" s="595"/>
      <c r="P527" s="595"/>
      <c r="Q527" s="595"/>
      <c r="R527" s="595"/>
      <c r="S527" s="595"/>
      <c r="T527" s="595"/>
      <c r="U527" s="595"/>
      <c r="V527" s="595"/>
      <c r="W527" s="595"/>
      <c r="X527" s="595"/>
      <c r="Y527" s="595"/>
      <c r="Z527" s="595"/>
    </row>
    <row r="528" spans="1:26" ht="19.5" customHeight="1">
      <c r="A528" s="595"/>
      <c r="B528" s="595"/>
      <c r="C528" s="596"/>
      <c r="D528" s="595"/>
      <c r="E528" s="595"/>
      <c r="F528" s="595"/>
      <c r="G528" s="595"/>
      <c r="H528" s="595"/>
      <c r="I528" s="595"/>
      <c r="J528" s="595"/>
      <c r="K528" s="595"/>
      <c r="L528" s="595"/>
      <c r="M528" s="595"/>
      <c r="N528" s="595"/>
      <c r="O528" s="595"/>
      <c r="P528" s="595"/>
      <c r="Q528" s="595"/>
      <c r="R528" s="595"/>
      <c r="S528" s="595"/>
      <c r="T528" s="595"/>
      <c r="U528" s="595"/>
      <c r="V528" s="595"/>
      <c r="W528" s="595"/>
      <c r="X528" s="595"/>
      <c r="Y528" s="595"/>
      <c r="Z528" s="595"/>
    </row>
    <row r="529" spans="1:26" ht="19.5" customHeight="1">
      <c r="A529" s="595"/>
      <c r="B529" s="595"/>
      <c r="C529" s="596"/>
      <c r="D529" s="595"/>
      <c r="E529" s="595"/>
      <c r="F529" s="595"/>
      <c r="G529" s="595"/>
      <c r="H529" s="595"/>
      <c r="I529" s="595"/>
      <c r="J529" s="595"/>
      <c r="K529" s="595"/>
      <c r="L529" s="595"/>
      <c r="M529" s="595"/>
      <c r="N529" s="595"/>
      <c r="O529" s="595"/>
      <c r="P529" s="595"/>
      <c r="Q529" s="595"/>
      <c r="R529" s="595"/>
      <c r="S529" s="595"/>
      <c r="T529" s="595"/>
      <c r="U529" s="595"/>
      <c r="V529" s="595"/>
      <c r="W529" s="595"/>
      <c r="X529" s="595"/>
      <c r="Y529" s="595"/>
      <c r="Z529" s="595"/>
    </row>
    <row r="530" spans="1:26" ht="19.5" customHeight="1">
      <c r="A530" s="595"/>
      <c r="B530" s="595"/>
      <c r="C530" s="596"/>
      <c r="D530" s="595"/>
      <c r="E530" s="595"/>
      <c r="F530" s="595"/>
      <c r="G530" s="595"/>
      <c r="H530" s="595"/>
      <c r="I530" s="595"/>
      <c r="J530" s="595"/>
      <c r="K530" s="595"/>
      <c r="L530" s="595"/>
      <c r="M530" s="595"/>
      <c r="N530" s="595"/>
      <c r="O530" s="595"/>
      <c r="P530" s="595"/>
      <c r="Q530" s="595"/>
      <c r="R530" s="595"/>
      <c r="S530" s="595"/>
      <c r="T530" s="595"/>
      <c r="U530" s="595"/>
      <c r="V530" s="595"/>
      <c r="W530" s="595"/>
      <c r="X530" s="595"/>
      <c r="Y530" s="595"/>
      <c r="Z530" s="595"/>
    </row>
    <row r="531" spans="1:26" ht="19.5" customHeight="1">
      <c r="A531" s="595"/>
      <c r="B531" s="595"/>
      <c r="C531" s="596"/>
      <c r="D531" s="595"/>
      <c r="E531" s="595"/>
      <c r="F531" s="595"/>
      <c r="G531" s="595"/>
      <c r="H531" s="595"/>
      <c r="I531" s="595"/>
      <c r="J531" s="595"/>
      <c r="K531" s="595"/>
      <c r="L531" s="595"/>
      <c r="M531" s="595"/>
      <c r="N531" s="595"/>
      <c r="O531" s="595"/>
      <c r="P531" s="595"/>
      <c r="Q531" s="595"/>
      <c r="R531" s="595"/>
      <c r="S531" s="595"/>
      <c r="T531" s="595"/>
      <c r="U531" s="595"/>
      <c r="V531" s="595"/>
      <c r="W531" s="595"/>
      <c r="X531" s="595"/>
      <c r="Y531" s="595"/>
      <c r="Z531" s="595"/>
    </row>
    <row r="532" spans="1:26" ht="19.5" customHeight="1">
      <c r="A532" s="595"/>
      <c r="B532" s="595"/>
      <c r="C532" s="596"/>
      <c r="D532" s="595"/>
      <c r="E532" s="595"/>
      <c r="F532" s="595"/>
      <c r="G532" s="595"/>
      <c r="H532" s="595"/>
      <c r="I532" s="595"/>
      <c r="J532" s="595"/>
      <c r="K532" s="595"/>
      <c r="L532" s="595"/>
      <c r="M532" s="595"/>
      <c r="N532" s="595"/>
      <c r="O532" s="595"/>
      <c r="P532" s="595"/>
      <c r="Q532" s="595"/>
      <c r="R532" s="595"/>
      <c r="S532" s="595"/>
      <c r="T532" s="595"/>
      <c r="U532" s="595"/>
      <c r="V532" s="595"/>
      <c r="W532" s="595"/>
      <c r="X532" s="595"/>
      <c r="Y532" s="595"/>
      <c r="Z532" s="595"/>
    </row>
    <row r="533" spans="1:26" ht="19.5" customHeight="1">
      <c r="A533" s="595"/>
      <c r="B533" s="595"/>
      <c r="C533" s="596"/>
      <c r="D533" s="595"/>
      <c r="E533" s="595"/>
      <c r="F533" s="595"/>
      <c r="G533" s="595"/>
      <c r="H533" s="595"/>
      <c r="I533" s="595"/>
      <c r="J533" s="595"/>
      <c r="K533" s="595"/>
      <c r="L533" s="595"/>
      <c r="M533" s="595"/>
      <c r="N533" s="595"/>
      <c r="O533" s="595"/>
      <c r="P533" s="595"/>
      <c r="Q533" s="595"/>
      <c r="R533" s="595"/>
      <c r="S533" s="595"/>
      <c r="T533" s="595"/>
      <c r="U533" s="595"/>
      <c r="V533" s="595"/>
      <c r="W533" s="595"/>
      <c r="X533" s="595"/>
      <c r="Y533" s="595"/>
      <c r="Z533" s="595"/>
    </row>
    <row r="534" spans="1:26" ht="19.5" customHeight="1">
      <c r="A534" s="595"/>
      <c r="B534" s="595"/>
      <c r="C534" s="596"/>
      <c r="D534" s="595"/>
      <c r="E534" s="595"/>
      <c r="F534" s="595"/>
      <c r="G534" s="595"/>
      <c r="H534" s="595"/>
      <c r="I534" s="595"/>
      <c r="J534" s="595"/>
      <c r="K534" s="595"/>
      <c r="L534" s="595"/>
      <c r="M534" s="595"/>
      <c r="N534" s="595"/>
      <c r="O534" s="595"/>
      <c r="P534" s="595"/>
      <c r="Q534" s="595"/>
      <c r="R534" s="595"/>
      <c r="S534" s="595"/>
      <c r="T534" s="595"/>
      <c r="U534" s="595"/>
      <c r="V534" s="595"/>
      <c r="W534" s="595"/>
      <c r="X534" s="595"/>
      <c r="Y534" s="595"/>
      <c r="Z534" s="595"/>
    </row>
    <row r="535" spans="1:26" ht="19.5" customHeight="1">
      <c r="A535" s="595"/>
      <c r="B535" s="595"/>
      <c r="C535" s="596"/>
      <c r="D535" s="595"/>
      <c r="E535" s="595"/>
      <c r="F535" s="595"/>
      <c r="G535" s="595"/>
      <c r="H535" s="595"/>
      <c r="I535" s="595"/>
      <c r="J535" s="595"/>
      <c r="K535" s="595"/>
      <c r="L535" s="595"/>
      <c r="M535" s="595"/>
      <c r="N535" s="595"/>
      <c r="O535" s="595"/>
      <c r="P535" s="595"/>
      <c r="Q535" s="595"/>
      <c r="R535" s="595"/>
      <c r="S535" s="595"/>
      <c r="T535" s="595"/>
      <c r="U535" s="595"/>
      <c r="V535" s="595"/>
      <c r="W535" s="595"/>
      <c r="X535" s="595"/>
      <c r="Y535" s="595"/>
      <c r="Z535" s="595"/>
    </row>
    <row r="536" spans="1:26" ht="19.5" customHeight="1">
      <c r="A536" s="595"/>
      <c r="B536" s="595"/>
      <c r="C536" s="596"/>
      <c r="D536" s="595"/>
      <c r="E536" s="595"/>
      <c r="F536" s="595"/>
      <c r="G536" s="595"/>
      <c r="H536" s="595"/>
      <c r="I536" s="595"/>
      <c r="J536" s="595"/>
      <c r="K536" s="595"/>
      <c r="L536" s="595"/>
      <c r="M536" s="595"/>
      <c r="N536" s="595"/>
      <c r="O536" s="595"/>
      <c r="P536" s="595"/>
      <c r="Q536" s="595"/>
      <c r="R536" s="595"/>
      <c r="S536" s="595"/>
      <c r="T536" s="595"/>
      <c r="U536" s="595"/>
      <c r="V536" s="595"/>
      <c r="W536" s="595"/>
      <c r="X536" s="595"/>
      <c r="Y536" s="595"/>
      <c r="Z536" s="595"/>
    </row>
    <row r="537" spans="1:26" ht="19.5" customHeight="1">
      <c r="A537" s="595"/>
      <c r="B537" s="595"/>
      <c r="C537" s="596"/>
      <c r="D537" s="595"/>
      <c r="E537" s="595"/>
      <c r="F537" s="595"/>
      <c r="G537" s="595"/>
      <c r="H537" s="595"/>
      <c r="I537" s="595"/>
      <c r="J537" s="595"/>
      <c r="K537" s="595"/>
      <c r="L537" s="595"/>
      <c r="M537" s="595"/>
      <c r="N537" s="595"/>
      <c r="O537" s="595"/>
      <c r="P537" s="595"/>
      <c r="Q537" s="595"/>
      <c r="R537" s="595"/>
      <c r="S537" s="595"/>
      <c r="T537" s="595"/>
      <c r="U537" s="595"/>
      <c r="V537" s="595"/>
      <c r="W537" s="595"/>
      <c r="X537" s="595"/>
      <c r="Y537" s="595"/>
      <c r="Z537" s="595"/>
    </row>
    <row r="538" spans="1:26" ht="19.5" customHeight="1">
      <c r="A538" s="595"/>
      <c r="B538" s="595"/>
      <c r="C538" s="596"/>
      <c r="D538" s="595"/>
      <c r="E538" s="595"/>
      <c r="F538" s="595"/>
      <c r="G538" s="595"/>
      <c r="H538" s="595"/>
      <c r="I538" s="595"/>
      <c r="J538" s="595"/>
      <c r="K538" s="595"/>
      <c r="L538" s="595"/>
      <c r="M538" s="595"/>
      <c r="N538" s="595"/>
      <c r="O538" s="595"/>
      <c r="P538" s="595"/>
      <c r="Q538" s="595"/>
      <c r="R538" s="595"/>
      <c r="S538" s="595"/>
      <c r="T538" s="595"/>
      <c r="U538" s="595"/>
      <c r="V538" s="595"/>
      <c r="W538" s="595"/>
      <c r="X538" s="595"/>
      <c r="Y538" s="595"/>
      <c r="Z538" s="595"/>
    </row>
    <row r="539" spans="1:26" ht="19.5" customHeight="1">
      <c r="A539" s="595"/>
      <c r="B539" s="595"/>
      <c r="C539" s="596"/>
      <c r="D539" s="595"/>
      <c r="E539" s="595"/>
      <c r="F539" s="595"/>
      <c r="G539" s="595"/>
      <c r="H539" s="595"/>
      <c r="I539" s="595"/>
      <c r="J539" s="595"/>
      <c r="K539" s="595"/>
      <c r="L539" s="595"/>
      <c r="M539" s="595"/>
      <c r="N539" s="595"/>
      <c r="O539" s="595"/>
      <c r="P539" s="595"/>
      <c r="Q539" s="595"/>
      <c r="R539" s="595"/>
      <c r="S539" s="595"/>
      <c r="T539" s="595"/>
      <c r="U539" s="595"/>
      <c r="V539" s="595"/>
      <c r="W539" s="595"/>
      <c r="X539" s="595"/>
      <c r="Y539" s="595"/>
      <c r="Z539" s="595"/>
    </row>
    <row r="540" spans="1:26" ht="19.5" customHeight="1">
      <c r="A540" s="595"/>
      <c r="B540" s="595"/>
      <c r="C540" s="596"/>
      <c r="D540" s="595"/>
      <c r="E540" s="595"/>
      <c r="F540" s="595"/>
      <c r="G540" s="595"/>
      <c r="H540" s="595"/>
      <c r="I540" s="595"/>
      <c r="J540" s="595"/>
      <c r="K540" s="595"/>
      <c r="L540" s="595"/>
      <c r="M540" s="595"/>
      <c r="N540" s="595"/>
      <c r="O540" s="595"/>
      <c r="P540" s="595"/>
      <c r="Q540" s="595"/>
      <c r="R540" s="595"/>
      <c r="S540" s="595"/>
      <c r="T540" s="595"/>
      <c r="U540" s="595"/>
      <c r="V540" s="595"/>
      <c r="W540" s="595"/>
      <c r="X540" s="595"/>
      <c r="Y540" s="595"/>
      <c r="Z540" s="595"/>
    </row>
    <row r="541" spans="1:26" ht="19.5" customHeight="1">
      <c r="A541" s="595"/>
      <c r="B541" s="595"/>
      <c r="C541" s="596"/>
      <c r="D541" s="595"/>
      <c r="E541" s="595"/>
      <c r="F541" s="595"/>
      <c r="G541" s="595"/>
      <c r="H541" s="595"/>
      <c r="I541" s="595"/>
      <c r="J541" s="595"/>
      <c r="K541" s="595"/>
      <c r="L541" s="595"/>
      <c r="M541" s="595"/>
      <c r="N541" s="595"/>
      <c r="O541" s="595"/>
      <c r="P541" s="595"/>
      <c r="Q541" s="595"/>
      <c r="R541" s="595"/>
      <c r="S541" s="595"/>
      <c r="T541" s="595"/>
      <c r="U541" s="595"/>
      <c r="V541" s="595"/>
      <c r="W541" s="595"/>
      <c r="X541" s="595"/>
      <c r="Y541" s="595"/>
      <c r="Z541" s="595"/>
    </row>
    <row r="542" spans="1:26" ht="19.5" customHeight="1">
      <c r="A542" s="595"/>
      <c r="B542" s="595"/>
      <c r="C542" s="596"/>
      <c r="D542" s="595"/>
      <c r="E542" s="595"/>
      <c r="F542" s="595"/>
      <c r="G542" s="595"/>
      <c r="H542" s="595"/>
      <c r="I542" s="595"/>
      <c r="J542" s="595"/>
      <c r="K542" s="595"/>
      <c r="L542" s="595"/>
      <c r="M542" s="595"/>
      <c r="N542" s="595"/>
      <c r="O542" s="595"/>
      <c r="P542" s="595"/>
      <c r="Q542" s="595"/>
      <c r="R542" s="595"/>
      <c r="S542" s="595"/>
      <c r="T542" s="595"/>
      <c r="U542" s="595"/>
      <c r="V542" s="595"/>
      <c r="W542" s="595"/>
      <c r="X542" s="595"/>
      <c r="Y542" s="595"/>
      <c r="Z542" s="595"/>
    </row>
    <row r="543" spans="1:26" ht="19.5" customHeight="1">
      <c r="A543" s="595"/>
      <c r="B543" s="595"/>
      <c r="C543" s="596"/>
      <c r="D543" s="595"/>
      <c r="E543" s="595"/>
      <c r="F543" s="595"/>
      <c r="G543" s="595"/>
      <c r="H543" s="595"/>
      <c r="I543" s="595"/>
      <c r="J543" s="595"/>
      <c r="K543" s="595"/>
      <c r="L543" s="595"/>
      <c r="M543" s="595"/>
      <c r="N543" s="595"/>
      <c r="O543" s="595"/>
      <c r="P543" s="595"/>
      <c r="Q543" s="595"/>
      <c r="R543" s="595"/>
      <c r="S543" s="595"/>
      <c r="T543" s="595"/>
      <c r="U543" s="595"/>
      <c r="V543" s="595"/>
      <c r="W543" s="595"/>
      <c r="X543" s="595"/>
      <c r="Y543" s="595"/>
      <c r="Z543" s="595"/>
    </row>
    <row r="544" spans="1:26" ht="19.5" customHeight="1">
      <c r="A544" s="595"/>
      <c r="B544" s="595"/>
      <c r="C544" s="596"/>
      <c r="D544" s="595"/>
      <c r="E544" s="595"/>
      <c r="F544" s="595"/>
      <c r="G544" s="595"/>
      <c r="H544" s="595"/>
      <c r="I544" s="595"/>
      <c r="J544" s="595"/>
      <c r="K544" s="595"/>
      <c r="L544" s="595"/>
      <c r="M544" s="595"/>
      <c r="N544" s="595"/>
      <c r="O544" s="595"/>
      <c r="P544" s="595"/>
      <c r="Q544" s="595"/>
      <c r="R544" s="595"/>
      <c r="S544" s="595"/>
      <c r="T544" s="595"/>
      <c r="U544" s="595"/>
      <c r="V544" s="595"/>
      <c r="W544" s="595"/>
      <c r="X544" s="595"/>
      <c r="Y544" s="595"/>
      <c r="Z544" s="595"/>
    </row>
    <row r="545" spans="1:26" ht="19.5" customHeight="1">
      <c r="A545" s="595"/>
      <c r="B545" s="595"/>
      <c r="C545" s="596"/>
      <c r="D545" s="595"/>
      <c r="E545" s="595"/>
      <c r="F545" s="595"/>
      <c r="G545" s="595"/>
      <c r="H545" s="595"/>
      <c r="I545" s="595"/>
      <c r="J545" s="595"/>
      <c r="K545" s="595"/>
      <c r="L545" s="595"/>
      <c r="M545" s="595"/>
      <c r="N545" s="595"/>
      <c r="O545" s="595"/>
      <c r="P545" s="595"/>
      <c r="Q545" s="595"/>
      <c r="R545" s="595"/>
      <c r="S545" s="595"/>
      <c r="T545" s="595"/>
      <c r="U545" s="595"/>
      <c r="V545" s="595"/>
      <c r="W545" s="595"/>
      <c r="X545" s="595"/>
      <c r="Y545" s="595"/>
      <c r="Z545" s="595"/>
    </row>
    <row r="546" spans="1:26" ht="19.5" customHeight="1">
      <c r="A546" s="595"/>
      <c r="B546" s="595"/>
      <c r="C546" s="596"/>
      <c r="D546" s="595"/>
      <c r="E546" s="595"/>
      <c r="F546" s="595"/>
      <c r="G546" s="595"/>
      <c r="H546" s="595"/>
      <c r="I546" s="595"/>
      <c r="J546" s="595"/>
      <c r="K546" s="595"/>
      <c r="L546" s="595"/>
      <c r="M546" s="595"/>
      <c r="N546" s="595"/>
      <c r="O546" s="595"/>
      <c r="P546" s="595"/>
      <c r="Q546" s="595"/>
      <c r="R546" s="595"/>
      <c r="S546" s="595"/>
      <c r="T546" s="595"/>
      <c r="U546" s="595"/>
      <c r="V546" s="595"/>
      <c r="W546" s="595"/>
      <c r="X546" s="595"/>
      <c r="Y546" s="595"/>
      <c r="Z546" s="595"/>
    </row>
    <row r="547" spans="1:26" ht="19.5" customHeight="1">
      <c r="A547" s="595"/>
      <c r="B547" s="595"/>
      <c r="C547" s="596"/>
      <c r="D547" s="595"/>
      <c r="E547" s="595"/>
      <c r="F547" s="595"/>
      <c r="G547" s="595"/>
      <c r="H547" s="595"/>
      <c r="I547" s="595"/>
      <c r="J547" s="595"/>
      <c r="K547" s="595"/>
      <c r="L547" s="595"/>
      <c r="M547" s="595"/>
      <c r="N547" s="595"/>
      <c r="O547" s="595"/>
      <c r="P547" s="595"/>
      <c r="Q547" s="595"/>
      <c r="R547" s="595"/>
      <c r="S547" s="595"/>
      <c r="T547" s="595"/>
      <c r="U547" s="595"/>
      <c r="V547" s="595"/>
      <c r="W547" s="595"/>
      <c r="X547" s="595"/>
      <c r="Y547" s="595"/>
      <c r="Z547" s="595"/>
    </row>
    <row r="548" spans="1:26" ht="19.5" customHeight="1">
      <c r="A548" s="595"/>
      <c r="B548" s="595"/>
      <c r="C548" s="596"/>
      <c r="D548" s="595"/>
      <c r="E548" s="595"/>
      <c r="F548" s="595"/>
      <c r="G548" s="595"/>
      <c r="H548" s="595"/>
      <c r="I548" s="595"/>
      <c r="J548" s="595"/>
      <c r="K548" s="595"/>
      <c r="L548" s="595"/>
      <c r="M548" s="595"/>
      <c r="N548" s="595"/>
      <c r="O548" s="595"/>
      <c r="P548" s="595"/>
      <c r="Q548" s="595"/>
      <c r="R548" s="595"/>
      <c r="S548" s="595"/>
      <c r="T548" s="595"/>
      <c r="U548" s="595"/>
      <c r="V548" s="595"/>
      <c r="W548" s="595"/>
      <c r="X548" s="595"/>
      <c r="Y548" s="595"/>
      <c r="Z548" s="595"/>
    </row>
    <row r="549" spans="1:26" ht="19.5" customHeight="1">
      <c r="A549" s="595"/>
      <c r="B549" s="595"/>
      <c r="C549" s="596"/>
      <c r="D549" s="595"/>
      <c r="E549" s="595"/>
      <c r="F549" s="595"/>
      <c r="G549" s="595"/>
      <c r="H549" s="595"/>
      <c r="I549" s="595"/>
      <c r="J549" s="595"/>
      <c r="K549" s="595"/>
      <c r="L549" s="595"/>
      <c r="M549" s="595"/>
      <c r="N549" s="595"/>
      <c r="O549" s="595"/>
      <c r="P549" s="595"/>
      <c r="Q549" s="595"/>
      <c r="R549" s="595"/>
      <c r="S549" s="595"/>
      <c r="T549" s="595"/>
      <c r="U549" s="595"/>
      <c r="V549" s="595"/>
      <c r="W549" s="595"/>
      <c r="X549" s="595"/>
      <c r="Y549" s="595"/>
      <c r="Z549" s="595"/>
    </row>
    <row r="550" spans="1:26" ht="19.5" customHeight="1">
      <c r="A550" s="595"/>
      <c r="B550" s="595"/>
      <c r="C550" s="596"/>
      <c r="D550" s="595"/>
      <c r="E550" s="595"/>
      <c r="F550" s="595"/>
      <c r="G550" s="595"/>
      <c r="H550" s="595"/>
      <c r="I550" s="595"/>
      <c r="J550" s="595"/>
      <c r="K550" s="595"/>
      <c r="L550" s="595"/>
      <c r="M550" s="595"/>
      <c r="N550" s="595"/>
      <c r="O550" s="595"/>
      <c r="P550" s="595"/>
      <c r="Q550" s="595"/>
      <c r="R550" s="595"/>
      <c r="S550" s="595"/>
      <c r="T550" s="595"/>
      <c r="U550" s="595"/>
      <c r="V550" s="595"/>
      <c r="W550" s="595"/>
      <c r="X550" s="595"/>
      <c r="Y550" s="595"/>
      <c r="Z550" s="595"/>
    </row>
    <row r="551" spans="1:26" ht="19.5" customHeight="1">
      <c r="A551" s="595"/>
      <c r="B551" s="595"/>
      <c r="C551" s="596"/>
      <c r="D551" s="595"/>
      <c r="E551" s="595"/>
      <c r="F551" s="595"/>
      <c r="G551" s="595"/>
      <c r="H551" s="595"/>
      <c r="I551" s="595"/>
      <c r="J551" s="595"/>
      <c r="K551" s="595"/>
      <c r="L551" s="595"/>
      <c r="M551" s="595"/>
      <c r="N551" s="595"/>
      <c r="O551" s="595"/>
      <c r="P551" s="595"/>
      <c r="Q551" s="595"/>
      <c r="R551" s="595"/>
      <c r="S551" s="595"/>
      <c r="T551" s="595"/>
      <c r="U551" s="595"/>
      <c r="V551" s="595"/>
      <c r="W551" s="595"/>
      <c r="X551" s="595"/>
      <c r="Y551" s="595"/>
      <c r="Z551" s="595"/>
    </row>
    <row r="552" spans="1:26" ht="19.5" customHeight="1">
      <c r="A552" s="595"/>
      <c r="B552" s="595"/>
      <c r="C552" s="596"/>
      <c r="D552" s="595"/>
      <c r="E552" s="595"/>
      <c r="F552" s="595"/>
      <c r="G552" s="595"/>
      <c r="H552" s="595"/>
      <c r="I552" s="595"/>
      <c r="J552" s="595"/>
      <c r="K552" s="595"/>
      <c r="L552" s="595"/>
      <c r="M552" s="595"/>
      <c r="N552" s="595"/>
      <c r="O552" s="595"/>
      <c r="P552" s="595"/>
      <c r="Q552" s="595"/>
      <c r="R552" s="595"/>
      <c r="S552" s="595"/>
      <c r="T552" s="595"/>
      <c r="U552" s="595"/>
      <c r="V552" s="595"/>
      <c r="W552" s="595"/>
      <c r="X552" s="595"/>
      <c r="Y552" s="595"/>
      <c r="Z552" s="595"/>
    </row>
    <row r="553" spans="1:26" ht="19.5" customHeight="1">
      <c r="A553" s="595"/>
      <c r="B553" s="595"/>
      <c r="C553" s="596"/>
      <c r="D553" s="595"/>
      <c r="E553" s="595"/>
      <c r="F553" s="595"/>
      <c r="G553" s="595"/>
      <c r="H553" s="595"/>
      <c r="I553" s="595"/>
      <c r="J553" s="595"/>
      <c r="K553" s="595"/>
      <c r="L553" s="595"/>
      <c r="M553" s="595"/>
      <c r="N553" s="595"/>
      <c r="O553" s="595"/>
      <c r="P553" s="595"/>
      <c r="Q553" s="595"/>
      <c r="R553" s="595"/>
      <c r="S553" s="595"/>
      <c r="T553" s="595"/>
      <c r="U553" s="595"/>
      <c r="V553" s="595"/>
      <c r="W553" s="595"/>
      <c r="X553" s="595"/>
      <c r="Y553" s="595"/>
      <c r="Z553" s="595"/>
    </row>
    <row r="554" spans="1:26" ht="19.5" customHeight="1">
      <c r="A554" s="595"/>
      <c r="B554" s="595"/>
      <c r="C554" s="596"/>
      <c r="D554" s="595"/>
      <c r="E554" s="595"/>
      <c r="F554" s="595"/>
      <c r="G554" s="595"/>
      <c r="H554" s="595"/>
      <c r="I554" s="595"/>
      <c r="J554" s="595"/>
      <c r="K554" s="595"/>
      <c r="L554" s="595"/>
      <c r="M554" s="595"/>
      <c r="N554" s="595"/>
      <c r="O554" s="595"/>
      <c r="P554" s="595"/>
      <c r="Q554" s="595"/>
      <c r="R554" s="595"/>
      <c r="S554" s="595"/>
      <c r="T554" s="595"/>
      <c r="U554" s="595"/>
      <c r="V554" s="595"/>
      <c r="W554" s="595"/>
      <c r="X554" s="595"/>
      <c r="Y554" s="595"/>
      <c r="Z554" s="595"/>
    </row>
    <row r="555" spans="1:26" ht="19.5" customHeight="1">
      <c r="A555" s="595"/>
      <c r="B555" s="595"/>
      <c r="C555" s="596"/>
      <c r="D555" s="595"/>
      <c r="E555" s="595"/>
      <c r="F555" s="595"/>
      <c r="G555" s="595"/>
      <c r="H555" s="595"/>
      <c r="I555" s="595"/>
      <c r="J555" s="595"/>
      <c r="K555" s="595"/>
      <c r="L555" s="595"/>
      <c r="M555" s="595"/>
      <c r="N555" s="595"/>
      <c r="O555" s="595"/>
      <c r="P555" s="595"/>
      <c r="Q555" s="595"/>
      <c r="R555" s="595"/>
      <c r="S555" s="595"/>
      <c r="T555" s="595"/>
      <c r="U555" s="595"/>
      <c r="V555" s="595"/>
      <c r="W555" s="595"/>
      <c r="X555" s="595"/>
      <c r="Y555" s="595"/>
      <c r="Z555" s="595"/>
    </row>
    <row r="556" spans="1:26" ht="19.5" customHeight="1">
      <c r="A556" s="595"/>
      <c r="B556" s="595"/>
      <c r="C556" s="596"/>
      <c r="D556" s="595"/>
      <c r="E556" s="595"/>
      <c r="F556" s="595"/>
      <c r="G556" s="595"/>
      <c r="H556" s="595"/>
      <c r="I556" s="595"/>
      <c r="J556" s="595"/>
      <c r="K556" s="595"/>
      <c r="L556" s="595"/>
      <c r="M556" s="595"/>
      <c r="N556" s="595"/>
      <c r="O556" s="595"/>
      <c r="P556" s="595"/>
      <c r="Q556" s="595"/>
      <c r="R556" s="595"/>
      <c r="S556" s="595"/>
      <c r="T556" s="595"/>
      <c r="U556" s="595"/>
      <c r="V556" s="595"/>
      <c r="W556" s="595"/>
      <c r="X556" s="595"/>
      <c r="Y556" s="595"/>
      <c r="Z556" s="595"/>
    </row>
    <row r="557" spans="1:26" ht="19.5" customHeight="1">
      <c r="A557" s="595"/>
      <c r="B557" s="595"/>
      <c r="C557" s="596"/>
      <c r="D557" s="595"/>
      <c r="E557" s="595"/>
      <c r="F557" s="595"/>
      <c r="G557" s="595"/>
      <c r="H557" s="595"/>
      <c r="I557" s="595"/>
      <c r="J557" s="595"/>
      <c r="K557" s="595"/>
      <c r="L557" s="595"/>
      <c r="M557" s="595"/>
      <c r="N557" s="595"/>
      <c r="O557" s="595"/>
      <c r="P557" s="595"/>
      <c r="Q557" s="595"/>
      <c r="R557" s="595"/>
      <c r="S557" s="595"/>
      <c r="T557" s="595"/>
      <c r="U557" s="595"/>
      <c r="V557" s="595"/>
      <c r="W557" s="595"/>
      <c r="X557" s="595"/>
      <c r="Y557" s="595"/>
      <c r="Z557" s="595"/>
    </row>
    <row r="558" spans="1:26" ht="19.5" customHeight="1">
      <c r="A558" s="595"/>
      <c r="B558" s="595"/>
      <c r="C558" s="596"/>
      <c r="D558" s="595"/>
      <c r="E558" s="595"/>
      <c r="F558" s="595"/>
      <c r="G558" s="595"/>
      <c r="H558" s="595"/>
      <c r="I558" s="595"/>
      <c r="J558" s="595"/>
      <c r="K558" s="595"/>
      <c r="L558" s="595"/>
      <c r="M558" s="595"/>
      <c r="N558" s="595"/>
      <c r="O558" s="595"/>
      <c r="P558" s="595"/>
      <c r="Q558" s="595"/>
      <c r="R558" s="595"/>
      <c r="S558" s="595"/>
      <c r="T558" s="595"/>
      <c r="U558" s="595"/>
      <c r="V558" s="595"/>
      <c r="W558" s="595"/>
      <c r="X558" s="595"/>
      <c r="Y558" s="595"/>
      <c r="Z558" s="595"/>
    </row>
    <row r="559" spans="1:26" ht="19.5" customHeight="1">
      <c r="A559" s="595"/>
      <c r="B559" s="595"/>
      <c r="C559" s="596"/>
      <c r="D559" s="595"/>
      <c r="E559" s="595"/>
      <c r="F559" s="595"/>
      <c r="G559" s="595"/>
      <c r="H559" s="595"/>
      <c r="I559" s="595"/>
      <c r="J559" s="595"/>
      <c r="K559" s="595"/>
      <c r="L559" s="595"/>
      <c r="M559" s="595"/>
      <c r="N559" s="595"/>
      <c r="O559" s="595"/>
      <c r="P559" s="595"/>
      <c r="Q559" s="595"/>
      <c r="R559" s="595"/>
      <c r="S559" s="595"/>
      <c r="T559" s="595"/>
      <c r="U559" s="595"/>
      <c r="V559" s="595"/>
      <c r="W559" s="595"/>
      <c r="X559" s="595"/>
      <c r="Y559" s="595"/>
      <c r="Z559" s="595"/>
    </row>
    <row r="560" spans="1:26" ht="19.5" customHeight="1">
      <c r="A560" s="595"/>
      <c r="B560" s="595"/>
      <c r="C560" s="596"/>
      <c r="D560" s="595"/>
      <c r="E560" s="595"/>
      <c r="F560" s="595"/>
      <c r="G560" s="595"/>
      <c r="H560" s="595"/>
      <c r="I560" s="595"/>
      <c r="J560" s="595"/>
      <c r="K560" s="595"/>
      <c r="L560" s="595"/>
      <c r="M560" s="595"/>
      <c r="N560" s="595"/>
      <c r="O560" s="595"/>
      <c r="P560" s="595"/>
      <c r="Q560" s="595"/>
      <c r="R560" s="595"/>
      <c r="S560" s="595"/>
      <c r="T560" s="595"/>
      <c r="U560" s="595"/>
      <c r="V560" s="595"/>
      <c r="W560" s="595"/>
      <c r="X560" s="595"/>
      <c r="Y560" s="595"/>
      <c r="Z560" s="595"/>
    </row>
    <row r="561" spans="1:26" ht="19.5" customHeight="1">
      <c r="A561" s="595"/>
      <c r="B561" s="595"/>
      <c r="C561" s="596"/>
      <c r="D561" s="595"/>
      <c r="E561" s="595"/>
      <c r="F561" s="595"/>
      <c r="G561" s="595"/>
      <c r="H561" s="595"/>
      <c r="I561" s="595"/>
      <c r="J561" s="595"/>
      <c r="K561" s="595"/>
      <c r="L561" s="595"/>
      <c r="M561" s="595"/>
      <c r="N561" s="595"/>
      <c r="O561" s="595"/>
      <c r="P561" s="595"/>
      <c r="Q561" s="595"/>
      <c r="R561" s="595"/>
      <c r="S561" s="595"/>
      <c r="T561" s="595"/>
      <c r="U561" s="595"/>
      <c r="V561" s="595"/>
      <c r="W561" s="595"/>
      <c r="X561" s="595"/>
      <c r="Y561" s="595"/>
      <c r="Z561" s="595"/>
    </row>
    <row r="562" spans="1:26" ht="19.5" customHeight="1">
      <c r="A562" s="595"/>
      <c r="B562" s="595"/>
      <c r="C562" s="596"/>
      <c r="D562" s="595"/>
      <c r="E562" s="595"/>
      <c r="F562" s="595"/>
      <c r="G562" s="595"/>
      <c r="H562" s="595"/>
      <c r="I562" s="595"/>
      <c r="J562" s="595"/>
      <c r="K562" s="595"/>
      <c r="L562" s="595"/>
      <c r="M562" s="595"/>
      <c r="N562" s="595"/>
      <c r="O562" s="595"/>
      <c r="P562" s="595"/>
      <c r="Q562" s="595"/>
      <c r="R562" s="595"/>
      <c r="S562" s="595"/>
      <c r="T562" s="595"/>
      <c r="U562" s="595"/>
      <c r="V562" s="595"/>
      <c r="W562" s="595"/>
      <c r="X562" s="595"/>
      <c r="Y562" s="595"/>
      <c r="Z562" s="595"/>
    </row>
    <row r="563" spans="1:26" ht="19.5" customHeight="1">
      <c r="A563" s="595"/>
      <c r="B563" s="595"/>
      <c r="C563" s="596"/>
      <c r="D563" s="595"/>
      <c r="E563" s="595"/>
      <c r="F563" s="595"/>
      <c r="G563" s="595"/>
      <c r="H563" s="595"/>
      <c r="I563" s="595"/>
      <c r="J563" s="595"/>
      <c r="K563" s="595"/>
      <c r="L563" s="595"/>
      <c r="M563" s="595"/>
      <c r="N563" s="595"/>
      <c r="O563" s="595"/>
      <c r="P563" s="595"/>
      <c r="Q563" s="595"/>
      <c r="R563" s="595"/>
      <c r="S563" s="595"/>
      <c r="T563" s="595"/>
      <c r="U563" s="595"/>
      <c r="V563" s="595"/>
      <c r="W563" s="595"/>
      <c r="X563" s="595"/>
      <c r="Y563" s="595"/>
      <c r="Z563" s="595"/>
    </row>
    <row r="564" spans="1:26" ht="19.5" customHeight="1">
      <c r="A564" s="595"/>
      <c r="B564" s="595"/>
      <c r="C564" s="596"/>
      <c r="D564" s="595"/>
      <c r="E564" s="595"/>
      <c r="F564" s="595"/>
      <c r="G564" s="595"/>
      <c r="H564" s="595"/>
      <c r="I564" s="595"/>
      <c r="J564" s="595"/>
      <c r="K564" s="595"/>
      <c r="L564" s="595"/>
      <c r="M564" s="595"/>
      <c r="N564" s="595"/>
      <c r="O564" s="595"/>
      <c r="P564" s="595"/>
      <c r="Q564" s="595"/>
      <c r="R564" s="595"/>
      <c r="S564" s="595"/>
      <c r="T564" s="595"/>
      <c r="U564" s="595"/>
      <c r="V564" s="595"/>
      <c r="W564" s="595"/>
      <c r="X564" s="595"/>
      <c r="Y564" s="595"/>
      <c r="Z564" s="595"/>
    </row>
    <row r="565" spans="1:26" ht="19.5" customHeight="1">
      <c r="A565" s="595"/>
      <c r="B565" s="595"/>
      <c r="C565" s="596"/>
      <c r="D565" s="595"/>
      <c r="E565" s="595"/>
      <c r="F565" s="595"/>
      <c r="G565" s="595"/>
      <c r="H565" s="595"/>
      <c r="I565" s="595"/>
      <c r="J565" s="595"/>
      <c r="K565" s="595"/>
      <c r="L565" s="595"/>
      <c r="M565" s="595"/>
      <c r="N565" s="595"/>
      <c r="O565" s="595"/>
      <c r="P565" s="595"/>
      <c r="Q565" s="595"/>
      <c r="R565" s="595"/>
      <c r="S565" s="595"/>
      <c r="T565" s="595"/>
      <c r="U565" s="595"/>
      <c r="V565" s="595"/>
      <c r="W565" s="595"/>
      <c r="X565" s="595"/>
      <c r="Y565" s="595"/>
      <c r="Z565" s="595"/>
    </row>
    <row r="566" spans="1:26" ht="19.5" customHeight="1">
      <c r="A566" s="595"/>
      <c r="B566" s="595"/>
      <c r="C566" s="596"/>
      <c r="D566" s="595"/>
      <c r="E566" s="595"/>
      <c r="F566" s="595"/>
      <c r="G566" s="595"/>
      <c r="H566" s="595"/>
      <c r="I566" s="595"/>
      <c r="J566" s="595"/>
      <c r="K566" s="595"/>
      <c r="L566" s="595"/>
      <c r="M566" s="595"/>
      <c r="N566" s="595"/>
      <c r="O566" s="595"/>
      <c r="P566" s="595"/>
      <c r="Q566" s="595"/>
      <c r="R566" s="595"/>
      <c r="S566" s="595"/>
      <c r="T566" s="595"/>
      <c r="U566" s="595"/>
      <c r="V566" s="595"/>
      <c r="W566" s="595"/>
      <c r="X566" s="595"/>
      <c r="Y566" s="595"/>
      <c r="Z566" s="595"/>
    </row>
    <row r="567" spans="1:26" ht="19.5" customHeight="1">
      <c r="A567" s="595"/>
      <c r="B567" s="595"/>
      <c r="C567" s="596"/>
      <c r="D567" s="595"/>
      <c r="E567" s="595"/>
      <c r="F567" s="595"/>
      <c r="G567" s="595"/>
      <c r="H567" s="595"/>
      <c r="I567" s="595"/>
      <c r="J567" s="595"/>
      <c r="K567" s="595"/>
      <c r="L567" s="595"/>
      <c r="M567" s="595"/>
      <c r="N567" s="595"/>
      <c r="O567" s="595"/>
      <c r="P567" s="595"/>
      <c r="Q567" s="595"/>
      <c r="R567" s="595"/>
      <c r="S567" s="595"/>
      <c r="T567" s="595"/>
      <c r="U567" s="595"/>
      <c r="V567" s="595"/>
      <c r="W567" s="595"/>
      <c r="X567" s="595"/>
      <c r="Y567" s="595"/>
      <c r="Z567" s="595"/>
    </row>
    <row r="568" spans="1:26" ht="19.5" customHeight="1">
      <c r="A568" s="595"/>
      <c r="B568" s="595"/>
      <c r="C568" s="596"/>
      <c r="D568" s="595"/>
      <c r="E568" s="595"/>
      <c r="F568" s="595"/>
      <c r="G568" s="595"/>
      <c r="H568" s="595"/>
      <c r="I568" s="595"/>
      <c r="J568" s="595"/>
      <c r="K568" s="595"/>
      <c r="L568" s="595"/>
      <c r="M568" s="595"/>
      <c r="N568" s="595"/>
      <c r="O568" s="595"/>
      <c r="P568" s="595"/>
      <c r="Q568" s="595"/>
      <c r="R568" s="595"/>
      <c r="S568" s="595"/>
      <c r="T568" s="595"/>
      <c r="U568" s="595"/>
      <c r="V568" s="595"/>
      <c r="W568" s="595"/>
      <c r="X568" s="595"/>
      <c r="Y568" s="595"/>
      <c r="Z568" s="595"/>
    </row>
    <row r="569" spans="1:26" ht="19.5" customHeight="1">
      <c r="A569" s="595"/>
      <c r="B569" s="595"/>
      <c r="C569" s="596"/>
      <c r="D569" s="595"/>
      <c r="E569" s="595"/>
      <c r="F569" s="595"/>
      <c r="G569" s="595"/>
      <c r="H569" s="595"/>
      <c r="I569" s="595"/>
      <c r="J569" s="595"/>
      <c r="K569" s="595"/>
      <c r="L569" s="595"/>
      <c r="M569" s="595"/>
      <c r="N569" s="595"/>
      <c r="O569" s="595"/>
      <c r="P569" s="595"/>
      <c r="Q569" s="595"/>
      <c r="R569" s="595"/>
      <c r="S569" s="595"/>
      <c r="T569" s="595"/>
      <c r="U569" s="595"/>
      <c r="V569" s="595"/>
      <c r="W569" s="595"/>
      <c r="X569" s="595"/>
      <c r="Y569" s="595"/>
      <c r="Z569" s="595"/>
    </row>
    <row r="570" spans="1:26" ht="19.5" customHeight="1">
      <c r="A570" s="595"/>
      <c r="B570" s="595"/>
      <c r="C570" s="596"/>
      <c r="D570" s="595"/>
      <c r="E570" s="595"/>
      <c r="F570" s="595"/>
      <c r="G570" s="595"/>
      <c r="H570" s="595"/>
      <c r="I570" s="595"/>
      <c r="J570" s="595"/>
      <c r="K570" s="595"/>
      <c r="L570" s="595"/>
      <c r="M570" s="595"/>
      <c r="N570" s="595"/>
      <c r="O570" s="595"/>
      <c r="P570" s="595"/>
      <c r="Q570" s="595"/>
      <c r="R570" s="595"/>
      <c r="S570" s="595"/>
      <c r="T570" s="595"/>
      <c r="U570" s="595"/>
      <c r="V570" s="595"/>
      <c r="W570" s="595"/>
      <c r="X570" s="595"/>
      <c r="Y570" s="595"/>
      <c r="Z570" s="595"/>
    </row>
    <row r="571" spans="1:26" ht="19.5" customHeight="1">
      <c r="A571" s="595"/>
      <c r="B571" s="595"/>
      <c r="C571" s="596"/>
      <c r="D571" s="595"/>
      <c r="E571" s="595"/>
      <c r="F571" s="595"/>
      <c r="G571" s="595"/>
      <c r="H571" s="595"/>
      <c r="I571" s="595"/>
      <c r="J571" s="595"/>
      <c r="K571" s="595"/>
      <c r="L571" s="595"/>
      <c r="M571" s="595"/>
      <c r="N571" s="595"/>
      <c r="O571" s="595"/>
      <c r="P571" s="595"/>
      <c r="Q571" s="595"/>
      <c r="R571" s="595"/>
      <c r="S571" s="595"/>
      <c r="T571" s="595"/>
      <c r="U571" s="595"/>
      <c r="V571" s="595"/>
      <c r="W571" s="595"/>
      <c r="X571" s="595"/>
      <c r="Y571" s="595"/>
      <c r="Z571" s="595"/>
    </row>
    <row r="572" spans="1:26" ht="19.5" customHeight="1">
      <c r="A572" s="595"/>
      <c r="B572" s="595"/>
      <c r="C572" s="596"/>
      <c r="D572" s="595"/>
      <c r="E572" s="595"/>
      <c r="F572" s="595"/>
      <c r="G572" s="595"/>
      <c r="H572" s="595"/>
      <c r="I572" s="595"/>
      <c r="J572" s="595"/>
      <c r="K572" s="595"/>
      <c r="L572" s="595"/>
      <c r="M572" s="595"/>
      <c r="N572" s="595"/>
      <c r="O572" s="595"/>
      <c r="P572" s="595"/>
      <c r="Q572" s="595"/>
      <c r="R572" s="595"/>
      <c r="S572" s="595"/>
      <c r="T572" s="595"/>
      <c r="U572" s="595"/>
      <c r="V572" s="595"/>
      <c r="W572" s="595"/>
      <c r="X572" s="595"/>
      <c r="Y572" s="595"/>
      <c r="Z572" s="595"/>
    </row>
    <row r="573" spans="1:26" ht="19.5" customHeight="1">
      <c r="A573" s="595"/>
      <c r="B573" s="595"/>
      <c r="C573" s="596"/>
      <c r="D573" s="595"/>
      <c r="E573" s="595"/>
      <c r="F573" s="595"/>
      <c r="G573" s="595"/>
      <c r="H573" s="595"/>
      <c r="I573" s="595"/>
      <c r="J573" s="595"/>
      <c r="K573" s="595"/>
      <c r="L573" s="595"/>
      <c r="M573" s="595"/>
      <c r="N573" s="595"/>
      <c r="O573" s="595"/>
      <c r="P573" s="595"/>
      <c r="Q573" s="595"/>
      <c r="R573" s="595"/>
      <c r="S573" s="595"/>
      <c r="T573" s="595"/>
      <c r="U573" s="595"/>
      <c r="V573" s="595"/>
      <c r="W573" s="595"/>
      <c r="X573" s="595"/>
      <c r="Y573" s="595"/>
      <c r="Z573" s="595"/>
    </row>
    <row r="574" spans="1:26" ht="19.5" customHeight="1">
      <c r="A574" s="595"/>
      <c r="B574" s="595"/>
      <c r="C574" s="596"/>
      <c r="D574" s="595"/>
      <c r="E574" s="595"/>
      <c r="F574" s="595"/>
      <c r="G574" s="595"/>
      <c r="H574" s="595"/>
      <c r="I574" s="595"/>
      <c r="J574" s="595"/>
      <c r="K574" s="595"/>
      <c r="L574" s="595"/>
      <c r="M574" s="595"/>
      <c r="N574" s="595"/>
      <c r="O574" s="595"/>
      <c r="P574" s="595"/>
      <c r="Q574" s="595"/>
      <c r="R574" s="595"/>
      <c r="S574" s="595"/>
      <c r="T574" s="595"/>
      <c r="U574" s="595"/>
      <c r="V574" s="595"/>
      <c r="W574" s="595"/>
      <c r="X574" s="595"/>
      <c r="Y574" s="595"/>
      <c r="Z574" s="595"/>
    </row>
    <row r="575" spans="1:26" ht="19.5" customHeight="1">
      <c r="A575" s="595"/>
      <c r="B575" s="595"/>
      <c r="C575" s="596"/>
      <c r="D575" s="595"/>
      <c r="E575" s="595"/>
      <c r="F575" s="595"/>
      <c r="G575" s="595"/>
      <c r="H575" s="595"/>
      <c r="I575" s="595"/>
      <c r="J575" s="595"/>
      <c r="K575" s="595"/>
      <c r="L575" s="595"/>
      <c r="M575" s="595"/>
      <c r="N575" s="595"/>
      <c r="O575" s="595"/>
      <c r="P575" s="595"/>
      <c r="Q575" s="595"/>
      <c r="R575" s="595"/>
      <c r="S575" s="595"/>
      <c r="T575" s="595"/>
      <c r="U575" s="595"/>
      <c r="V575" s="595"/>
      <c r="W575" s="595"/>
      <c r="X575" s="595"/>
      <c r="Y575" s="595"/>
      <c r="Z575" s="595"/>
    </row>
    <row r="576" spans="1:26" ht="19.5" customHeight="1">
      <c r="A576" s="595"/>
      <c r="B576" s="595"/>
      <c r="C576" s="596"/>
      <c r="D576" s="595"/>
      <c r="E576" s="595"/>
      <c r="F576" s="595"/>
      <c r="G576" s="595"/>
      <c r="H576" s="595"/>
      <c r="I576" s="595"/>
      <c r="J576" s="595"/>
      <c r="K576" s="595"/>
      <c r="L576" s="595"/>
      <c r="M576" s="595"/>
      <c r="N576" s="595"/>
      <c r="O576" s="595"/>
      <c r="P576" s="595"/>
      <c r="Q576" s="595"/>
      <c r="R576" s="595"/>
      <c r="S576" s="595"/>
      <c r="T576" s="595"/>
      <c r="U576" s="595"/>
      <c r="V576" s="595"/>
      <c r="W576" s="595"/>
      <c r="X576" s="595"/>
      <c r="Y576" s="595"/>
      <c r="Z576" s="595"/>
    </row>
    <row r="577" spans="1:26" ht="19.5" customHeight="1">
      <c r="A577" s="595"/>
      <c r="B577" s="595"/>
      <c r="C577" s="596"/>
      <c r="D577" s="595"/>
      <c r="E577" s="595"/>
      <c r="F577" s="595"/>
      <c r="G577" s="595"/>
      <c r="H577" s="595"/>
      <c r="I577" s="595"/>
      <c r="J577" s="595"/>
      <c r="K577" s="595"/>
      <c r="L577" s="595"/>
      <c r="M577" s="595"/>
      <c r="N577" s="595"/>
      <c r="O577" s="595"/>
      <c r="P577" s="595"/>
      <c r="Q577" s="595"/>
      <c r="R577" s="595"/>
      <c r="S577" s="595"/>
      <c r="T577" s="595"/>
      <c r="U577" s="595"/>
      <c r="V577" s="595"/>
      <c r="W577" s="595"/>
      <c r="X577" s="595"/>
      <c r="Y577" s="595"/>
      <c r="Z577" s="595"/>
    </row>
    <row r="578" spans="1:26" ht="19.5" customHeight="1">
      <c r="A578" s="595"/>
      <c r="B578" s="595"/>
      <c r="C578" s="596"/>
      <c r="D578" s="595"/>
      <c r="E578" s="595"/>
      <c r="F578" s="595"/>
      <c r="G578" s="595"/>
      <c r="H578" s="595"/>
      <c r="I578" s="595"/>
      <c r="J578" s="595"/>
      <c r="K578" s="595"/>
      <c r="L578" s="595"/>
      <c r="M578" s="595"/>
      <c r="N578" s="595"/>
      <c r="O578" s="595"/>
      <c r="P578" s="595"/>
      <c r="Q578" s="595"/>
      <c r="R578" s="595"/>
      <c r="S578" s="595"/>
      <c r="T578" s="595"/>
      <c r="U578" s="595"/>
      <c r="V578" s="595"/>
      <c r="W578" s="595"/>
      <c r="X578" s="595"/>
      <c r="Y578" s="595"/>
      <c r="Z578" s="595"/>
    </row>
    <row r="579" spans="1:26" ht="19.5" customHeight="1">
      <c r="A579" s="595"/>
      <c r="B579" s="595"/>
      <c r="C579" s="596"/>
      <c r="D579" s="595"/>
      <c r="E579" s="595"/>
      <c r="F579" s="595"/>
      <c r="G579" s="595"/>
      <c r="H579" s="595"/>
      <c r="I579" s="595"/>
      <c r="J579" s="595"/>
      <c r="K579" s="595"/>
      <c r="L579" s="595"/>
      <c r="M579" s="595"/>
      <c r="N579" s="595"/>
      <c r="O579" s="595"/>
      <c r="P579" s="595"/>
      <c r="Q579" s="595"/>
      <c r="R579" s="595"/>
      <c r="S579" s="595"/>
      <c r="T579" s="595"/>
      <c r="U579" s="595"/>
      <c r="V579" s="595"/>
      <c r="W579" s="595"/>
      <c r="X579" s="595"/>
      <c r="Y579" s="595"/>
      <c r="Z579" s="595"/>
    </row>
    <row r="580" spans="1:26" ht="19.5" customHeight="1">
      <c r="A580" s="595"/>
      <c r="B580" s="595"/>
      <c r="C580" s="596"/>
      <c r="D580" s="595"/>
      <c r="E580" s="595"/>
      <c r="F580" s="595"/>
      <c r="G580" s="595"/>
      <c r="H580" s="595"/>
      <c r="I580" s="595"/>
      <c r="J580" s="595"/>
      <c r="K580" s="595"/>
      <c r="L580" s="595"/>
      <c r="M580" s="595"/>
      <c r="N580" s="595"/>
      <c r="O580" s="595"/>
      <c r="P580" s="595"/>
      <c r="Q580" s="595"/>
      <c r="R580" s="595"/>
      <c r="S580" s="595"/>
      <c r="T580" s="595"/>
      <c r="U580" s="595"/>
      <c r="V580" s="595"/>
      <c r="W580" s="595"/>
      <c r="X580" s="595"/>
      <c r="Y580" s="595"/>
      <c r="Z580" s="595"/>
    </row>
    <row r="581" spans="1:26" ht="19.5" customHeight="1">
      <c r="A581" s="595"/>
      <c r="B581" s="595"/>
      <c r="C581" s="596"/>
      <c r="D581" s="595"/>
      <c r="E581" s="595"/>
      <c r="F581" s="595"/>
      <c r="G581" s="595"/>
      <c r="H581" s="595"/>
      <c r="I581" s="595"/>
      <c r="J581" s="595"/>
      <c r="K581" s="595"/>
      <c r="L581" s="595"/>
      <c r="M581" s="595"/>
      <c r="N581" s="595"/>
      <c r="O581" s="595"/>
      <c r="P581" s="595"/>
      <c r="Q581" s="595"/>
      <c r="R581" s="595"/>
      <c r="S581" s="595"/>
      <c r="T581" s="595"/>
      <c r="U581" s="595"/>
      <c r="V581" s="595"/>
      <c r="W581" s="595"/>
      <c r="X581" s="595"/>
      <c r="Y581" s="595"/>
      <c r="Z581" s="595"/>
    </row>
    <row r="582" spans="1:26" ht="19.5" customHeight="1">
      <c r="A582" s="595"/>
      <c r="B582" s="595"/>
      <c r="C582" s="596"/>
      <c r="D582" s="595"/>
      <c r="E582" s="595"/>
      <c r="F582" s="595"/>
      <c r="G582" s="595"/>
      <c r="H582" s="595"/>
      <c r="I582" s="595"/>
      <c r="J582" s="595"/>
      <c r="K582" s="595"/>
      <c r="L582" s="595"/>
      <c r="M582" s="595"/>
      <c r="N582" s="595"/>
      <c r="O582" s="595"/>
      <c r="P582" s="595"/>
      <c r="Q582" s="595"/>
      <c r="R582" s="595"/>
      <c r="S582" s="595"/>
      <c r="T582" s="595"/>
      <c r="U582" s="595"/>
      <c r="V582" s="595"/>
      <c r="W582" s="595"/>
      <c r="X582" s="595"/>
      <c r="Y582" s="595"/>
      <c r="Z582" s="595"/>
    </row>
    <row r="583" spans="1:26" ht="19.5" customHeight="1">
      <c r="A583" s="595"/>
      <c r="B583" s="595"/>
      <c r="C583" s="596"/>
      <c r="D583" s="595"/>
      <c r="E583" s="595"/>
      <c r="F583" s="595"/>
      <c r="G583" s="595"/>
      <c r="H583" s="595"/>
      <c r="I583" s="595"/>
      <c r="J583" s="595"/>
      <c r="K583" s="595"/>
      <c r="L583" s="595"/>
      <c r="M583" s="595"/>
      <c r="N583" s="595"/>
      <c r="O583" s="595"/>
      <c r="P583" s="595"/>
      <c r="Q583" s="595"/>
      <c r="R583" s="595"/>
      <c r="S583" s="595"/>
      <c r="T583" s="595"/>
      <c r="U583" s="595"/>
      <c r="V583" s="595"/>
      <c r="W583" s="595"/>
      <c r="X583" s="595"/>
      <c r="Y583" s="595"/>
      <c r="Z583" s="595"/>
    </row>
    <row r="584" spans="1:26" ht="19.5" customHeight="1">
      <c r="A584" s="595"/>
      <c r="B584" s="595"/>
      <c r="C584" s="596"/>
      <c r="D584" s="595"/>
      <c r="E584" s="595"/>
      <c r="F584" s="595"/>
      <c r="G584" s="595"/>
      <c r="H584" s="595"/>
      <c r="I584" s="595"/>
      <c r="J584" s="595"/>
      <c r="K584" s="595"/>
      <c r="L584" s="595"/>
      <c r="M584" s="595"/>
      <c r="N584" s="595"/>
      <c r="O584" s="595"/>
      <c r="P584" s="595"/>
      <c r="Q584" s="595"/>
      <c r="R584" s="595"/>
      <c r="S584" s="595"/>
      <c r="T584" s="595"/>
      <c r="U584" s="595"/>
      <c r="V584" s="595"/>
      <c r="W584" s="595"/>
      <c r="X584" s="595"/>
      <c r="Y584" s="595"/>
      <c r="Z584" s="595"/>
    </row>
    <row r="585" spans="1:26" ht="19.5" customHeight="1">
      <c r="A585" s="595"/>
      <c r="B585" s="595"/>
      <c r="C585" s="596"/>
      <c r="D585" s="595"/>
      <c r="E585" s="595"/>
      <c r="F585" s="595"/>
      <c r="G585" s="595"/>
      <c r="H585" s="595"/>
      <c r="I585" s="595"/>
      <c r="J585" s="595"/>
      <c r="K585" s="595"/>
      <c r="L585" s="595"/>
      <c r="M585" s="595"/>
      <c r="N585" s="595"/>
      <c r="O585" s="595"/>
      <c r="P585" s="595"/>
      <c r="Q585" s="595"/>
      <c r="R585" s="595"/>
      <c r="S585" s="595"/>
      <c r="T585" s="595"/>
      <c r="U585" s="595"/>
      <c r="V585" s="595"/>
      <c r="W585" s="595"/>
      <c r="X585" s="595"/>
      <c r="Y585" s="595"/>
      <c r="Z585" s="595"/>
    </row>
    <row r="586" spans="1:26" ht="19.5" customHeight="1">
      <c r="A586" s="595"/>
      <c r="B586" s="595"/>
      <c r="C586" s="596"/>
      <c r="D586" s="595"/>
      <c r="E586" s="595"/>
      <c r="F586" s="595"/>
      <c r="G586" s="595"/>
      <c r="H586" s="595"/>
      <c r="I586" s="595"/>
      <c r="J586" s="595"/>
      <c r="K586" s="595"/>
      <c r="L586" s="595"/>
      <c r="M586" s="595"/>
      <c r="N586" s="595"/>
      <c r="O586" s="595"/>
      <c r="P586" s="595"/>
      <c r="Q586" s="595"/>
      <c r="R586" s="595"/>
      <c r="S586" s="595"/>
      <c r="T586" s="595"/>
      <c r="U586" s="595"/>
      <c r="V586" s="595"/>
      <c r="W586" s="595"/>
      <c r="X586" s="595"/>
      <c r="Y586" s="595"/>
      <c r="Z586" s="595"/>
    </row>
    <row r="587" spans="1:26" ht="19.5" customHeight="1">
      <c r="A587" s="595"/>
      <c r="B587" s="595"/>
      <c r="C587" s="596"/>
      <c r="D587" s="595"/>
      <c r="E587" s="595"/>
      <c r="F587" s="595"/>
      <c r="G587" s="595"/>
      <c r="H587" s="595"/>
      <c r="I587" s="595"/>
      <c r="J587" s="595"/>
      <c r="K587" s="595"/>
      <c r="L587" s="595"/>
      <c r="M587" s="595"/>
      <c r="N587" s="595"/>
      <c r="O587" s="595"/>
      <c r="P587" s="595"/>
      <c r="Q587" s="595"/>
      <c r="R587" s="595"/>
      <c r="S587" s="595"/>
      <c r="T587" s="595"/>
      <c r="U587" s="595"/>
      <c r="V587" s="595"/>
      <c r="W587" s="595"/>
      <c r="X587" s="595"/>
      <c r="Y587" s="595"/>
      <c r="Z587" s="595"/>
    </row>
    <row r="588" spans="1:26" ht="19.5" customHeight="1">
      <c r="A588" s="595"/>
      <c r="B588" s="595"/>
      <c r="C588" s="596"/>
      <c r="D588" s="595"/>
      <c r="E588" s="595"/>
      <c r="F588" s="595"/>
      <c r="G588" s="595"/>
      <c r="H588" s="595"/>
      <c r="I588" s="595"/>
      <c r="J588" s="595"/>
      <c r="K588" s="595"/>
      <c r="L588" s="595"/>
      <c r="M588" s="595"/>
      <c r="N588" s="595"/>
      <c r="O588" s="595"/>
      <c r="P588" s="595"/>
      <c r="Q588" s="595"/>
      <c r="R588" s="595"/>
      <c r="S588" s="595"/>
      <c r="T588" s="595"/>
      <c r="U588" s="595"/>
      <c r="V588" s="595"/>
      <c r="W588" s="595"/>
      <c r="X588" s="595"/>
      <c r="Y588" s="595"/>
      <c r="Z588" s="595"/>
    </row>
    <row r="589" spans="1:26" ht="19.5" customHeight="1">
      <c r="A589" s="595"/>
      <c r="B589" s="595"/>
      <c r="C589" s="596"/>
      <c r="D589" s="595"/>
      <c r="E589" s="595"/>
      <c r="F589" s="595"/>
      <c r="G589" s="595"/>
      <c r="H589" s="595"/>
      <c r="I589" s="595"/>
      <c r="J589" s="595"/>
      <c r="K589" s="595"/>
      <c r="L589" s="595"/>
      <c r="M589" s="595"/>
      <c r="N589" s="595"/>
      <c r="O589" s="595"/>
      <c r="P589" s="595"/>
      <c r="Q589" s="595"/>
      <c r="R589" s="595"/>
      <c r="S589" s="595"/>
      <c r="T589" s="595"/>
      <c r="U589" s="595"/>
      <c r="V589" s="595"/>
      <c r="W589" s="595"/>
      <c r="X589" s="595"/>
      <c r="Y589" s="595"/>
      <c r="Z589" s="595"/>
    </row>
    <row r="590" spans="1:26" ht="19.5" customHeight="1">
      <c r="A590" s="595"/>
      <c r="B590" s="595"/>
      <c r="C590" s="596"/>
      <c r="D590" s="595"/>
      <c r="E590" s="595"/>
      <c r="F590" s="595"/>
      <c r="G590" s="595"/>
      <c r="H590" s="595"/>
      <c r="I590" s="595"/>
      <c r="J590" s="595"/>
      <c r="K590" s="595"/>
      <c r="L590" s="595"/>
      <c r="M590" s="595"/>
      <c r="N590" s="595"/>
      <c r="O590" s="595"/>
      <c r="P590" s="595"/>
      <c r="Q590" s="595"/>
      <c r="R590" s="595"/>
      <c r="S590" s="595"/>
      <c r="T590" s="595"/>
      <c r="U590" s="595"/>
      <c r="V590" s="595"/>
      <c r="W590" s="595"/>
      <c r="X590" s="595"/>
      <c r="Y590" s="595"/>
      <c r="Z590" s="595"/>
    </row>
    <row r="591" spans="1:26" ht="19.5" customHeight="1">
      <c r="A591" s="595"/>
      <c r="B591" s="595"/>
      <c r="C591" s="596"/>
      <c r="D591" s="595"/>
      <c r="E591" s="595"/>
      <c r="F591" s="595"/>
      <c r="G591" s="595"/>
      <c r="H591" s="595"/>
      <c r="I591" s="595"/>
      <c r="J591" s="595"/>
      <c r="K591" s="595"/>
      <c r="L591" s="595"/>
      <c r="M591" s="595"/>
      <c r="N591" s="595"/>
      <c r="O591" s="595"/>
      <c r="P591" s="595"/>
      <c r="Q591" s="595"/>
      <c r="R591" s="595"/>
      <c r="S591" s="595"/>
      <c r="T591" s="595"/>
      <c r="U591" s="595"/>
      <c r="V591" s="595"/>
      <c r="W591" s="595"/>
      <c r="X591" s="595"/>
      <c r="Y591" s="595"/>
      <c r="Z591" s="595"/>
    </row>
    <row r="592" spans="1:26" ht="19.5" customHeight="1">
      <c r="A592" s="595"/>
      <c r="B592" s="595"/>
      <c r="C592" s="596"/>
      <c r="D592" s="595"/>
      <c r="E592" s="595"/>
      <c r="F592" s="595"/>
      <c r="G592" s="595"/>
      <c r="H592" s="595"/>
      <c r="I592" s="595"/>
      <c r="J592" s="595"/>
      <c r="K592" s="595"/>
      <c r="L592" s="595"/>
      <c r="M592" s="595"/>
      <c r="N592" s="595"/>
      <c r="O592" s="595"/>
      <c r="P592" s="595"/>
      <c r="Q592" s="595"/>
      <c r="R592" s="595"/>
      <c r="S592" s="595"/>
      <c r="T592" s="595"/>
      <c r="U592" s="595"/>
      <c r="V592" s="595"/>
      <c r="W592" s="595"/>
      <c r="X592" s="595"/>
      <c r="Y592" s="595"/>
      <c r="Z592" s="595"/>
    </row>
    <row r="593" spans="1:26" ht="19.5" customHeight="1">
      <c r="A593" s="595"/>
      <c r="B593" s="595"/>
      <c r="C593" s="596"/>
      <c r="D593" s="595"/>
      <c r="E593" s="595"/>
      <c r="F593" s="595"/>
      <c r="G593" s="595"/>
      <c r="H593" s="595"/>
      <c r="I593" s="595"/>
      <c r="J593" s="595"/>
      <c r="K593" s="595"/>
      <c r="L593" s="595"/>
      <c r="M593" s="595"/>
      <c r="N593" s="595"/>
      <c r="O593" s="595"/>
      <c r="P593" s="595"/>
      <c r="Q593" s="595"/>
      <c r="R593" s="595"/>
      <c r="S593" s="595"/>
      <c r="T593" s="595"/>
      <c r="U593" s="595"/>
      <c r="V593" s="595"/>
      <c r="W593" s="595"/>
      <c r="X593" s="595"/>
      <c r="Y593" s="595"/>
      <c r="Z593" s="595"/>
    </row>
    <row r="594" spans="1:26" ht="19.5" customHeight="1">
      <c r="A594" s="595"/>
      <c r="B594" s="595"/>
      <c r="C594" s="596"/>
      <c r="D594" s="595"/>
      <c r="E594" s="595"/>
      <c r="F594" s="595"/>
      <c r="G594" s="595"/>
      <c r="H594" s="595"/>
      <c r="I594" s="595"/>
      <c r="J594" s="595"/>
      <c r="K594" s="595"/>
      <c r="L594" s="595"/>
      <c r="M594" s="595"/>
      <c r="N594" s="595"/>
      <c r="O594" s="595"/>
      <c r="P594" s="595"/>
      <c r="Q594" s="595"/>
      <c r="R594" s="595"/>
      <c r="S594" s="595"/>
      <c r="T594" s="595"/>
      <c r="U594" s="595"/>
      <c r="V594" s="595"/>
      <c r="W594" s="595"/>
      <c r="X594" s="595"/>
      <c r="Y594" s="595"/>
      <c r="Z594" s="595"/>
    </row>
    <row r="595" spans="1:26" ht="19.5" customHeight="1">
      <c r="A595" s="595"/>
      <c r="B595" s="595"/>
      <c r="C595" s="596"/>
      <c r="D595" s="595"/>
      <c r="E595" s="595"/>
      <c r="F595" s="595"/>
      <c r="G595" s="595"/>
      <c r="H595" s="595"/>
      <c r="I595" s="595"/>
      <c r="J595" s="595"/>
      <c r="K595" s="595"/>
      <c r="L595" s="595"/>
      <c r="M595" s="595"/>
      <c r="N595" s="595"/>
      <c r="O595" s="595"/>
      <c r="P595" s="595"/>
      <c r="Q595" s="595"/>
      <c r="R595" s="595"/>
      <c r="S595" s="595"/>
      <c r="T595" s="595"/>
      <c r="U595" s="595"/>
      <c r="V595" s="595"/>
      <c r="W595" s="595"/>
      <c r="X595" s="595"/>
      <c r="Y595" s="595"/>
      <c r="Z595" s="595"/>
    </row>
    <row r="596" spans="1:26" ht="19.5" customHeight="1">
      <c r="A596" s="595"/>
      <c r="B596" s="595"/>
      <c r="C596" s="596"/>
      <c r="D596" s="595"/>
      <c r="E596" s="595"/>
      <c r="F596" s="595"/>
      <c r="G596" s="595"/>
      <c r="H596" s="595"/>
      <c r="I596" s="595"/>
      <c r="J596" s="595"/>
      <c r="K596" s="595"/>
      <c r="L596" s="595"/>
      <c r="M596" s="595"/>
      <c r="N596" s="595"/>
      <c r="O596" s="595"/>
      <c r="P596" s="595"/>
      <c r="Q596" s="595"/>
      <c r="R596" s="595"/>
      <c r="S596" s="595"/>
      <c r="T596" s="595"/>
      <c r="U596" s="595"/>
      <c r="V596" s="595"/>
      <c r="W596" s="595"/>
      <c r="X596" s="595"/>
      <c r="Y596" s="595"/>
      <c r="Z596" s="595"/>
    </row>
    <row r="597" spans="1:26" ht="19.5" customHeight="1">
      <c r="A597" s="595"/>
      <c r="B597" s="595"/>
      <c r="C597" s="596"/>
      <c r="D597" s="595"/>
      <c r="E597" s="595"/>
      <c r="F597" s="595"/>
      <c r="G597" s="595"/>
      <c r="H597" s="595"/>
      <c r="I597" s="595"/>
      <c r="J597" s="595"/>
      <c r="K597" s="595"/>
      <c r="L597" s="595"/>
      <c r="M597" s="595"/>
      <c r="N597" s="595"/>
      <c r="O597" s="595"/>
      <c r="P597" s="595"/>
      <c r="Q597" s="595"/>
      <c r="R597" s="595"/>
      <c r="S597" s="595"/>
      <c r="T597" s="595"/>
      <c r="U597" s="595"/>
      <c r="V597" s="595"/>
      <c r="W597" s="595"/>
      <c r="X597" s="595"/>
      <c r="Y597" s="595"/>
      <c r="Z597" s="595"/>
    </row>
    <row r="598" spans="1:26" ht="19.5" customHeight="1">
      <c r="A598" s="595"/>
      <c r="B598" s="595"/>
      <c r="C598" s="596"/>
      <c r="D598" s="595"/>
      <c r="E598" s="595"/>
      <c r="F598" s="595"/>
      <c r="G598" s="595"/>
      <c r="H598" s="595"/>
      <c r="I598" s="595"/>
      <c r="J598" s="595"/>
      <c r="K598" s="595"/>
      <c r="L598" s="595"/>
      <c r="M598" s="595"/>
      <c r="N598" s="595"/>
      <c r="O598" s="595"/>
      <c r="P598" s="595"/>
      <c r="Q598" s="595"/>
      <c r="R598" s="595"/>
      <c r="S598" s="595"/>
      <c r="T598" s="595"/>
      <c r="U598" s="595"/>
      <c r="V598" s="595"/>
      <c r="W598" s="595"/>
      <c r="X598" s="595"/>
      <c r="Y598" s="595"/>
      <c r="Z598" s="595"/>
    </row>
    <row r="599" spans="1:26" ht="19.5" customHeight="1">
      <c r="A599" s="595"/>
      <c r="B599" s="595"/>
      <c r="C599" s="596"/>
      <c r="D599" s="595"/>
      <c r="E599" s="595"/>
      <c r="F599" s="595"/>
      <c r="G599" s="595"/>
      <c r="H599" s="595"/>
      <c r="I599" s="595"/>
      <c r="J599" s="595"/>
      <c r="K599" s="595"/>
      <c r="L599" s="595"/>
      <c r="M599" s="595"/>
      <c r="N599" s="595"/>
      <c r="O599" s="595"/>
      <c r="P599" s="595"/>
      <c r="Q599" s="595"/>
      <c r="R599" s="595"/>
      <c r="S599" s="595"/>
      <c r="T599" s="595"/>
      <c r="U599" s="595"/>
      <c r="V599" s="595"/>
      <c r="W599" s="595"/>
      <c r="X599" s="595"/>
      <c r="Y599" s="595"/>
      <c r="Z599" s="595"/>
    </row>
    <row r="600" spans="1:26" ht="19.5" customHeight="1">
      <c r="A600" s="595"/>
      <c r="B600" s="595"/>
      <c r="C600" s="596"/>
      <c r="D600" s="595"/>
      <c r="E600" s="595"/>
      <c r="F600" s="595"/>
      <c r="G600" s="595"/>
      <c r="H600" s="595"/>
      <c r="I600" s="595"/>
      <c r="J600" s="595"/>
      <c r="K600" s="595"/>
      <c r="L600" s="595"/>
      <c r="M600" s="595"/>
      <c r="N600" s="595"/>
      <c r="O600" s="595"/>
      <c r="P600" s="595"/>
      <c r="Q600" s="595"/>
      <c r="R600" s="595"/>
      <c r="S600" s="595"/>
      <c r="T600" s="595"/>
      <c r="U600" s="595"/>
      <c r="V600" s="595"/>
      <c r="W600" s="595"/>
      <c r="X600" s="595"/>
      <c r="Y600" s="595"/>
      <c r="Z600" s="595"/>
    </row>
    <row r="601" spans="1:26" ht="19.5" customHeight="1">
      <c r="A601" s="595"/>
      <c r="B601" s="595"/>
      <c r="C601" s="596"/>
      <c r="D601" s="595"/>
      <c r="E601" s="595"/>
      <c r="F601" s="595"/>
      <c r="G601" s="595"/>
      <c r="H601" s="595"/>
      <c r="I601" s="595"/>
      <c r="J601" s="595"/>
      <c r="K601" s="595"/>
      <c r="L601" s="595"/>
      <c r="M601" s="595"/>
      <c r="N601" s="595"/>
      <c r="O601" s="595"/>
      <c r="P601" s="595"/>
      <c r="Q601" s="595"/>
      <c r="R601" s="595"/>
      <c r="S601" s="595"/>
      <c r="T601" s="595"/>
      <c r="U601" s="595"/>
      <c r="V601" s="595"/>
      <c r="W601" s="595"/>
      <c r="X601" s="595"/>
      <c r="Y601" s="595"/>
      <c r="Z601" s="595"/>
    </row>
    <row r="602" spans="1:26" ht="19.5" customHeight="1">
      <c r="A602" s="595"/>
      <c r="B602" s="595"/>
      <c r="C602" s="596"/>
      <c r="D602" s="595"/>
      <c r="E602" s="595"/>
      <c r="F602" s="595"/>
      <c r="G602" s="595"/>
      <c r="H602" s="595"/>
      <c r="I602" s="595"/>
      <c r="J602" s="595"/>
      <c r="K602" s="595"/>
      <c r="L602" s="595"/>
      <c r="M602" s="595"/>
      <c r="N602" s="595"/>
      <c r="O602" s="595"/>
      <c r="P602" s="595"/>
      <c r="Q602" s="595"/>
      <c r="R602" s="595"/>
      <c r="S602" s="595"/>
      <c r="T602" s="595"/>
      <c r="U602" s="595"/>
      <c r="V602" s="595"/>
      <c r="W602" s="595"/>
      <c r="X602" s="595"/>
      <c r="Y602" s="595"/>
      <c r="Z602" s="595"/>
    </row>
    <row r="603" spans="1:26" ht="19.5" customHeight="1">
      <c r="A603" s="595"/>
      <c r="B603" s="595"/>
      <c r="C603" s="596"/>
      <c r="D603" s="595"/>
      <c r="E603" s="595"/>
      <c r="F603" s="595"/>
      <c r="G603" s="595"/>
      <c r="H603" s="595"/>
      <c r="I603" s="595"/>
      <c r="J603" s="595"/>
      <c r="K603" s="595"/>
      <c r="L603" s="595"/>
      <c r="M603" s="595"/>
      <c r="N603" s="595"/>
      <c r="O603" s="595"/>
      <c r="P603" s="595"/>
      <c r="Q603" s="595"/>
      <c r="R603" s="595"/>
      <c r="S603" s="595"/>
      <c r="T603" s="595"/>
      <c r="U603" s="595"/>
      <c r="V603" s="595"/>
      <c r="W603" s="595"/>
      <c r="X603" s="595"/>
      <c r="Y603" s="595"/>
      <c r="Z603" s="595"/>
    </row>
    <row r="604" spans="1:26" ht="19.5" customHeight="1">
      <c r="A604" s="595"/>
      <c r="B604" s="595"/>
      <c r="C604" s="596"/>
      <c r="D604" s="595"/>
      <c r="E604" s="595"/>
      <c r="F604" s="595"/>
      <c r="G604" s="595"/>
      <c r="H604" s="595"/>
      <c r="I604" s="595"/>
      <c r="J604" s="595"/>
      <c r="K604" s="595"/>
      <c r="L604" s="595"/>
      <c r="M604" s="595"/>
      <c r="N604" s="595"/>
      <c r="O604" s="595"/>
      <c r="P604" s="595"/>
      <c r="Q604" s="595"/>
      <c r="R604" s="595"/>
      <c r="S604" s="595"/>
      <c r="T604" s="595"/>
      <c r="U604" s="595"/>
      <c r="V604" s="595"/>
      <c r="W604" s="595"/>
      <c r="X604" s="595"/>
      <c r="Y604" s="595"/>
      <c r="Z604" s="595"/>
    </row>
    <row r="605" spans="1:26" ht="19.5" customHeight="1">
      <c r="A605" s="595"/>
      <c r="B605" s="595"/>
      <c r="C605" s="596"/>
      <c r="D605" s="595"/>
      <c r="E605" s="595"/>
      <c r="F605" s="595"/>
      <c r="G605" s="595"/>
      <c r="H605" s="595"/>
      <c r="I605" s="595"/>
      <c r="J605" s="595"/>
      <c r="K605" s="595"/>
      <c r="L605" s="595"/>
      <c r="M605" s="595"/>
      <c r="N605" s="595"/>
      <c r="O605" s="595"/>
      <c r="P605" s="595"/>
      <c r="Q605" s="595"/>
      <c r="R605" s="595"/>
      <c r="S605" s="595"/>
      <c r="T605" s="595"/>
      <c r="U605" s="595"/>
      <c r="V605" s="595"/>
      <c r="W605" s="595"/>
      <c r="X605" s="595"/>
      <c r="Y605" s="595"/>
      <c r="Z605" s="595"/>
    </row>
    <row r="606" spans="1:26" ht="19.5" customHeight="1">
      <c r="A606" s="595"/>
      <c r="B606" s="595"/>
      <c r="C606" s="596"/>
      <c r="D606" s="595"/>
      <c r="E606" s="595"/>
      <c r="F606" s="595"/>
      <c r="G606" s="595"/>
      <c r="H606" s="595"/>
      <c r="I606" s="595"/>
      <c r="J606" s="595"/>
      <c r="K606" s="595"/>
      <c r="L606" s="595"/>
      <c r="M606" s="595"/>
      <c r="N606" s="595"/>
      <c r="O606" s="595"/>
      <c r="P606" s="595"/>
      <c r="Q606" s="595"/>
      <c r="R606" s="595"/>
      <c r="S606" s="595"/>
      <c r="T606" s="595"/>
      <c r="U606" s="595"/>
      <c r="V606" s="595"/>
      <c r="W606" s="595"/>
      <c r="X606" s="595"/>
      <c r="Y606" s="595"/>
      <c r="Z606" s="595"/>
    </row>
    <row r="607" spans="1:26" ht="19.5" customHeight="1">
      <c r="A607" s="595"/>
      <c r="B607" s="595"/>
      <c r="C607" s="596"/>
      <c r="D607" s="595"/>
      <c r="E607" s="595"/>
      <c r="F607" s="595"/>
      <c r="G607" s="595"/>
      <c r="H607" s="595"/>
      <c r="I607" s="595"/>
      <c r="J607" s="595"/>
      <c r="K607" s="595"/>
      <c r="L607" s="595"/>
      <c r="M607" s="595"/>
      <c r="N607" s="595"/>
      <c r="O607" s="595"/>
      <c r="P607" s="595"/>
      <c r="Q607" s="595"/>
      <c r="R607" s="595"/>
      <c r="S607" s="595"/>
      <c r="T607" s="595"/>
      <c r="U607" s="595"/>
      <c r="V607" s="595"/>
      <c r="W607" s="595"/>
      <c r="X607" s="595"/>
      <c r="Y607" s="595"/>
      <c r="Z607" s="595"/>
    </row>
    <row r="608" spans="1:26" ht="19.5" customHeight="1">
      <c r="A608" s="595"/>
      <c r="B608" s="595"/>
      <c r="C608" s="596"/>
      <c r="D608" s="595"/>
      <c r="E608" s="595"/>
      <c r="F608" s="595"/>
      <c r="G608" s="595"/>
      <c r="H608" s="595"/>
      <c r="I608" s="595"/>
      <c r="J608" s="595"/>
      <c r="K608" s="595"/>
      <c r="L608" s="595"/>
      <c r="M608" s="595"/>
      <c r="N608" s="595"/>
      <c r="O608" s="595"/>
      <c r="P608" s="595"/>
      <c r="Q608" s="595"/>
      <c r="R608" s="595"/>
      <c r="S608" s="595"/>
      <c r="T608" s="595"/>
      <c r="U608" s="595"/>
      <c r="V608" s="595"/>
      <c r="W608" s="595"/>
      <c r="X608" s="595"/>
      <c r="Y608" s="595"/>
      <c r="Z608" s="595"/>
    </row>
    <row r="609" spans="1:26" ht="19.5" customHeight="1">
      <c r="A609" s="595"/>
      <c r="B609" s="595"/>
      <c r="C609" s="596"/>
      <c r="D609" s="595"/>
      <c r="E609" s="595"/>
      <c r="F609" s="595"/>
      <c r="G609" s="595"/>
      <c r="H609" s="595"/>
      <c r="I609" s="595"/>
      <c r="J609" s="595"/>
      <c r="K609" s="595"/>
      <c r="L609" s="595"/>
      <c r="M609" s="595"/>
      <c r="N609" s="595"/>
      <c r="O609" s="595"/>
      <c r="P609" s="595"/>
      <c r="Q609" s="595"/>
      <c r="R609" s="595"/>
      <c r="S609" s="595"/>
      <c r="T609" s="595"/>
      <c r="U609" s="595"/>
      <c r="V609" s="595"/>
      <c r="W609" s="595"/>
      <c r="X609" s="595"/>
      <c r="Y609" s="595"/>
      <c r="Z609" s="595"/>
    </row>
    <row r="610" spans="1:26" ht="19.5" customHeight="1">
      <c r="A610" s="595"/>
      <c r="B610" s="595"/>
      <c r="C610" s="596"/>
      <c r="D610" s="595"/>
      <c r="E610" s="595"/>
      <c r="F610" s="595"/>
      <c r="G610" s="595"/>
      <c r="H610" s="595"/>
      <c r="I610" s="595"/>
      <c r="J610" s="595"/>
      <c r="K610" s="595"/>
      <c r="L610" s="595"/>
      <c r="M610" s="595"/>
      <c r="N610" s="595"/>
      <c r="O610" s="595"/>
      <c r="P610" s="595"/>
      <c r="Q610" s="595"/>
      <c r="R610" s="595"/>
      <c r="S610" s="595"/>
      <c r="T610" s="595"/>
      <c r="U610" s="595"/>
      <c r="V610" s="595"/>
      <c r="W610" s="595"/>
      <c r="X610" s="595"/>
      <c r="Y610" s="595"/>
      <c r="Z610" s="595"/>
    </row>
    <row r="611" spans="1:26" ht="19.5" customHeight="1">
      <c r="A611" s="595"/>
      <c r="B611" s="595"/>
      <c r="C611" s="596"/>
      <c r="D611" s="595"/>
      <c r="E611" s="595"/>
      <c r="F611" s="595"/>
      <c r="G611" s="595"/>
      <c r="H611" s="595"/>
      <c r="I611" s="595"/>
      <c r="J611" s="595"/>
      <c r="K611" s="595"/>
      <c r="L611" s="595"/>
      <c r="M611" s="595"/>
      <c r="N611" s="595"/>
      <c r="O611" s="595"/>
      <c r="P611" s="595"/>
      <c r="Q611" s="595"/>
      <c r="R611" s="595"/>
      <c r="S611" s="595"/>
      <c r="T611" s="595"/>
      <c r="U611" s="595"/>
      <c r="V611" s="595"/>
      <c r="W611" s="595"/>
      <c r="X611" s="595"/>
      <c r="Y611" s="595"/>
      <c r="Z611" s="595"/>
    </row>
    <row r="612" spans="1:26" ht="19.5" customHeight="1">
      <c r="A612" s="595"/>
      <c r="B612" s="595"/>
      <c r="C612" s="596"/>
      <c r="D612" s="595"/>
      <c r="E612" s="595"/>
      <c r="F612" s="595"/>
      <c r="G612" s="595"/>
      <c r="H612" s="595"/>
      <c r="I612" s="595"/>
      <c r="J612" s="595"/>
      <c r="K612" s="595"/>
      <c r="L612" s="595"/>
      <c r="M612" s="595"/>
      <c r="N612" s="595"/>
      <c r="O612" s="595"/>
      <c r="P612" s="595"/>
      <c r="Q612" s="595"/>
      <c r="R612" s="595"/>
      <c r="S612" s="595"/>
      <c r="T612" s="595"/>
      <c r="U612" s="595"/>
      <c r="V612" s="595"/>
      <c r="W612" s="595"/>
      <c r="X612" s="595"/>
      <c r="Y612" s="595"/>
      <c r="Z612" s="595"/>
    </row>
    <row r="613" spans="1:26" ht="19.5" customHeight="1">
      <c r="A613" s="595"/>
      <c r="B613" s="595"/>
      <c r="C613" s="596"/>
      <c r="D613" s="595"/>
      <c r="E613" s="595"/>
      <c r="F613" s="595"/>
      <c r="G613" s="595"/>
      <c r="H613" s="595"/>
      <c r="I613" s="595"/>
      <c r="J613" s="595"/>
      <c r="K613" s="595"/>
      <c r="L613" s="595"/>
      <c r="M613" s="595"/>
      <c r="N613" s="595"/>
      <c r="O613" s="595"/>
      <c r="P613" s="595"/>
      <c r="Q613" s="595"/>
      <c r="R613" s="595"/>
      <c r="S613" s="595"/>
      <c r="T613" s="595"/>
      <c r="U613" s="595"/>
      <c r="V613" s="595"/>
      <c r="W613" s="595"/>
      <c r="X613" s="595"/>
      <c r="Y613" s="595"/>
      <c r="Z613" s="595"/>
    </row>
    <row r="614" spans="1:26" ht="19.5" customHeight="1">
      <c r="A614" s="595"/>
      <c r="B614" s="595"/>
      <c r="C614" s="596"/>
      <c r="D614" s="595"/>
      <c r="E614" s="595"/>
      <c r="F614" s="595"/>
      <c r="G614" s="595"/>
      <c r="H614" s="595"/>
      <c r="I614" s="595"/>
      <c r="J614" s="595"/>
      <c r="K614" s="595"/>
      <c r="L614" s="595"/>
      <c r="M614" s="595"/>
      <c r="N614" s="595"/>
      <c r="O614" s="595"/>
      <c r="P614" s="595"/>
      <c r="Q614" s="595"/>
      <c r="R614" s="595"/>
      <c r="S614" s="595"/>
      <c r="T614" s="595"/>
      <c r="U614" s="595"/>
      <c r="V614" s="595"/>
      <c r="W614" s="595"/>
      <c r="X614" s="595"/>
      <c r="Y614" s="595"/>
      <c r="Z614" s="595"/>
    </row>
    <row r="615" spans="1:26" ht="19.5" customHeight="1">
      <c r="A615" s="595"/>
      <c r="B615" s="595"/>
      <c r="C615" s="596"/>
      <c r="D615" s="595"/>
      <c r="E615" s="595"/>
      <c r="F615" s="595"/>
      <c r="G615" s="595"/>
      <c r="H615" s="595"/>
      <c r="I615" s="595"/>
      <c r="J615" s="595"/>
      <c r="K615" s="595"/>
      <c r="L615" s="595"/>
      <c r="M615" s="595"/>
      <c r="N615" s="595"/>
      <c r="O615" s="595"/>
      <c r="P615" s="595"/>
      <c r="Q615" s="595"/>
      <c r="R615" s="595"/>
      <c r="S615" s="595"/>
      <c r="T615" s="595"/>
      <c r="U615" s="595"/>
      <c r="V615" s="595"/>
      <c r="W615" s="595"/>
      <c r="X615" s="595"/>
      <c r="Y615" s="595"/>
      <c r="Z615" s="595"/>
    </row>
    <row r="616" spans="1:26" ht="19.5" customHeight="1">
      <c r="A616" s="595"/>
      <c r="B616" s="595"/>
      <c r="C616" s="596"/>
      <c r="D616" s="595"/>
      <c r="E616" s="595"/>
      <c r="F616" s="595"/>
      <c r="G616" s="595"/>
      <c r="H616" s="595"/>
      <c r="I616" s="595"/>
      <c r="J616" s="595"/>
      <c r="K616" s="595"/>
      <c r="L616" s="595"/>
      <c r="M616" s="595"/>
      <c r="N616" s="595"/>
      <c r="O616" s="595"/>
      <c r="P616" s="595"/>
      <c r="Q616" s="595"/>
      <c r="R616" s="595"/>
      <c r="S616" s="595"/>
      <c r="T616" s="595"/>
      <c r="U616" s="595"/>
      <c r="V616" s="595"/>
      <c r="W616" s="595"/>
      <c r="X616" s="595"/>
      <c r="Y616" s="595"/>
      <c r="Z616" s="595"/>
    </row>
    <row r="617" spans="1:26" ht="19.5" customHeight="1">
      <c r="A617" s="595"/>
      <c r="B617" s="595"/>
      <c r="C617" s="596"/>
      <c r="D617" s="595"/>
      <c r="E617" s="595"/>
      <c r="F617" s="595"/>
      <c r="G617" s="595"/>
      <c r="H617" s="595"/>
      <c r="I617" s="595"/>
      <c r="J617" s="595"/>
      <c r="K617" s="595"/>
      <c r="L617" s="595"/>
      <c r="M617" s="595"/>
      <c r="N617" s="595"/>
      <c r="O617" s="595"/>
      <c r="P617" s="595"/>
      <c r="Q617" s="595"/>
      <c r="R617" s="595"/>
      <c r="S617" s="595"/>
      <c r="T617" s="595"/>
      <c r="U617" s="595"/>
      <c r="V617" s="595"/>
      <c r="W617" s="595"/>
      <c r="X617" s="595"/>
      <c r="Y617" s="595"/>
      <c r="Z617" s="595"/>
    </row>
    <row r="618" spans="1:26" ht="19.5" customHeight="1">
      <c r="A618" s="595"/>
      <c r="B618" s="595"/>
      <c r="C618" s="596"/>
      <c r="D618" s="595"/>
      <c r="E618" s="595"/>
      <c r="F618" s="595"/>
      <c r="G618" s="595"/>
      <c r="H618" s="595"/>
      <c r="I618" s="595"/>
      <c r="J618" s="595"/>
      <c r="K618" s="595"/>
      <c r="L618" s="595"/>
      <c r="M618" s="595"/>
      <c r="N618" s="595"/>
      <c r="O618" s="595"/>
      <c r="P618" s="595"/>
      <c r="Q618" s="595"/>
      <c r="R618" s="595"/>
      <c r="S618" s="595"/>
      <c r="T618" s="595"/>
      <c r="U618" s="595"/>
      <c r="V618" s="595"/>
      <c r="W618" s="595"/>
      <c r="X618" s="595"/>
      <c r="Y618" s="595"/>
      <c r="Z618" s="595"/>
    </row>
    <row r="619" spans="1:26" ht="19.5" customHeight="1">
      <c r="A619" s="595"/>
      <c r="B619" s="595"/>
      <c r="C619" s="596"/>
      <c r="D619" s="595"/>
      <c r="E619" s="595"/>
      <c r="F619" s="595"/>
      <c r="G619" s="595"/>
      <c r="H619" s="595"/>
      <c r="I619" s="595"/>
      <c r="J619" s="595"/>
      <c r="K619" s="595"/>
      <c r="L619" s="595"/>
      <c r="M619" s="595"/>
      <c r="N619" s="595"/>
      <c r="O619" s="595"/>
      <c r="P619" s="595"/>
      <c r="Q619" s="595"/>
      <c r="R619" s="595"/>
      <c r="S619" s="595"/>
      <c r="T619" s="595"/>
      <c r="U619" s="595"/>
      <c r="V619" s="595"/>
      <c r="W619" s="595"/>
      <c r="X619" s="595"/>
      <c r="Y619" s="595"/>
      <c r="Z619" s="595"/>
    </row>
    <row r="620" spans="1:26" ht="19.5" customHeight="1">
      <c r="A620" s="595"/>
      <c r="B620" s="595"/>
      <c r="C620" s="596"/>
      <c r="D620" s="595"/>
      <c r="E620" s="595"/>
      <c r="F620" s="595"/>
      <c r="G620" s="595"/>
      <c r="H620" s="595"/>
      <c r="I620" s="595"/>
      <c r="J620" s="595"/>
      <c r="K620" s="595"/>
      <c r="L620" s="595"/>
      <c r="M620" s="595"/>
      <c r="N620" s="595"/>
      <c r="O620" s="595"/>
      <c r="P620" s="595"/>
      <c r="Q620" s="595"/>
      <c r="R620" s="595"/>
      <c r="S620" s="595"/>
      <c r="T620" s="595"/>
      <c r="U620" s="595"/>
      <c r="V620" s="595"/>
      <c r="W620" s="595"/>
      <c r="X620" s="595"/>
      <c r="Y620" s="595"/>
      <c r="Z620" s="595"/>
    </row>
    <row r="621" spans="1:26" ht="19.5" customHeight="1">
      <c r="A621" s="595"/>
      <c r="B621" s="595"/>
      <c r="C621" s="596"/>
      <c r="D621" s="595"/>
      <c r="E621" s="595"/>
      <c r="F621" s="595"/>
      <c r="G621" s="595"/>
      <c r="H621" s="595"/>
      <c r="I621" s="595"/>
      <c r="J621" s="595"/>
      <c r="K621" s="595"/>
      <c r="L621" s="595"/>
      <c r="M621" s="595"/>
      <c r="N621" s="595"/>
      <c r="O621" s="595"/>
      <c r="P621" s="595"/>
      <c r="Q621" s="595"/>
      <c r="R621" s="595"/>
      <c r="S621" s="595"/>
      <c r="T621" s="595"/>
      <c r="U621" s="595"/>
      <c r="V621" s="595"/>
      <c r="W621" s="595"/>
      <c r="X621" s="595"/>
      <c r="Y621" s="595"/>
      <c r="Z621" s="595"/>
    </row>
    <row r="622" spans="1:26" ht="19.5" customHeight="1">
      <c r="A622" s="595"/>
      <c r="B622" s="595"/>
      <c r="C622" s="596"/>
      <c r="D622" s="595"/>
      <c r="E622" s="595"/>
      <c r="F622" s="595"/>
      <c r="G622" s="595"/>
      <c r="H622" s="595"/>
      <c r="I622" s="595"/>
      <c r="J622" s="595"/>
      <c r="K622" s="595"/>
      <c r="L622" s="595"/>
      <c r="M622" s="595"/>
      <c r="N622" s="595"/>
      <c r="O622" s="595"/>
      <c r="P622" s="595"/>
      <c r="Q622" s="595"/>
      <c r="R622" s="595"/>
      <c r="S622" s="595"/>
      <c r="T622" s="595"/>
      <c r="U622" s="595"/>
      <c r="V622" s="595"/>
      <c r="W622" s="595"/>
      <c r="X622" s="595"/>
      <c r="Y622" s="595"/>
      <c r="Z622" s="595"/>
    </row>
    <row r="623" spans="1:26" ht="19.5" customHeight="1">
      <c r="A623" s="595"/>
      <c r="B623" s="595"/>
      <c r="C623" s="596"/>
      <c r="D623" s="595"/>
      <c r="E623" s="595"/>
      <c r="F623" s="595"/>
      <c r="G623" s="595"/>
      <c r="H623" s="595"/>
      <c r="I623" s="595"/>
      <c r="J623" s="595"/>
      <c r="K623" s="595"/>
      <c r="L623" s="595"/>
      <c r="M623" s="595"/>
      <c r="N623" s="595"/>
      <c r="O623" s="595"/>
      <c r="P623" s="595"/>
      <c r="Q623" s="595"/>
      <c r="R623" s="595"/>
      <c r="S623" s="595"/>
      <c r="T623" s="595"/>
      <c r="U623" s="595"/>
      <c r="V623" s="595"/>
      <c r="W623" s="595"/>
      <c r="X623" s="595"/>
      <c r="Y623" s="595"/>
      <c r="Z623" s="595"/>
    </row>
    <row r="624" spans="1:26" ht="19.5" customHeight="1">
      <c r="A624" s="595"/>
      <c r="B624" s="595"/>
      <c r="C624" s="596"/>
      <c r="D624" s="595"/>
      <c r="E624" s="595"/>
      <c r="F624" s="595"/>
      <c r="G624" s="595"/>
      <c r="H624" s="595"/>
      <c r="I624" s="595"/>
      <c r="J624" s="595"/>
      <c r="K624" s="595"/>
      <c r="L624" s="595"/>
      <c r="M624" s="595"/>
      <c r="N624" s="595"/>
      <c r="O624" s="595"/>
      <c r="P624" s="595"/>
      <c r="Q624" s="595"/>
      <c r="R624" s="595"/>
      <c r="S624" s="595"/>
      <c r="T624" s="595"/>
      <c r="U624" s="595"/>
      <c r="V624" s="595"/>
      <c r="W624" s="595"/>
      <c r="X624" s="595"/>
      <c r="Y624" s="595"/>
      <c r="Z624" s="595"/>
    </row>
    <row r="625" spans="1:26" ht="19.5" customHeight="1">
      <c r="A625" s="595"/>
      <c r="B625" s="595"/>
      <c r="C625" s="596"/>
      <c r="D625" s="595"/>
      <c r="E625" s="595"/>
      <c r="F625" s="595"/>
      <c r="G625" s="595"/>
      <c r="H625" s="595"/>
      <c r="I625" s="595"/>
      <c r="J625" s="595"/>
      <c r="K625" s="595"/>
      <c r="L625" s="595"/>
      <c r="M625" s="595"/>
      <c r="N625" s="595"/>
      <c r="O625" s="595"/>
      <c r="P625" s="595"/>
      <c r="Q625" s="595"/>
      <c r="R625" s="595"/>
      <c r="S625" s="595"/>
      <c r="T625" s="595"/>
      <c r="U625" s="595"/>
      <c r="V625" s="595"/>
      <c r="W625" s="595"/>
      <c r="X625" s="595"/>
      <c r="Y625" s="595"/>
      <c r="Z625" s="595"/>
    </row>
    <row r="626" spans="1:26" ht="19.5" customHeight="1">
      <c r="A626" s="595"/>
      <c r="B626" s="595"/>
      <c r="C626" s="596"/>
      <c r="D626" s="595"/>
      <c r="E626" s="595"/>
      <c r="F626" s="595"/>
      <c r="G626" s="595"/>
      <c r="H626" s="595"/>
      <c r="I626" s="595"/>
      <c r="J626" s="595"/>
      <c r="K626" s="595"/>
      <c r="L626" s="595"/>
      <c r="M626" s="595"/>
      <c r="N626" s="595"/>
      <c r="O626" s="595"/>
      <c r="P626" s="595"/>
      <c r="Q626" s="595"/>
      <c r="R626" s="595"/>
      <c r="S626" s="595"/>
      <c r="T626" s="595"/>
      <c r="U626" s="595"/>
      <c r="V626" s="595"/>
      <c r="W626" s="595"/>
      <c r="X626" s="595"/>
      <c r="Y626" s="595"/>
      <c r="Z626" s="595"/>
    </row>
    <row r="627" spans="1:26" ht="19.5" customHeight="1">
      <c r="A627" s="595"/>
      <c r="B627" s="595"/>
      <c r="C627" s="596"/>
      <c r="D627" s="595"/>
      <c r="E627" s="595"/>
      <c r="F627" s="595"/>
      <c r="G627" s="595"/>
      <c r="H627" s="595"/>
      <c r="I627" s="595"/>
      <c r="J627" s="595"/>
      <c r="K627" s="595"/>
      <c r="L627" s="595"/>
      <c r="M627" s="595"/>
      <c r="N627" s="595"/>
      <c r="O627" s="595"/>
      <c r="P627" s="595"/>
      <c r="Q627" s="595"/>
      <c r="R627" s="595"/>
      <c r="S627" s="595"/>
      <c r="T627" s="595"/>
      <c r="U627" s="595"/>
      <c r="V627" s="595"/>
      <c r="W627" s="595"/>
      <c r="X627" s="595"/>
      <c r="Y627" s="595"/>
      <c r="Z627" s="595"/>
    </row>
    <row r="628" spans="1:26" ht="19.5" customHeight="1">
      <c r="A628" s="595"/>
      <c r="B628" s="595"/>
      <c r="C628" s="596"/>
      <c r="D628" s="595"/>
      <c r="E628" s="595"/>
      <c r="F628" s="595"/>
      <c r="G628" s="595"/>
      <c r="H628" s="595"/>
      <c r="I628" s="595"/>
      <c r="J628" s="595"/>
      <c r="K628" s="595"/>
      <c r="L628" s="595"/>
      <c r="M628" s="595"/>
      <c r="N628" s="595"/>
      <c r="O628" s="595"/>
      <c r="P628" s="595"/>
      <c r="Q628" s="595"/>
      <c r="R628" s="595"/>
      <c r="S628" s="595"/>
      <c r="T628" s="595"/>
      <c r="U628" s="595"/>
      <c r="V628" s="595"/>
      <c r="W628" s="595"/>
      <c r="X628" s="595"/>
      <c r="Y628" s="595"/>
      <c r="Z628" s="595"/>
    </row>
    <row r="629" spans="1:26" ht="19.5" customHeight="1">
      <c r="A629" s="595"/>
      <c r="B629" s="595"/>
      <c r="C629" s="596"/>
      <c r="D629" s="595"/>
      <c r="E629" s="595"/>
      <c r="F629" s="595"/>
      <c r="G629" s="595"/>
      <c r="H629" s="595"/>
      <c r="I629" s="595"/>
      <c r="J629" s="595"/>
      <c r="K629" s="595"/>
      <c r="L629" s="595"/>
      <c r="M629" s="595"/>
      <c r="N629" s="595"/>
      <c r="O629" s="595"/>
      <c r="P629" s="595"/>
      <c r="Q629" s="595"/>
      <c r="R629" s="595"/>
      <c r="S629" s="595"/>
      <c r="T629" s="595"/>
      <c r="U629" s="595"/>
      <c r="V629" s="595"/>
      <c r="W629" s="595"/>
      <c r="X629" s="595"/>
      <c r="Y629" s="595"/>
      <c r="Z629" s="595"/>
    </row>
    <row r="630" spans="1:26" ht="19.5" customHeight="1">
      <c r="A630" s="595"/>
      <c r="B630" s="595"/>
      <c r="C630" s="596"/>
      <c r="D630" s="595"/>
      <c r="E630" s="595"/>
      <c r="F630" s="595"/>
      <c r="G630" s="595"/>
      <c r="H630" s="595"/>
      <c r="I630" s="595"/>
      <c r="J630" s="595"/>
      <c r="K630" s="595"/>
      <c r="L630" s="595"/>
      <c r="M630" s="595"/>
      <c r="N630" s="595"/>
      <c r="O630" s="595"/>
      <c r="P630" s="595"/>
      <c r="Q630" s="595"/>
      <c r="R630" s="595"/>
      <c r="S630" s="595"/>
      <c r="T630" s="595"/>
      <c r="U630" s="595"/>
      <c r="V630" s="595"/>
      <c r="W630" s="595"/>
      <c r="X630" s="595"/>
      <c r="Y630" s="595"/>
      <c r="Z630" s="595"/>
    </row>
    <row r="631" spans="1:26" ht="19.5" customHeight="1">
      <c r="A631" s="595"/>
      <c r="B631" s="595"/>
      <c r="C631" s="596"/>
      <c r="D631" s="595"/>
      <c r="E631" s="595"/>
      <c r="F631" s="595"/>
      <c r="G631" s="595"/>
      <c r="H631" s="595"/>
      <c r="I631" s="595"/>
      <c r="J631" s="595"/>
      <c r="K631" s="595"/>
      <c r="L631" s="595"/>
      <c r="M631" s="595"/>
      <c r="N631" s="595"/>
      <c r="O631" s="595"/>
      <c r="P631" s="595"/>
      <c r="Q631" s="595"/>
      <c r="R631" s="595"/>
      <c r="S631" s="595"/>
      <c r="T631" s="595"/>
      <c r="U631" s="595"/>
      <c r="V631" s="595"/>
      <c r="W631" s="595"/>
      <c r="X631" s="595"/>
      <c r="Y631" s="595"/>
      <c r="Z631" s="595"/>
    </row>
    <row r="632" spans="1:26" ht="19.5" customHeight="1">
      <c r="A632" s="595"/>
      <c r="B632" s="595"/>
      <c r="C632" s="596"/>
      <c r="D632" s="595"/>
      <c r="E632" s="595"/>
      <c r="F632" s="595"/>
      <c r="G632" s="595"/>
      <c r="H632" s="595"/>
      <c r="I632" s="595"/>
      <c r="J632" s="595"/>
      <c r="K632" s="595"/>
      <c r="L632" s="595"/>
      <c r="M632" s="595"/>
      <c r="N632" s="595"/>
      <c r="O632" s="595"/>
      <c r="P632" s="595"/>
      <c r="Q632" s="595"/>
      <c r="R632" s="595"/>
      <c r="S632" s="595"/>
      <c r="T632" s="595"/>
      <c r="U632" s="595"/>
      <c r="V632" s="595"/>
      <c r="W632" s="595"/>
      <c r="X632" s="595"/>
      <c r="Y632" s="595"/>
      <c r="Z632" s="595"/>
    </row>
    <row r="633" spans="1:26" ht="19.5" customHeight="1">
      <c r="A633" s="595"/>
      <c r="B633" s="595"/>
      <c r="C633" s="596"/>
      <c r="D633" s="595"/>
      <c r="E633" s="595"/>
      <c r="F633" s="595"/>
      <c r="G633" s="595"/>
      <c r="H633" s="595"/>
      <c r="I633" s="595"/>
      <c r="J633" s="595"/>
      <c r="K633" s="595"/>
      <c r="L633" s="595"/>
      <c r="M633" s="595"/>
      <c r="N633" s="595"/>
      <c r="O633" s="595"/>
      <c r="P633" s="595"/>
      <c r="Q633" s="595"/>
      <c r="R633" s="595"/>
      <c r="S633" s="595"/>
      <c r="T633" s="595"/>
      <c r="U633" s="595"/>
      <c r="V633" s="595"/>
      <c r="W633" s="595"/>
      <c r="X633" s="595"/>
      <c r="Y633" s="595"/>
      <c r="Z633" s="595"/>
    </row>
    <row r="634" spans="1:26" ht="19.5" customHeight="1">
      <c r="A634" s="595"/>
      <c r="B634" s="595"/>
      <c r="C634" s="596"/>
      <c r="D634" s="595"/>
      <c r="E634" s="595"/>
      <c r="F634" s="595"/>
      <c r="G634" s="595"/>
      <c r="H634" s="595"/>
      <c r="I634" s="595"/>
      <c r="J634" s="595"/>
      <c r="K634" s="595"/>
      <c r="L634" s="595"/>
      <c r="M634" s="595"/>
      <c r="N634" s="595"/>
      <c r="O634" s="595"/>
      <c r="P634" s="595"/>
      <c r="Q634" s="595"/>
      <c r="R634" s="595"/>
      <c r="S634" s="595"/>
      <c r="T634" s="595"/>
      <c r="U634" s="595"/>
      <c r="V634" s="595"/>
      <c r="W634" s="595"/>
      <c r="X634" s="595"/>
      <c r="Y634" s="595"/>
      <c r="Z634" s="595"/>
    </row>
    <row r="635" spans="1:26" ht="19.5" customHeight="1">
      <c r="A635" s="595"/>
      <c r="B635" s="595"/>
      <c r="C635" s="596"/>
      <c r="D635" s="595"/>
      <c r="E635" s="595"/>
      <c r="F635" s="595"/>
      <c r="G635" s="595"/>
      <c r="H635" s="595"/>
      <c r="I635" s="595"/>
      <c r="J635" s="595"/>
      <c r="K635" s="595"/>
      <c r="L635" s="595"/>
      <c r="M635" s="595"/>
      <c r="N635" s="595"/>
      <c r="O635" s="595"/>
      <c r="P635" s="595"/>
      <c r="Q635" s="595"/>
      <c r="R635" s="595"/>
      <c r="S635" s="595"/>
      <c r="T635" s="595"/>
      <c r="U635" s="595"/>
      <c r="V635" s="595"/>
      <c r="W635" s="595"/>
      <c r="X635" s="595"/>
      <c r="Y635" s="595"/>
      <c r="Z635" s="595"/>
    </row>
    <row r="636" spans="1:26" ht="19.5" customHeight="1">
      <c r="A636" s="595"/>
      <c r="B636" s="595"/>
      <c r="C636" s="596"/>
      <c r="D636" s="595"/>
      <c r="E636" s="595"/>
      <c r="F636" s="595"/>
      <c r="G636" s="595"/>
      <c r="H636" s="595"/>
      <c r="I636" s="595"/>
      <c r="J636" s="595"/>
      <c r="K636" s="595"/>
      <c r="L636" s="595"/>
      <c r="M636" s="595"/>
      <c r="N636" s="595"/>
      <c r="O636" s="595"/>
      <c r="P636" s="595"/>
      <c r="Q636" s="595"/>
      <c r="R636" s="595"/>
      <c r="S636" s="595"/>
      <c r="T636" s="595"/>
      <c r="U636" s="595"/>
      <c r="V636" s="595"/>
      <c r="W636" s="595"/>
      <c r="X636" s="595"/>
      <c r="Y636" s="595"/>
      <c r="Z636" s="595"/>
    </row>
    <row r="637" spans="1:26" ht="19.5" customHeight="1">
      <c r="A637" s="595"/>
      <c r="B637" s="595"/>
      <c r="C637" s="596"/>
      <c r="D637" s="595"/>
      <c r="E637" s="595"/>
      <c r="F637" s="595"/>
      <c r="G637" s="595"/>
      <c r="H637" s="595"/>
      <c r="I637" s="595"/>
      <c r="J637" s="595"/>
      <c r="K637" s="595"/>
      <c r="L637" s="595"/>
      <c r="M637" s="595"/>
      <c r="N637" s="595"/>
      <c r="O637" s="595"/>
      <c r="P637" s="595"/>
      <c r="Q637" s="595"/>
      <c r="R637" s="595"/>
      <c r="S637" s="595"/>
      <c r="T637" s="595"/>
      <c r="U637" s="595"/>
      <c r="V637" s="595"/>
      <c r="W637" s="595"/>
      <c r="X637" s="595"/>
      <c r="Y637" s="595"/>
      <c r="Z637" s="595"/>
    </row>
    <row r="638" spans="1:26" ht="19.5" customHeight="1">
      <c r="A638" s="595"/>
      <c r="B638" s="595"/>
      <c r="C638" s="596"/>
      <c r="D638" s="595"/>
      <c r="E638" s="595"/>
      <c r="F638" s="595"/>
      <c r="G638" s="595"/>
      <c r="H638" s="595"/>
      <c r="I638" s="595"/>
      <c r="J638" s="595"/>
      <c r="K638" s="595"/>
      <c r="L638" s="595"/>
      <c r="M638" s="595"/>
      <c r="N638" s="595"/>
      <c r="O638" s="595"/>
      <c r="P638" s="595"/>
      <c r="Q638" s="595"/>
      <c r="R638" s="595"/>
      <c r="S638" s="595"/>
      <c r="T638" s="595"/>
      <c r="U638" s="595"/>
      <c r="V638" s="595"/>
      <c r="W638" s="595"/>
      <c r="X638" s="595"/>
      <c r="Y638" s="595"/>
      <c r="Z638" s="595"/>
    </row>
    <row r="639" spans="1:26" ht="19.5" customHeight="1">
      <c r="A639" s="595"/>
      <c r="B639" s="595"/>
      <c r="C639" s="596"/>
      <c r="D639" s="595"/>
      <c r="E639" s="595"/>
      <c r="F639" s="595"/>
      <c r="G639" s="595"/>
      <c r="H639" s="595"/>
      <c r="I639" s="595"/>
      <c r="J639" s="595"/>
      <c r="K639" s="595"/>
      <c r="L639" s="595"/>
      <c r="M639" s="595"/>
      <c r="N639" s="595"/>
      <c r="O639" s="595"/>
      <c r="P639" s="595"/>
      <c r="Q639" s="595"/>
      <c r="R639" s="595"/>
      <c r="S639" s="595"/>
      <c r="T639" s="595"/>
      <c r="U639" s="595"/>
      <c r="V639" s="595"/>
      <c r="W639" s="595"/>
      <c r="X639" s="595"/>
      <c r="Y639" s="595"/>
      <c r="Z639" s="595"/>
    </row>
    <row r="640" spans="1:26" ht="19.5" customHeight="1">
      <c r="A640" s="595"/>
      <c r="B640" s="595"/>
      <c r="C640" s="596"/>
      <c r="D640" s="595"/>
      <c r="E640" s="595"/>
      <c r="F640" s="595"/>
      <c r="G640" s="595"/>
      <c r="H640" s="595"/>
      <c r="I640" s="595"/>
      <c r="J640" s="595"/>
      <c r="K640" s="595"/>
      <c r="L640" s="595"/>
      <c r="M640" s="595"/>
      <c r="N640" s="595"/>
      <c r="O640" s="595"/>
      <c r="P640" s="595"/>
      <c r="Q640" s="595"/>
      <c r="R640" s="595"/>
      <c r="S640" s="595"/>
      <c r="T640" s="595"/>
      <c r="U640" s="595"/>
      <c r="V640" s="595"/>
      <c r="W640" s="595"/>
      <c r="X640" s="595"/>
      <c r="Y640" s="595"/>
      <c r="Z640" s="595"/>
    </row>
    <row r="641" spans="1:26" ht="19.5" customHeight="1">
      <c r="A641" s="595"/>
      <c r="B641" s="595"/>
      <c r="C641" s="596"/>
      <c r="D641" s="595"/>
      <c r="E641" s="595"/>
      <c r="F641" s="595"/>
      <c r="G641" s="595"/>
      <c r="H641" s="595"/>
      <c r="I641" s="595"/>
      <c r="J641" s="595"/>
      <c r="K641" s="595"/>
      <c r="L641" s="595"/>
      <c r="M641" s="595"/>
      <c r="N641" s="595"/>
      <c r="O641" s="595"/>
      <c r="P641" s="595"/>
      <c r="Q641" s="595"/>
      <c r="R641" s="595"/>
      <c r="S641" s="595"/>
      <c r="T641" s="595"/>
      <c r="U641" s="595"/>
      <c r="V641" s="595"/>
      <c r="W641" s="595"/>
      <c r="X641" s="595"/>
      <c r="Y641" s="595"/>
      <c r="Z641" s="595"/>
    </row>
    <row r="642" spans="1:26" ht="19.5" customHeight="1">
      <c r="A642" s="595"/>
      <c r="B642" s="595"/>
      <c r="C642" s="596"/>
      <c r="D642" s="595"/>
      <c r="E642" s="595"/>
      <c r="F642" s="595"/>
      <c r="G642" s="595"/>
      <c r="H642" s="595"/>
      <c r="I642" s="595"/>
      <c r="J642" s="595"/>
      <c r="K642" s="595"/>
      <c r="L642" s="595"/>
      <c r="M642" s="595"/>
      <c r="N642" s="595"/>
      <c r="O642" s="595"/>
      <c r="P642" s="595"/>
      <c r="Q642" s="595"/>
      <c r="R642" s="595"/>
      <c r="S642" s="595"/>
      <c r="T642" s="595"/>
      <c r="U642" s="595"/>
      <c r="V642" s="595"/>
      <c r="W642" s="595"/>
      <c r="X642" s="595"/>
      <c r="Y642" s="595"/>
      <c r="Z642" s="595"/>
    </row>
    <row r="643" spans="1:26" ht="19.5" customHeight="1">
      <c r="A643" s="595"/>
      <c r="B643" s="595"/>
      <c r="C643" s="596"/>
      <c r="D643" s="595"/>
      <c r="E643" s="595"/>
      <c r="F643" s="595"/>
      <c r="G643" s="595"/>
      <c r="H643" s="595"/>
      <c r="I643" s="595"/>
      <c r="J643" s="595"/>
      <c r="K643" s="595"/>
      <c r="L643" s="595"/>
      <c r="M643" s="595"/>
      <c r="N643" s="595"/>
      <c r="O643" s="595"/>
      <c r="P643" s="595"/>
      <c r="Q643" s="595"/>
      <c r="R643" s="595"/>
      <c r="S643" s="595"/>
      <c r="T643" s="595"/>
      <c r="U643" s="595"/>
      <c r="V643" s="595"/>
      <c r="W643" s="595"/>
      <c r="X643" s="595"/>
      <c r="Y643" s="595"/>
      <c r="Z643" s="595"/>
    </row>
    <row r="644" spans="1:26" ht="19.5" customHeight="1">
      <c r="A644" s="595"/>
      <c r="B644" s="595"/>
      <c r="C644" s="596"/>
      <c r="D644" s="595"/>
      <c r="E644" s="595"/>
      <c r="F644" s="595"/>
      <c r="G644" s="595"/>
      <c r="H644" s="595"/>
      <c r="I644" s="595"/>
      <c r="J644" s="595"/>
      <c r="K644" s="595"/>
      <c r="L644" s="595"/>
      <c r="M644" s="595"/>
      <c r="N644" s="595"/>
      <c r="O644" s="595"/>
      <c r="P644" s="595"/>
      <c r="Q644" s="595"/>
      <c r="R644" s="595"/>
      <c r="S644" s="595"/>
      <c r="T644" s="595"/>
      <c r="U644" s="595"/>
      <c r="V644" s="595"/>
      <c r="W644" s="595"/>
      <c r="X644" s="595"/>
      <c r="Y644" s="595"/>
      <c r="Z644" s="595"/>
    </row>
    <row r="645" spans="1:26" ht="19.5" customHeight="1">
      <c r="A645" s="595"/>
      <c r="B645" s="595"/>
      <c r="C645" s="596"/>
      <c r="D645" s="595"/>
      <c r="E645" s="595"/>
      <c r="F645" s="595"/>
      <c r="G645" s="595"/>
      <c r="H645" s="595"/>
      <c r="I645" s="595"/>
      <c r="J645" s="595"/>
      <c r="K645" s="595"/>
      <c r="L645" s="595"/>
      <c r="M645" s="595"/>
      <c r="N645" s="595"/>
      <c r="O645" s="595"/>
      <c r="P645" s="595"/>
      <c r="Q645" s="595"/>
      <c r="R645" s="595"/>
      <c r="S645" s="595"/>
      <c r="T645" s="595"/>
      <c r="U645" s="595"/>
      <c r="V645" s="595"/>
      <c r="W645" s="595"/>
      <c r="X645" s="595"/>
      <c r="Y645" s="595"/>
      <c r="Z645" s="595"/>
    </row>
    <row r="646" spans="1:26" ht="19.5" customHeight="1">
      <c r="A646" s="595"/>
      <c r="B646" s="595"/>
      <c r="C646" s="596"/>
      <c r="D646" s="595"/>
      <c r="E646" s="595"/>
      <c r="F646" s="595"/>
      <c r="G646" s="595"/>
      <c r="H646" s="595"/>
      <c r="I646" s="595"/>
      <c r="J646" s="595"/>
      <c r="K646" s="595"/>
      <c r="L646" s="595"/>
      <c r="M646" s="595"/>
      <c r="N646" s="595"/>
      <c r="O646" s="595"/>
      <c r="P646" s="595"/>
      <c r="Q646" s="595"/>
      <c r="R646" s="595"/>
      <c r="S646" s="595"/>
      <c r="T646" s="595"/>
      <c r="U646" s="595"/>
      <c r="V646" s="595"/>
      <c r="W646" s="595"/>
      <c r="X646" s="595"/>
      <c r="Y646" s="595"/>
      <c r="Z646" s="595"/>
    </row>
    <row r="647" spans="1:26" ht="19.5" customHeight="1">
      <c r="A647" s="595"/>
      <c r="B647" s="595"/>
      <c r="C647" s="596"/>
      <c r="D647" s="595"/>
      <c r="E647" s="595"/>
      <c r="F647" s="595"/>
      <c r="G647" s="595"/>
      <c r="H647" s="595"/>
      <c r="I647" s="595"/>
      <c r="J647" s="595"/>
      <c r="K647" s="595"/>
      <c r="L647" s="595"/>
      <c r="M647" s="595"/>
      <c r="N647" s="595"/>
      <c r="O647" s="595"/>
      <c r="P647" s="595"/>
      <c r="Q647" s="595"/>
      <c r="R647" s="595"/>
      <c r="S647" s="595"/>
      <c r="T647" s="595"/>
      <c r="U647" s="595"/>
      <c r="V647" s="595"/>
      <c r="W647" s="595"/>
      <c r="X647" s="595"/>
      <c r="Y647" s="595"/>
      <c r="Z647" s="595"/>
    </row>
    <row r="648" spans="1:26" ht="19.5" customHeight="1">
      <c r="A648" s="595"/>
      <c r="B648" s="595"/>
      <c r="C648" s="596"/>
      <c r="D648" s="595"/>
      <c r="E648" s="595"/>
      <c r="F648" s="595"/>
      <c r="G648" s="595"/>
      <c r="H648" s="595"/>
      <c r="I648" s="595"/>
      <c r="J648" s="595"/>
      <c r="K648" s="595"/>
      <c r="L648" s="595"/>
      <c r="M648" s="595"/>
      <c r="N648" s="595"/>
      <c r="O648" s="595"/>
      <c r="P648" s="595"/>
      <c r="Q648" s="595"/>
      <c r="R648" s="595"/>
      <c r="S648" s="595"/>
      <c r="T648" s="595"/>
      <c r="U648" s="595"/>
      <c r="V648" s="595"/>
      <c r="W648" s="595"/>
      <c r="X648" s="595"/>
      <c r="Y648" s="595"/>
      <c r="Z648" s="595"/>
    </row>
    <row r="649" spans="1:26" ht="19.5" customHeight="1">
      <c r="A649" s="595"/>
      <c r="B649" s="595"/>
      <c r="C649" s="596"/>
      <c r="D649" s="595"/>
      <c r="E649" s="595"/>
      <c r="F649" s="595"/>
      <c r="G649" s="595"/>
      <c r="H649" s="595"/>
      <c r="I649" s="595"/>
      <c r="J649" s="595"/>
      <c r="K649" s="595"/>
      <c r="L649" s="595"/>
      <c r="M649" s="595"/>
      <c r="N649" s="595"/>
      <c r="O649" s="595"/>
      <c r="P649" s="595"/>
      <c r="Q649" s="595"/>
      <c r="R649" s="595"/>
      <c r="S649" s="595"/>
      <c r="T649" s="595"/>
      <c r="U649" s="595"/>
      <c r="V649" s="595"/>
      <c r="W649" s="595"/>
      <c r="X649" s="595"/>
      <c r="Y649" s="595"/>
      <c r="Z649" s="595"/>
    </row>
    <row r="650" spans="1:26" ht="19.5" customHeight="1">
      <c r="A650" s="595"/>
      <c r="B650" s="595"/>
      <c r="C650" s="596"/>
      <c r="D650" s="595"/>
      <c r="E650" s="595"/>
      <c r="F650" s="595"/>
      <c r="G650" s="595"/>
      <c r="H650" s="595"/>
      <c r="I650" s="595"/>
      <c r="J650" s="595"/>
      <c r="K650" s="595"/>
      <c r="L650" s="595"/>
      <c r="M650" s="595"/>
      <c r="N650" s="595"/>
      <c r="O650" s="595"/>
      <c r="P650" s="595"/>
      <c r="Q650" s="595"/>
      <c r="R650" s="595"/>
      <c r="S650" s="595"/>
      <c r="T650" s="595"/>
      <c r="U650" s="595"/>
      <c r="V650" s="595"/>
      <c r="W650" s="595"/>
      <c r="X650" s="595"/>
      <c r="Y650" s="595"/>
      <c r="Z650" s="595"/>
    </row>
    <row r="651" spans="1:26" ht="19.5" customHeight="1">
      <c r="A651" s="595"/>
      <c r="B651" s="595"/>
      <c r="C651" s="596"/>
      <c r="D651" s="595"/>
      <c r="E651" s="595"/>
      <c r="F651" s="595"/>
      <c r="G651" s="595"/>
      <c r="H651" s="595"/>
      <c r="I651" s="595"/>
      <c r="J651" s="595"/>
      <c r="K651" s="595"/>
      <c r="L651" s="595"/>
      <c r="M651" s="595"/>
      <c r="N651" s="595"/>
      <c r="O651" s="595"/>
      <c r="P651" s="595"/>
      <c r="Q651" s="595"/>
      <c r="R651" s="595"/>
      <c r="S651" s="595"/>
      <c r="T651" s="595"/>
      <c r="U651" s="595"/>
      <c r="V651" s="595"/>
      <c r="W651" s="595"/>
      <c r="X651" s="595"/>
      <c r="Y651" s="595"/>
      <c r="Z651" s="595"/>
    </row>
    <row r="652" spans="1:26" ht="19.5" customHeight="1">
      <c r="A652" s="595"/>
      <c r="B652" s="595"/>
      <c r="C652" s="596"/>
      <c r="D652" s="595"/>
      <c r="E652" s="595"/>
      <c r="F652" s="595"/>
      <c r="G652" s="595"/>
      <c r="H652" s="595"/>
      <c r="I652" s="595"/>
      <c r="J652" s="595"/>
      <c r="K652" s="595"/>
      <c r="L652" s="595"/>
      <c r="M652" s="595"/>
      <c r="N652" s="595"/>
      <c r="O652" s="595"/>
      <c r="P652" s="595"/>
      <c r="Q652" s="595"/>
      <c r="R652" s="595"/>
      <c r="S652" s="595"/>
      <c r="T652" s="595"/>
      <c r="U652" s="595"/>
      <c r="V652" s="595"/>
      <c r="W652" s="595"/>
      <c r="X652" s="595"/>
      <c r="Y652" s="595"/>
      <c r="Z652" s="595"/>
    </row>
    <row r="653" spans="1:26" ht="19.5" customHeight="1">
      <c r="A653" s="595"/>
      <c r="B653" s="595"/>
      <c r="C653" s="596"/>
      <c r="D653" s="595"/>
      <c r="E653" s="595"/>
      <c r="F653" s="595"/>
      <c r="G653" s="595"/>
      <c r="H653" s="595"/>
      <c r="I653" s="595"/>
      <c r="J653" s="595"/>
      <c r="K653" s="595"/>
      <c r="L653" s="595"/>
      <c r="M653" s="595"/>
      <c r="N653" s="595"/>
      <c r="O653" s="595"/>
      <c r="P653" s="595"/>
      <c r="Q653" s="595"/>
      <c r="R653" s="595"/>
      <c r="S653" s="595"/>
      <c r="T653" s="595"/>
      <c r="U653" s="595"/>
      <c r="V653" s="595"/>
      <c r="W653" s="595"/>
      <c r="X653" s="595"/>
      <c r="Y653" s="595"/>
      <c r="Z653" s="595"/>
    </row>
    <row r="654" spans="1:26" ht="19.5" customHeight="1">
      <c r="A654" s="595"/>
      <c r="B654" s="595"/>
      <c r="C654" s="596"/>
      <c r="D654" s="595"/>
      <c r="E654" s="595"/>
      <c r="F654" s="595"/>
      <c r="G654" s="595"/>
      <c r="H654" s="595"/>
      <c r="I654" s="595"/>
      <c r="J654" s="595"/>
      <c r="K654" s="595"/>
      <c r="L654" s="595"/>
      <c r="M654" s="595"/>
      <c r="N654" s="595"/>
      <c r="O654" s="595"/>
      <c r="P654" s="595"/>
      <c r="Q654" s="595"/>
      <c r="R654" s="595"/>
      <c r="S654" s="595"/>
      <c r="T654" s="595"/>
      <c r="U654" s="595"/>
      <c r="V654" s="595"/>
      <c r="W654" s="595"/>
      <c r="X654" s="595"/>
      <c r="Y654" s="595"/>
      <c r="Z654" s="595"/>
    </row>
    <row r="655" spans="1:26" ht="19.5" customHeight="1">
      <c r="A655" s="595"/>
      <c r="B655" s="595"/>
      <c r="C655" s="596"/>
      <c r="D655" s="595"/>
      <c r="E655" s="595"/>
      <c r="F655" s="595"/>
      <c r="G655" s="595"/>
      <c r="H655" s="595"/>
      <c r="I655" s="595"/>
      <c r="J655" s="595"/>
      <c r="K655" s="595"/>
      <c r="L655" s="595"/>
      <c r="M655" s="595"/>
      <c r="N655" s="595"/>
      <c r="O655" s="595"/>
      <c r="P655" s="595"/>
      <c r="Q655" s="595"/>
      <c r="R655" s="595"/>
      <c r="S655" s="595"/>
      <c r="T655" s="595"/>
      <c r="U655" s="595"/>
      <c r="V655" s="595"/>
      <c r="W655" s="595"/>
      <c r="X655" s="595"/>
      <c r="Y655" s="595"/>
      <c r="Z655" s="595"/>
    </row>
    <row r="656" spans="1:26" ht="19.5" customHeight="1">
      <c r="A656" s="595"/>
      <c r="B656" s="595"/>
      <c r="C656" s="596"/>
      <c r="D656" s="595"/>
      <c r="E656" s="595"/>
      <c r="F656" s="595"/>
      <c r="G656" s="595"/>
      <c r="H656" s="595"/>
      <c r="I656" s="595"/>
      <c r="J656" s="595"/>
      <c r="K656" s="595"/>
      <c r="L656" s="595"/>
      <c r="M656" s="595"/>
      <c r="N656" s="595"/>
      <c r="O656" s="595"/>
      <c r="P656" s="595"/>
      <c r="Q656" s="595"/>
      <c r="R656" s="595"/>
      <c r="S656" s="595"/>
      <c r="T656" s="595"/>
      <c r="U656" s="595"/>
      <c r="V656" s="595"/>
      <c r="W656" s="595"/>
      <c r="X656" s="595"/>
      <c r="Y656" s="595"/>
      <c r="Z656" s="595"/>
    </row>
    <row r="657" spans="1:26" ht="19.5" customHeight="1">
      <c r="A657" s="595"/>
      <c r="B657" s="595"/>
      <c r="C657" s="596"/>
      <c r="D657" s="595"/>
      <c r="E657" s="595"/>
      <c r="F657" s="595"/>
      <c r="G657" s="595"/>
      <c r="H657" s="595"/>
      <c r="I657" s="595"/>
      <c r="J657" s="595"/>
      <c r="K657" s="595"/>
      <c r="L657" s="595"/>
      <c r="M657" s="595"/>
      <c r="N657" s="595"/>
      <c r="O657" s="595"/>
      <c r="P657" s="595"/>
      <c r="Q657" s="595"/>
      <c r="R657" s="595"/>
      <c r="S657" s="595"/>
      <c r="T657" s="595"/>
      <c r="U657" s="595"/>
      <c r="V657" s="595"/>
      <c r="W657" s="595"/>
      <c r="X657" s="595"/>
      <c r="Y657" s="595"/>
      <c r="Z657" s="595"/>
    </row>
    <row r="658" spans="1:26" ht="19.5" customHeight="1">
      <c r="A658" s="595"/>
      <c r="B658" s="595"/>
      <c r="C658" s="596"/>
      <c r="D658" s="595"/>
      <c r="E658" s="595"/>
      <c r="F658" s="595"/>
      <c r="G658" s="595"/>
      <c r="H658" s="595"/>
      <c r="I658" s="595"/>
      <c r="J658" s="595"/>
      <c r="K658" s="595"/>
      <c r="L658" s="595"/>
      <c r="M658" s="595"/>
      <c r="N658" s="595"/>
      <c r="O658" s="595"/>
      <c r="P658" s="595"/>
      <c r="Q658" s="595"/>
      <c r="R658" s="595"/>
      <c r="S658" s="595"/>
      <c r="T658" s="595"/>
      <c r="U658" s="595"/>
      <c r="V658" s="595"/>
      <c r="W658" s="595"/>
      <c r="X658" s="595"/>
      <c r="Y658" s="595"/>
      <c r="Z658" s="595"/>
    </row>
    <row r="659" spans="1:26" ht="19.5" customHeight="1">
      <c r="A659" s="595"/>
      <c r="B659" s="595"/>
      <c r="C659" s="596"/>
      <c r="D659" s="595"/>
      <c r="E659" s="595"/>
      <c r="F659" s="595"/>
      <c r="G659" s="595"/>
      <c r="H659" s="595"/>
      <c r="I659" s="595"/>
      <c r="J659" s="595"/>
      <c r="K659" s="595"/>
      <c r="L659" s="595"/>
      <c r="M659" s="595"/>
      <c r="N659" s="595"/>
      <c r="O659" s="595"/>
      <c r="P659" s="595"/>
      <c r="Q659" s="595"/>
      <c r="R659" s="595"/>
      <c r="S659" s="595"/>
      <c r="T659" s="595"/>
      <c r="U659" s="595"/>
      <c r="V659" s="595"/>
      <c r="W659" s="595"/>
      <c r="X659" s="595"/>
      <c r="Y659" s="595"/>
      <c r="Z659" s="595"/>
    </row>
    <row r="660" spans="1:26" ht="19.5" customHeight="1">
      <c r="A660" s="595"/>
      <c r="B660" s="595"/>
      <c r="C660" s="596"/>
      <c r="D660" s="595"/>
      <c r="E660" s="595"/>
      <c r="F660" s="595"/>
      <c r="G660" s="595"/>
      <c r="H660" s="595"/>
      <c r="I660" s="595"/>
      <c r="J660" s="595"/>
      <c r="K660" s="595"/>
      <c r="L660" s="595"/>
      <c r="M660" s="595"/>
      <c r="N660" s="595"/>
      <c r="O660" s="595"/>
      <c r="P660" s="595"/>
      <c r="Q660" s="595"/>
      <c r="R660" s="595"/>
      <c r="S660" s="595"/>
      <c r="T660" s="595"/>
      <c r="U660" s="595"/>
      <c r="V660" s="595"/>
      <c r="W660" s="595"/>
      <c r="X660" s="595"/>
      <c r="Y660" s="595"/>
      <c r="Z660" s="595"/>
    </row>
    <row r="661" spans="1:26" ht="19.5" customHeight="1">
      <c r="A661" s="595"/>
      <c r="B661" s="595"/>
      <c r="C661" s="596"/>
      <c r="D661" s="595"/>
      <c r="E661" s="595"/>
      <c r="F661" s="595"/>
      <c r="G661" s="595"/>
      <c r="H661" s="595"/>
      <c r="I661" s="595"/>
      <c r="J661" s="595"/>
      <c r="K661" s="595"/>
      <c r="L661" s="595"/>
      <c r="M661" s="595"/>
      <c r="N661" s="595"/>
      <c r="O661" s="595"/>
      <c r="P661" s="595"/>
      <c r="Q661" s="595"/>
      <c r="R661" s="595"/>
      <c r="S661" s="595"/>
      <c r="T661" s="595"/>
      <c r="U661" s="595"/>
      <c r="V661" s="595"/>
      <c r="W661" s="595"/>
      <c r="X661" s="595"/>
      <c r="Y661" s="595"/>
      <c r="Z661" s="595"/>
    </row>
    <row r="662" spans="1:26" ht="19.5" customHeight="1">
      <c r="A662" s="595"/>
      <c r="B662" s="595"/>
      <c r="C662" s="596"/>
      <c r="D662" s="595"/>
      <c r="E662" s="595"/>
      <c r="F662" s="595"/>
      <c r="G662" s="595"/>
      <c r="H662" s="595"/>
      <c r="I662" s="595"/>
      <c r="J662" s="595"/>
      <c r="K662" s="595"/>
      <c r="L662" s="595"/>
      <c r="M662" s="595"/>
      <c r="N662" s="595"/>
      <c r="O662" s="595"/>
      <c r="P662" s="595"/>
      <c r="Q662" s="595"/>
      <c r="R662" s="595"/>
      <c r="S662" s="595"/>
      <c r="T662" s="595"/>
      <c r="U662" s="595"/>
      <c r="V662" s="595"/>
      <c r="W662" s="595"/>
      <c r="X662" s="595"/>
      <c r="Y662" s="595"/>
      <c r="Z662" s="595"/>
    </row>
    <row r="663" spans="1:26" ht="19.5" customHeight="1">
      <c r="A663" s="595"/>
      <c r="B663" s="595"/>
      <c r="C663" s="596"/>
      <c r="D663" s="595"/>
      <c r="E663" s="595"/>
      <c r="F663" s="595"/>
      <c r="G663" s="595"/>
      <c r="H663" s="595"/>
      <c r="I663" s="595"/>
      <c r="J663" s="595"/>
      <c r="K663" s="595"/>
      <c r="L663" s="595"/>
      <c r="M663" s="595"/>
      <c r="N663" s="595"/>
      <c r="O663" s="595"/>
      <c r="P663" s="595"/>
      <c r="Q663" s="595"/>
      <c r="R663" s="595"/>
      <c r="S663" s="595"/>
      <c r="T663" s="595"/>
      <c r="U663" s="595"/>
      <c r="V663" s="595"/>
      <c r="W663" s="595"/>
      <c r="X663" s="595"/>
      <c r="Y663" s="595"/>
      <c r="Z663" s="595"/>
    </row>
    <row r="664" spans="1:26" ht="19.5" customHeight="1">
      <c r="A664" s="595"/>
      <c r="B664" s="595"/>
      <c r="C664" s="596"/>
      <c r="D664" s="595"/>
      <c r="E664" s="595"/>
      <c r="F664" s="595"/>
      <c r="G664" s="595"/>
      <c r="H664" s="595"/>
      <c r="I664" s="595"/>
      <c r="J664" s="595"/>
      <c r="K664" s="595"/>
      <c r="L664" s="595"/>
      <c r="M664" s="595"/>
      <c r="N664" s="595"/>
      <c r="O664" s="595"/>
      <c r="P664" s="595"/>
      <c r="Q664" s="595"/>
      <c r="R664" s="595"/>
      <c r="S664" s="595"/>
      <c r="T664" s="595"/>
      <c r="U664" s="595"/>
      <c r="V664" s="595"/>
      <c r="W664" s="595"/>
      <c r="X664" s="595"/>
      <c r="Y664" s="595"/>
      <c r="Z664" s="595"/>
    </row>
    <row r="665" spans="1:26" ht="19.5" customHeight="1">
      <c r="A665" s="595"/>
      <c r="B665" s="595"/>
      <c r="C665" s="596"/>
      <c r="D665" s="595"/>
      <c r="E665" s="595"/>
      <c r="F665" s="595"/>
      <c r="G665" s="595"/>
      <c r="H665" s="595"/>
      <c r="I665" s="595"/>
      <c r="J665" s="595"/>
      <c r="K665" s="595"/>
      <c r="L665" s="595"/>
      <c r="M665" s="595"/>
      <c r="N665" s="595"/>
      <c r="O665" s="595"/>
      <c r="P665" s="595"/>
      <c r="Q665" s="595"/>
      <c r="R665" s="595"/>
      <c r="S665" s="595"/>
      <c r="T665" s="595"/>
      <c r="U665" s="595"/>
      <c r="V665" s="595"/>
      <c r="W665" s="595"/>
      <c r="X665" s="595"/>
      <c r="Y665" s="595"/>
      <c r="Z665" s="595"/>
    </row>
    <row r="666" spans="1:26" ht="19.5" customHeight="1">
      <c r="A666" s="595"/>
      <c r="B666" s="595"/>
      <c r="C666" s="596"/>
      <c r="D666" s="595"/>
      <c r="E666" s="595"/>
      <c r="F666" s="595"/>
      <c r="G666" s="595"/>
      <c r="H666" s="595"/>
      <c r="I666" s="595"/>
      <c r="J666" s="595"/>
      <c r="K666" s="595"/>
      <c r="L666" s="595"/>
      <c r="M666" s="595"/>
      <c r="N666" s="595"/>
      <c r="O666" s="595"/>
      <c r="P666" s="595"/>
      <c r="Q666" s="595"/>
      <c r="R666" s="595"/>
      <c r="S666" s="595"/>
      <c r="T666" s="595"/>
      <c r="U666" s="595"/>
      <c r="V666" s="595"/>
      <c r="W666" s="595"/>
      <c r="X666" s="595"/>
      <c r="Y666" s="595"/>
      <c r="Z666" s="595"/>
    </row>
    <row r="667" spans="1:26" ht="19.5" customHeight="1">
      <c r="A667" s="595"/>
      <c r="B667" s="595"/>
      <c r="C667" s="596"/>
      <c r="D667" s="595"/>
      <c r="E667" s="595"/>
      <c r="F667" s="595"/>
      <c r="G667" s="595"/>
      <c r="H667" s="595"/>
      <c r="I667" s="595"/>
      <c r="J667" s="595"/>
      <c r="K667" s="595"/>
      <c r="L667" s="595"/>
      <c r="M667" s="595"/>
      <c r="N667" s="595"/>
      <c r="O667" s="595"/>
      <c r="P667" s="595"/>
      <c r="Q667" s="595"/>
      <c r="R667" s="595"/>
      <c r="S667" s="595"/>
      <c r="T667" s="595"/>
      <c r="U667" s="595"/>
      <c r="V667" s="595"/>
      <c r="W667" s="595"/>
      <c r="X667" s="595"/>
      <c r="Y667" s="595"/>
      <c r="Z667" s="595"/>
    </row>
    <row r="668" spans="1:26" ht="19.5" customHeight="1">
      <c r="A668" s="595"/>
      <c r="B668" s="595"/>
      <c r="C668" s="596"/>
      <c r="D668" s="595"/>
      <c r="E668" s="595"/>
      <c r="F668" s="595"/>
      <c r="G668" s="595"/>
      <c r="H668" s="595"/>
      <c r="I668" s="595"/>
      <c r="J668" s="595"/>
      <c r="K668" s="595"/>
      <c r="L668" s="595"/>
      <c r="M668" s="595"/>
      <c r="N668" s="595"/>
      <c r="O668" s="595"/>
      <c r="P668" s="595"/>
      <c r="Q668" s="595"/>
      <c r="R668" s="595"/>
      <c r="S668" s="595"/>
      <c r="T668" s="595"/>
      <c r="U668" s="595"/>
      <c r="V668" s="595"/>
      <c r="W668" s="595"/>
      <c r="X668" s="595"/>
      <c r="Y668" s="595"/>
      <c r="Z668" s="595"/>
    </row>
    <row r="669" spans="1:26" ht="19.5" customHeight="1">
      <c r="A669" s="595"/>
      <c r="B669" s="595"/>
      <c r="C669" s="596"/>
      <c r="D669" s="595"/>
      <c r="E669" s="595"/>
      <c r="F669" s="595"/>
      <c r="G669" s="595"/>
      <c r="H669" s="595"/>
      <c r="I669" s="595"/>
      <c r="J669" s="595"/>
      <c r="K669" s="595"/>
      <c r="L669" s="595"/>
      <c r="M669" s="595"/>
      <c r="N669" s="595"/>
      <c r="O669" s="595"/>
      <c r="P669" s="595"/>
      <c r="Q669" s="595"/>
      <c r="R669" s="595"/>
      <c r="S669" s="595"/>
      <c r="T669" s="595"/>
      <c r="U669" s="595"/>
      <c r="V669" s="595"/>
      <c r="W669" s="595"/>
      <c r="X669" s="595"/>
      <c r="Y669" s="595"/>
      <c r="Z669" s="595"/>
    </row>
    <row r="670" spans="1:26" ht="19.5" customHeight="1">
      <c r="A670" s="595"/>
      <c r="B670" s="595"/>
      <c r="C670" s="596"/>
      <c r="D670" s="595"/>
      <c r="E670" s="595"/>
      <c r="F670" s="595"/>
      <c r="G670" s="595"/>
      <c r="H670" s="595"/>
      <c r="I670" s="595"/>
      <c r="J670" s="595"/>
      <c r="K670" s="595"/>
      <c r="L670" s="595"/>
      <c r="M670" s="595"/>
      <c r="N670" s="595"/>
      <c r="O670" s="595"/>
      <c r="P670" s="595"/>
      <c r="Q670" s="595"/>
      <c r="R670" s="595"/>
      <c r="S670" s="595"/>
      <c r="T670" s="595"/>
      <c r="U670" s="595"/>
      <c r="V670" s="595"/>
      <c r="W670" s="595"/>
      <c r="X670" s="595"/>
      <c r="Y670" s="595"/>
      <c r="Z670" s="595"/>
    </row>
    <row r="671" spans="1:26" ht="19.5" customHeight="1">
      <c r="A671" s="595"/>
      <c r="B671" s="595"/>
      <c r="C671" s="596"/>
      <c r="D671" s="595"/>
      <c r="E671" s="595"/>
      <c r="F671" s="595"/>
      <c r="G671" s="595"/>
      <c r="H671" s="595"/>
      <c r="I671" s="595"/>
      <c r="J671" s="595"/>
      <c r="K671" s="595"/>
      <c r="L671" s="595"/>
      <c r="M671" s="595"/>
      <c r="N671" s="595"/>
      <c r="O671" s="595"/>
      <c r="P671" s="595"/>
      <c r="Q671" s="595"/>
      <c r="R671" s="595"/>
      <c r="S671" s="595"/>
      <c r="T671" s="595"/>
      <c r="U671" s="595"/>
      <c r="V671" s="595"/>
      <c r="W671" s="595"/>
      <c r="X671" s="595"/>
      <c r="Y671" s="595"/>
      <c r="Z671" s="595"/>
    </row>
    <row r="672" spans="1:26" ht="19.5" customHeight="1">
      <c r="A672" s="595"/>
      <c r="B672" s="595"/>
      <c r="C672" s="596"/>
      <c r="D672" s="595"/>
      <c r="E672" s="595"/>
      <c r="F672" s="595"/>
      <c r="G672" s="595"/>
      <c r="H672" s="595"/>
      <c r="I672" s="595"/>
      <c r="J672" s="595"/>
      <c r="K672" s="595"/>
      <c r="L672" s="595"/>
      <c r="M672" s="595"/>
      <c r="N672" s="595"/>
      <c r="O672" s="595"/>
      <c r="P672" s="595"/>
      <c r="Q672" s="595"/>
      <c r="R672" s="595"/>
      <c r="S672" s="595"/>
      <c r="T672" s="595"/>
      <c r="U672" s="595"/>
      <c r="V672" s="595"/>
      <c r="W672" s="595"/>
      <c r="X672" s="595"/>
      <c r="Y672" s="595"/>
      <c r="Z672" s="595"/>
    </row>
    <row r="673" spans="1:26" ht="19.5" customHeight="1">
      <c r="A673" s="595"/>
      <c r="B673" s="595"/>
      <c r="C673" s="596"/>
      <c r="D673" s="595"/>
      <c r="E673" s="595"/>
      <c r="F673" s="595"/>
      <c r="G673" s="595"/>
      <c r="H673" s="595"/>
      <c r="I673" s="595"/>
      <c r="J673" s="595"/>
      <c r="K673" s="595"/>
      <c r="L673" s="595"/>
      <c r="M673" s="595"/>
      <c r="N673" s="595"/>
      <c r="O673" s="595"/>
      <c r="P673" s="595"/>
      <c r="Q673" s="595"/>
      <c r="R673" s="595"/>
      <c r="S673" s="595"/>
      <c r="T673" s="595"/>
      <c r="U673" s="595"/>
      <c r="V673" s="595"/>
      <c r="W673" s="595"/>
      <c r="X673" s="595"/>
      <c r="Y673" s="595"/>
      <c r="Z673" s="595"/>
    </row>
    <row r="674" spans="1:26" ht="19.5" customHeight="1">
      <c r="A674" s="595"/>
      <c r="B674" s="595"/>
      <c r="C674" s="596"/>
      <c r="D674" s="595"/>
      <c r="E674" s="595"/>
      <c r="F674" s="595"/>
      <c r="G674" s="595"/>
      <c r="H674" s="595"/>
      <c r="I674" s="595"/>
      <c r="J674" s="595"/>
      <c r="K674" s="595"/>
      <c r="L674" s="595"/>
      <c r="M674" s="595"/>
      <c r="N674" s="595"/>
      <c r="O674" s="595"/>
      <c r="P674" s="595"/>
      <c r="Q674" s="595"/>
      <c r="R674" s="595"/>
      <c r="S674" s="595"/>
      <c r="T674" s="595"/>
      <c r="U674" s="595"/>
      <c r="V674" s="595"/>
      <c r="W674" s="595"/>
      <c r="X674" s="595"/>
      <c r="Y674" s="595"/>
      <c r="Z674" s="595"/>
    </row>
    <row r="675" spans="1:26" ht="19.5" customHeight="1">
      <c r="A675" s="595"/>
      <c r="B675" s="595"/>
      <c r="C675" s="596"/>
      <c r="D675" s="595"/>
      <c r="E675" s="595"/>
      <c r="F675" s="595"/>
      <c r="G675" s="595"/>
      <c r="H675" s="595"/>
      <c r="I675" s="595"/>
      <c r="J675" s="595"/>
      <c r="K675" s="595"/>
      <c r="L675" s="595"/>
      <c r="M675" s="595"/>
      <c r="N675" s="595"/>
      <c r="O675" s="595"/>
      <c r="P675" s="595"/>
      <c r="Q675" s="595"/>
      <c r="R675" s="595"/>
      <c r="S675" s="595"/>
      <c r="T675" s="595"/>
      <c r="U675" s="595"/>
      <c r="V675" s="595"/>
      <c r="W675" s="595"/>
      <c r="X675" s="595"/>
      <c r="Y675" s="595"/>
      <c r="Z675" s="595"/>
    </row>
    <row r="676" spans="1:26" ht="19.5" customHeight="1">
      <c r="A676" s="595"/>
      <c r="B676" s="595"/>
      <c r="C676" s="596"/>
      <c r="D676" s="595"/>
      <c r="E676" s="595"/>
      <c r="F676" s="595"/>
      <c r="G676" s="595"/>
      <c r="H676" s="595"/>
      <c r="I676" s="595"/>
      <c r="J676" s="595"/>
      <c r="K676" s="595"/>
      <c r="L676" s="595"/>
      <c r="M676" s="595"/>
      <c r="N676" s="595"/>
      <c r="O676" s="595"/>
      <c r="P676" s="595"/>
      <c r="Q676" s="595"/>
      <c r="R676" s="595"/>
      <c r="S676" s="595"/>
      <c r="T676" s="595"/>
      <c r="U676" s="595"/>
      <c r="V676" s="595"/>
      <c r="W676" s="595"/>
      <c r="X676" s="595"/>
      <c r="Y676" s="595"/>
      <c r="Z676" s="595"/>
    </row>
    <row r="677" spans="1:26" ht="19.5" customHeight="1">
      <c r="A677" s="595"/>
      <c r="B677" s="595"/>
      <c r="C677" s="596"/>
      <c r="D677" s="595"/>
      <c r="E677" s="595"/>
      <c r="F677" s="595"/>
      <c r="G677" s="595"/>
      <c r="H677" s="595"/>
      <c r="I677" s="595"/>
      <c r="J677" s="595"/>
      <c r="K677" s="595"/>
      <c r="L677" s="595"/>
      <c r="M677" s="595"/>
      <c r="N677" s="595"/>
      <c r="O677" s="595"/>
      <c r="P677" s="595"/>
      <c r="Q677" s="595"/>
      <c r="R677" s="595"/>
      <c r="S677" s="595"/>
      <c r="T677" s="595"/>
      <c r="U677" s="595"/>
      <c r="V677" s="595"/>
      <c r="W677" s="595"/>
      <c r="X677" s="595"/>
      <c r="Y677" s="595"/>
      <c r="Z677" s="595"/>
    </row>
    <row r="678" spans="1:26" ht="19.5" customHeight="1">
      <c r="A678" s="595"/>
      <c r="B678" s="595"/>
      <c r="C678" s="596"/>
      <c r="D678" s="595"/>
      <c r="E678" s="595"/>
      <c r="F678" s="595"/>
      <c r="G678" s="595"/>
      <c r="H678" s="595"/>
      <c r="I678" s="595"/>
      <c r="J678" s="595"/>
      <c r="K678" s="595"/>
      <c r="L678" s="595"/>
      <c r="M678" s="595"/>
      <c r="N678" s="595"/>
      <c r="O678" s="595"/>
      <c r="P678" s="595"/>
      <c r="Q678" s="595"/>
      <c r="R678" s="595"/>
      <c r="S678" s="595"/>
      <c r="T678" s="595"/>
      <c r="U678" s="595"/>
      <c r="V678" s="595"/>
      <c r="W678" s="595"/>
      <c r="X678" s="595"/>
      <c r="Y678" s="595"/>
      <c r="Z678" s="595"/>
    </row>
    <row r="679" spans="1:26" ht="19.5" customHeight="1">
      <c r="A679" s="595"/>
      <c r="B679" s="595"/>
      <c r="C679" s="596"/>
      <c r="D679" s="595"/>
      <c r="E679" s="595"/>
      <c r="F679" s="595"/>
      <c r="G679" s="595"/>
      <c r="H679" s="595"/>
      <c r="I679" s="595"/>
      <c r="J679" s="595"/>
      <c r="K679" s="595"/>
      <c r="L679" s="595"/>
      <c r="M679" s="595"/>
      <c r="N679" s="595"/>
      <c r="O679" s="595"/>
      <c r="P679" s="595"/>
      <c r="Q679" s="595"/>
      <c r="R679" s="595"/>
      <c r="S679" s="595"/>
      <c r="T679" s="595"/>
      <c r="U679" s="595"/>
      <c r="V679" s="595"/>
      <c r="W679" s="595"/>
      <c r="X679" s="595"/>
      <c r="Y679" s="595"/>
      <c r="Z679" s="595"/>
    </row>
    <row r="680" spans="1:26" ht="19.5" customHeight="1">
      <c r="A680" s="595"/>
      <c r="B680" s="595"/>
      <c r="C680" s="596"/>
      <c r="D680" s="595"/>
      <c r="E680" s="595"/>
      <c r="F680" s="595"/>
      <c r="G680" s="595"/>
      <c r="H680" s="595"/>
      <c r="I680" s="595"/>
      <c r="J680" s="595"/>
      <c r="K680" s="595"/>
      <c r="L680" s="595"/>
      <c r="M680" s="595"/>
      <c r="N680" s="595"/>
      <c r="O680" s="595"/>
      <c r="P680" s="595"/>
      <c r="Q680" s="595"/>
      <c r="R680" s="595"/>
      <c r="S680" s="595"/>
      <c r="T680" s="595"/>
      <c r="U680" s="595"/>
      <c r="V680" s="595"/>
      <c r="W680" s="595"/>
      <c r="X680" s="595"/>
      <c r="Y680" s="595"/>
      <c r="Z680" s="595"/>
    </row>
    <row r="681" spans="1:26" ht="19.5" customHeight="1">
      <c r="A681" s="595"/>
      <c r="B681" s="595"/>
      <c r="C681" s="596"/>
      <c r="D681" s="595"/>
      <c r="E681" s="595"/>
      <c r="F681" s="595"/>
      <c r="G681" s="595"/>
      <c r="H681" s="595"/>
      <c r="I681" s="595"/>
      <c r="J681" s="595"/>
      <c r="K681" s="595"/>
      <c r="L681" s="595"/>
      <c r="M681" s="595"/>
      <c r="N681" s="595"/>
      <c r="O681" s="595"/>
      <c r="P681" s="595"/>
      <c r="Q681" s="595"/>
      <c r="R681" s="595"/>
      <c r="S681" s="595"/>
      <c r="T681" s="595"/>
      <c r="U681" s="595"/>
      <c r="V681" s="595"/>
      <c r="W681" s="595"/>
      <c r="X681" s="595"/>
      <c r="Y681" s="595"/>
      <c r="Z681" s="595"/>
    </row>
    <row r="682" spans="1:26" ht="19.5" customHeight="1">
      <c r="A682" s="595"/>
      <c r="B682" s="595"/>
      <c r="C682" s="596"/>
      <c r="D682" s="595"/>
      <c r="E682" s="595"/>
      <c r="F682" s="595"/>
      <c r="G682" s="595"/>
      <c r="H682" s="595"/>
      <c r="I682" s="595"/>
      <c r="J682" s="595"/>
      <c r="K682" s="595"/>
      <c r="L682" s="595"/>
      <c r="M682" s="595"/>
      <c r="N682" s="595"/>
      <c r="O682" s="595"/>
      <c r="P682" s="595"/>
      <c r="Q682" s="595"/>
      <c r="R682" s="595"/>
      <c r="S682" s="595"/>
      <c r="T682" s="595"/>
      <c r="U682" s="595"/>
      <c r="V682" s="595"/>
      <c r="W682" s="595"/>
      <c r="X682" s="595"/>
      <c r="Y682" s="595"/>
      <c r="Z682" s="595"/>
    </row>
    <row r="683" spans="1:26" ht="19.5" customHeight="1">
      <c r="A683" s="595"/>
      <c r="B683" s="595"/>
      <c r="C683" s="596"/>
      <c r="D683" s="595"/>
      <c r="E683" s="595"/>
      <c r="F683" s="595"/>
      <c r="G683" s="595"/>
      <c r="H683" s="595"/>
      <c r="I683" s="595"/>
      <c r="J683" s="595"/>
      <c r="K683" s="595"/>
      <c r="L683" s="595"/>
      <c r="M683" s="595"/>
      <c r="N683" s="595"/>
      <c r="O683" s="595"/>
      <c r="P683" s="595"/>
      <c r="Q683" s="595"/>
      <c r="R683" s="595"/>
      <c r="S683" s="595"/>
      <c r="T683" s="595"/>
      <c r="U683" s="595"/>
      <c r="V683" s="595"/>
      <c r="W683" s="595"/>
      <c r="X683" s="595"/>
      <c r="Y683" s="595"/>
      <c r="Z683" s="595"/>
    </row>
    <row r="684" spans="1:26" ht="19.5" customHeight="1">
      <c r="A684" s="595"/>
      <c r="B684" s="595"/>
      <c r="C684" s="596"/>
      <c r="D684" s="595"/>
      <c r="E684" s="595"/>
      <c r="F684" s="595"/>
      <c r="G684" s="595"/>
      <c r="H684" s="595"/>
      <c r="I684" s="595"/>
      <c r="J684" s="595"/>
      <c r="K684" s="595"/>
      <c r="L684" s="595"/>
      <c r="M684" s="595"/>
      <c r="N684" s="595"/>
      <c r="O684" s="595"/>
      <c r="P684" s="595"/>
      <c r="Q684" s="595"/>
      <c r="R684" s="595"/>
      <c r="S684" s="595"/>
      <c r="T684" s="595"/>
      <c r="U684" s="595"/>
      <c r="V684" s="595"/>
      <c r="W684" s="595"/>
      <c r="X684" s="595"/>
      <c r="Y684" s="595"/>
      <c r="Z684" s="595"/>
    </row>
    <row r="685" spans="1:26" ht="19.5" customHeight="1">
      <c r="A685" s="595"/>
      <c r="B685" s="595"/>
      <c r="C685" s="596"/>
      <c r="D685" s="595"/>
      <c r="E685" s="595"/>
      <c r="F685" s="595"/>
      <c r="G685" s="595"/>
      <c r="H685" s="595"/>
      <c r="I685" s="595"/>
      <c r="J685" s="595"/>
      <c r="K685" s="595"/>
      <c r="L685" s="595"/>
      <c r="M685" s="595"/>
      <c r="N685" s="595"/>
      <c r="O685" s="595"/>
      <c r="P685" s="595"/>
      <c r="Q685" s="595"/>
      <c r="R685" s="595"/>
      <c r="S685" s="595"/>
      <c r="T685" s="595"/>
      <c r="U685" s="595"/>
      <c r="V685" s="595"/>
      <c r="W685" s="595"/>
      <c r="X685" s="595"/>
      <c r="Y685" s="595"/>
      <c r="Z685" s="595"/>
    </row>
    <row r="686" spans="1:26" ht="19.5" customHeight="1">
      <c r="A686" s="595"/>
      <c r="B686" s="595"/>
      <c r="C686" s="596"/>
      <c r="D686" s="595"/>
      <c r="E686" s="595"/>
      <c r="F686" s="595"/>
      <c r="G686" s="595"/>
      <c r="H686" s="595"/>
      <c r="I686" s="595"/>
      <c r="J686" s="595"/>
      <c r="K686" s="595"/>
      <c r="L686" s="595"/>
      <c r="M686" s="595"/>
      <c r="N686" s="595"/>
      <c r="O686" s="595"/>
      <c r="P686" s="595"/>
      <c r="Q686" s="595"/>
      <c r="R686" s="595"/>
      <c r="S686" s="595"/>
      <c r="T686" s="595"/>
      <c r="U686" s="595"/>
      <c r="V686" s="595"/>
      <c r="W686" s="595"/>
      <c r="X686" s="595"/>
      <c r="Y686" s="595"/>
      <c r="Z686" s="595"/>
    </row>
    <row r="687" spans="1:26" ht="19.5" customHeight="1">
      <c r="A687" s="595"/>
      <c r="B687" s="595"/>
      <c r="C687" s="596"/>
      <c r="D687" s="595"/>
      <c r="E687" s="595"/>
      <c r="F687" s="595"/>
      <c r="G687" s="595"/>
      <c r="H687" s="595"/>
      <c r="I687" s="595"/>
      <c r="J687" s="595"/>
      <c r="K687" s="595"/>
      <c r="L687" s="595"/>
      <c r="M687" s="595"/>
      <c r="N687" s="595"/>
      <c r="O687" s="595"/>
      <c r="P687" s="595"/>
      <c r="Q687" s="595"/>
      <c r="R687" s="595"/>
      <c r="S687" s="595"/>
      <c r="T687" s="595"/>
      <c r="U687" s="595"/>
      <c r="V687" s="595"/>
      <c r="W687" s="595"/>
      <c r="X687" s="595"/>
      <c r="Y687" s="595"/>
      <c r="Z687" s="595"/>
    </row>
    <row r="688" spans="1:26" ht="19.5" customHeight="1">
      <c r="A688" s="595"/>
      <c r="B688" s="595"/>
      <c r="C688" s="596"/>
      <c r="D688" s="595"/>
      <c r="E688" s="595"/>
      <c r="F688" s="595"/>
      <c r="G688" s="595"/>
      <c r="H688" s="595"/>
      <c r="I688" s="595"/>
      <c r="J688" s="595"/>
      <c r="K688" s="595"/>
      <c r="L688" s="595"/>
      <c r="M688" s="595"/>
      <c r="N688" s="595"/>
      <c r="O688" s="595"/>
      <c r="P688" s="595"/>
      <c r="Q688" s="595"/>
      <c r="R688" s="595"/>
      <c r="S688" s="595"/>
      <c r="T688" s="595"/>
      <c r="U688" s="595"/>
      <c r="V688" s="595"/>
      <c r="W688" s="595"/>
      <c r="X688" s="595"/>
      <c r="Y688" s="595"/>
      <c r="Z688" s="595"/>
    </row>
    <row r="689" spans="1:26" ht="19.5" customHeight="1">
      <c r="A689" s="595"/>
      <c r="B689" s="595"/>
      <c r="C689" s="596"/>
      <c r="D689" s="595"/>
      <c r="E689" s="595"/>
      <c r="F689" s="595"/>
      <c r="G689" s="595"/>
      <c r="H689" s="595"/>
      <c r="I689" s="595"/>
      <c r="J689" s="595"/>
      <c r="K689" s="595"/>
      <c r="L689" s="595"/>
      <c r="M689" s="595"/>
      <c r="N689" s="595"/>
      <c r="O689" s="595"/>
      <c r="P689" s="595"/>
      <c r="Q689" s="595"/>
      <c r="R689" s="595"/>
      <c r="S689" s="595"/>
      <c r="T689" s="595"/>
      <c r="U689" s="595"/>
      <c r="V689" s="595"/>
      <c r="W689" s="595"/>
      <c r="X689" s="595"/>
      <c r="Y689" s="595"/>
      <c r="Z689" s="595"/>
    </row>
    <row r="690" spans="1:26" ht="19.5" customHeight="1">
      <c r="A690" s="595"/>
      <c r="B690" s="595"/>
      <c r="C690" s="596"/>
      <c r="D690" s="595"/>
      <c r="E690" s="595"/>
      <c r="F690" s="595"/>
      <c r="G690" s="595"/>
      <c r="H690" s="595"/>
      <c r="I690" s="595"/>
      <c r="J690" s="595"/>
      <c r="K690" s="595"/>
      <c r="L690" s="595"/>
      <c r="M690" s="595"/>
      <c r="N690" s="595"/>
      <c r="O690" s="595"/>
      <c r="P690" s="595"/>
      <c r="Q690" s="595"/>
      <c r="R690" s="595"/>
      <c r="S690" s="595"/>
      <c r="T690" s="595"/>
      <c r="U690" s="595"/>
      <c r="V690" s="595"/>
      <c r="W690" s="595"/>
      <c r="X690" s="595"/>
      <c r="Y690" s="595"/>
      <c r="Z690" s="595"/>
    </row>
    <row r="691" spans="1:26" ht="19.5" customHeight="1">
      <c r="A691" s="595"/>
      <c r="B691" s="595"/>
      <c r="C691" s="596"/>
      <c r="D691" s="595"/>
      <c r="E691" s="595"/>
      <c r="F691" s="595"/>
      <c r="G691" s="595"/>
      <c r="H691" s="595"/>
      <c r="I691" s="595"/>
      <c r="J691" s="595"/>
      <c r="K691" s="595"/>
      <c r="L691" s="595"/>
      <c r="M691" s="595"/>
      <c r="N691" s="595"/>
      <c r="O691" s="595"/>
      <c r="P691" s="595"/>
      <c r="Q691" s="595"/>
      <c r="R691" s="595"/>
      <c r="S691" s="595"/>
      <c r="T691" s="595"/>
      <c r="U691" s="595"/>
      <c r="V691" s="595"/>
      <c r="W691" s="595"/>
      <c r="X691" s="595"/>
      <c r="Y691" s="595"/>
      <c r="Z691" s="595"/>
    </row>
    <row r="692" spans="1:26" ht="19.5" customHeight="1">
      <c r="A692" s="595"/>
      <c r="B692" s="595"/>
      <c r="C692" s="596"/>
      <c r="D692" s="595"/>
      <c r="E692" s="595"/>
      <c r="F692" s="595"/>
      <c r="G692" s="595"/>
      <c r="H692" s="595"/>
      <c r="I692" s="595"/>
      <c r="J692" s="595"/>
      <c r="K692" s="595"/>
      <c r="L692" s="595"/>
      <c r="M692" s="595"/>
      <c r="N692" s="595"/>
      <c r="O692" s="595"/>
      <c r="P692" s="595"/>
      <c r="Q692" s="595"/>
      <c r="R692" s="595"/>
      <c r="S692" s="595"/>
      <c r="T692" s="595"/>
      <c r="U692" s="595"/>
      <c r="V692" s="595"/>
      <c r="W692" s="595"/>
      <c r="X692" s="595"/>
      <c r="Y692" s="595"/>
      <c r="Z692" s="595"/>
    </row>
    <row r="693" spans="1:26" ht="19.5" customHeight="1">
      <c r="A693" s="595"/>
      <c r="B693" s="595"/>
      <c r="C693" s="596"/>
      <c r="D693" s="595"/>
      <c r="E693" s="595"/>
      <c r="F693" s="595"/>
      <c r="G693" s="595"/>
      <c r="H693" s="595"/>
      <c r="I693" s="595"/>
      <c r="J693" s="595"/>
      <c r="K693" s="595"/>
      <c r="L693" s="595"/>
      <c r="M693" s="595"/>
      <c r="N693" s="595"/>
      <c r="O693" s="595"/>
      <c r="P693" s="595"/>
      <c r="Q693" s="595"/>
      <c r="R693" s="595"/>
      <c r="S693" s="595"/>
      <c r="T693" s="595"/>
      <c r="U693" s="595"/>
      <c r="V693" s="595"/>
      <c r="W693" s="595"/>
      <c r="X693" s="595"/>
      <c r="Y693" s="595"/>
      <c r="Z693" s="595"/>
    </row>
    <row r="694" spans="1:26" ht="19.5" customHeight="1">
      <c r="A694" s="595"/>
      <c r="B694" s="595"/>
      <c r="C694" s="596"/>
      <c r="D694" s="595"/>
      <c r="E694" s="595"/>
      <c r="F694" s="595"/>
      <c r="G694" s="595"/>
      <c r="H694" s="595"/>
      <c r="I694" s="595"/>
      <c r="J694" s="595"/>
      <c r="K694" s="595"/>
      <c r="L694" s="595"/>
      <c r="M694" s="595"/>
      <c r="N694" s="595"/>
      <c r="O694" s="595"/>
      <c r="P694" s="595"/>
      <c r="Q694" s="595"/>
      <c r="R694" s="595"/>
      <c r="S694" s="595"/>
      <c r="T694" s="595"/>
      <c r="U694" s="595"/>
      <c r="V694" s="595"/>
      <c r="W694" s="595"/>
      <c r="X694" s="595"/>
      <c r="Y694" s="595"/>
      <c r="Z694" s="595"/>
    </row>
    <row r="695" spans="1:26" ht="19.5" customHeight="1">
      <c r="A695" s="595"/>
      <c r="B695" s="595"/>
      <c r="C695" s="596"/>
      <c r="D695" s="595"/>
      <c r="E695" s="595"/>
      <c r="F695" s="595"/>
      <c r="G695" s="595"/>
      <c r="H695" s="595"/>
      <c r="I695" s="595"/>
      <c r="J695" s="595"/>
      <c r="K695" s="595"/>
      <c r="L695" s="595"/>
      <c r="M695" s="595"/>
      <c r="N695" s="595"/>
      <c r="O695" s="595"/>
      <c r="P695" s="595"/>
      <c r="Q695" s="595"/>
      <c r="R695" s="595"/>
      <c r="S695" s="595"/>
      <c r="T695" s="595"/>
      <c r="U695" s="595"/>
      <c r="V695" s="595"/>
      <c r="W695" s="595"/>
      <c r="X695" s="595"/>
      <c r="Y695" s="595"/>
      <c r="Z695" s="595"/>
    </row>
    <row r="696" spans="1:26" ht="19.5" customHeight="1">
      <c r="A696" s="595"/>
      <c r="B696" s="595"/>
      <c r="C696" s="596"/>
      <c r="D696" s="595"/>
      <c r="E696" s="595"/>
      <c r="F696" s="595"/>
      <c r="G696" s="595"/>
      <c r="H696" s="595"/>
      <c r="I696" s="595"/>
      <c r="J696" s="595"/>
      <c r="K696" s="595"/>
      <c r="L696" s="595"/>
      <c r="M696" s="595"/>
      <c r="N696" s="595"/>
      <c r="O696" s="595"/>
      <c r="P696" s="595"/>
      <c r="Q696" s="595"/>
      <c r="R696" s="595"/>
      <c r="S696" s="595"/>
      <c r="T696" s="595"/>
      <c r="U696" s="595"/>
      <c r="V696" s="595"/>
      <c r="W696" s="595"/>
      <c r="X696" s="595"/>
      <c r="Y696" s="595"/>
      <c r="Z696" s="595"/>
    </row>
    <row r="697" spans="1:26" ht="19.5" customHeight="1">
      <c r="A697" s="595"/>
      <c r="B697" s="595"/>
      <c r="C697" s="596"/>
      <c r="D697" s="595"/>
      <c r="E697" s="595"/>
      <c r="F697" s="595"/>
      <c r="G697" s="595"/>
      <c r="H697" s="595"/>
      <c r="I697" s="595"/>
      <c r="J697" s="595"/>
      <c r="K697" s="595"/>
      <c r="L697" s="595"/>
      <c r="M697" s="595"/>
      <c r="N697" s="595"/>
      <c r="O697" s="595"/>
      <c r="P697" s="595"/>
      <c r="Q697" s="595"/>
      <c r="R697" s="595"/>
      <c r="S697" s="595"/>
      <c r="T697" s="595"/>
      <c r="U697" s="595"/>
      <c r="V697" s="595"/>
      <c r="W697" s="595"/>
      <c r="X697" s="595"/>
      <c r="Y697" s="595"/>
      <c r="Z697" s="595"/>
    </row>
    <row r="698" spans="1:26" ht="19.5" customHeight="1">
      <c r="A698" s="595"/>
      <c r="B698" s="595"/>
      <c r="C698" s="596"/>
      <c r="D698" s="595"/>
      <c r="E698" s="595"/>
      <c r="F698" s="595"/>
      <c r="G698" s="595"/>
      <c r="H698" s="595"/>
      <c r="I698" s="595"/>
      <c r="J698" s="595"/>
      <c r="K698" s="595"/>
      <c r="L698" s="595"/>
      <c r="M698" s="595"/>
      <c r="N698" s="595"/>
      <c r="O698" s="595"/>
      <c r="P698" s="595"/>
      <c r="Q698" s="595"/>
      <c r="R698" s="595"/>
      <c r="S698" s="595"/>
      <c r="T698" s="595"/>
      <c r="U698" s="595"/>
      <c r="V698" s="595"/>
      <c r="W698" s="595"/>
      <c r="X698" s="595"/>
      <c r="Y698" s="595"/>
      <c r="Z698" s="595"/>
    </row>
    <row r="699" spans="1:26" ht="19.5" customHeight="1">
      <c r="A699" s="595"/>
      <c r="B699" s="595"/>
      <c r="C699" s="596"/>
      <c r="D699" s="595"/>
      <c r="E699" s="595"/>
      <c r="F699" s="595"/>
      <c r="G699" s="595"/>
      <c r="H699" s="595"/>
      <c r="I699" s="595"/>
      <c r="J699" s="595"/>
      <c r="K699" s="595"/>
      <c r="L699" s="595"/>
      <c r="M699" s="595"/>
      <c r="N699" s="595"/>
      <c r="O699" s="595"/>
      <c r="P699" s="595"/>
      <c r="Q699" s="595"/>
      <c r="R699" s="595"/>
      <c r="S699" s="595"/>
      <c r="T699" s="595"/>
      <c r="U699" s="595"/>
      <c r="V699" s="595"/>
      <c r="W699" s="595"/>
      <c r="X699" s="595"/>
      <c r="Y699" s="595"/>
      <c r="Z699" s="595"/>
    </row>
    <row r="700" spans="1:26" ht="19.5" customHeight="1">
      <c r="A700" s="595"/>
      <c r="B700" s="595"/>
      <c r="C700" s="596"/>
      <c r="D700" s="595"/>
      <c r="E700" s="595"/>
      <c r="F700" s="595"/>
      <c r="G700" s="595"/>
      <c r="H700" s="595"/>
      <c r="I700" s="595"/>
      <c r="J700" s="595"/>
      <c r="K700" s="595"/>
      <c r="L700" s="595"/>
      <c r="M700" s="595"/>
      <c r="N700" s="595"/>
      <c r="O700" s="595"/>
      <c r="P700" s="595"/>
      <c r="Q700" s="595"/>
      <c r="R700" s="595"/>
      <c r="S700" s="595"/>
      <c r="T700" s="595"/>
      <c r="U700" s="595"/>
      <c r="V700" s="595"/>
      <c r="W700" s="595"/>
      <c r="X700" s="595"/>
      <c r="Y700" s="595"/>
      <c r="Z700" s="595"/>
    </row>
    <row r="701" spans="1:26" ht="19.5" customHeight="1">
      <c r="A701" s="595"/>
      <c r="B701" s="595"/>
      <c r="C701" s="596"/>
      <c r="D701" s="595"/>
      <c r="E701" s="595"/>
      <c r="F701" s="595"/>
      <c r="G701" s="595"/>
      <c r="H701" s="595"/>
      <c r="I701" s="595"/>
      <c r="J701" s="595"/>
      <c r="K701" s="595"/>
      <c r="L701" s="595"/>
      <c r="M701" s="595"/>
      <c r="N701" s="595"/>
      <c r="O701" s="595"/>
      <c r="P701" s="595"/>
      <c r="Q701" s="595"/>
      <c r="R701" s="595"/>
      <c r="S701" s="595"/>
      <c r="T701" s="595"/>
      <c r="U701" s="595"/>
      <c r="V701" s="595"/>
      <c r="W701" s="595"/>
      <c r="X701" s="595"/>
      <c r="Y701" s="595"/>
      <c r="Z701" s="595"/>
    </row>
    <row r="702" spans="1:26" ht="19.5" customHeight="1">
      <c r="A702" s="595"/>
      <c r="B702" s="595"/>
      <c r="C702" s="596"/>
      <c r="D702" s="595"/>
      <c r="E702" s="595"/>
      <c r="F702" s="595"/>
      <c r="G702" s="595"/>
      <c r="H702" s="595"/>
      <c r="I702" s="595"/>
      <c r="J702" s="595"/>
      <c r="K702" s="595"/>
      <c r="L702" s="595"/>
      <c r="M702" s="595"/>
      <c r="N702" s="595"/>
      <c r="O702" s="595"/>
      <c r="P702" s="595"/>
      <c r="Q702" s="595"/>
      <c r="R702" s="595"/>
      <c r="S702" s="595"/>
      <c r="T702" s="595"/>
      <c r="U702" s="595"/>
      <c r="V702" s="595"/>
      <c r="W702" s="595"/>
      <c r="X702" s="595"/>
      <c r="Y702" s="595"/>
      <c r="Z702" s="595"/>
    </row>
    <row r="703" spans="1:26" ht="19.5" customHeight="1">
      <c r="A703" s="595"/>
      <c r="B703" s="595"/>
      <c r="C703" s="596"/>
      <c r="D703" s="595"/>
      <c r="E703" s="595"/>
      <c r="F703" s="595"/>
      <c r="G703" s="595"/>
      <c r="H703" s="595"/>
      <c r="I703" s="595"/>
      <c r="J703" s="595"/>
      <c r="K703" s="595"/>
      <c r="L703" s="595"/>
      <c r="M703" s="595"/>
      <c r="N703" s="595"/>
      <c r="O703" s="595"/>
      <c r="P703" s="595"/>
      <c r="Q703" s="595"/>
      <c r="R703" s="595"/>
      <c r="S703" s="595"/>
      <c r="T703" s="595"/>
      <c r="U703" s="595"/>
      <c r="V703" s="595"/>
      <c r="W703" s="595"/>
      <c r="X703" s="595"/>
      <c r="Y703" s="595"/>
      <c r="Z703" s="595"/>
    </row>
    <row r="704" spans="1:26" ht="19.5" customHeight="1">
      <c r="A704" s="595"/>
      <c r="B704" s="595"/>
      <c r="C704" s="596"/>
      <c r="D704" s="595"/>
      <c r="E704" s="595"/>
      <c r="F704" s="595"/>
      <c r="G704" s="595"/>
      <c r="H704" s="595"/>
      <c r="I704" s="595"/>
      <c r="J704" s="595"/>
      <c r="K704" s="595"/>
      <c r="L704" s="595"/>
      <c r="M704" s="595"/>
      <c r="N704" s="595"/>
      <c r="O704" s="595"/>
      <c r="P704" s="595"/>
      <c r="Q704" s="595"/>
      <c r="R704" s="595"/>
      <c r="S704" s="595"/>
      <c r="T704" s="595"/>
      <c r="U704" s="595"/>
      <c r="V704" s="595"/>
      <c r="W704" s="595"/>
      <c r="X704" s="595"/>
      <c r="Y704" s="595"/>
      <c r="Z704" s="595"/>
    </row>
    <row r="705" spans="1:26" ht="19.5" customHeight="1">
      <c r="A705" s="595"/>
      <c r="B705" s="595"/>
      <c r="C705" s="596"/>
      <c r="D705" s="595"/>
      <c r="E705" s="595"/>
      <c r="F705" s="595"/>
      <c r="G705" s="595"/>
      <c r="H705" s="595"/>
      <c r="I705" s="595"/>
      <c r="J705" s="595"/>
      <c r="K705" s="595"/>
      <c r="L705" s="595"/>
      <c r="M705" s="595"/>
      <c r="N705" s="595"/>
      <c r="O705" s="595"/>
      <c r="P705" s="595"/>
      <c r="Q705" s="595"/>
      <c r="R705" s="595"/>
      <c r="S705" s="595"/>
      <c r="T705" s="595"/>
      <c r="U705" s="595"/>
      <c r="V705" s="595"/>
      <c r="W705" s="595"/>
      <c r="X705" s="595"/>
      <c r="Y705" s="595"/>
      <c r="Z705" s="595"/>
    </row>
    <row r="706" spans="1:26" ht="19.5" customHeight="1">
      <c r="A706" s="595"/>
      <c r="B706" s="595"/>
      <c r="C706" s="596"/>
      <c r="D706" s="595"/>
      <c r="E706" s="595"/>
      <c r="F706" s="595"/>
      <c r="G706" s="595"/>
      <c r="H706" s="595"/>
      <c r="I706" s="595"/>
      <c r="J706" s="595"/>
      <c r="K706" s="595"/>
      <c r="L706" s="595"/>
      <c r="M706" s="595"/>
      <c r="N706" s="595"/>
      <c r="O706" s="595"/>
      <c r="P706" s="595"/>
      <c r="Q706" s="595"/>
      <c r="R706" s="595"/>
      <c r="S706" s="595"/>
      <c r="T706" s="595"/>
      <c r="U706" s="595"/>
      <c r="V706" s="595"/>
      <c r="W706" s="595"/>
      <c r="X706" s="595"/>
      <c r="Y706" s="595"/>
      <c r="Z706" s="595"/>
    </row>
    <row r="707" spans="1:26" ht="19.5" customHeight="1">
      <c r="A707" s="595"/>
      <c r="B707" s="595"/>
      <c r="C707" s="596"/>
      <c r="D707" s="595"/>
      <c r="E707" s="595"/>
      <c r="F707" s="595"/>
      <c r="G707" s="595"/>
      <c r="H707" s="595"/>
      <c r="I707" s="595"/>
      <c r="J707" s="595"/>
      <c r="K707" s="595"/>
      <c r="L707" s="595"/>
      <c r="M707" s="595"/>
      <c r="N707" s="595"/>
      <c r="O707" s="595"/>
      <c r="P707" s="595"/>
      <c r="Q707" s="595"/>
      <c r="R707" s="595"/>
      <c r="S707" s="595"/>
      <c r="T707" s="595"/>
      <c r="U707" s="595"/>
      <c r="V707" s="595"/>
      <c r="W707" s="595"/>
      <c r="X707" s="595"/>
      <c r="Y707" s="595"/>
      <c r="Z707" s="595"/>
    </row>
    <row r="708" spans="1:26" ht="19.5" customHeight="1">
      <c r="A708" s="595"/>
      <c r="B708" s="595"/>
      <c r="C708" s="596"/>
      <c r="D708" s="595"/>
      <c r="E708" s="595"/>
      <c r="F708" s="595"/>
      <c r="G708" s="595"/>
      <c r="H708" s="595"/>
      <c r="I708" s="595"/>
      <c r="J708" s="595"/>
      <c r="K708" s="595"/>
      <c r="L708" s="595"/>
      <c r="M708" s="595"/>
      <c r="N708" s="595"/>
      <c r="O708" s="595"/>
      <c r="P708" s="595"/>
      <c r="Q708" s="595"/>
      <c r="R708" s="595"/>
      <c r="S708" s="595"/>
      <c r="T708" s="595"/>
      <c r="U708" s="595"/>
      <c r="V708" s="595"/>
      <c r="W708" s="595"/>
      <c r="X708" s="595"/>
      <c r="Y708" s="595"/>
      <c r="Z708" s="595"/>
    </row>
    <row r="709" spans="1:26" ht="19.5" customHeight="1">
      <c r="A709" s="595"/>
      <c r="B709" s="595"/>
      <c r="C709" s="596"/>
      <c r="D709" s="595"/>
      <c r="E709" s="595"/>
      <c r="F709" s="595"/>
      <c r="G709" s="595"/>
      <c r="H709" s="595"/>
      <c r="I709" s="595"/>
      <c r="J709" s="595"/>
      <c r="K709" s="595"/>
      <c r="L709" s="595"/>
      <c r="M709" s="595"/>
      <c r="N709" s="595"/>
      <c r="O709" s="595"/>
      <c r="P709" s="595"/>
      <c r="Q709" s="595"/>
      <c r="R709" s="595"/>
      <c r="S709" s="595"/>
      <c r="T709" s="595"/>
      <c r="U709" s="595"/>
      <c r="V709" s="595"/>
      <c r="W709" s="595"/>
      <c r="X709" s="595"/>
      <c r="Y709" s="595"/>
      <c r="Z709" s="595"/>
    </row>
    <row r="710" spans="1:26" ht="19.5" customHeight="1">
      <c r="A710" s="595"/>
      <c r="B710" s="595"/>
      <c r="C710" s="596"/>
      <c r="D710" s="595"/>
      <c r="E710" s="595"/>
      <c r="F710" s="595"/>
      <c r="G710" s="595"/>
      <c r="H710" s="595"/>
      <c r="I710" s="595"/>
      <c r="J710" s="595"/>
      <c r="K710" s="595"/>
      <c r="L710" s="595"/>
      <c r="M710" s="595"/>
      <c r="N710" s="595"/>
      <c r="O710" s="595"/>
      <c r="P710" s="595"/>
      <c r="Q710" s="595"/>
      <c r="R710" s="595"/>
      <c r="S710" s="595"/>
      <c r="T710" s="595"/>
      <c r="U710" s="595"/>
      <c r="V710" s="595"/>
      <c r="W710" s="595"/>
      <c r="X710" s="595"/>
      <c r="Y710" s="595"/>
      <c r="Z710" s="595"/>
    </row>
    <row r="711" spans="1:26" ht="19.5" customHeight="1">
      <c r="A711" s="595"/>
      <c r="B711" s="595"/>
      <c r="C711" s="596"/>
      <c r="D711" s="595"/>
      <c r="E711" s="595"/>
      <c r="F711" s="595"/>
      <c r="G711" s="595"/>
      <c r="H711" s="595"/>
      <c r="I711" s="595"/>
      <c r="J711" s="595"/>
      <c r="K711" s="595"/>
      <c r="L711" s="595"/>
      <c r="M711" s="595"/>
      <c r="N711" s="595"/>
      <c r="O711" s="595"/>
      <c r="P711" s="595"/>
      <c r="Q711" s="595"/>
      <c r="R711" s="595"/>
      <c r="S711" s="595"/>
      <c r="T711" s="595"/>
      <c r="U711" s="595"/>
      <c r="V711" s="595"/>
      <c r="W711" s="595"/>
      <c r="X711" s="595"/>
      <c r="Y711" s="595"/>
      <c r="Z711" s="595"/>
    </row>
    <row r="712" spans="1:26" ht="19.5" customHeight="1">
      <c r="A712" s="595"/>
      <c r="B712" s="595"/>
      <c r="C712" s="596"/>
      <c r="D712" s="595"/>
      <c r="E712" s="595"/>
      <c r="F712" s="595"/>
      <c r="G712" s="595"/>
      <c r="H712" s="595"/>
      <c r="I712" s="595"/>
      <c r="J712" s="595"/>
      <c r="K712" s="595"/>
      <c r="L712" s="595"/>
      <c r="M712" s="595"/>
      <c r="N712" s="595"/>
      <c r="O712" s="595"/>
      <c r="P712" s="595"/>
      <c r="Q712" s="595"/>
      <c r="R712" s="595"/>
      <c r="S712" s="595"/>
      <c r="T712" s="595"/>
      <c r="U712" s="595"/>
      <c r="V712" s="595"/>
      <c r="W712" s="595"/>
      <c r="X712" s="595"/>
      <c r="Y712" s="595"/>
      <c r="Z712" s="595"/>
    </row>
    <row r="713" spans="1:26" ht="19.5" customHeight="1">
      <c r="A713" s="595"/>
      <c r="B713" s="595"/>
      <c r="C713" s="596"/>
      <c r="D713" s="595"/>
      <c r="E713" s="595"/>
      <c r="F713" s="595"/>
      <c r="G713" s="595"/>
      <c r="H713" s="595"/>
      <c r="I713" s="595"/>
      <c r="J713" s="595"/>
      <c r="K713" s="595"/>
      <c r="L713" s="595"/>
      <c r="M713" s="595"/>
      <c r="N713" s="595"/>
      <c r="O713" s="595"/>
      <c r="P713" s="595"/>
      <c r="Q713" s="595"/>
      <c r="R713" s="595"/>
      <c r="S713" s="595"/>
      <c r="T713" s="595"/>
      <c r="U713" s="595"/>
      <c r="V713" s="595"/>
      <c r="W713" s="595"/>
      <c r="X713" s="595"/>
      <c r="Y713" s="595"/>
      <c r="Z713" s="595"/>
    </row>
    <row r="714" spans="1:26" ht="19.5" customHeight="1">
      <c r="A714" s="595"/>
      <c r="B714" s="595"/>
      <c r="C714" s="596"/>
      <c r="D714" s="595"/>
      <c r="E714" s="595"/>
      <c r="F714" s="595"/>
      <c r="G714" s="595"/>
      <c r="H714" s="595"/>
      <c r="I714" s="595"/>
      <c r="J714" s="595"/>
      <c r="K714" s="595"/>
      <c r="L714" s="595"/>
      <c r="M714" s="595"/>
      <c r="N714" s="595"/>
      <c r="O714" s="595"/>
      <c r="P714" s="595"/>
      <c r="Q714" s="595"/>
      <c r="R714" s="595"/>
      <c r="S714" s="595"/>
      <c r="T714" s="595"/>
      <c r="U714" s="595"/>
      <c r="V714" s="595"/>
      <c r="W714" s="595"/>
      <c r="X714" s="595"/>
      <c r="Y714" s="595"/>
      <c r="Z714" s="595"/>
    </row>
    <row r="715" spans="1:26" ht="19.5" customHeight="1">
      <c r="A715" s="595"/>
      <c r="B715" s="595"/>
      <c r="C715" s="596"/>
      <c r="D715" s="595"/>
      <c r="E715" s="595"/>
      <c r="F715" s="595"/>
      <c r="G715" s="595"/>
      <c r="H715" s="595"/>
      <c r="I715" s="595"/>
      <c r="J715" s="595"/>
      <c r="K715" s="595"/>
      <c r="L715" s="595"/>
      <c r="M715" s="595"/>
      <c r="N715" s="595"/>
      <c r="O715" s="595"/>
      <c r="P715" s="595"/>
      <c r="Q715" s="595"/>
      <c r="R715" s="595"/>
      <c r="S715" s="595"/>
      <c r="T715" s="595"/>
      <c r="U715" s="595"/>
      <c r="V715" s="595"/>
      <c r="W715" s="595"/>
      <c r="X715" s="595"/>
      <c r="Y715" s="595"/>
      <c r="Z715" s="595"/>
    </row>
    <row r="716" spans="1:26" ht="19.5" customHeight="1">
      <c r="A716" s="595"/>
      <c r="B716" s="595"/>
      <c r="C716" s="596"/>
      <c r="D716" s="595"/>
      <c r="E716" s="595"/>
      <c r="F716" s="595"/>
      <c r="G716" s="595"/>
      <c r="H716" s="595"/>
      <c r="I716" s="595"/>
      <c r="J716" s="595"/>
      <c r="K716" s="595"/>
      <c r="L716" s="595"/>
      <c r="M716" s="595"/>
      <c r="N716" s="595"/>
      <c r="O716" s="595"/>
      <c r="P716" s="595"/>
      <c r="Q716" s="595"/>
      <c r="R716" s="595"/>
      <c r="S716" s="595"/>
      <c r="T716" s="595"/>
      <c r="U716" s="595"/>
      <c r="V716" s="595"/>
      <c r="W716" s="595"/>
      <c r="X716" s="595"/>
      <c r="Y716" s="595"/>
      <c r="Z716" s="595"/>
    </row>
    <row r="717" spans="1:26" ht="19.5" customHeight="1">
      <c r="A717" s="595"/>
      <c r="B717" s="595"/>
      <c r="C717" s="596"/>
      <c r="D717" s="595"/>
      <c r="E717" s="595"/>
      <c r="F717" s="595"/>
      <c r="G717" s="595"/>
      <c r="H717" s="595"/>
      <c r="I717" s="595"/>
      <c r="J717" s="595"/>
      <c r="K717" s="595"/>
      <c r="L717" s="595"/>
      <c r="M717" s="595"/>
      <c r="N717" s="595"/>
      <c r="O717" s="595"/>
      <c r="P717" s="595"/>
      <c r="Q717" s="595"/>
      <c r="R717" s="595"/>
      <c r="S717" s="595"/>
      <c r="T717" s="595"/>
      <c r="U717" s="595"/>
      <c r="V717" s="595"/>
      <c r="W717" s="595"/>
      <c r="X717" s="595"/>
      <c r="Y717" s="595"/>
      <c r="Z717" s="595"/>
    </row>
    <row r="718" spans="1:26" ht="19.5" customHeight="1">
      <c r="A718" s="595"/>
      <c r="B718" s="595"/>
      <c r="C718" s="596"/>
      <c r="D718" s="595"/>
      <c r="E718" s="595"/>
      <c r="F718" s="595"/>
      <c r="G718" s="595"/>
      <c r="H718" s="595"/>
      <c r="I718" s="595"/>
      <c r="J718" s="595"/>
      <c r="K718" s="595"/>
      <c r="L718" s="595"/>
      <c r="M718" s="595"/>
      <c r="N718" s="595"/>
      <c r="O718" s="595"/>
      <c r="P718" s="595"/>
      <c r="Q718" s="595"/>
      <c r="R718" s="595"/>
      <c r="S718" s="595"/>
      <c r="T718" s="595"/>
      <c r="U718" s="595"/>
      <c r="V718" s="595"/>
      <c r="W718" s="595"/>
      <c r="X718" s="595"/>
      <c r="Y718" s="595"/>
      <c r="Z718" s="595"/>
    </row>
    <row r="719" spans="1:26" ht="19.5" customHeight="1">
      <c r="A719" s="595"/>
      <c r="B719" s="595"/>
      <c r="C719" s="596"/>
      <c r="D719" s="595"/>
      <c r="E719" s="595"/>
      <c r="F719" s="595"/>
      <c r="G719" s="595"/>
      <c r="H719" s="595"/>
      <c r="I719" s="595"/>
      <c r="J719" s="595"/>
      <c r="K719" s="595"/>
      <c r="L719" s="595"/>
      <c r="M719" s="595"/>
      <c r="N719" s="595"/>
      <c r="O719" s="595"/>
      <c r="P719" s="595"/>
      <c r="Q719" s="595"/>
      <c r="R719" s="595"/>
      <c r="S719" s="595"/>
      <c r="T719" s="595"/>
      <c r="U719" s="595"/>
      <c r="V719" s="595"/>
      <c r="W719" s="595"/>
      <c r="X719" s="595"/>
      <c r="Y719" s="595"/>
      <c r="Z719" s="595"/>
    </row>
    <row r="720" spans="1:26" ht="19.5" customHeight="1">
      <c r="A720" s="595"/>
      <c r="B720" s="595"/>
      <c r="C720" s="596"/>
      <c r="D720" s="595"/>
      <c r="E720" s="595"/>
      <c r="F720" s="595"/>
      <c r="G720" s="595"/>
      <c r="H720" s="595"/>
      <c r="I720" s="595"/>
      <c r="J720" s="595"/>
      <c r="K720" s="595"/>
      <c r="L720" s="595"/>
      <c r="M720" s="595"/>
      <c r="N720" s="595"/>
      <c r="O720" s="595"/>
      <c r="P720" s="595"/>
      <c r="Q720" s="595"/>
      <c r="R720" s="595"/>
      <c r="S720" s="595"/>
      <c r="T720" s="595"/>
      <c r="U720" s="595"/>
      <c r="V720" s="595"/>
      <c r="W720" s="595"/>
      <c r="X720" s="595"/>
      <c r="Y720" s="595"/>
      <c r="Z720" s="595"/>
    </row>
    <row r="721" spans="1:26" ht="19.5" customHeight="1">
      <c r="A721" s="595"/>
      <c r="B721" s="595"/>
      <c r="C721" s="596"/>
      <c r="D721" s="595"/>
      <c r="E721" s="595"/>
      <c r="F721" s="595"/>
      <c r="G721" s="595"/>
      <c r="H721" s="595"/>
      <c r="I721" s="595"/>
      <c r="J721" s="595"/>
      <c r="K721" s="595"/>
      <c r="L721" s="595"/>
      <c r="M721" s="595"/>
      <c r="N721" s="595"/>
      <c r="O721" s="595"/>
      <c r="P721" s="595"/>
      <c r="Q721" s="595"/>
      <c r="R721" s="595"/>
      <c r="S721" s="595"/>
      <c r="T721" s="595"/>
      <c r="U721" s="595"/>
      <c r="V721" s="595"/>
      <c r="W721" s="595"/>
      <c r="X721" s="595"/>
      <c r="Y721" s="595"/>
      <c r="Z721" s="595"/>
    </row>
    <row r="722" spans="1:26" ht="19.5" customHeight="1">
      <c r="A722" s="595"/>
      <c r="B722" s="595"/>
      <c r="C722" s="596"/>
      <c r="D722" s="595"/>
      <c r="E722" s="595"/>
      <c r="F722" s="595"/>
      <c r="G722" s="595"/>
      <c r="H722" s="595"/>
      <c r="I722" s="595"/>
      <c r="J722" s="595"/>
      <c r="K722" s="595"/>
      <c r="L722" s="595"/>
      <c r="M722" s="595"/>
      <c r="N722" s="595"/>
      <c r="O722" s="595"/>
      <c r="P722" s="595"/>
      <c r="Q722" s="595"/>
      <c r="R722" s="595"/>
      <c r="S722" s="595"/>
      <c r="T722" s="595"/>
      <c r="U722" s="595"/>
      <c r="V722" s="595"/>
      <c r="W722" s="595"/>
      <c r="X722" s="595"/>
      <c r="Y722" s="595"/>
      <c r="Z722" s="595"/>
    </row>
    <row r="723" spans="1:26" ht="19.5" customHeight="1">
      <c r="A723" s="595"/>
      <c r="B723" s="595"/>
      <c r="C723" s="596"/>
      <c r="D723" s="595"/>
      <c r="E723" s="595"/>
      <c r="F723" s="595"/>
      <c r="G723" s="595"/>
      <c r="H723" s="595"/>
      <c r="I723" s="595"/>
      <c r="J723" s="595"/>
      <c r="K723" s="595"/>
      <c r="L723" s="595"/>
      <c r="M723" s="595"/>
      <c r="N723" s="595"/>
      <c r="O723" s="595"/>
      <c r="P723" s="595"/>
      <c r="Q723" s="595"/>
      <c r="R723" s="595"/>
      <c r="S723" s="595"/>
      <c r="T723" s="595"/>
      <c r="U723" s="595"/>
      <c r="V723" s="595"/>
      <c r="W723" s="595"/>
      <c r="X723" s="595"/>
      <c r="Y723" s="595"/>
      <c r="Z723" s="595"/>
    </row>
    <row r="724" spans="1:26" ht="19.5" customHeight="1">
      <c r="A724" s="595"/>
      <c r="B724" s="595"/>
      <c r="C724" s="596"/>
      <c r="D724" s="595"/>
      <c r="E724" s="595"/>
      <c r="F724" s="595"/>
      <c r="G724" s="595"/>
      <c r="H724" s="595"/>
      <c r="I724" s="595"/>
      <c r="J724" s="595"/>
      <c r="K724" s="595"/>
      <c r="L724" s="595"/>
      <c r="M724" s="595"/>
      <c r="N724" s="595"/>
      <c r="O724" s="595"/>
      <c r="P724" s="595"/>
      <c r="Q724" s="595"/>
      <c r="R724" s="595"/>
      <c r="S724" s="595"/>
      <c r="T724" s="595"/>
      <c r="U724" s="595"/>
      <c r="V724" s="595"/>
      <c r="W724" s="595"/>
      <c r="X724" s="595"/>
      <c r="Y724" s="595"/>
      <c r="Z724" s="595"/>
    </row>
    <row r="725" spans="1:26" ht="19.5" customHeight="1">
      <c r="A725" s="595"/>
      <c r="B725" s="595"/>
      <c r="C725" s="596"/>
      <c r="D725" s="595"/>
      <c r="E725" s="595"/>
      <c r="F725" s="595"/>
      <c r="G725" s="595"/>
      <c r="H725" s="595"/>
      <c r="I725" s="595"/>
      <c r="J725" s="595"/>
      <c r="K725" s="595"/>
      <c r="L725" s="595"/>
      <c r="M725" s="595"/>
      <c r="N725" s="595"/>
      <c r="O725" s="595"/>
      <c r="P725" s="595"/>
      <c r="Q725" s="595"/>
      <c r="R725" s="595"/>
      <c r="S725" s="595"/>
      <c r="T725" s="595"/>
      <c r="U725" s="595"/>
      <c r="V725" s="595"/>
      <c r="W725" s="595"/>
      <c r="X725" s="595"/>
      <c r="Y725" s="595"/>
      <c r="Z725" s="595"/>
    </row>
    <row r="726" spans="1:26" ht="19.5" customHeight="1">
      <c r="A726" s="595"/>
      <c r="B726" s="595"/>
      <c r="C726" s="596"/>
      <c r="D726" s="595"/>
      <c r="E726" s="595"/>
      <c r="F726" s="595"/>
      <c r="G726" s="595"/>
      <c r="H726" s="595"/>
      <c r="I726" s="595"/>
      <c r="J726" s="595"/>
      <c r="K726" s="595"/>
      <c r="L726" s="595"/>
      <c r="M726" s="595"/>
      <c r="N726" s="595"/>
      <c r="O726" s="595"/>
      <c r="P726" s="595"/>
      <c r="Q726" s="595"/>
      <c r="R726" s="595"/>
      <c r="S726" s="595"/>
      <c r="T726" s="595"/>
      <c r="U726" s="595"/>
      <c r="V726" s="595"/>
      <c r="W726" s="595"/>
      <c r="X726" s="595"/>
      <c r="Y726" s="595"/>
      <c r="Z726" s="595"/>
    </row>
    <row r="727" spans="1:26" ht="19.5" customHeight="1">
      <c r="A727" s="595"/>
      <c r="B727" s="595"/>
      <c r="C727" s="596"/>
      <c r="D727" s="595"/>
      <c r="E727" s="595"/>
      <c r="F727" s="595"/>
      <c r="G727" s="595"/>
      <c r="H727" s="595"/>
      <c r="I727" s="595"/>
      <c r="J727" s="595"/>
      <c r="K727" s="595"/>
      <c r="L727" s="595"/>
      <c r="M727" s="595"/>
      <c r="N727" s="595"/>
      <c r="O727" s="595"/>
      <c r="P727" s="595"/>
      <c r="Q727" s="595"/>
      <c r="R727" s="595"/>
      <c r="S727" s="595"/>
      <c r="T727" s="595"/>
      <c r="U727" s="595"/>
      <c r="V727" s="595"/>
      <c r="W727" s="595"/>
      <c r="X727" s="595"/>
      <c r="Y727" s="595"/>
      <c r="Z727" s="595"/>
    </row>
    <row r="728" spans="1:26" ht="19.5" customHeight="1">
      <c r="A728" s="595"/>
      <c r="B728" s="595"/>
      <c r="C728" s="596"/>
      <c r="D728" s="595"/>
      <c r="E728" s="595"/>
      <c r="F728" s="595"/>
      <c r="G728" s="595"/>
      <c r="H728" s="595"/>
      <c r="I728" s="595"/>
      <c r="J728" s="595"/>
      <c r="K728" s="595"/>
      <c r="L728" s="595"/>
      <c r="M728" s="595"/>
      <c r="N728" s="595"/>
      <c r="O728" s="595"/>
      <c r="P728" s="595"/>
      <c r="Q728" s="595"/>
      <c r="R728" s="595"/>
      <c r="S728" s="595"/>
      <c r="T728" s="595"/>
      <c r="U728" s="595"/>
      <c r="V728" s="595"/>
      <c r="W728" s="595"/>
      <c r="X728" s="595"/>
      <c r="Y728" s="595"/>
      <c r="Z728" s="595"/>
    </row>
    <row r="729" spans="1:26" ht="19.5" customHeight="1">
      <c r="A729" s="595"/>
      <c r="B729" s="595"/>
      <c r="C729" s="596"/>
      <c r="D729" s="595"/>
      <c r="E729" s="595"/>
      <c r="F729" s="595"/>
      <c r="G729" s="595"/>
      <c r="H729" s="595"/>
      <c r="I729" s="595"/>
      <c r="J729" s="595"/>
      <c r="K729" s="595"/>
      <c r="L729" s="595"/>
      <c r="M729" s="595"/>
      <c r="N729" s="595"/>
      <c r="O729" s="595"/>
      <c r="P729" s="595"/>
      <c r="Q729" s="595"/>
      <c r="R729" s="595"/>
      <c r="S729" s="595"/>
      <c r="T729" s="595"/>
      <c r="U729" s="595"/>
      <c r="V729" s="595"/>
      <c r="W729" s="595"/>
      <c r="X729" s="595"/>
      <c r="Y729" s="595"/>
      <c r="Z729" s="595"/>
    </row>
    <row r="730" spans="1:26" ht="19.5" customHeight="1">
      <c r="A730" s="595"/>
      <c r="B730" s="595"/>
      <c r="C730" s="596"/>
      <c r="D730" s="595"/>
      <c r="E730" s="595"/>
      <c r="F730" s="595"/>
      <c r="G730" s="595"/>
      <c r="H730" s="595"/>
      <c r="I730" s="595"/>
      <c r="J730" s="595"/>
      <c r="K730" s="595"/>
      <c r="L730" s="595"/>
      <c r="M730" s="595"/>
      <c r="N730" s="595"/>
      <c r="O730" s="595"/>
      <c r="P730" s="595"/>
      <c r="Q730" s="595"/>
      <c r="R730" s="595"/>
      <c r="S730" s="595"/>
      <c r="T730" s="595"/>
      <c r="U730" s="595"/>
      <c r="V730" s="595"/>
      <c r="W730" s="595"/>
      <c r="X730" s="595"/>
      <c r="Y730" s="595"/>
      <c r="Z730" s="595"/>
    </row>
    <row r="731" spans="1:26" ht="19.5" customHeight="1">
      <c r="A731" s="595"/>
      <c r="B731" s="595"/>
      <c r="C731" s="596"/>
      <c r="D731" s="595"/>
      <c r="E731" s="595"/>
      <c r="F731" s="595"/>
      <c r="G731" s="595"/>
      <c r="H731" s="595"/>
      <c r="I731" s="595"/>
      <c r="J731" s="595"/>
      <c r="K731" s="595"/>
      <c r="L731" s="595"/>
      <c r="M731" s="595"/>
      <c r="N731" s="595"/>
      <c r="O731" s="595"/>
      <c r="P731" s="595"/>
      <c r="Q731" s="595"/>
      <c r="R731" s="595"/>
      <c r="S731" s="595"/>
      <c r="T731" s="595"/>
      <c r="U731" s="595"/>
      <c r="V731" s="595"/>
      <c r="W731" s="595"/>
      <c r="X731" s="595"/>
      <c r="Y731" s="595"/>
      <c r="Z731" s="595"/>
    </row>
    <row r="732" spans="1:26" ht="19.5" customHeight="1">
      <c r="A732" s="595"/>
      <c r="B732" s="595"/>
      <c r="C732" s="596"/>
      <c r="D732" s="595"/>
      <c r="E732" s="595"/>
      <c r="F732" s="595"/>
      <c r="G732" s="595"/>
      <c r="H732" s="595"/>
      <c r="I732" s="595"/>
      <c r="J732" s="595"/>
      <c r="K732" s="595"/>
      <c r="L732" s="595"/>
      <c r="M732" s="595"/>
      <c r="N732" s="595"/>
      <c r="O732" s="595"/>
      <c r="P732" s="595"/>
      <c r="Q732" s="595"/>
      <c r="R732" s="595"/>
      <c r="S732" s="595"/>
      <c r="T732" s="595"/>
      <c r="U732" s="595"/>
      <c r="V732" s="595"/>
      <c r="W732" s="595"/>
      <c r="X732" s="595"/>
      <c r="Y732" s="595"/>
      <c r="Z732" s="595"/>
    </row>
    <row r="733" spans="1:26" ht="19.5" customHeight="1">
      <c r="A733" s="595"/>
      <c r="B733" s="595"/>
      <c r="C733" s="596"/>
      <c r="D733" s="595"/>
      <c r="E733" s="595"/>
      <c r="F733" s="595"/>
      <c r="G733" s="595"/>
      <c r="H733" s="595"/>
      <c r="I733" s="595"/>
      <c r="J733" s="595"/>
      <c r="K733" s="595"/>
      <c r="L733" s="595"/>
      <c r="M733" s="595"/>
      <c r="N733" s="595"/>
      <c r="O733" s="595"/>
      <c r="P733" s="595"/>
      <c r="Q733" s="595"/>
      <c r="R733" s="595"/>
      <c r="S733" s="595"/>
      <c r="T733" s="595"/>
      <c r="U733" s="595"/>
      <c r="V733" s="595"/>
      <c r="W733" s="595"/>
      <c r="X733" s="595"/>
      <c r="Y733" s="595"/>
      <c r="Z733" s="595"/>
    </row>
    <row r="734" spans="1:26" ht="19.5" customHeight="1">
      <c r="A734" s="595"/>
      <c r="B734" s="595"/>
      <c r="C734" s="596"/>
      <c r="D734" s="595"/>
      <c r="E734" s="595"/>
      <c r="F734" s="595"/>
      <c r="G734" s="595"/>
      <c r="H734" s="595"/>
      <c r="I734" s="595"/>
      <c r="J734" s="595"/>
      <c r="K734" s="595"/>
      <c r="L734" s="595"/>
      <c r="M734" s="595"/>
      <c r="N734" s="595"/>
      <c r="O734" s="595"/>
      <c r="P734" s="595"/>
      <c r="Q734" s="595"/>
      <c r="R734" s="595"/>
      <c r="S734" s="595"/>
      <c r="T734" s="595"/>
      <c r="U734" s="595"/>
      <c r="V734" s="595"/>
      <c r="W734" s="595"/>
      <c r="X734" s="595"/>
      <c r="Y734" s="595"/>
      <c r="Z734" s="595"/>
    </row>
    <row r="735" spans="1:26" ht="19.5" customHeight="1">
      <c r="A735" s="595"/>
      <c r="B735" s="595"/>
      <c r="C735" s="596"/>
      <c r="D735" s="595"/>
      <c r="E735" s="595"/>
      <c r="F735" s="595"/>
      <c r="G735" s="595"/>
      <c r="H735" s="595"/>
      <c r="I735" s="595"/>
      <c r="J735" s="595"/>
      <c r="K735" s="595"/>
      <c r="L735" s="595"/>
      <c r="M735" s="595"/>
      <c r="N735" s="595"/>
      <c r="O735" s="595"/>
      <c r="P735" s="595"/>
      <c r="Q735" s="595"/>
      <c r="R735" s="595"/>
      <c r="S735" s="595"/>
      <c r="T735" s="595"/>
      <c r="U735" s="595"/>
      <c r="V735" s="595"/>
      <c r="W735" s="595"/>
      <c r="X735" s="595"/>
      <c r="Y735" s="595"/>
      <c r="Z735" s="595"/>
    </row>
    <row r="736" spans="1:26" ht="19.5" customHeight="1">
      <c r="A736" s="595"/>
      <c r="B736" s="595"/>
      <c r="C736" s="596"/>
      <c r="D736" s="595"/>
      <c r="E736" s="595"/>
      <c r="F736" s="595"/>
      <c r="G736" s="595"/>
      <c r="H736" s="595"/>
      <c r="I736" s="595"/>
      <c r="J736" s="595"/>
      <c r="K736" s="595"/>
      <c r="L736" s="595"/>
      <c r="M736" s="595"/>
      <c r="N736" s="595"/>
      <c r="O736" s="595"/>
      <c r="P736" s="595"/>
      <c r="Q736" s="595"/>
      <c r="R736" s="595"/>
      <c r="S736" s="595"/>
      <c r="T736" s="595"/>
      <c r="U736" s="595"/>
      <c r="V736" s="595"/>
      <c r="W736" s="595"/>
      <c r="X736" s="595"/>
      <c r="Y736" s="595"/>
      <c r="Z736" s="595"/>
    </row>
    <row r="737" spans="1:26" ht="19.5" customHeight="1">
      <c r="A737" s="595"/>
      <c r="B737" s="595"/>
      <c r="C737" s="596"/>
      <c r="D737" s="595"/>
      <c r="E737" s="595"/>
      <c r="F737" s="595"/>
      <c r="G737" s="595"/>
      <c r="H737" s="595"/>
      <c r="I737" s="595"/>
      <c r="J737" s="595"/>
      <c r="K737" s="595"/>
      <c r="L737" s="595"/>
      <c r="M737" s="595"/>
      <c r="N737" s="595"/>
      <c r="O737" s="595"/>
      <c r="P737" s="595"/>
      <c r="Q737" s="595"/>
      <c r="R737" s="595"/>
      <c r="S737" s="595"/>
      <c r="T737" s="595"/>
      <c r="U737" s="595"/>
      <c r="V737" s="595"/>
      <c r="W737" s="595"/>
      <c r="X737" s="595"/>
      <c r="Y737" s="595"/>
      <c r="Z737" s="595"/>
    </row>
    <row r="738" spans="1:26" ht="19.5" customHeight="1">
      <c r="A738" s="595"/>
      <c r="B738" s="595"/>
      <c r="C738" s="596"/>
      <c r="D738" s="595"/>
      <c r="E738" s="595"/>
      <c r="F738" s="595"/>
      <c r="G738" s="595"/>
      <c r="H738" s="595"/>
      <c r="I738" s="595"/>
      <c r="J738" s="595"/>
      <c r="K738" s="595"/>
      <c r="L738" s="595"/>
      <c r="M738" s="595"/>
      <c r="N738" s="595"/>
      <c r="O738" s="595"/>
      <c r="P738" s="595"/>
      <c r="Q738" s="595"/>
      <c r="R738" s="595"/>
      <c r="S738" s="595"/>
      <c r="T738" s="595"/>
      <c r="U738" s="595"/>
      <c r="V738" s="595"/>
      <c r="W738" s="595"/>
      <c r="X738" s="595"/>
      <c r="Y738" s="595"/>
      <c r="Z738" s="595"/>
    </row>
    <row r="739" spans="1:26" ht="19.5" customHeight="1">
      <c r="A739" s="595"/>
      <c r="B739" s="595"/>
      <c r="C739" s="596"/>
      <c r="D739" s="595"/>
      <c r="E739" s="595"/>
      <c r="F739" s="595"/>
      <c r="G739" s="595"/>
      <c r="H739" s="595"/>
      <c r="I739" s="595"/>
      <c r="J739" s="595"/>
      <c r="K739" s="595"/>
      <c r="L739" s="595"/>
      <c r="M739" s="595"/>
      <c r="N739" s="595"/>
      <c r="O739" s="595"/>
      <c r="P739" s="595"/>
      <c r="Q739" s="595"/>
      <c r="R739" s="595"/>
      <c r="S739" s="595"/>
      <c r="T739" s="595"/>
      <c r="U739" s="595"/>
      <c r="V739" s="595"/>
      <c r="W739" s="595"/>
      <c r="X739" s="595"/>
      <c r="Y739" s="595"/>
      <c r="Z739" s="595"/>
    </row>
    <row r="740" spans="1:26" ht="19.5" customHeight="1">
      <c r="A740" s="595"/>
      <c r="B740" s="595"/>
      <c r="C740" s="596"/>
      <c r="D740" s="595"/>
      <c r="E740" s="595"/>
      <c r="F740" s="595"/>
      <c r="G740" s="595"/>
      <c r="H740" s="595"/>
      <c r="I740" s="595"/>
      <c r="J740" s="595"/>
      <c r="K740" s="595"/>
      <c r="L740" s="595"/>
      <c r="M740" s="595"/>
      <c r="N740" s="595"/>
      <c r="O740" s="595"/>
      <c r="P740" s="595"/>
      <c r="Q740" s="595"/>
      <c r="R740" s="595"/>
      <c r="S740" s="595"/>
      <c r="T740" s="595"/>
      <c r="U740" s="595"/>
      <c r="V740" s="595"/>
      <c r="W740" s="595"/>
      <c r="X740" s="595"/>
      <c r="Y740" s="595"/>
      <c r="Z740" s="595"/>
    </row>
    <row r="741" spans="1:26" ht="19.5" customHeight="1">
      <c r="A741" s="595"/>
      <c r="B741" s="595"/>
      <c r="C741" s="596"/>
      <c r="D741" s="595"/>
      <c r="E741" s="595"/>
      <c r="F741" s="595"/>
      <c r="G741" s="595"/>
      <c r="H741" s="595"/>
      <c r="I741" s="595"/>
      <c r="J741" s="595"/>
      <c r="K741" s="595"/>
      <c r="L741" s="595"/>
      <c r="M741" s="595"/>
      <c r="N741" s="595"/>
      <c r="O741" s="595"/>
      <c r="P741" s="595"/>
      <c r="Q741" s="595"/>
      <c r="R741" s="595"/>
      <c r="S741" s="595"/>
      <c r="T741" s="595"/>
      <c r="U741" s="595"/>
      <c r="V741" s="595"/>
      <c r="W741" s="595"/>
      <c r="X741" s="595"/>
      <c r="Y741" s="595"/>
      <c r="Z741" s="595"/>
    </row>
    <row r="742" spans="1:26" ht="19.5" customHeight="1">
      <c r="A742" s="595"/>
      <c r="B742" s="595"/>
      <c r="C742" s="596"/>
      <c r="D742" s="595"/>
      <c r="E742" s="595"/>
      <c r="F742" s="595"/>
      <c r="G742" s="595"/>
      <c r="H742" s="595"/>
      <c r="I742" s="595"/>
      <c r="J742" s="595"/>
      <c r="K742" s="595"/>
      <c r="L742" s="595"/>
      <c r="M742" s="595"/>
      <c r="N742" s="595"/>
      <c r="O742" s="595"/>
      <c r="P742" s="595"/>
      <c r="Q742" s="595"/>
      <c r="R742" s="595"/>
      <c r="S742" s="595"/>
      <c r="T742" s="595"/>
      <c r="U742" s="595"/>
      <c r="V742" s="595"/>
      <c r="W742" s="595"/>
      <c r="X742" s="595"/>
      <c r="Y742" s="595"/>
      <c r="Z742" s="595"/>
    </row>
    <row r="743" spans="1:26" ht="19.5" customHeight="1">
      <c r="A743" s="595"/>
      <c r="B743" s="595"/>
      <c r="C743" s="596"/>
      <c r="D743" s="595"/>
      <c r="E743" s="595"/>
      <c r="F743" s="595"/>
      <c r="G743" s="595"/>
      <c r="H743" s="595"/>
      <c r="I743" s="595"/>
      <c r="J743" s="595"/>
      <c r="K743" s="595"/>
      <c r="L743" s="595"/>
      <c r="M743" s="595"/>
      <c r="N743" s="595"/>
      <c r="O743" s="595"/>
      <c r="P743" s="595"/>
      <c r="Q743" s="595"/>
      <c r="R743" s="595"/>
      <c r="S743" s="595"/>
      <c r="T743" s="595"/>
      <c r="U743" s="595"/>
      <c r="V743" s="595"/>
      <c r="W743" s="595"/>
      <c r="X743" s="595"/>
      <c r="Y743" s="595"/>
      <c r="Z743" s="595"/>
    </row>
    <row r="744" spans="1:26" ht="19.5" customHeight="1">
      <c r="A744" s="595"/>
      <c r="B744" s="595"/>
      <c r="C744" s="596"/>
      <c r="D744" s="595"/>
      <c r="E744" s="595"/>
      <c r="F744" s="595"/>
      <c r="G744" s="595"/>
      <c r="H744" s="595"/>
      <c r="I744" s="595"/>
      <c r="J744" s="595"/>
      <c r="K744" s="595"/>
      <c r="L744" s="595"/>
      <c r="M744" s="595"/>
      <c r="N744" s="595"/>
      <c r="O744" s="595"/>
      <c r="P744" s="595"/>
      <c r="Q744" s="595"/>
      <c r="R744" s="595"/>
      <c r="S744" s="595"/>
      <c r="T744" s="595"/>
      <c r="U744" s="595"/>
      <c r="V744" s="595"/>
      <c r="W744" s="595"/>
      <c r="X744" s="595"/>
      <c r="Y744" s="595"/>
      <c r="Z744" s="595"/>
    </row>
    <row r="745" spans="1:26" ht="19.5" customHeight="1">
      <c r="A745" s="595"/>
      <c r="B745" s="595"/>
      <c r="C745" s="596"/>
      <c r="D745" s="595"/>
      <c r="E745" s="595"/>
      <c r="F745" s="595"/>
      <c r="G745" s="595"/>
      <c r="H745" s="595"/>
      <c r="I745" s="595"/>
      <c r="J745" s="595"/>
      <c r="K745" s="595"/>
      <c r="L745" s="595"/>
      <c r="M745" s="595"/>
      <c r="N745" s="595"/>
      <c r="O745" s="595"/>
      <c r="P745" s="595"/>
      <c r="Q745" s="595"/>
      <c r="R745" s="595"/>
      <c r="S745" s="595"/>
      <c r="T745" s="595"/>
      <c r="U745" s="595"/>
      <c r="V745" s="595"/>
      <c r="W745" s="595"/>
      <c r="X745" s="595"/>
      <c r="Y745" s="595"/>
      <c r="Z745" s="595"/>
    </row>
    <row r="746" spans="1:26" ht="19.5" customHeight="1">
      <c r="A746" s="595"/>
      <c r="B746" s="595"/>
      <c r="C746" s="596"/>
      <c r="D746" s="595"/>
      <c r="E746" s="595"/>
      <c r="F746" s="595"/>
      <c r="G746" s="595"/>
      <c r="H746" s="595"/>
      <c r="I746" s="595"/>
      <c r="J746" s="595"/>
      <c r="K746" s="595"/>
      <c r="L746" s="595"/>
      <c r="M746" s="595"/>
      <c r="N746" s="595"/>
      <c r="O746" s="595"/>
      <c r="P746" s="595"/>
      <c r="Q746" s="595"/>
      <c r="R746" s="595"/>
      <c r="S746" s="595"/>
      <c r="T746" s="595"/>
      <c r="U746" s="595"/>
      <c r="V746" s="595"/>
      <c r="W746" s="595"/>
      <c r="X746" s="595"/>
      <c r="Y746" s="595"/>
      <c r="Z746" s="595"/>
    </row>
    <row r="747" spans="1:26" ht="19.5" customHeight="1">
      <c r="A747" s="595"/>
      <c r="B747" s="595"/>
      <c r="C747" s="596"/>
      <c r="D747" s="595"/>
      <c r="E747" s="595"/>
      <c r="F747" s="595"/>
      <c r="G747" s="595"/>
      <c r="H747" s="595"/>
      <c r="I747" s="595"/>
      <c r="J747" s="595"/>
      <c r="K747" s="595"/>
      <c r="L747" s="595"/>
      <c r="M747" s="595"/>
      <c r="N747" s="595"/>
      <c r="O747" s="595"/>
      <c r="P747" s="595"/>
      <c r="Q747" s="595"/>
      <c r="R747" s="595"/>
      <c r="S747" s="595"/>
      <c r="T747" s="595"/>
      <c r="U747" s="595"/>
      <c r="V747" s="595"/>
      <c r="W747" s="595"/>
      <c r="X747" s="595"/>
      <c r="Y747" s="595"/>
      <c r="Z747" s="595"/>
    </row>
    <row r="748" spans="1:26" ht="19.5" customHeight="1">
      <c r="A748" s="595"/>
      <c r="B748" s="595"/>
      <c r="C748" s="596"/>
      <c r="D748" s="595"/>
      <c r="E748" s="595"/>
      <c r="F748" s="595"/>
      <c r="G748" s="595"/>
      <c r="H748" s="595"/>
      <c r="I748" s="595"/>
      <c r="J748" s="595"/>
      <c r="K748" s="595"/>
      <c r="L748" s="595"/>
      <c r="M748" s="595"/>
      <c r="N748" s="595"/>
      <c r="O748" s="595"/>
      <c r="P748" s="595"/>
      <c r="Q748" s="595"/>
      <c r="R748" s="595"/>
      <c r="S748" s="595"/>
      <c r="T748" s="595"/>
      <c r="U748" s="595"/>
      <c r="V748" s="595"/>
      <c r="W748" s="595"/>
      <c r="X748" s="595"/>
      <c r="Y748" s="595"/>
      <c r="Z748" s="595"/>
    </row>
    <row r="749" spans="1:26" ht="19.5" customHeight="1">
      <c r="A749" s="595"/>
      <c r="B749" s="595"/>
      <c r="C749" s="596"/>
      <c r="D749" s="595"/>
      <c r="E749" s="595"/>
      <c r="F749" s="595"/>
      <c r="G749" s="595"/>
      <c r="H749" s="595"/>
      <c r="I749" s="595"/>
      <c r="J749" s="595"/>
      <c r="K749" s="595"/>
      <c r="L749" s="595"/>
      <c r="M749" s="595"/>
      <c r="N749" s="595"/>
      <c r="O749" s="595"/>
      <c r="P749" s="595"/>
      <c r="Q749" s="595"/>
      <c r="R749" s="595"/>
      <c r="S749" s="595"/>
      <c r="T749" s="595"/>
      <c r="U749" s="595"/>
      <c r="V749" s="595"/>
      <c r="W749" s="595"/>
      <c r="X749" s="595"/>
      <c r="Y749" s="595"/>
      <c r="Z749" s="595"/>
    </row>
    <row r="750" spans="1:26" ht="19.5" customHeight="1">
      <c r="A750" s="595"/>
      <c r="B750" s="595"/>
      <c r="C750" s="596"/>
      <c r="D750" s="595"/>
      <c r="E750" s="595"/>
      <c r="F750" s="595"/>
      <c r="G750" s="595"/>
      <c r="H750" s="595"/>
      <c r="I750" s="595"/>
      <c r="J750" s="595"/>
      <c r="K750" s="595"/>
      <c r="L750" s="595"/>
      <c r="M750" s="595"/>
      <c r="N750" s="595"/>
      <c r="O750" s="595"/>
      <c r="P750" s="595"/>
      <c r="Q750" s="595"/>
      <c r="R750" s="595"/>
      <c r="S750" s="595"/>
      <c r="T750" s="595"/>
      <c r="U750" s="595"/>
      <c r="V750" s="595"/>
      <c r="W750" s="595"/>
      <c r="X750" s="595"/>
      <c r="Y750" s="595"/>
      <c r="Z750" s="595"/>
    </row>
    <row r="751" spans="1:26" ht="19.5" customHeight="1">
      <c r="A751" s="595"/>
      <c r="B751" s="595"/>
      <c r="C751" s="596"/>
      <c r="D751" s="595"/>
      <c r="E751" s="595"/>
      <c r="F751" s="595"/>
      <c r="G751" s="595"/>
      <c r="H751" s="595"/>
      <c r="I751" s="595"/>
      <c r="J751" s="595"/>
      <c r="K751" s="595"/>
      <c r="L751" s="595"/>
      <c r="M751" s="595"/>
      <c r="N751" s="595"/>
      <c r="O751" s="595"/>
      <c r="P751" s="595"/>
      <c r="Q751" s="595"/>
      <c r="R751" s="595"/>
      <c r="S751" s="595"/>
      <c r="T751" s="595"/>
      <c r="U751" s="595"/>
      <c r="V751" s="595"/>
      <c r="W751" s="595"/>
      <c r="X751" s="595"/>
      <c r="Y751" s="595"/>
      <c r="Z751" s="595"/>
    </row>
    <row r="752" spans="1:26" ht="19.5" customHeight="1">
      <c r="A752" s="595"/>
      <c r="B752" s="595"/>
      <c r="C752" s="596"/>
      <c r="D752" s="595"/>
      <c r="E752" s="595"/>
      <c r="F752" s="595"/>
      <c r="G752" s="595"/>
      <c r="H752" s="595"/>
      <c r="I752" s="595"/>
      <c r="J752" s="595"/>
      <c r="K752" s="595"/>
      <c r="L752" s="595"/>
      <c r="M752" s="595"/>
      <c r="N752" s="595"/>
      <c r="O752" s="595"/>
      <c r="P752" s="595"/>
      <c r="Q752" s="595"/>
      <c r="R752" s="595"/>
      <c r="S752" s="595"/>
      <c r="T752" s="595"/>
      <c r="U752" s="595"/>
      <c r="V752" s="595"/>
      <c r="W752" s="595"/>
      <c r="X752" s="595"/>
      <c r="Y752" s="595"/>
      <c r="Z752" s="595"/>
    </row>
    <row r="753" spans="1:26" ht="19.5" customHeight="1">
      <c r="A753" s="595"/>
      <c r="B753" s="595"/>
      <c r="C753" s="596"/>
      <c r="D753" s="595"/>
      <c r="E753" s="595"/>
      <c r="F753" s="595"/>
      <c r="G753" s="595"/>
      <c r="H753" s="595"/>
      <c r="I753" s="595"/>
      <c r="J753" s="595"/>
      <c r="K753" s="595"/>
      <c r="L753" s="595"/>
      <c r="M753" s="595"/>
      <c r="N753" s="595"/>
      <c r="O753" s="595"/>
      <c r="P753" s="595"/>
      <c r="Q753" s="595"/>
      <c r="R753" s="595"/>
      <c r="S753" s="595"/>
      <c r="T753" s="595"/>
      <c r="U753" s="595"/>
      <c r="V753" s="595"/>
      <c r="W753" s="595"/>
      <c r="X753" s="595"/>
      <c r="Y753" s="595"/>
      <c r="Z753" s="595"/>
    </row>
    <row r="754" spans="1:26" ht="19.5" customHeight="1">
      <c r="A754" s="595"/>
      <c r="B754" s="595"/>
      <c r="C754" s="596"/>
      <c r="D754" s="595"/>
      <c r="E754" s="595"/>
      <c r="F754" s="595"/>
      <c r="G754" s="595"/>
      <c r="H754" s="595"/>
      <c r="I754" s="595"/>
      <c r="J754" s="595"/>
      <c r="K754" s="595"/>
      <c r="L754" s="595"/>
      <c r="M754" s="595"/>
      <c r="N754" s="595"/>
      <c r="O754" s="595"/>
      <c r="P754" s="595"/>
      <c r="Q754" s="595"/>
      <c r="R754" s="595"/>
      <c r="S754" s="595"/>
      <c r="T754" s="595"/>
      <c r="U754" s="595"/>
      <c r="V754" s="595"/>
      <c r="W754" s="595"/>
      <c r="X754" s="595"/>
      <c r="Y754" s="595"/>
      <c r="Z754" s="595"/>
    </row>
    <row r="755" spans="1:26" ht="19.5" customHeight="1">
      <c r="A755" s="595"/>
      <c r="B755" s="595"/>
      <c r="C755" s="596"/>
      <c r="D755" s="595"/>
      <c r="E755" s="595"/>
      <c r="F755" s="595"/>
      <c r="G755" s="595"/>
      <c r="H755" s="595"/>
      <c r="I755" s="595"/>
      <c r="J755" s="595"/>
      <c r="K755" s="595"/>
      <c r="L755" s="595"/>
      <c r="M755" s="595"/>
      <c r="N755" s="595"/>
      <c r="O755" s="595"/>
      <c r="P755" s="595"/>
      <c r="Q755" s="595"/>
      <c r="R755" s="595"/>
      <c r="S755" s="595"/>
      <c r="T755" s="595"/>
      <c r="U755" s="595"/>
      <c r="V755" s="595"/>
      <c r="W755" s="595"/>
      <c r="X755" s="595"/>
      <c r="Y755" s="595"/>
      <c r="Z755" s="595"/>
    </row>
    <row r="756" spans="1:26" ht="19.5" customHeight="1">
      <c r="A756" s="595"/>
      <c r="B756" s="595"/>
      <c r="C756" s="596"/>
      <c r="D756" s="595"/>
      <c r="E756" s="595"/>
      <c r="F756" s="595"/>
      <c r="G756" s="595"/>
      <c r="H756" s="595"/>
      <c r="I756" s="595"/>
      <c r="J756" s="595"/>
      <c r="K756" s="595"/>
      <c r="L756" s="595"/>
      <c r="M756" s="595"/>
      <c r="N756" s="595"/>
      <c r="O756" s="595"/>
      <c r="P756" s="595"/>
      <c r="Q756" s="595"/>
      <c r="R756" s="595"/>
      <c r="S756" s="595"/>
      <c r="T756" s="595"/>
      <c r="U756" s="595"/>
      <c r="V756" s="595"/>
      <c r="W756" s="595"/>
      <c r="X756" s="595"/>
      <c r="Y756" s="595"/>
      <c r="Z756" s="595"/>
    </row>
    <row r="757" spans="1:26" ht="19.5" customHeight="1">
      <c r="A757" s="595"/>
      <c r="B757" s="595"/>
      <c r="C757" s="596"/>
      <c r="D757" s="595"/>
      <c r="E757" s="595"/>
      <c r="F757" s="595"/>
      <c r="G757" s="595"/>
      <c r="H757" s="595"/>
      <c r="I757" s="595"/>
      <c r="J757" s="595"/>
      <c r="K757" s="595"/>
      <c r="L757" s="595"/>
      <c r="M757" s="595"/>
      <c r="N757" s="595"/>
      <c r="O757" s="595"/>
      <c r="P757" s="595"/>
      <c r="Q757" s="595"/>
      <c r="R757" s="595"/>
      <c r="S757" s="595"/>
      <c r="T757" s="595"/>
      <c r="U757" s="595"/>
      <c r="V757" s="595"/>
      <c r="W757" s="595"/>
      <c r="X757" s="595"/>
      <c r="Y757" s="595"/>
      <c r="Z757" s="595"/>
    </row>
    <row r="758" spans="1:26" ht="19.5" customHeight="1">
      <c r="A758" s="595"/>
      <c r="B758" s="595"/>
      <c r="C758" s="596"/>
      <c r="D758" s="595"/>
      <c r="E758" s="595"/>
      <c r="F758" s="595"/>
      <c r="G758" s="595"/>
      <c r="H758" s="595"/>
      <c r="I758" s="595"/>
      <c r="J758" s="595"/>
      <c r="K758" s="595"/>
      <c r="L758" s="595"/>
      <c r="M758" s="595"/>
      <c r="N758" s="595"/>
      <c r="O758" s="595"/>
      <c r="P758" s="595"/>
      <c r="Q758" s="595"/>
      <c r="R758" s="595"/>
      <c r="S758" s="595"/>
      <c r="T758" s="595"/>
      <c r="U758" s="595"/>
      <c r="V758" s="595"/>
      <c r="W758" s="595"/>
      <c r="X758" s="595"/>
      <c r="Y758" s="595"/>
      <c r="Z758" s="595"/>
    </row>
    <row r="759" spans="1:26" ht="19.5" customHeight="1">
      <c r="A759" s="595"/>
      <c r="B759" s="595"/>
      <c r="C759" s="596"/>
      <c r="D759" s="595"/>
      <c r="E759" s="595"/>
      <c r="F759" s="595"/>
      <c r="G759" s="595"/>
      <c r="H759" s="595"/>
      <c r="I759" s="595"/>
      <c r="J759" s="595"/>
      <c r="K759" s="595"/>
      <c r="L759" s="595"/>
      <c r="M759" s="595"/>
      <c r="N759" s="595"/>
      <c r="O759" s="595"/>
      <c r="P759" s="595"/>
      <c r="Q759" s="595"/>
      <c r="R759" s="595"/>
      <c r="S759" s="595"/>
      <c r="T759" s="595"/>
      <c r="U759" s="595"/>
      <c r="V759" s="595"/>
      <c r="W759" s="595"/>
      <c r="X759" s="595"/>
      <c r="Y759" s="595"/>
      <c r="Z759" s="595"/>
    </row>
    <row r="760" spans="1:26" ht="19.5" customHeight="1">
      <c r="A760" s="595"/>
      <c r="B760" s="595"/>
      <c r="C760" s="596"/>
      <c r="D760" s="595"/>
      <c r="E760" s="595"/>
      <c r="F760" s="595"/>
      <c r="G760" s="595"/>
      <c r="H760" s="595"/>
      <c r="I760" s="595"/>
      <c r="J760" s="595"/>
      <c r="K760" s="595"/>
      <c r="L760" s="595"/>
      <c r="M760" s="595"/>
      <c r="N760" s="595"/>
      <c r="O760" s="595"/>
      <c r="P760" s="595"/>
      <c r="Q760" s="595"/>
      <c r="R760" s="595"/>
      <c r="S760" s="595"/>
      <c r="T760" s="595"/>
      <c r="U760" s="595"/>
      <c r="V760" s="595"/>
      <c r="W760" s="595"/>
      <c r="X760" s="595"/>
      <c r="Y760" s="595"/>
      <c r="Z760" s="595"/>
    </row>
    <row r="761" spans="1:26" ht="19.5" customHeight="1">
      <c r="A761" s="595"/>
      <c r="B761" s="595"/>
      <c r="C761" s="596"/>
      <c r="D761" s="595"/>
      <c r="E761" s="595"/>
      <c r="F761" s="595"/>
      <c r="G761" s="595"/>
      <c r="H761" s="595"/>
      <c r="I761" s="595"/>
      <c r="J761" s="595"/>
      <c r="K761" s="595"/>
      <c r="L761" s="595"/>
      <c r="M761" s="595"/>
      <c r="N761" s="595"/>
      <c r="O761" s="595"/>
      <c r="P761" s="595"/>
      <c r="Q761" s="595"/>
      <c r="R761" s="595"/>
      <c r="S761" s="595"/>
      <c r="T761" s="595"/>
      <c r="U761" s="595"/>
      <c r="V761" s="595"/>
      <c r="W761" s="595"/>
      <c r="X761" s="595"/>
      <c r="Y761" s="595"/>
      <c r="Z761" s="595"/>
    </row>
    <row r="762" spans="1:26" ht="19.5" customHeight="1">
      <c r="A762" s="595"/>
      <c r="B762" s="595"/>
      <c r="C762" s="596"/>
      <c r="D762" s="595"/>
      <c r="E762" s="595"/>
      <c r="F762" s="595"/>
      <c r="G762" s="595"/>
      <c r="H762" s="595"/>
      <c r="I762" s="595"/>
      <c r="J762" s="595"/>
      <c r="K762" s="595"/>
      <c r="L762" s="595"/>
      <c r="M762" s="595"/>
      <c r="N762" s="595"/>
      <c r="O762" s="595"/>
      <c r="P762" s="595"/>
      <c r="Q762" s="595"/>
      <c r="R762" s="595"/>
      <c r="S762" s="595"/>
      <c r="T762" s="595"/>
      <c r="U762" s="595"/>
      <c r="V762" s="595"/>
      <c r="W762" s="595"/>
      <c r="X762" s="595"/>
      <c r="Y762" s="595"/>
      <c r="Z762" s="595"/>
    </row>
    <row r="763" spans="1:26" ht="19.5" customHeight="1">
      <c r="A763" s="595"/>
      <c r="B763" s="595"/>
      <c r="C763" s="596"/>
      <c r="D763" s="595"/>
      <c r="E763" s="595"/>
      <c r="F763" s="595"/>
      <c r="G763" s="595"/>
      <c r="H763" s="595"/>
      <c r="I763" s="595"/>
      <c r="J763" s="595"/>
      <c r="K763" s="595"/>
      <c r="L763" s="595"/>
      <c r="M763" s="595"/>
      <c r="N763" s="595"/>
      <c r="O763" s="595"/>
      <c r="P763" s="595"/>
      <c r="Q763" s="595"/>
      <c r="R763" s="595"/>
      <c r="S763" s="595"/>
      <c r="T763" s="595"/>
      <c r="U763" s="595"/>
      <c r="V763" s="595"/>
      <c r="W763" s="595"/>
      <c r="X763" s="595"/>
      <c r="Y763" s="595"/>
      <c r="Z763" s="595"/>
    </row>
    <row r="764" spans="1:26" ht="19.5" customHeight="1">
      <c r="A764" s="595"/>
      <c r="B764" s="595"/>
      <c r="C764" s="596"/>
      <c r="D764" s="595"/>
      <c r="E764" s="595"/>
      <c r="F764" s="595"/>
      <c r="G764" s="595"/>
      <c r="H764" s="595"/>
      <c r="I764" s="595"/>
      <c r="J764" s="595"/>
      <c r="K764" s="595"/>
      <c r="L764" s="595"/>
      <c r="M764" s="595"/>
      <c r="N764" s="595"/>
      <c r="O764" s="595"/>
      <c r="P764" s="595"/>
      <c r="Q764" s="595"/>
      <c r="R764" s="595"/>
      <c r="S764" s="595"/>
      <c r="T764" s="595"/>
      <c r="U764" s="595"/>
      <c r="V764" s="595"/>
      <c r="W764" s="595"/>
      <c r="X764" s="595"/>
      <c r="Y764" s="595"/>
      <c r="Z764" s="595"/>
    </row>
    <row r="765" spans="1:26" ht="19.5" customHeight="1">
      <c r="A765" s="595"/>
      <c r="B765" s="595"/>
      <c r="C765" s="596"/>
      <c r="D765" s="595"/>
      <c r="E765" s="595"/>
      <c r="F765" s="595"/>
      <c r="G765" s="595"/>
      <c r="H765" s="595"/>
      <c r="I765" s="595"/>
      <c r="J765" s="595"/>
      <c r="K765" s="595"/>
      <c r="L765" s="595"/>
      <c r="M765" s="595"/>
      <c r="N765" s="595"/>
      <c r="O765" s="595"/>
      <c r="P765" s="595"/>
      <c r="Q765" s="595"/>
      <c r="R765" s="595"/>
      <c r="S765" s="595"/>
      <c r="T765" s="595"/>
      <c r="U765" s="595"/>
      <c r="V765" s="595"/>
      <c r="W765" s="595"/>
      <c r="X765" s="595"/>
      <c r="Y765" s="595"/>
      <c r="Z765" s="595"/>
    </row>
    <row r="766" spans="1:26" ht="19.5" customHeight="1">
      <c r="A766" s="595"/>
      <c r="B766" s="595"/>
      <c r="C766" s="596"/>
      <c r="D766" s="595"/>
      <c r="E766" s="595"/>
      <c r="F766" s="595"/>
      <c r="G766" s="595"/>
      <c r="H766" s="595"/>
      <c r="I766" s="595"/>
      <c r="J766" s="595"/>
      <c r="K766" s="595"/>
      <c r="L766" s="595"/>
      <c r="M766" s="595"/>
      <c r="N766" s="595"/>
      <c r="O766" s="595"/>
      <c r="P766" s="595"/>
      <c r="Q766" s="595"/>
      <c r="R766" s="595"/>
      <c r="S766" s="595"/>
      <c r="T766" s="595"/>
      <c r="U766" s="595"/>
      <c r="V766" s="595"/>
      <c r="W766" s="595"/>
      <c r="X766" s="595"/>
      <c r="Y766" s="595"/>
      <c r="Z766" s="595"/>
    </row>
    <row r="767" spans="1:26" ht="19.5" customHeight="1">
      <c r="A767" s="595"/>
      <c r="B767" s="595"/>
      <c r="C767" s="596"/>
      <c r="D767" s="595"/>
      <c r="E767" s="595"/>
      <c r="F767" s="595"/>
      <c r="G767" s="595"/>
      <c r="H767" s="595"/>
      <c r="I767" s="595"/>
      <c r="J767" s="595"/>
      <c r="K767" s="595"/>
      <c r="L767" s="595"/>
      <c r="M767" s="595"/>
      <c r="N767" s="595"/>
      <c r="O767" s="595"/>
      <c r="P767" s="595"/>
      <c r="Q767" s="595"/>
      <c r="R767" s="595"/>
      <c r="S767" s="595"/>
      <c r="T767" s="595"/>
      <c r="U767" s="595"/>
      <c r="V767" s="595"/>
      <c r="W767" s="595"/>
      <c r="X767" s="595"/>
      <c r="Y767" s="595"/>
      <c r="Z767" s="595"/>
    </row>
    <row r="768" spans="1:26" ht="19.5" customHeight="1">
      <c r="A768" s="595"/>
      <c r="B768" s="595"/>
      <c r="C768" s="596"/>
      <c r="D768" s="595"/>
      <c r="E768" s="595"/>
      <c r="F768" s="595"/>
      <c r="G768" s="595"/>
      <c r="H768" s="595"/>
      <c r="I768" s="595"/>
      <c r="J768" s="595"/>
      <c r="K768" s="595"/>
      <c r="L768" s="595"/>
      <c r="M768" s="595"/>
      <c r="N768" s="595"/>
      <c r="O768" s="595"/>
      <c r="P768" s="595"/>
      <c r="Q768" s="595"/>
      <c r="R768" s="595"/>
      <c r="S768" s="595"/>
      <c r="T768" s="595"/>
      <c r="U768" s="595"/>
      <c r="V768" s="595"/>
      <c r="W768" s="595"/>
      <c r="X768" s="595"/>
      <c r="Y768" s="595"/>
      <c r="Z768" s="595"/>
    </row>
    <row r="769" spans="1:26" ht="19.5" customHeight="1">
      <c r="A769" s="595"/>
      <c r="B769" s="595"/>
      <c r="C769" s="596"/>
      <c r="D769" s="595"/>
      <c r="E769" s="595"/>
      <c r="F769" s="595"/>
      <c r="G769" s="595"/>
      <c r="H769" s="595"/>
      <c r="I769" s="595"/>
      <c r="J769" s="595"/>
      <c r="K769" s="595"/>
      <c r="L769" s="595"/>
      <c r="M769" s="595"/>
      <c r="N769" s="595"/>
      <c r="O769" s="595"/>
      <c r="P769" s="595"/>
      <c r="Q769" s="595"/>
      <c r="R769" s="595"/>
      <c r="S769" s="595"/>
      <c r="T769" s="595"/>
      <c r="U769" s="595"/>
      <c r="V769" s="595"/>
      <c r="W769" s="595"/>
      <c r="X769" s="595"/>
      <c r="Y769" s="595"/>
      <c r="Z769" s="595"/>
    </row>
    <row r="770" spans="1:26" ht="19.5" customHeight="1">
      <c r="A770" s="595"/>
      <c r="B770" s="595"/>
      <c r="C770" s="596"/>
      <c r="D770" s="595"/>
      <c r="E770" s="595"/>
      <c r="F770" s="595"/>
      <c r="G770" s="595"/>
      <c r="H770" s="595"/>
      <c r="I770" s="595"/>
      <c r="J770" s="595"/>
      <c r="K770" s="595"/>
      <c r="L770" s="595"/>
      <c r="M770" s="595"/>
      <c r="N770" s="595"/>
      <c r="O770" s="595"/>
      <c r="P770" s="595"/>
      <c r="Q770" s="595"/>
      <c r="R770" s="595"/>
      <c r="S770" s="595"/>
      <c r="T770" s="595"/>
      <c r="U770" s="595"/>
      <c r="V770" s="595"/>
      <c r="W770" s="595"/>
      <c r="X770" s="595"/>
      <c r="Y770" s="595"/>
      <c r="Z770" s="595"/>
    </row>
    <row r="771" spans="1:26" ht="19.5" customHeight="1">
      <c r="A771" s="595"/>
      <c r="B771" s="595"/>
      <c r="C771" s="596"/>
      <c r="D771" s="595"/>
      <c r="E771" s="595"/>
      <c r="F771" s="595"/>
      <c r="G771" s="595"/>
      <c r="H771" s="595"/>
      <c r="I771" s="595"/>
      <c r="J771" s="595"/>
      <c r="K771" s="595"/>
      <c r="L771" s="595"/>
      <c r="M771" s="595"/>
      <c r="N771" s="595"/>
      <c r="O771" s="595"/>
      <c r="P771" s="595"/>
      <c r="Q771" s="595"/>
      <c r="R771" s="595"/>
      <c r="S771" s="595"/>
      <c r="T771" s="595"/>
      <c r="U771" s="595"/>
      <c r="V771" s="595"/>
      <c r="W771" s="595"/>
      <c r="X771" s="595"/>
      <c r="Y771" s="595"/>
      <c r="Z771" s="595"/>
    </row>
    <row r="772" spans="1:26" ht="19.5" customHeight="1">
      <c r="A772" s="595"/>
      <c r="B772" s="595"/>
      <c r="C772" s="596"/>
      <c r="D772" s="595"/>
      <c r="E772" s="595"/>
      <c r="F772" s="595"/>
      <c r="G772" s="595"/>
      <c r="H772" s="595"/>
      <c r="I772" s="595"/>
      <c r="J772" s="595"/>
      <c r="K772" s="595"/>
      <c r="L772" s="595"/>
      <c r="M772" s="595"/>
      <c r="N772" s="595"/>
      <c r="O772" s="595"/>
      <c r="P772" s="595"/>
      <c r="Q772" s="595"/>
      <c r="R772" s="595"/>
      <c r="S772" s="595"/>
      <c r="T772" s="595"/>
      <c r="U772" s="595"/>
      <c r="V772" s="595"/>
      <c r="W772" s="595"/>
      <c r="X772" s="595"/>
      <c r="Y772" s="595"/>
      <c r="Z772" s="595"/>
    </row>
    <row r="773" spans="1:26" ht="19.5" customHeight="1">
      <c r="A773" s="595"/>
      <c r="B773" s="595"/>
      <c r="C773" s="596"/>
      <c r="D773" s="595"/>
      <c r="E773" s="595"/>
      <c r="F773" s="595"/>
      <c r="G773" s="595"/>
      <c r="H773" s="595"/>
      <c r="I773" s="595"/>
      <c r="J773" s="595"/>
      <c r="K773" s="595"/>
      <c r="L773" s="595"/>
      <c r="M773" s="595"/>
      <c r="N773" s="595"/>
      <c r="O773" s="595"/>
      <c r="P773" s="595"/>
      <c r="Q773" s="595"/>
      <c r="R773" s="595"/>
      <c r="S773" s="595"/>
      <c r="T773" s="595"/>
      <c r="U773" s="595"/>
      <c r="V773" s="595"/>
      <c r="W773" s="595"/>
      <c r="X773" s="595"/>
      <c r="Y773" s="595"/>
      <c r="Z773" s="595"/>
    </row>
    <row r="774" spans="1:26" ht="19.5" customHeight="1">
      <c r="A774" s="595"/>
      <c r="B774" s="595"/>
      <c r="C774" s="596"/>
      <c r="D774" s="595"/>
      <c r="E774" s="595"/>
      <c r="F774" s="595"/>
      <c r="G774" s="595"/>
      <c r="H774" s="595"/>
      <c r="I774" s="595"/>
      <c r="J774" s="595"/>
      <c r="K774" s="595"/>
      <c r="L774" s="595"/>
      <c r="M774" s="595"/>
      <c r="N774" s="595"/>
      <c r="O774" s="595"/>
      <c r="P774" s="595"/>
      <c r="Q774" s="595"/>
      <c r="R774" s="595"/>
      <c r="S774" s="595"/>
      <c r="T774" s="595"/>
      <c r="U774" s="595"/>
      <c r="V774" s="595"/>
      <c r="W774" s="595"/>
      <c r="X774" s="595"/>
      <c r="Y774" s="595"/>
      <c r="Z774" s="595"/>
    </row>
    <row r="775" spans="1:26" ht="19.5" customHeight="1">
      <c r="A775" s="595"/>
      <c r="B775" s="595"/>
      <c r="C775" s="596"/>
      <c r="D775" s="595"/>
      <c r="E775" s="595"/>
      <c r="F775" s="595"/>
      <c r="G775" s="595"/>
      <c r="H775" s="595"/>
      <c r="I775" s="595"/>
      <c r="J775" s="595"/>
      <c r="K775" s="595"/>
      <c r="L775" s="595"/>
      <c r="M775" s="595"/>
      <c r="N775" s="595"/>
      <c r="O775" s="595"/>
      <c r="P775" s="595"/>
      <c r="Q775" s="595"/>
      <c r="R775" s="595"/>
      <c r="S775" s="595"/>
      <c r="T775" s="595"/>
      <c r="U775" s="595"/>
      <c r="V775" s="595"/>
      <c r="W775" s="595"/>
      <c r="X775" s="595"/>
      <c r="Y775" s="595"/>
      <c r="Z775" s="595"/>
    </row>
    <row r="776" spans="1:26" ht="19.5" customHeight="1">
      <c r="A776" s="595"/>
      <c r="B776" s="595"/>
      <c r="C776" s="596"/>
      <c r="D776" s="595"/>
      <c r="E776" s="595"/>
      <c r="F776" s="595"/>
      <c r="G776" s="595"/>
      <c r="H776" s="595"/>
      <c r="I776" s="595"/>
      <c r="J776" s="595"/>
      <c r="K776" s="595"/>
      <c r="L776" s="595"/>
      <c r="M776" s="595"/>
      <c r="N776" s="595"/>
      <c r="O776" s="595"/>
      <c r="P776" s="595"/>
      <c r="Q776" s="595"/>
      <c r="R776" s="595"/>
      <c r="S776" s="595"/>
      <c r="T776" s="595"/>
      <c r="U776" s="595"/>
      <c r="V776" s="595"/>
      <c r="W776" s="595"/>
      <c r="X776" s="595"/>
      <c r="Y776" s="595"/>
      <c r="Z776" s="595"/>
    </row>
    <row r="777" spans="1:26" ht="19.5" customHeight="1">
      <c r="A777" s="595"/>
      <c r="B777" s="595"/>
      <c r="C777" s="596"/>
      <c r="D777" s="595"/>
      <c r="E777" s="595"/>
      <c r="F777" s="595"/>
      <c r="G777" s="595"/>
      <c r="H777" s="595"/>
      <c r="I777" s="595"/>
      <c r="J777" s="595"/>
      <c r="K777" s="595"/>
      <c r="L777" s="595"/>
      <c r="M777" s="595"/>
      <c r="N777" s="595"/>
      <c r="O777" s="595"/>
      <c r="P777" s="595"/>
      <c r="Q777" s="595"/>
      <c r="R777" s="595"/>
      <c r="S777" s="595"/>
      <c r="T777" s="595"/>
      <c r="U777" s="595"/>
      <c r="V777" s="595"/>
      <c r="W777" s="595"/>
      <c r="X777" s="595"/>
      <c r="Y777" s="595"/>
      <c r="Z777" s="595"/>
    </row>
    <row r="778" spans="1:26" ht="19.5" customHeight="1">
      <c r="A778" s="595"/>
      <c r="B778" s="595"/>
      <c r="C778" s="596"/>
      <c r="D778" s="595"/>
      <c r="E778" s="595"/>
      <c r="F778" s="595"/>
      <c r="G778" s="595"/>
      <c r="H778" s="595"/>
      <c r="I778" s="595"/>
      <c r="J778" s="595"/>
      <c r="K778" s="595"/>
      <c r="L778" s="595"/>
      <c r="M778" s="595"/>
      <c r="N778" s="595"/>
      <c r="O778" s="595"/>
      <c r="P778" s="595"/>
      <c r="Q778" s="595"/>
      <c r="R778" s="595"/>
      <c r="S778" s="595"/>
      <c r="T778" s="595"/>
      <c r="U778" s="595"/>
      <c r="V778" s="595"/>
      <c r="W778" s="595"/>
      <c r="X778" s="595"/>
      <c r="Y778" s="595"/>
      <c r="Z778" s="595"/>
    </row>
    <row r="779" spans="1:26" ht="19.5" customHeight="1">
      <c r="A779" s="595"/>
      <c r="B779" s="595"/>
      <c r="C779" s="596"/>
      <c r="D779" s="595"/>
      <c r="E779" s="595"/>
      <c r="F779" s="595"/>
      <c r="G779" s="595"/>
      <c r="H779" s="595"/>
      <c r="I779" s="595"/>
      <c r="J779" s="595"/>
      <c r="K779" s="595"/>
      <c r="L779" s="595"/>
      <c r="M779" s="595"/>
      <c r="N779" s="595"/>
      <c r="O779" s="595"/>
      <c r="P779" s="595"/>
      <c r="Q779" s="595"/>
      <c r="R779" s="595"/>
      <c r="S779" s="595"/>
      <c r="T779" s="595"/>
      <c r="U779" s="595"/>
      <c r="V779" s="595"/>
      <c r="W779" s="595"/>
      <c r="X779" s="595"/>
      <c r="Y779" s="595"/>
      <c r="Z779" s="595"/>
    </row>
    <row r="780" spans="1:26" ht="19.5" customHeight="1">
      <c r="A780" s="595"/>
      <c r="B780" s="595"/>
      <c r="C780" s="596"/>
      <c r="D780" s="595"/>
      <c r="E780" s="595"/>
      <c r="F780" s="595"/>
      <c r="G780" s="595"/>
      <c r="H780" s="595"/>
      <c r="I780" s="595"/>
      <c r="J780" s="595"/>
      <c r="K780" s="595"/>
      <c r="L780" s="595"/>
      <c r="M780" s="595"/>
      <c r="N780" s="595"/>
      <c r="O780" s="595"/>
      <c r="P780" s="595"/>
      <c r="Q780" s="595"/>
      <c r="R780" s="595"/>
      <c r="S780" s="595"/>
      <c r="T780" s="595"/>
      <c r="U780" s="595"/>
      <c r="V780" s="595"/>
      <c r="W780" s="595"/>
      <c r="X780" s="595"/>
      <c r="Y780" s="595"/>
      <c r="Z780" s="595"/>
    </row>
    <row r="781" spans="1:26" ht="19.5" customHeight="1">
      <c r="A781" s="595"/>
      <c r="B781" s="595"/>
      <c r="C781" s="596"/>
      <c r="D781" s="595"/>
      <c r="E781" s="595"/>
      <c r="F781" s="595"/>
      <c r="G781" s="595"/>
      <c r="H781" s="595"/>
      <c r="I781" s="595"/>
      <c r="J781" s="595"/>
      <c r="K781" s="595"/>
      <c r="L781" s="595"/>
      <c r="M781" s="595"/>
      <c r="N781" s="595"/>
      <c r="O781" s="595"/>
      <c r="P781" s="595"/>
      <c r="Q781" s="595"/>
      <c r="R781" s="595"/>
      <c r="S781" s="595"/>
      <c r="T781" s="595"/>
      <c r="U781" s="595"/>
      <c r="V781" s="595"/>
      <c r="W781" s="595"/>
      <c r="X781" s="595"/>
      <c r="Y781" s="595"/>
      <c r="Z781" s="595"/>
    </row>
    <row r="782" spans="1:26" ht="19.5" customHeight="1">
      <c r="A782" s="595"/>
      <c r="B782" s="595"/>
      <c r="C782" s="596"/>
      <c r="D782" s="595"/>
      <c r="E782" s="595"/>
      <c r="F782" s="595"/>
      <c r="G782" s="595"/>
      <c r="H782" s="595"/>
      <c r="I782" s="595"/>
      <c r="J782" s="595"/>
      <c r="K782" s="595"/>
      <c r="L782" s="595"/>
      <c r="M782" s="595"/>
      <c r="N782" s="595"/>
      <c r="O782" s="595"/>
      <c r="P782" s="595"/>
      <c r="Q782" s="595"/>
      <c r="R782" s="595"/>
      <c r="S782" s="595"/>
      <c r="T782" s="595"/>
      <c r="U782" s="595"/>
      <c r="V782" s="595"/>
      <c r="W782" s="595"/>
      <c r="X782" s="595"/>
      <c r="Y782" s="595"/>
      <c r="Z782" s="595"/>
    </row>
    <row r="783" spans="1:26" ht="19.5" customHeight="1">
      <c r="A783" s="595"/>
      <c r="B783" s="595"/>
      <c r="C783" s="596"/>
      <c r="D783" s="595"/>
      <c r="E783" s="595"/>
      <c r="F783" s="595"/>
      <c r="G783" s="595"/>
      <c r="H783" s="595"/>
      <c r="I783" s="595"/>
      <c r="J783" s="595"/>
      <c r="K783" s="595"/>
      <c r="L783" s="595"/>
      <c r="M783" s="595"/>
      <c r="N783" s="595"/>
      <c r="O783" s="595"/>
      <c r="P783" s="595"/>
      <c r="Q783" s="595"/>
      <c r="R783" s="595"/>
      <c r="S783" s="595"/>
      <c r="T783" s="595"/>
      <c r="U783" s="595"/>
      <c r="V783" s="595"/>
      <c r="W783" s="595"/>
      <c r="X783" s="595"/>
      <c r="Y783" s="595"/>
      <c r="Z783" s="595"/>
    </row>
    <row r="784" spans="1:26" ht="19.5" customHeight="1">
      <c r="A784" s="595"/>
      <c r="B784" s="595"/>
      <c r="C784" s="596"/>
      <c r="D784" s="595"/>
      <c r="E784" s="595"/>
      <c r="F784" s="595"/>
      <c r="G784" s="595"/>
      <c r="H784" s="595"/>
      <c r="I784" s="595"/>
      <c r="J784" s="595"/>
      <c r="K784" s="595"/>
      <c r="L784" s="595"/>
      <c r="M784" s="595"/>
      <c r="N784" s="595"/>
      <c r="O784" s="595"/>
      <c r="P784" s="595"/>
      <c r="Q784" s="595"/>
      <c r="R784" s="595"/>
      <c r="S784" s="595"/>
      <c r="T784" s="595"/>
      <c r="U784" s="595"/>
      <c r="V784" s="595"/>
      <c r="W784" s="595"/>
      <c r="X784" s="595"/>
      <c r="Y784" s="595"/>
      <c r="Z784" s="595"/>
    </row>
    <row r="785" spans="1:26" ht="19.5" customHeight="1">
      <c r="A785" s="595"/>
      <c r="B785" s="595"/>
      <c r="C785" s="596"/>
      <c r="D785" s="595"/>
      <c r="E785" s="595"/>
      <c r="F785" s="595"/>
      <c r="G785" s="595"/>
      <c r="H785" s="595"/>
      <c r="I785" s="595"/>
      <c r="J785" s="595"/>
      <c r="K785" s="595"/>
      <c r="L785" s="595"/>
      <c r="M785" s="595"/>
      <c r="N785" s="595"/>
      <c r="O785" s="595"/>
      <c r="P785" s="595"/>
      <c r="Q785" s="595"/>
      <c r="R785" s="595"/>
      <c r="S785" s="595"/>
      <c r="T785" s="595"/>
      <c r="U785" s="595"/>
      <c r="V785" s="595"/>
      <c r="W785" s="595"/>
      <c r="X785" s="595"/>
      <c r="Y785" s="595"/>
      <c r="Z785" s="595"/>
    </row>
    <row r="786" spans="1:26" ht="19.5" customHeight="1">
      <c r="A786" s="595"/>
      <c r="B786" s="595"/>
      <c r="C786" s="596"/>
      <c r="D786" s="595"/>
      <c r="E786" s="595"/>
      <c r="F786" s="595"/>
      <c r="G786" s="595"/>
      <c r="H786" s="595"/>
      <c r="I786" s="595"/>
      <c r="J786" s="595"/>
      <c r="K786" s="595"/>
      <c r="L786" s="595"/>
      <c r="M786" s="595"/>
      <c r="N786" s="595"/>
      <c r="O786" s="595"/>
      <c r="P786" s="595"/>
      <c r="Q786" s="595"/>
      <c r="R786" s="595"/>
      <c r="S786" s="595"/>
      <c r="T786" s="595"/>
      <c r="U786" s="595"/>
      <c r="V786" s="595"/>
      <c r="W786" s="595"/>
      <c r="X786" s="595"/>
      <c r="Y786" s="595"/>
      <c r="Z786" s="595"/>
    </row>
    <row r="787" spans="1:26" ht="19.5" customHeight="1">
      <c r="A787" s="595"/>
      <c r="B787" s="595"/>
      <c r="C787" s="596"/>
      <c r="D787" s="595"/>
      <c r="E787" s="595"/>
      <c r="F787" s="595"/>
      <c r="G787" s="595"/>
      <c r="H787" s="595"/>
      <c r="I787" s="595"/>
      <c r="J787" s="595"/>
      <c r="K787" s="595"/>
      <c r="L787" s="595"/>
      <c r="M787" s="595"/>
      <c r="N787" s="595"/>
      <c r="O787" s="595"/>
      <c r="P787" s="595"/>
      <c r="Q787" s="595"/>
      <c r="R787" s="595"/>
      <c r="S787" s="595"/>
      <c r="T787" s="595"/>
      <c r="U787" s="595"/>
      <c r="V787" s="595"/>
      <c r="W787" s="595"/>
      <c r="X787" s="595"/>
      <c r="Y787" s="595"/>
      <c r="Z787" s="595"/>
    </row>
    <row r="788" spans="1:26" ht="19.5" customHeight="1">
      <c r="A788" s="595"/>
      <c r="B788" s="595"/>
      <c r="C788" s="596"/>
      <c r="D788" s="595"/>
      <c r="E788" s="595"/>
      <c r="F788" s="595"/>
      <c r="G788" s="595"/>
      <c r="H788" s="595"/>
      <c r="I788" s="595"/>
      <c r="J788" s="595"/>
      <c r="K788" s="595"/>
      <c r="L788" s="595"/>
      <c r="M788" s="595"/>
      <c r="N788" s="595"/>
      <c r="O788" s="595"/>
      <c r="P788" s="595"/>
      <c r="Q788" s="595"/>
      <c r="R788" s="595"/>
      <c r="S788" s="595"/>
      <c r="T788" s="595"/>
      <c r="U788" s="595"/>
      <c r="V788" s="595"/>
      <c r="W788" s="595"/>
      <c r="X788" s="595"/>
      <c r="Y788" s="595"/>
      <c r="Z788" s="595"/>
    </row>
    <row r="789" spans="1:26" ht="19.5" customHeight="1">
      <c r="A789" s="595"/>
      <c r="B789" s="595"/>
      <c r="C789" s="596"/>
      <c r="D789" s="595"/>
      <c r="E789" s="595"/>
      <c r="F789" s="595"/>
      <c r="G789" s="595"/>
      <c r="H789" s="595"/>
      <c r="I789" s="595"/>
      <c r="J789" s="595"/>
      <c r="K789" s="595"/>
      <c r="L789" s="595"/>
      <c r="M789" s="595"/>
      <c r="N789" s="595"/>
      <c r="O789" s="595"/>
      <c r="P789" s="595"/>
      <c r="Q789" s="595"/>
      <c r="R789" s="595"/>
      <c r="S789" s="595"/>
      <c r="T789" s="595"/>
      <c r="U789" s="595"/>
      <c r="V789" s="595"/>
      <c r="W789" s="595"/>
      <c r="X789" s="595"/>
      <c r="Y789" s="595"/>
      <c r="Z789" s="595"/>
    </row>
    <row r="790" spans="1:26" ht="19.5" customHeight="1">
      <c r="A790" s="595"/>
      <c r="B790" s="595"/>
      <c r="C790" s="596"/>
      <c r="D790" s="595"/>
      <c r="E790" s="595"/>
      <c r="F790" s="595"/>
      <c r="G790" s="595"/>
      <c r="H790" s="595"/>
      <c r="I790" s="595"/>
      <c r="J790" s="595"/>
      <c r="K790" s="595"/>
      <c r="L790" s="595"/>
      <c r="M790" s="595"/>
      <c r="N790" s="595"/>
      <c r="O790" s="595"/>
      <c r="P790" s="595"/>
      <c r="Q790" s="595"/>
      <c r="R790" s="595"/>
      <c r="S790" s="595"/>
      <c r="T790" s="595"/>
      <c r="U790" s="595"/>
      <c r="V790" s="595"/>
      <c r="W790" s="595"/>
      <c r="X790" s="595"/>
      <c r="Y790" s="595"/>
      <c r="Z790" s="595"/>
    </row>
    <row r="791" spans="1:26" ht="19.5" customHeight="1">
      <c r="A791" s="595"/>
      <c r="B791" s="595"/>
      <c r="C791" s="596"/>
      <c r="D791" s="595"/>
      <c r="E791" s="595"/>
      <c r="F791" s="595"/>
      <c r="G791" s="595"/>
      <c r="H791" s="595"/>
      <c r="I791" s="595"/>
      <c r="J791" s="595"/>
      <c r="K791" s="595"/>
      <c r="L791" s="595"/>
      <c r="M791" s="595"/>
      <c r="N791" s="595"/>
      <c r="O791" s="595"/>
      <c r="P791" s="595"/>
      <c r="Q791" s="595"/>
      <c r="R791" s="595"/>
      <c r="S791" s="595"/>
      <c r="T791" s="595"/>
      <c r="U791" s="595"/>
      <c r="V791" s="595"/>
      <c r="W791" s="595"/>
      <c r="X791" s="595"/>
      <c r="Y791" s="595"/>
      <c r="Z791" s="595"/>
    </row>
    <row r="792" spans="1:26" ht="19.5" customHeight="1">
      <c r="A792" s="595"/>
      <c r="B792" s="595"/>
      <c r="C792" s="596"/>
      <c r="D792" s="595"/>
      <c r="E792" s="595"/>
      <c r="F792" s="595"/>
      <c r="G792" s="595"/>
      <c r="H792" s="595"/>
      <c r="I792" s="595"/>
      <c r="J792" s="595"/>
      <c r="K792" s="595"/>
      <c r="L792" s="595"/>
      <c r="M792" s="595"/>
      <c r="N792" s="595"/>
      <c r="O792" s="595"/>
      <c r="P792" s="595"/>
      <c r="Q792" s="595"/>
      <c r="R792" s="595"/>
      <c r="S792" s="595"/>
      <c r="T792" s="595"/>
      <c r="U792" s="595"/>
      <c r="V792" s="595"/>
      <c r="W792" s="595"/>
      <c r="X792" s="595"/>
      <c r="Y792" s="595"/>
      <c r="Z792" s="595"/>
    </row>
    <row r="793" spans="1:26" ht="19.5" customHeight="1">
      <c r="A793" s="595"/>
      <c r="B793" s="595"/>
      <c r="C793" s="596"/>
      <c r="D793" s="595"/>
      <c r="E793" s="595"/>
      <c r="F793" s="595"/>
      <c r="G793" s="595"/>
      <c r="H793" s="595"/>
      <c r="I793" s="595"/>
      <c r="J793" s="595"/>
      <c r="K793" s="595"/>
      <c r="L793" s="595"/>
      <c r="M793" s="595"/>
      <c r="N793" s="595"/>
      <c r="O793" s="595"/>
      <c r="P793" s="595"/>
      <c r="Q793" s="595"/>
      <c r="R793" s="595"/>
      <c r="S793" s="595"/>
      <c r="T793" s="595"/>
      <c r="U793" s="595"/>
      <c r="V793" s="595"/>
      <c r="W793" s="595"/>
      <c r="X793" s="595"/>
      <c r="Y793" s="595"/>
      <c r="Z793" s="595"/>
    </row>
    <row r="794" spans="1:26" ht="19.5" customHeight="1">
      <c r="A794" s="595"/>
      <c r="B794" s="595"/>
      <c r="C794" s="596"/>
      <c r="D794" s="595"/>
      <c r="E794" s="595"/>
      <c r="F794" s="595"/>
      <c r="G794" s="595"/>
      <c r="H794" s="595"/>
      <c r="I794" s="595"/>
      <c r="J794" s="595"/>
      <c r="K794" s="595"/>
      <c r="L794" s="595"/>
      <c r="M794" s="595"/>
      <c r="N794" s="595"/>
      <c r="O794" s="595"/>
      <c r="P794" s="595"/>
      <c r="Q794" s="595"/>
      <c r="R794" s="595"/>
      <c r="S794" s="595"/>
      <c r="T794" s="595"/>
      <c r="U794" s="595"/>
      <c r="V794" s="595"/>
      <c r="W794" s="595"/>
      <c r="X794" s="595"/>
      <c r="Y794" s="595"/>
      <c r="Z794" s="595"/>
    </row>
    <row r="795" spans="1:26" ht="19.5" customHeight="1">
      <c r="A795" s="595"/>
      <c r="B795" s="595"/>
      <c r="C795" s="596"/>
      <c r="D795" s="595"/>
      <c r="E795" s="595"/>
      <c r="F795" s="595"/>
      <c r="G795" s="595"/>
      <c r="H795" s="595"/>
      <c r="I795" s="595"/>
      <c r="J795" s="595"/>
      <c r="K795" s="595"/>
      <c r="L795" s="595"/>
      <c r="M795" s="595"/>
      <c r="N795" s="595"/>
      <c r="O795" s="595"/>
      <c r="P795" s="595"/>
      <c r="Q795" s="595"/>
      <c r="R795" s="595"/>
      <c r="S795" s="595"/>
      <c r="T795" s="595"/>
      <c r="U795" s="595"/>
      <c r="V795" s="595"/>
      <c r="W795" s="595"/>
      <c r="X795" s="595"/>
      <c r="Y795" s="595"/>
      <c r="Z795" s="595"/>
    </row>
    <row r="796" spans="1:26" ht="19.5" customHeight="1">
      <c r="A796" s="595"/>
      <c r="B796" s="595"/>
      <c r="C796" s="596"/>
      <c r="D796" s="595"/>
      <c r="E796" s="595"/>
      <c r="F796" s="595"/>
      <c r="G796" s="595"/>
      <c r="H796" s="595"/>
      <c r="I796" s="595"/>
      <c r="J796" s="595"/>
      <c r="K796" s="595"/>
      <c r="L796" s="595"/>
      <c r="M796" s="595"/>
      <c r="N796" s="595"/>
      <c r="O796" s="595"/>
      <c r="P796" s="595"/>
      <c r="Q796" s="595"/>
      <c r="R796" s="595"/>
      <c r="S796" s="595"/>
      <c r="T796" s="595"/>
      <c r="U796" s="595"/>
      <c r="V796" s="595"/>
      <c r="W796" s="595"/>
      <c r="X796" s="595"/>
      <c r="Y796" s="595"/>
      <c r="Z796" s="595"/>
    </row>
    <row r="797" spans="1:26" ht="19.5" customHeight="1">
      <c r="A797" s="595"/>
      <c r="B797" s="595"/>
      <c r="C797" s="596"/>
      <c r="D797" s="595"/>
      <c r="E797" s="595"/>
      <c r="F797" s="595"/>
      <c r="G797" s="595"/>
      <c r="H797" s="595"/>
      <c r="I797" s="595"/>
      <c r="J797" s="595"/>
      <c r="K797" s="595"/>
      <c r="L797" s="595"/>
      <c r="M797" s="595"/>
      <c r="N797" s="595"/>
      <c r="O797" s="595"/>
      <c r="P797" s="595"/>
      <c r="Q797" s="595"/>
      <c r="R797" s="595"/>
      <c r="S797" s="595"/>
      <c r="T797" s="595"/>
      <c r="U797" s="595"/>
      <c r="V797" s="595"/>
      <c r="W797" s="595"/>
      <c r="X797" s="595"/>
      <c r="Y797" s="595"/>
      <c r="Z797" s="595"/>
    </row>
    <row r="798" spans="1:26" ht="19.5" customHeight="1">
      <c r="A798" s="595"/>
      <c r="B798" s="595"/>
      <c r="C798" s="596"/>
      <c r="D798" s="595"/>
      <c r="E798" s="595"/>
      <c r="F798" s="595"/>
      <c r="G798" s="595"/>
      <c r="H798" s="595"/>
      <c r="I798" s="595"/>
      <c r="J798" s="595"/>
      <c r="K798" s="595"/>
      <c r="L798" s="595"/>
      <c r="M798" s="595"/>
      <c r="N798" s="595"/>
      <c r="O798" s="595"/>
      <c r="P798" s="595"/>
      <c r="Q798" s="595"/>
      <c r="R798" s="595"/>
      <c r="S798" s="595"/>
      <c r="T798" s="595"/>
      <c r="U798" s="595"/>
      <c r="V798" s="595"/>
      <c r="W798" s="595"/>
      <c r="X798" s="595"/>
      <c r="Y798" s="595"/>
      <c r="Z798" s="595"/>
    </row>
    <row r="799" spans="1:26" ht="19.5" customHeight="1">
      <c r="A799" s="595"/>
      <c r="B799" s="595"/>
      <c r="C799" s="596"/>
      <c r="D799" s="595"/>
      <c r="E799" s="595"/>
      <c r="F799" s="595"/>
      <c r="G799" s="595"/>
      <c r="H799" s="595"/>
      <c r="I799" s="595"/>
      <c r="J799" s="595"/>
      <c r="K799" s="595"/>
      <c r="L799" s="595"/>
      <c r="M799" s="595"/>
      <c r="N799" s="595"/>
      <c r="O799" s="595"/>
      <c r="P799" s="595"/>
      <c r="Q799" s="595"/>
      <c r="R799" s="595"/>
      <c r="S799" s="595"/>
      <c r="T799" s="595"/>
      <c r="U799" s="595"/>
      <c r="V799" s="595"/>
      <c r="W799" s="595"/>
      <c r="X799" s="595"/>
      <c r="Y799" s="595"/>
      <c r="Z799" s="595"/>
    </row>
    <row r="800" spans="1:26" ht="19.5" customHeight="1">
      <c r="A800" s="595"/>
      <c r="B800" s="595"/>
      <c r="C800" s="596"/>
      <c r="D800" s="595"/>
      <c r="E800" s="595"/>
      <c r="F800" s="595"/>
      <c r="G800" s="595"/>
      <c r="H800" s="595"/>
      <c r="I800" s="595"/>
      <c r="J800" s="595"/>
      <c r="K800" s="595"/>
      <c r="L800" s="595"/>
      <c r="M800" s="595"/>
      <c r="N800" s="595"/>
      <c r="O800" s="595"/>
      <c r="P800" s="595"/>
      <c r="Q800" s="595"/>
      <c r="R800" s="595"/>
      <c r="S800" s="595"/>
      <c r="T800" s="595"/>
      <c r="U800" s="595"/>
      <c r="V800" s="595"/>
      <c r="W800" s="595"/>
      <c r="X800" s="595"/>
      <c r="Y800" s="595"/>
      <c r="Z800" s="595"/>
    </row>
    <row r="801" spans="1:26" ht="19.5" customHeight="1">
      <c r="A801" s="595"/>
      <c r="B801" s="595"/>
      <c r="C801" s="596"/>
      <c r="D801" s="595"/>
      <c r="E801" s="595"/>
      <c r="F801" s="595"/>
      <c r="G801" s="595"/>
      <c r="H801" s="595"/>
      <c r="I801" s="595"/>
      <c r="J801" s="595"/>
      <c r="K801" s="595"/>
      <c r="L801" s="595"/>
      <c r="M801" s="595"/>
      <c r="N801" s="595"/>
      <c r="O801" s="595"/>
      <c r="P801" s="595"/>
      <c r="Q801" s="595"/>
      <c r="R801" s="595"/>
      <c r="S801" s="595"/>
      <c r="T801" s="595"/>
      <c r="U801" s="595"/>
      <c r="V801" s="595"/>
      <c r="W801" s="595"/>
      <c r="X801" s="595"/>
      <c r="Y801" s="595"/>
      <c r="Z801" s="595"/>
    </row>
    <row r="802" spans="1:26" ht="19.5" customHeight="1">
      <c r="A802" s="595"/>
      <c r="B802" s="595"/>
      <c r="C802" s="596"/>
      <c r="D802" s="595"/>
      <c r="E802" s="595"/>
      <c r="F802" s="595"/>
      <c r="G802" s="595"/>
      <c r="H802" s="595"/>
      <c r="I802" s="595"/>
      <c r="J802" s="595"/>
      <c r="K802" s="595"/>
      <c r="L802" s="595"/>
      <c r="M802" s="595"/>
      <c r="N802" s="595"/>
      <c r="O802" s="595"/>
      <c r="P802" s="595"/>
      <c r="Q802" s="595"/>
      <c r="R802" s="595"/>
      <c r="S802" s="595"/>
      <c r="T802" s="595"/>
      <c r="U802" s="595"/>
      <c r="V802" s="595"/>
      <c r="W802" s="595"/>
      <c r="X802" s="595"/>
      <c r="Y802" s="595"/>
      <c r="Z802" s="595"/>
    </row>
    <row r="803" spans="1:26" ht="19.5" customHeight="1">
      <c r="A803" s="595"/>
      <c r="B803" s="595"/>
      <c r="C803" s="596"/>
      <c r="D803" s="595"/>
      <c r="E803" s="595"/>
      <c r="F803" s="595"/>
      <c r="G803" s="595"/>
      <c r="H803" s="595"/>
      <c r="I803" s="595"/>
      <c r="J803" s="595"/>
      <c r="K803" s="595"/>
      <c r="L803" s="595"/>
      <c r="M803" s="595"/>
      <c r="N803" s="595"/>
      <c r="O803" s="595"/>
      <c r="P803" s="595"/>
      <c r="Q803" s="595"/>
      <c r="R803" s="595"/>
      <c r="S803" s="595"/>
      <c r="T803" s="595"/>
      <c r="U803" s="595"/>
      <c r="V803" s="595"/>
      <c r="W803" s="595"/>
      <c r="X803" s="595"/>
      <c r="Y803" s="595"/>
      <c r="Z803" s="595"/>
    </row>
    <row r="804" spans="1:26" ht="19.5" customHeight="1">
      <c r="A804" s="595"/>
      <c r="B804" s="595"/>
      <c r="C804" s="596"/>
      <c r="D804" s="595"/>
      <c r="E804" s="595"/>
      <c r="F804" s="595"/>
      <c r="G804" s="595"/>
      <c r="H804" s="595"/>
      <c r="I804" s="595"/>
      <c r="J804" s="595"/>
      <c r="K804" s="595"/>
      <c r="L804" s="595"/>
      <c r="M804" s="595"/>
      <c r="N804" s="595"/>
      <c r="O804" s="595"/>
      <c r="P804" s="595"/>
      <c r="Q804" s="595"/>
      <c r="R804" s="595"/>
      <c r="S804" s="595"/>
      <c r="T804" s="595"/>
      <c r="U804" s="595"/>
      <c r="V804" s="595"/>
      <c r="W804" s="595"/>
      <c r="X804" s="595"/>
      <c r="Y804" s="595"/>
      <c r="Z804" s="595"/>
    </row>
    <row r="805" spans="1:26" ht="19.5" customHeight="1">
      <c r="A805" s="595"/>
      <c r="B805" s="595"/>
      <c r="C805" s="596"/>
      <c r="D805" s="595"/>
      <c r="E805" s="595"/>
      <c r="F805" s="595"/>
      <c r="G805" s="595"/>
      <c r="H805" s="595"/>
      <c r="I805" s="595"/>
      <c r="J805" s="595"/>
      <c r="K805" s="595"/>
      <c r="L805" s="595"/>
      <c r="M805" s="595"/>
      <c r="N805" s="595"/>
      <c r="O805" s="595"/>
      <c r="P805" s="595"/>
      <c r="Q805" s="595"/>
      <c r="R805" s="595"/>
      <c r="S805" s="595"/>
      <c r="T805" s="595"/>
      <c r="U805" s="595"/>
      <c r="V805" s="595"/>
      <c r="W805" s="595"/>
      <c r="X805" s="595"/>
      <c r="Y805" s="595"/>
      <c r="Z805" s="595"/>
    </row>
    <row r="806" spans="1:26" ht="19.5" customHeight="1">
      <c r="A806" s="595"/>
      <c r="B806" s="595"/>
      <c r="C806" s="596"/>
      <c r="D806" s="595"/>
      <c r="E806" s="595"/>
      <c r="F806" s="595"/>
      <c r="G806" s="595"/>
      <c r="H806" s="595"/>
      <c r="I806" s="595"/>
      <c r="J806" s="595"/>
      <c r="K806" s="595"/>
      <c r="L806" s="595"/>
      <c r="M806" s="595"/>
      <c r="N806" s="595"/>
      <c r="O806" s="595"/>
      <c r="P806" s="595"/>
      <c r="Q806" s="595"/>
      <c r="R806" s="595"/>
      <c r="S806" s="595"/>
      <c r="T806" s="595"/>
      <c r="U806" s="595"/>
      <c r="V806" s="595"/>
      <c r="W806" s="595"/>
      <c r="X806" s="595"/>
      <c r="Y806" s="595"/>
      <c r="Z806" s="595"/>
    </row>
    <row r="807" spans="1:26" ht="19.5" customHeight="1">
      <c r="A807" s="595"/>
      <c r="B807" s="595"/>
      <c r="C807" s="596"/>
      <c r="D807" s="595"/>
      <c r="E807" s="595"/>
      <c r="F807" s="595"/>
      <c r="G807" s="595"/>
      <c r="H807" s="595"/>
      <c r="I807" s="595"/>
      <c r="J807" s="595"/>
      <c r="K807" s="595"/>
      <c r="L807" s="595"/>
      <c r="M807" s="595"/>
      <c r="N807" s="595"/>
      <c r="O807" s="595"/>
      <c r="P807" s="595"/>
      <c r="Q807" s="595"/>
      <c r="R807" s="595"/>
      <c r="S807" s="595"/>
      <c r="T807" s="595"/>
      <c r="U807" s="595"/>
      <c r="V807" s="595"/>
      <c r="W807" s="595"/>
      <c r="X807" s="595"/>
      <c r="Y807" s="595"/>
      <c r="Z807" s="595"/>
    </row>
    <row r="808" spans="1:26" ht="19.5" customHeight="1">
      <c r="A808" s="595"/>
      <c r="B808" s="595"/>
      <c r="C808" s="596"/>
      <c r="D808" s="595"/>
      <c r="E808" s="595"/>
      <c r="F808" s="595"/>
      <c r="G808" s="595"/>
      <c r="H808" s="595"/>
      <c r="I808" s="595"/>
      <c r="J808" s="595"/>
      <c r="K808" s="595"/>
      <c r="L808" s="595"/>
      <c r="M808" s="595"/>
      <c r="N808" s="595"/>
      <c r="O808" s="595"/>
      <c r="P808" s="595"/>
      <c r="Q808" s="595"/>
      <c r="R808" s="595"/>
      <c r="S808" s="595"/>
      <c r="T808" s="595"/>
      <c r="U808" s="595"/>
      <c r="V808" s="595"/>
      <c r="W808" s="595"/>
      <c r="X808" s="595"/>
      <c r="Y808" s="595"/>
      <c r="Z808" s="595"/>
    </row>
    <row r="809" spans="1:26" ht="19.5" customHeight="1">
      <c r="A809" s="595"/>
      <c r="B809" s="595"/>
      <c r="C809" s="596"/>
      <c r="D809" s="595"/>
      <c r="E809" s="595"/>
      <c r="F809" s="595"/>
      <c r="G809" s="595"/>
      <c r="H809" s="595"/>
      <c r="I809" s="595"/>
      <c r="J809" s="595"/>
      <c r="K809" s="595"/>
      <c r="L809" s="595"/>
      <c r="M809" s="595"/>
      <c r="N809" s="595"/>
      <c r="O809" s="595"/>
      <c r="P809" s="595"/>
      <c r="Q809" s="595"/>
      <c r="R809" s="595"/>
      <c r="S809" s="595"/>
      <c r="T809" s="595"/>
      <c r="U809" s="595"/>
      <c r="V809" s="595"/>
      <c r="W809" s="595"/>
      <c r="X809" s="595"/>
      <c r="Y809" s="595"/>
      <c r="Z809" s="595"/>
    </row>
    <row r="810" spans="1:26" ht="19.5" customHeight="1">
      <c r="A810" s="595"/>
      <c r="B810" s="595"/>
      <c r="C810" s="596"/>
      <c r="D810" s="595"/>
      <c r="E810" s="595"/>
      <c r="F810" s="595"/>
      <c r="G810" s="595"/>
      <c r="H810" s="595"/>
      <c r="I810" s="595"/>
      <c r="J810" s="595"/>
      <c r="K810" s="595"/>
      <c r="L810" s="595"/>
      <c r="M810" s="595"/>
      <c r="N810" s="595"/>
      <c r="O810" s="595"/>
      <c r="P810" s="595"/>
      <c r="Q810" s="595"/>
      <c r="R810" s="595"/>
      <c r="S810" s="595"/>
      <c r="T810" s="595"/>
      <c r="U810" s="595"/>
      <c r="V810" s="595"/>
      <c r="W810" s="595"/>
      <c r="X810" s="595"/>
      <c r="Y810" s="595"/>
      <c r="Z810" s="595"/>
    </row>
    <row r="811" spans="1:26" ht="19.5" customHeight="1">
      <c r="A811" s="595"/>
      <c r="B811" s="595"/>
      <c r="C811" s="596"/>
      <c r="D811" s="595"/>
      <c r="E811" s="595"/>
      <c r="F811" s="595"/>
      <c r="G811" s="595"/>
      <c r="H811" s="595"/>
      <c r="I811" s="595"/>
      <c r="J811" s="595"/>
      <c r="K811" s="595"/>
      <c r="L811" s="595"/>
      <c r="M811" s="595"/>
      <c r="N811" s="595"/>
      <c r="O811" s="595"/>
      <c r="P811" s="595"/>
      <c r="Q811" s="595"/>
      <c r="R811" s="595"/>
      <c r="S811" s="595"/>
      <c r="T811" s="595"/>
      <c r="U811" s="595"/>
      <c r="V811" s="595"/>
      <c r="W811" s="595"/>
      <c r="X811" s="595"/>
      <c r="Y811" s="595"/>
      <c r="Z811" s="595"/>
    </row>
    <row r="812" spans="1:26" ht="19.5" customHeight="1">
      <c r="A812" s="595"/>
      <c r="B812" s="595"/>
      <c r="C812" s="596"/>
      <c r="D812" s="595"/>
      <c r="E812" s="595"/>
      <c r="F812" s="595"/>
      <c r="G812" s="595"/>
      <c r="H812" s="595"/>
      <c r="I812" s="595"/>
      <c r="J812" s="595"/>
      <c r="K812" s="595"/>
      <c r="L812" s="595"/>
      <c r="M812" s="595"/>
      <c r="N812" s="595"/>
      <c r="O812" s="595"/>
      <c r="P812" s="595"/>
      <c r="Q812" s="595"/>
      <c r="R812" s="595"/>
      <c r="S812" s="595"/>
      <c r="T812" s="595"/>
      <c r="U812" s="595"/>
      <c r="V812" s="595"/>
      <c r="W812" s="595"/>
      <c r="X812" s="595"/>
      <c r="Y812" s="595"/>
      <c r="Z812" s="595"/>
    </row>
    <row r="813" spans="1:26" ht="19.5" customHeight="1">
      <c r="A813" s="595"/>
      <c r="B813" s="595"/>
      <c r="C813" s="596"/>
      <c r="D813" s="595"/>
      <c r="E813" s="595"/>
      <c r="F813" s="595"/>
      <c r="G813" s="595"/>
      <c r="H813" s="595"/>
      <c r="I813" s="595"/>
      <c r="J813" s="595"/>
      <c r="K813" s="595"/>
      <c r="L813" s="595"/>
      <c r="M813" s="595"/>
      <c r="N813" s="595"/>
      <c r="O813" s="595"/>
      <c r="P813" s="595"/>
      <c r="Q813" s="595"/>
      <c r="R813" s="595"/>
      <c r="S813" s="595"/>
      <c r="T813" s="595"/>
      <c r="U813" s="595"/>
      <c r="V813" s="595"/>
      <c r="W813" s="595"/>
      <c r="X813" s="595"/>
      <c r="Y813" s="595"/>
      <c r="Z813" s="595"/>
    </row>
    <row r="814" spans="1:26" ht="19.5" customHeight="1">
      <c r="A814" s="595"/>
      <c r="B814" s="595"/>
      <c r="C814" s="596"/>
      <c r="D814" s="595"/>
      <c r="E814" s="595"/>
      <c r="F814" s="595"/>
      <c r="G814" s="595"/>
      <c r="H814" s="595"/>
      <c r="I814" s="595"/>
      <c r="J814" s="595"/>
      <c r="K814" s="595"/>
      <c r="L814" s="595"/>
      <c r="M814" s="595"/>
      <c r="N814" s="595"/>
      <c r="O814" s="595"/>
      <c r="P814" s="595"/>
      <c r="Q814" s="595"/>
      <c r="R814" s="595"/>
      <c r="S814" s="595"/>
      <c r="T814" s="595"/>
      <c r="U814" s="595"/>
      <c r="V814" s="595"/>
      <c r="W814" s="595"/>
      <c r="X814" s="595"/>
      <c r="Y814" s="595"/>
      <c r="Z814" s="595"/>
    </row>
    <row r="815" spans="1:26" ht="19.5" customHeight="1">
      <c r="A815" s="595"/>
      <c r="B815" s="595"/>
      <c r="C815" s="596"/>
      <c r="D815" s="595"/>
      <c r="E815" s="595"/>
      <c r="F815" s="595"/>
      <c r="G815" s="595"/>
      <c r="H815" s="595"/>
      <c r="I815" s="595"/>
      <c r="J815" s="595"/>
      <c r="K815" s="595"/>
      <c r="L815" s="595"/>
      <c r="M815" s="595"/>
      <c r="N815" s="595"/>
      <c r="O815" s="595"/>
      <c r="P815" s="595"/>
      <c r="Q815" s="595"/>
      <c r="R815" s="595"/>
      <c r="S815" s="595"/>
      <c r="T815" s="595"/>
      <c r="U815" s="595"/>
      <c r="V815" s="595"/>
      <c r="W815" s="595"/>
      <c r="X815" s="595"/>
      <c r="Y815" s="595"/>
      <c r="Z815" s="595"/>
    </row>
    <row r="816" spans="1:26" ht="19.5" customHeight="1">
      <c r="A816" s="595"/>
      <c r="B816" s="595"/>
      <c r="C816" s="596"/>
      <c r="D816" s="595"/>
      <c r="E816" s="595"/>
      <c r="F816" s="595"/>
      <c r="G816" s="595"/>
      <c r="H816" s="595"/>
      <c r="I816" s="595"/>
      <c r="J816" s="595"/>
      <c r="K816" s="595"/>
      <c r="L816" s="595"/>
      <c r="M816" s="595"/>
      <c r="N816" s="595"/>
      <c r="O816" s="595"/>
      <c r="P816" s="595"/>
      <c r="Q816" s="595"/>
      <c r="R816" s="595"/>
      <c r="S816" s="595"/>
      <c r="T816" s="595"/>
      <c r="U816" s="595"/>
      <c r="V816" s="595"/>
      <c r="W816" s="595"/>
      <c r="X816" s="595"/>
      <c r="Y816" s="595"/>
      <c r="Z816" s="595"/>
    </row>
    <row r="817" spans="1:26" ht="19.5" customHeight="1">
      <c r="A817" s="595"/>
      <c r="B817" s="595"/>
      <c r="C817" s="596"/>
      <c r="D817" s="595"/>
      <c r="E817" s="595"/>
      <c r="F817" s="595"/>
      <c r="G817" s="595"/>
      <c r="H817" s="595"/>
      <c r="I817" s="595"/>
      <c r="J817" s="595"/>
      <c r="K817" s="595"/>
      <c r="L817" s="595"/>
      <c r="M817" s="595"/>
      <c r="N817" s="595"/>
      <c r="O817" s="595"/>
      <c r="P817" s="595"/>
      <c r="Q817" s="595"/>
      <c r="R817" s="595"/>
      <c r="S817" s="595"/>
      <c r="T817" s="595"/>
      <c r="U817" s="595"/>
      <c r="V817" s="595"/>
      <c r="W817" s="595"/>
      <c r="X817" s="595"/>
      <c r="Y817" s="595"/>
      <c r="Z817" s="595"/>
    </row>
    <row r="818" spans="1:26" ht="19.5" customHeight="1">
      <c r="A818" s="595"/>
      <c r="B818" s="595"/>
      <c r="C818" s="596"/>
      <c r="D818" s="595"/>
      <c r="E818" s="595"/>
      <c r="F818" s="595"/>
      <c r="G818" s="595"/>
      <c r="H818" s="595"/>
      <c r="I818" s="595"/>
      <c r="J818" s="595"/>
      <c r="K818" s="595"/>
      <c r="L818" s="595"/>
      <c r="M818" s="595"/>
      <c r="N818" s="595"/>
      <c r="O818" s="595"/>
      <c r="P818" s="595"/>
      <c r="Q818" s="595"/>
      <c r="R818" s="595"/>
      <c r="S818" s="595"/>
      <c r="T818" s="595"/>
      <c r="U818" s="595"/>
      <c r="V818" s="595"/>
      <c r="W818" s="595"/>
      <c r="X818" s="595"/>
      <c r="Y818" s="595"/>
      <c r="Z818" s="595"/>
    </row>
    <row r="819" spans="1:26" ht="19.5" customHeight="1">
      <c r="A819" s="595"/>
      <c r="B819" s="595"/>
      <c r="C819" s="596"/>
      <c r="D819" s="595"/>
      <c r="E819" s="595"/>
      <c r="F819" s="595"/>
      <c r="G819" s="595"/>
      <c r="H819" s="595"/>
      <c r="I819" s="595"/>
      <c r="J819" s="595"/>
      <c r="K819" s="595"/>
      <c r="L819" s="595"/>
      <c r="M819" s="595"/>
      <c r="N819" s="595"/>
      <c r="O819" s="595"/>
      <c r="P819" s="595"/>
      <c r="Q819" s="595"/>
      <c r="R819" s="595"/>
      <c r="S819" s="595"/>
      <c r="T819" s="595"/>
      <c r="U819" s="595"/>
      <c r="V819" s="595"/>
      <c r="W819" s="595"/>
      <c r="X819" s="595"/>
      <c r="Y819" s="595"/>
      <c r="Z819" s="595"/>
    </row>
    <row r="820" spans="1:26" ht="19.5" customHeight="1">
      <c r="A820" s="595"/>
      <c r="B820" s="595"/>
      <c r="C820" s="596"/>
      <c r="D820" s="595"/>
      <c r="E820" s="595"/>
      <c r="F820" s="595"/>
      <c r="G820" s="595"/>
      <c r="H820" s="595"/>
      <c r="I820" s="595"/>
      <c r="J820" s="595"/>
      <c r="K820" s="595"/>
      <c r="L820" s="595"/>
      <c r="M820" s="595"/>
      <c r="N820" s="595"/>
      <c r="O820" s="595"/>
      <c r="P820" s="595"/>
      <c r="Q820" s="595"/>
      <c r="R820" s="595"/>
      <c r="S820" s="595"/>
      <c r="T820" s="595"/>
      <c r="U820" s="595"/>
      <c r="V820" s="595"/>
      <c r="W820" s="595"/>
      <c r="X820" s="595"/>
      <c r="Y820" s="595"/>
      <c r="Z820" s="595"/>
    </row>
    <row r="821" spans="1:26" ht="19.5" customHeight="1">
      <c r="A821" s="595"/>
      <c r="B821" s="595"/>
      <c r="C821" s="596"/>
      <c r="D821" s="595"/>
      <c r="E821" s="595"/>
      <c r="F821" s="595"/>
      <c r="G821" s="595"/>
      <c r="H821" s="595"/>
      <c r="I821" s="595"/>
      <c r="J821" s="595"/>
      <c r="K821" s="595"/>
      <c r="L821" s="595"/>
      <c r="M821" s="595"/>
      <c r="N821" s="595"/>
      <c r="O821" s="595"/>
      <c r="P821" s="595"/>
      <c r="Q821" s="595"/>
      <c r="R821" s="595"/>
      <c r="S821" s="595"/>
      <c r="T821" s="595"/>
      <c r="U821" s="595"/>
      <c r="V821" s="595"/>
      <c r="W821" s="595"/>
      <c r="X821" s="595"/>
      <c r="Y821" s="595"/>
      <c r="Z821" s="595"/>
    </row>
    <row r="822" spans="1:26" ht="19.5" customHeight="1">
      <c r="A822" s="595"/>
      <c r="B822" s="595"/>
      <c r="C822" s="596"/>
      <c r="D822" s="595"/>
      <c r="E822" s="595"/>
      <c r="F822" s="595"/>
      <c r="G822" s="595"/>
      <c r="H822" s="595"/>
      <c r="I822" s="595"/>
      <c r="J822" s="595"/>
      <c r="K822" s="595"/>
      <c r="L822" s="595"/>
      <c r="M822" s="595"/>
      <c r="N822" s="595"/>
      <c r="O822" s="595"/>
      <c r="P822" s="595"/>
      <c r="Q822" s="595"/>
      <c r="R822" s="595"/>
      <c r="S822" s="595"/>
      <c r="T822" s="595"/>
      <c r="U822" s="595"/>
      <c r="V822" s="595"/>
      <c r="W822" s="595"/>
      <c r="X822" s="595"/>
      <c r="Y822" s="595"/>
      <c r="Z822" s="595"/>
    </row>
    <row r="823" spans="1:26" ht="19.5" customHeight="1">
      <c r="A823" s="595"/>
      <c r="B823" s="595"/>
      <c r="C823" s="596"/>
      <c r="D823" s="595"/>
      <c r="E823" s="595"/>
      <c r="F823" s="595"/>
      <c r="G823" s="595"/>
      <c r="H823" s="595"/>
      <c r="I823" s="595"/>
      <c r="J823" s="595"/>
      <c r="K823" s="595"/>
      <c r="L823" s="595"/>
      <c r="M823" s="595"/>
      <c r="N823" s="595"/>
      <c r="O823" s="595"/>
      <c r="P823" s="595"/>
      <c r="Q823" s="595"/>
      <c r="R823" s="595"/>
      <c r="S823" s="595"/>
      <c r="T823" s="595"/>
      <c r="U823" s="595"/>
      <c r="V823" s="595"/>
      <c r="W823" s="595"/>
      <c r="X823" s="595"/>
      <c r="Y823" s="595"/>
      <c r="Z823" s="595"/>
    </row>
    <row r="824" spans="1:26" ht="19.5" customHeight="1">
      <c r="A824" s="595"/>
      <c r="B824" s="595"/>
      <c r="C824" s="596"/>
      <c r="D824" s="595"/>
      <c r="E824" s="595"/>
      <c r="F824" s="595"/>
      <c r="G824" s="595"/>
      <c r="H824" s="595"/>
      <c r="I824" s="595"/>
      <c r="J824" s="595"/>
      <c r="K824" s="595"/>
      <c r="L824" s="595"/>
      <c r="M824" s="595"/>
      <c r="N824" s="595"/>
      <c r="O824" s="595"/>
      <c r="P824" s="595"/>
      <c r="Q824" s="595"/>
      <c r="R824" s="595"/>
      <c r="S824" s="595"/>
      <c r="T824" s="595"/>
      <c r="U824" s="595"/>
      <c r="V824" s="595"/>
      <c r="W824" s="595"/>
      <c r="X824" s="595"/>
      <c r="Y824" s="595"/>
      <c r="Z824" s="595"/>
    </row>
    <row r="825" spans="1:26" ht="19.5" customHeight="1">
      <c r="A825" s="595"/>
      <c r="B825" s="595"/>
      <c r="C825" s="596"/>
      <c r="D825" s="595"/>
      <c r="E825" s="595"/>
      <c r="F825" s="595"/>
      <c r="G825" s="595"/>
      <c r="H825" s="595"/>
      <c r="I825" s="595"/>
      <c r="J825" s="595"/>
      <c r="K825" s="595"/>
      <c r="L825" s="595"/>
      <c r="M825" s="595"/>
      <c r="N825" s="595"/>
      <c r="O825" s="595"/>
      <c r="P825" s="595"/>
      <c r="Q825" s="595"/>
      <c r="R825" s="595"/>
      <c r="S825" s="595"/>
      <c r="T825" s="595"/>
      <c r="U825" s="595"/>
      <c r="V825" s="595"/>
      <c r="W825" s="595"/>
      <c r="X825" s="595"/>
      <c r="Y825" s="595"/>
      <c r="Z825" s="595"/>
    </row>
    <row r="826" spans="1:26" ht="19.5" customHeight="1">
      <c r="A826" s="595"/>
      <c r="B826" s="595"/>
      <c r="C826" s="596"/>
      <c r="D826" s="595"/>
      <c r="E826" s="595"/>
      <c r="F826" s="595"/>
      <c r="G826" s="595"/>
      <c r="H826" s="595"/>
      <c r="I826" s="595"/>
      <c r="J826" s="595"/>
      <c r="K826" s="595"/>
      <c r="L826" s="595"/>
      <c r="M826" s="595"/>
      <c r="N826" s="595"/>
      <c r="O826" s="595"/>
      <c r="P826" s="595"/>
      <c r="Q826" s="595"/>
      <c r="R826" s="595"/>
      <c r="S826" s="595"/>
      <c r="T826" s="595"/>
      <c r="U826" s="595"/>
      <c r="V826" s="595"/>
      <c r="W826" s="595"/>
      <c r="X826" s="595"/>
      <c r="Y826" s="595"/>
      <c r="Z826" s="595"/>
    </row>
    <row r="827" spans="1:26" ht="19.5" customHeight="1">
      <c r="A827" s="595"/>
      <c r="B827" s="595"/>
      <c r="C827" s="596"/>
      <c r="D827" s="595"/>
      <c r="E827" s="595"/>
      <c r="F827" s="595"/>
      <c r="G827" s="595"/>
      <c r="H827" s="595"/>
      <c r="I827" s="595"/>
      <c r="J827" s="595"/>
      <c r="K827" s="595"/>
      <c r="L827" s="595"/>
      <c r="M827" s="595"/>
      <c r="N827" s="595"/>
      <c r="O827" s="595"/>
      <c r="P827" s="595"/>
      <c r="Q827" s="595"/>
      <c r="R827" s="595"/>
      <c r="S827" s="595"/>
      <c r="T827" s="595"/>
      <c r="U827" s="595"/>
      <c r="V827" s="595"/>
      <c r="W827" s="595"/>
      <c r="X827" s="595"/>
      <c r="Y827" s="595"/>
      <c r="Z827" s="595"/>
    </row>
    <row r="828" spans="1:26" ht="19.5" customHeight="1">
      <c r="A828" s="595"/>
      <c r="B828" s="595"/>
      <c r="C828" s="596"/>
      <c r="D828" s="595"/>
      <c r="E828" s="595"/>
      <c r="F828" s="595"/>
      <c r="G828" s="595"/>
      <c r="H828" s="595"/>
      <c r="I828" s="595"/>
      <c r="J828" s="595"/>
      <c r="K828" s="595"/>
      <c r="L828" s="595"/>
      <c r="M828" s="595"/>
      <c r="N828" s="595"/>
      <c r="O828" s="595"/>
      <c r="P828" s="595"/>
      <c r="Q828" s="595"/>
      <c r="R828" s="595"/>
      <c r="S828" s="595"/>
      <c r="T828" s="595"/>
      <c r="U828" s="595"/>
      <c r="V828" s="595"/>
      <c r="W828" s="595"/>
      <c r="X828" s="595"/>
      <c r="Y828" s="595"/>
      <c r="Z828" s="595"/>
    </row>
    <row r="829" spans="1:26" ht="19.5" customHeight="1">
      <c r="A829" s="595"/>
      <c r="B829" s="595"/>
      <c r="C829" s="596"/>
      <c r="D829" s="595"/>
      <c r="E829" s="595"/>
      <c r="F829" s="595"/>
      <c r="G829" s="595"/>
      <c r="H829" s="595"/>
      <c r="I829" s="595"/>
      <c r="J829" s="595"/>
      <c r="K829" s="595"/>
      <c r="L829" s="595"/>
      <c r="M829" s="595"/>
      <c r="N829" s="595"/>
      <c r="O829" s="595"/>
      <c r="P829" s="595"/>
      <c r="Q829" s="595"/>
      <c r="R829" s="595"/>
      <c r="S829" s="595"/>
      <c r="T829" s="595"/>
      <c r="U829" s="595"/>
      <c r="V829" s="595"/>
      <c r="W829" s="595"/>
      <c r="X829" s="595"/>
      <c r="Y829" s="595"/>
      <c r="Z829" s="595"/>
    </row>
    <row r="830" spans="1:26" ht="19.5" customHeight="1">
      <c r="A830" s="595"/>
      <c r="B830" s="595"/>
      <c r="C830" s="596"/>
      <c r="D830" s="595"/>
      <c r="E830" s="595"/>
      <c r="F830" s="595"/>
      <c r="G830" s="595"/>
      <c r="H830" s="595"/>
      <c r="I830" s="595"/>
      <c r="J830" s="595"/>
      <c r="K830" s="595"/>
      <c r="L830" s="595"/>
      <c r="M830" s="595"/>
      <c r="N830" s="595"/>
      <c r="O830" s="595"/>
      <c r="P830" s="595"/>
      <c r="Q830" s="595"/>
      <c r="R830" s="595"/>
      <c r="S830" s="595"/>
      <c r="T830" s="595"/>
      <c r="U830" s="595"/>
      <c r="V830" s="595"/>
      <c r="W830" s="595"/>
      <c r="X830" s="595"/>
      <c r="Y830" s="595"/>
      <c r="Z830" s="595"/>
    </row>
    <row r="831" spans="1:26" ht="19.5" customHeight="1">
      <c r="A831" s="595"/>
      <c r="B831" s="595"/>
      <c r="C831" s="596"/>
      <c r="D831" s="595"/>
      <c r="E831" s="595"/>
      <c r="F831" s="595"/>
      <c r="G831" s="595"/>
      <c r="H831" s="595"/>
      <c r="I831" s="595"/>
      <c r="J831" s="595"/>
      <c r="K831" s="595"/>
      <c r="L831" s="595"/>
      <c r="M831" s="595"/>
      <c r="N831" s="595"/>
      <c r="O831" s="595"/>
      <c r="P831" s="595"/>
      <c r="Q831" s="595"/>
      <c r="R831" s="595"/>
      <c r="S831" s="595"/>
      <c r="T831" s="595"/>
      <c r="U831" s="595"/>
      <c r="V831" s="595"/>
      <c r="W831" s="595"/>
      <c r="X831" s="595"/>
      <c r="Y831" s="595"/>
      <c r="Z831" s="595"/>
    </row>
    <row r="832" spans="1:26" ht="19.5" customHeight="1">
      <c r="A832" s="595"/>
      <c r="B832" s="595"/>
      <c r="C832" s="596"/>
      <c r="D832" s="595"/>
      <c r="E832" s="595"/>
      <c r="F832" s="595"/>
      <c r="G832" s="595"/>
      <c r="H832" s="595"/>
      <c r="I832" s="595"/>
      <c r="J832" s="595"/>
      <c r="K832" s="595"/>
      <c r="L832" s="595"/>
      <c r="M832" s="595"/>
      <c r="N832" s="595"/>
      <c r="O832" s="595"/>
      <c r="P832" s="595"/>
      <c r="Q832" s="595"/>
      <c r="R832" s="595"/>
      <c r="S832" s="595"/>
      <c r="T832" s="595"/>
      <c r="U832" s="595"/>
      <c r="V832" s="595"/>
      <c r="W832" s="595"/>
      <c r="X832" s="595"/>
      <c r="Y832" s="595"/>
      <c r="Z832" s="595"/>
    </row>
    <row r="833" spans="1:26" ht="19.5" customHeight="1">
      <c r="A833" s="595"/>
      <c r="B833" s="595"/>
      <c r="C833" s="596"/>
      <c r="D833" s="595"/>
      <c r="E833" s="595"/>
      <c r="F833" s="595"/>
      <c r="G833" s="595"/>
      <c r="H833" s="595"/>
      <c r="I833" s="595"/>
      <c r="J833" s="595"/>
      <c r="K833" s="595"/>
      <c r="L833" s="595"/>
      <c r="M833" s="595"/>
      <c r="N833" s="595"/>
      <c r="O833" s="595"/>
      <c r="P833" s="595"/>
      <c r="Q833" s="595"/>
      <c r="R833" s="595"/>
      <c r="S833" s="595"/>
      <c r="T833" s="595"/>
      <c r="U833" s="595"/>
      <c r="V833" s="595"/>
      <c r="W833" s="595"/>
      <c r="X833" s="595"/>
      <c r="Y833" s="595"/>
      <c r="Z833" s="595"/>
    </row>
    <row r="834" spans="1:26" ht="19.5" customHeight="1">
      <c r="A834" s="595"/>
      <c r="B834" s="595"/>
      <c r="C834" s="596"/>
      <c r="D834" s="595"/>
      <c r="E834" s="595"/>
      <c r="F834" s="595"/>
      <c r="G834" s="595"/>
      <c r="H834" s="595"/>
      <c r="I834" s="595"/>
      <c r="J834" s="595"/>
      <c r="K834" s="595"/>
      <c r="L834" s="595"/>
      <c r="M834" s="595"/>
      <c r="N834" s="595"/>
      <c r="O834" s="595"/>
      <c r="P834" s="595"/>
      <c r="Q834" s="595"/>
      <c r="R834" s="595"/>
      <c r="S834" s="595"/>
      <c r="T834" s="595"/>
      <c r="U834" s="595"/>
      <c r="V834" s="595"/>
      <c r="W834" s="595"/>
      <c r="X834" s="595"/>
      <c r="Y834" s="595"/>
      <c r="Z834" s="595"/>
    </row>
    <row r="835" spans="1:26" ht="19.5" customHeight="1">
      <c r="A835" s="595"/>
      <c r="B835" s="595"/>
      <c r="C835" s="596"/>
      <c r="D835" s="595"/>
      <c r="E835" s="595"/>
      <c r="F835" s="595"/>
      <c r="G835" s="595"/>
      <c r="H835" s="595"/>
      <c r="I835" s="595"/>
      <c r="J835" s="595"/>
      <c r="K835" s="595"/>
      <c r="L835" s="595"/>
      <c r="M835" s="595"/>
      <c r="N835" s="595"/>
      <c r="O835" s="595"/>
      <c r="P835" s="595"/>
      <c r="Q835" s="595"/>
      <c r="R835" s="595"/>
      <c r="S835" s="595"/>
      <c r="T835" s="595"/>
      <c r="U835" s="595"/>
      <c r="V835" s="595"/>
      <c r="W835" s="595"/>
      <c r="X835" s="595"/>
      <c r="Y835" s="595"/>
      <c r="Z835" s="595"/>
    </row>
    <row r="836" spans="1:26" ht="19.5" customHeight="1">
      <c r="A836" s="595"/>
      <c r="B836" s="595"/>
      <c r="C836" s="596"/>
      <c r="D836" s="595"/>
      <c r="E836" s="595"/>
      <c r="F836" s="595"/>
      <c r="G836" s="595"/>
      <c r="H836" s="595"/>
      <c r="I836" s="595"/>
      <c r="J836" s="595"/>
      <c r="K836" s="595"/>
      <c r="L836" s="595"/>
      <c r="M836" s="595"/>
      <c r="N836" s="595"/>
      <c r="O836" s="595"/>
      <c r="P836" s="595"/>
      <c r="Q836" s="595"/>
      <c r="R836" s="595"/>
      <c r="S836" s="595"/>
      <c r="T836" s="595"/>
      <c r="U836" s="595"/>
      <c r="V836" s="595"/>
      <c r="W836" s="595"/>
      <c r="X836" s="595"/>
      <c r="Y836" s="595"/>
      <c r="Z836" s="595"/>
    </row>
    <row r="837" spans="1:26" ht="19.5" customHeight="1">
      <c r="A837" s="595"/>
      <c r="B837" s="595"/>
      <c r="C837" s="596"/>
      <c r="D837" s="595"/>
      <c r="E837" s="595"/>
      <c r="F837" s="595"/>
      <c r="G837" s="595"/>
      <c r="H837" s="595"/>
      <c r="I837" s="595"/>
      <c r="J837" s="595"/>
      <c r="K837" s="595"/>
      <c r="L837" s="595"/>
      <c r="M837" s="595"/>
      <c r="N837" s="595"/>
      <c r="O837" s="595"/>
      <c r="P837" s="595"/>
      <c r="Q837" s="595"/>
      <c r="R837" s="595"/>
      <c r="S837" s="595"/>
      <c r="T837" s="595"/>
      <c r="U837" s="595"/>
      <c r="V837" s="595"/>
      <c r="W837" s="595"/>
      <c r="X837" s="595"/>
      <c r="Y837" s="595"/>
      <c r="Z837" s="595"/>
    </row>
    <row r="838" spans="1:26" ht="19.5" customHeight="1">
      <c r="A838" s="595"/>
      <c r="B838" s="595"/>
      <c r="C838" s="596"/>
      <c r="D838" s="595"/>
      <c r="E838" s="595"/>
      <c r="F838" s="595"/>
      <c r="G838" s="595"/>
      <c r="H838" s="595"/>
      <c r="I838" s="595"/>
      <c r="J838" s="595"/>
      <c r="K838" s="595"/>
      <c r="L838" s="595"/>
      <c r="M838" s="595"/>
      <c r="N838" s="595"/>
      <c r="O838" s="595"/>
      <c r="P838" s="595"/>
      <c r="Q838" s="595"/>
      <c r="R838" s="595"/>
      <c r="S838" s="595"/>
      <c r="T838" s="595"/>
      <c r="U838" s="595"/>
      <c r="V838" s="595"/>
      <c r="W838" s="595"/>
      <c r="X838" s="595"/>
      <c r="Y838" s="595"/>
      <c r="Z838" s="595"/>
    </row>
    <row r="839" spans="1:26" ht="19.5" customHeight="1">
      <c r="A839" s="595"/>
      <c r="B839" s="595"/>
      <c r="C839" s="596"/>
      <c r="D839" s="595"/>
      <c r="E839" s="595"/>
      <c r="F839" s="595"/>
      <c r="G839" s="595"/>
      <c r="H839" s="595"/>
      <c r="I839" s="595"/>
      <c r="J839" s="595"/>
      <c r="K839" s="595"/>
      <c r="L839" s="595"/>
      <c r="M839" s="595"/>
      <c r="N839" s="595"/>
      <c r="O839" s="595"/>
      <c r="P839" s="595"/>
      <c r="Q839" s="595"/>
      <c r="R839" s="595"/>
      <c r="S839" s="595"/>
      <c r="T839" s="595"/>
      <c r="U839" s="595"/>
      <c r="V839" s="595"/>
      <c r="W839" s="595"/>
      <c r="X839" s="595"/>
      <c r="Y839" s="595"/>
      <c r="Z839" s="595"/>
    </row>
    <row r="840" spans="1:26" ht="19.5" customHeight="1">
      <c r="A840" s="595"/>
      <c r="B840" s="595"/>
      <c r="C840" s="596"/>
      <c r="D840" s="595"/>
      <c r="E840" s="595"/>
      <c r="F840" s="595"/>
      <c r="G840" s="595"/>
      <c r="H840" s="595"/>
      <c r="I840" s="595"/>
      <c r="J840" s="595"/>
      <c r="K840" s="595"/>
      <c r="L840" s="595"/>
      <c r="M840" s="595"/>
      <c r="N840" s="595"/>
      <c r="O840" s="595"/>
      <c r="P840" s="595"/>
      <c r="Q840" s="595"/>
      <c r="R840" s="595"/>
      <c r="S840" s="595"/>
      <c r="T840" s="595"/>
      <c r="U840" s="595"/>
      <c r="V840" s="595"/>
      <c r="W840" s="595"/>
      <c r="X840" s="595"/>
      <c r="Y840" s="595"/>
      <c r="Z840" s="595"/>
    </row>
    <row r="841" spans="1:26" ht="19.5" customHeight="1">
      <c r="A841" s="595"/>
      <c r="B841" s="595"/>
      <c r="C841" s="596"/>
      <c r="D841" s="595"/>
      <c r="E841" s="595"/>
      <c r="F841" s="595"/>
      <c r="G841" s="595"/>
      <c r="H841" s="595"/>
      <c r="I841" s="595"/>
      <c r="J841" s="595"/>
      <c r="K841" s="595"/>
      <c r="L841" s="595"/>
      <c r="M841" s="595"/>
      <c r="N841" s="595"/>
      <c r="O841" s="595"/>
      <c r="P841" s="595"/>
      <c r="Q841" s="595"/>
      <c r="R841" s="595"/>
      <c r="S841" s="595"/>
      <c r="T841" s="595"/>
      <c r="U841" s="595"/>
      <c r="V841" s="595"/>
      <c r="W841" s="595"/>
      <c r="X841" s="595"/>
      <c r="Y841" s="595"/>
      <c r="Z841" s="595"/>
    </row>
    <row r="842" spans="1:26" ht="19.5" customHeight="1">
      <c r="A842" s="595"/>
      <c r="B842" s="595"/>
      <c r="C842" s="596"/>
      <c r="D842" s="595"/>
      <c r="E842" s="595"/>
      <c r="F842" s="595"/>
      <c r="G842" s="595"/>
      <c r="H842" s="595"/>
      <c r="I842" s="595"/>
      <c r="J842" s="595"/>
      <c r="K842" s="595"/>
      <c r="L842" s="595"/>
      <c r="M842" s="595"/>
      <c r="N842" s="595"/>
      <c r="O842" s="595"/>
      <c r="P842" s="595"/>
      <c r="Q842" s="595"/>
      <c r="R842" s="595"/>
      <c r="S842" s="595"/>
      <c r="T842" s="595"/>
      <c r="U842" s="595"/>
      <c r="V842" s="595"/>
      <c r="W842" s="595"/>
      <c r="X842" s="595"/>
      <c r="Y842" s="595"/>
      <c r="Z842" s="595"/>
    </row>
    <row r="843" spans="1:26" ht="19.5" customHeight="1">
      <c r="A843" s="595"/>
      <c r="B843" s="595"/>
      <c r="C843" s="596"/>
      <c r="D843" s="595"/>
      <c r="E843" s="595"/>
      <c r="F843" s="595"/>
      <c r="G843" s="595"/>
      <c r="H843" s="595"/>
      <c r="I843" s="595"/>
      <c r="J843" s="595"/>
      <c r="K843" s="595"/>
      <c r="L843" s="595"/>
      <c r="M843" s="595"/>
      <c r="N843" s="595"/>
      <c r="O843" s="595"/>
      <c r="P843" s="595"/>
      <c r="Q843" s="595"/>
      <c r="R843" s="595"/>
      <c r="S843" s="595"/>
      <c r="T843" s="595"/>
      <c r="U843" s="595"/>
      <c r="V843" s="595"/>
      <c r="W843" s="595"/>
      <c r="X843" s="595"/>
      <c r="Y843" s="595"/>
      <c r="Z843" s="595"/>
    </row>
    <row r="844" spans="1:26" ht="19.5" customHeight="1">
      <c r="A844" s="595"/>
      <c r="B844" s="595"/>
      <c r="C844" s="596"/>
      <c r="D844" s="595"/>
      <c r="E844" s="595"/>
      <c r="F844" s="595"/>
      <c r="G844" s="595"/>
      <c r="H844" s="595"/>
      <c r="I844" s="595"/>
      <c r="J844" s="595"/>
      <c r="K844" s="595"/>
      <c r="L844" s="595"/>
      <c r="M844" s="595"/>
      <c r="N844" s="595"/>
      <c r="O844" s="595"/>
      <c r="P844" s="595"/>
      <c r="Q844" s="595"/>
      <c r="R844" s="595"/>
      <c r="S844" s="595"/>
      <c r="T844" s="595"/>
      <c r="U844" s="595"/>
      <c r="V844" s="595"/>
      <c r="W844" s="595"/>
      <c r="X844" s="595"/>
      <c r="Y844" s="595"/>
      <c r="Z844" s="595"/>
    </row>
    <row r="845" spans="1:26" ht="19.5" customHeight="1">
      <c r="A845" s="595"/>
      <c r="B845" s="595"/>
      <c r="C845" s="596"/>
      <c r="D845" s="595"/>
      <c r="E845" s="595"/>
      <c r="F845" s="595"/>
      <c r="G845" s="595"/>
      <c r="H845" s="595"/>
      <c r="I845" s="595"/>
      <c r="J845" s="595"/>
      <c r="K845" s="595"/>
      <c r="L845" s="595"/>
      <c r="M845" s="595"/>
      <c r="N845" s="595"/>
      <c r="O845" s="595"/>
      <c r="P845" s="595"/>
      <c r="Q845" s="595"/>
      <c r="R845" s="595"/>
      <c r="S845" s="595"/>
      <c r="T845" s="595"/>
      <c r="U845" s="595"/>
      <c r="V845" s="595"/>
      <c r="W845" s="595"/>
      <c r="X845" s="595"/>
      <c r="Y845" s="595"/>
      <c r="Z845" s="595"/>
    </row>
    <row r="846" spans="1:26" ht="19.5" customHeight="1">
      <c r="A846" s="595"/>
      <c r="B846" s="595"/>
      <c r="C846" s="596"/>
      <c r="D846" s="595"/>
      <c r="E846" s="595"/>
      <c r="F846" s="595"/>
      <c r="G846" s="595"/>
      <c r="H846" s="595"/>
      <c r="I846" s="595"/>
      <c r="J846" s="595"/>
      <c r="K846" s="595"/>
      <c r="L846" s="595"/>
      <c r="M846" s="595"/>
      <c r="N846" s="595"/>
      <c r="O846" s="595"/>
      <c r="P846" s="595"/>
      <c r="Q846" s="595"/>
      <c r="R846" s="595"/>
      <c r="S846" s="595"/>
      <c r="T846" s="595"/>
      <c r="U846" s="595"/>
      <c r="V846" s="595"/>
      <c r="W846" s="595"/>
      <c r="X846" s="595"/>
      <c r="Y846" s="595"/>
      <c r="Z846" s="595"/>
    </row>
    <row r="847" spans="1:26" ht="19.5" customHeight="1">
      <c r="A847" s="595"/>
      <c r="B847" s="595"/>
      <c r="C847" s="596"/>
      <c r="D847" s="595"/>
      <c r="E847" s="595"/>
      <c r="F847" s="595"/>
      <c r="G847" s="595"/>
      <c r="H847" s="595"/>
      <c r="I847" s="595"/>
      <c r="J847" s="595"/>
      <c r="K847" s="595"/>
      <c r="L847" s="595"/>
      <c r="M847" s="595"/>
      <c r="N847" s="595"/>
      <c r="O847" s="595"/>
      <c r="P847" s="595"/>
      <c r="Q847" s="595"/>
      <c r="R847" s="595"/>
      <c r="S847" s="595"/>
      <c r="T847" s="595"/>
      <c r="U847" s="595"/>
      <c r="V847" s="595"/>
      <c r="W847" s="595"/>
      <c r="X847" s="595"/>
      <c r="Y847" s="595"/>
      <c r="Z847" s="595"/>
    </row>
    <row r="848" spans="1:26" ht="19.5" customHeight="1">
      <c r="A848" s="595"/>
      <c r="B848" s="595"/>
      <c r="C848" s="596"/>
      <c r="D848" s="595"/>
      <c r="E848" s="595"/>
      <c r="F848" s="595"/>
      <c r="G848" s="595"/>
      <c r="H848" s="595"/>
      <c r="I848" s="595"/>
      <c r="J848" s="595"/>
      <c r="K848" s="595"/>
      <c r="L848" s="595"/>
      <c r="M848" s="595"/>
      <c r="N848" s="595"/>
      <c r="O848" s="595"/>
      <c r="P848" s="595"/>
      <c r="Q848" s="595"/>
      <c r="R848" s="595"/>
      <c r="S848" s="595"/>
      <c r="T848" s="595"/>
      <c r="U848" s="595"/>
      <c r="V848" s="595"/>
      <c r="W848" s="595"/>
      <c r="X848" s="595"/>
      <c r="Y848" s="595"/>
      <c r="Z848" s="595"/>
    </row>
    <row r="849" spans="1:26" ht="19.5" customHeight="1">
      <c r="A849" s="595"/>
      <c r="B849" s="595"/>
      <c r="C849" s="596"/>
      <c r="D849" s="595"/>
      <c r="E849" s="595"/>
      <c r="F849" s="595"/>
      <c r="G849" s="595"/>
      <c r="H849" s="595"/>
      <c r="I849" s="595"/>
      <c r="J849" s="595"/>
      <c r="K849" s="595"/>
      <c r="L849" s="595"/>
      <c r="M849" s="595"/>
      <c r="N849" s="595"/>
      <c r="O849" s="595"/>
      <c r="P849" s="595"/>
      <c r="Q849" s="595"/>
      <c r="R849" s="595"/>
      <c r="S849" s="595"/>
      <c r="T849" s="595"/>
      <c r="U849" s="595"/>
      <c r="V849" s="595"/>
      <c r="W849" s="595"/>
      <c r="X849" s="595"/>
      <c r="Y849" s="595"/>
      <c r="Z849" s="595"/>
    </row>
    <row r="850" spans="1:26" ht="19.5" customHeight="1">
      <c r="A850" s="595"/>
      <c r="B850" s="595"/>
      <c r="C850" s="596"/>
      <c r="D850" s="595"/>
      <c r="E850" s="595"/>
      <c r="F850" s="595"/>
      <c r="G850" s="595"/>
      <c r="H850" s="595"/>
      <c r="I850" s="595"/>
      <c r="J850" s="595"/>
      <c r="K850" s="595"/>
      <c r="L850" s="595"/>
      <c r="M850" s="595"/>
      <c r="N850" s="595"/>
      <c r="O850" s="595"/>
      <c r="P850" s="595"/>
      <c r="Q850" s="595"/>
      <c r="R850" s="595"/>
      <c r="S850" s="595"/>
      <c r="T850" s="595"/>
      <c r="U850" s="595"/>
      <c r="V850" s="595"/>
      <c r="W850" s="595"/>
      <c r="X850" s="595"/>
      <c r="Y850" s="595"/>
      <c r="Z850" s="595"/>
    </row>
    <row r="851" spans="1:26" ht="19.5" customHeight="1">
      <c r="A851" s="595"/>
      <c r="B851" s="595"/>
      <c r="C851" s="596"/>
      <c r="D851" s="595"/>
      <c r="E851" s="595"/>
      <c r="F851" s="595"/>
      <c r="G851" s="595"/>
      <c r="H851" s="595"/>
      <c r="I851" s="595"/>
      <c r="J851" s="595"/>
      <c r="K851" s="595"/>
      <c r="L851" s="595"/>
      <c r="M851" s="595"/>
      <c r="N851" s="595"/>
      <c r="O851" s="595"/>
      <c r="P851" s="595"/>
      <c r="Q851" s="595"/>
      <c r="R851" s="595"/>
      <c r="S851" s="595"/>
      <c r="T851" s="595"/>
      <c r="U851" s="595"/>
      <c r="V851" s="595"/>
      <c r="W851" s="595"/>
      <c r="X851" s="595"/>
      <c r="Y851" s="595"/>
      <c r="Z851" s="595"/>
    </row>
    <row r="852" spans="1:26" ht="19.5" customHeight="1">
      <c r="A852" s="595"/>
      <c r="B852" s="595"/>
      <c r="C852" s="596"/>
      <c r="D852" s="595"/>
      <c r="E852" s="595"/>
      <c r="F852" s="595"/>
      <c r="G852" s="595"/>
      <c r="H852" s="595"/>
      <c r="I852" s="595"/>
      <c r="J852" s="595"/>
      <c r="K852" s="595"/>
      <c r="L852" s="595"/>
      <c r="M852" s="595"/>
      <c r="N852" s="595"/>
      <c r="O852" s="595"/>
      <c r="P852" s="595"/>
      <c r="Q852" s="595"/>
      <c r="R852" s="595"/>
      <c r="S852" s="595"/>
      <c r="T852" s="595"/>
      <c r="U852" s="595"/>
      <c r="V852" s="595"/>
      <c r="W852" s="595"/>
      <c r="X852" s="595"/>
      <c r="Y852" s="595"/>
      <c r="Z852" s="595"/>
    </row>
    <row r="853" spans="1:26" ht="19.5" customHeight="1">
      <c r="A853" s="595"/>
      <c r="B853" s="595"/>
      <c r="C853" s="596"/>
      <c r="D853" s="595"/>
      <c r="E853" s="595"/>
      <c r="F853" s="595"/>
      <c r="G853" s="595"/>
      <c r="H853" s="595"/>
      <c r="I853" s="595"/>
      <c r="J853" s="595"/>
      <c r="K853" s="595"/>
      <c r="L853" s="595"/>
      <c r="M853" s="595"/>
      <c r="N853" s="595"/>
      <c r="O853" s="595"/>
      <c r="P853" s="595"/>
      <c r="Q853" s="595"/>
      <c r="R853" s="595"/>
      <c r="S853" s="595"/>
      <c r="T853" s="595"/>
      <c r="U853" s="595"/>
      <c r="V853" s="595"/>
      <c r="W853" s="595"/>
      <c r="X853" s="595"/>
      <c r="Y853" s="595"/>
      <c r="Z853" s="595"/>
    </row>
    <row r="854" spans="1:26" ht="19.5" customHeight="1">
      <c r="A854" s="595"/>
      <c r="B854" s="595"/>
      <c r="C854" s="596"/>
      <c r="D854" s="595"/>
      <c r="E854" s="595"/>
      <c r="F854" s="595"/>
      <c r="G854" s="595"/>
      <c r="H854" s="595"/>
      <c r="I854" s="595"/>
      <c r="J854" s="595"/>
      <c r="K854" s="595"/>
      <c r="L854" s="595"/>
      <c r="M854" s="595"/>
      <c r="N854" s="595"/>
      <c r="O854" s="595"/>
      <c r="P854" s="595"/>
      <c r="Q854" s="595"/>
      <c r="R854" s="595"/>
      <c r="S854" s="595"/>
      <c r="T854" s="595"/>
      <c r="U854" s="595"/>
      <c r="V854" s="595"/>
      <c r="W854" s="595"/>
      <c r="X854" s="595"/>
      <c r="Y854" s="595"/>
      <c r="Z854" s="595"/>
    </row>
    <row r="855" spans="1:26" ht="19.5" customHeight="1">
      <c r="A855" s="595"/>
      <c r="B855" s="595"/>
      <c r="C855" s="596"/>
      <c r="D855" s="595"/>
      <c r="E855" s="595"/>
      <c r="F855" s="595"/>
      <c r="G855" s="595"/>
      <c r="H855" s="595"/>
      <c r="I855" s="595"/>
      <c r="J855" s="595"/>
      <c r="K855" s="595"/>
      <c r="L855" s="595"/>
      <c r="M855" s="595"/>
      <c r="N855" s="595"/>
      <c r="O855" s="595"/>
      <c r="P855" s="595"/>
      <c r="Q855" s="595"/>
      <c r="R855" s="595"/>
      <c r="S855" s="595"/>
      <c r="T855" s="595"/>
      <c r="U855" s="595"/>
      <c r="V855" s="595"/>
      <c r="W855" s="595"/>
      <c r="X855" s="595"/>
      <c r="Y855" s="595"/>
      <c r="Z855" s="595"/>
    </row>
    <row r="856" spans="1:26" ht="19.5" customHeight="1">
      <c r="A856" s="595"/>
      <c r="B856" s="595"/>
      <c r="C856" s="596"/>
      <c r="D856" s="595"/>
      <c r="E856" s="595"/>
      <c r="F856" s="595"/>
      <c r="G856" s="595"/>
      <c r="H856" s="595"/>
      <c r="I856" s="595"/>
      <c r="J856" s="595"/>
      <c r="K856" s="595"/>
      <c r="L856" s="595"/>
      <c r="M856" s="595"/>
      <c r="N856" s="595"/>
      <c r="O856" s="595"/>
      <c r="P856" s="595"/>
      <c r="Q856" s="595"/>
      <c r="R856" s="595"/>
      <c r="S856" s="595"/>
      <c r="T856" s="595"/>
      <c r="U856" s="595"/>
      <c r="V856" s="595"/>
      <c r="W856" s="595"/>
      <c r="X856" s="595"/>
      <c r="Y856" s="595"/>
      <c r="Z856" s="595"/>
    </row>
    <row r="857" spans="1:26" ht="19.5" customHeight="1">
      <c r="A857" s="595"/>
      <c r="B857" s="595"/>
      <c r="C857" s="596"/>
      <c r="D857" s="595"/>
      <c r="E857" s="595"/>
      <c r="F857" s="595"/>
      <c r="G857" s="595"/>
      <c r="H857" s="595"/>
      <c r="I857" s="595"/>
      <c r="J857" s="595"/>
      <c r="K857" s="595"/>
      <c r="L857" s="595"/>
      <c r="M857" s="595"/>
      <c r="N857" s="595"/>
      <c r="O857" s="595"/>
      <c r="P857" s="595"/>
      <c r="Q857" s="595"/>
      <c r="R857" s="595"/>
      <c r="S857" s="595"/>
      <c r="T857" s="595"/>
      <c r="U857" s="595"/>
      <c r="V857" s="595"/>
      <c r="W857" s="595"/>
      <c r="X857" s="595"/>
      <c r="Y857" s="595"/>
      <c r="Z857" s="595"/>
    </row>
    <row r="858" spans="1:26" ht="19.5" customHeight="1">
      <c r="A858" s="595"/>
      <c r="B858" s="595"/>
      <c r="C858" s="596"/>
      <c r="D858" s="595"/>
      <c r="E858" s="595"/>
      <c r="F858" s="595"/>
      <c r="G858" s="595"/>
      <c r="H858" s="595"/>
      <c r="I858" s="595"/>
      <c r="J858" s="595"/>
      <c r="K858" s="595"/>
      <c r="L858" s="595"/>
      <c r="M858" s="595"/>
      <c r="N858" s="595"/>
      <c r="O858" s="595"/>
      <c r="P858" s="595"/>
      <c r="Q858" s="595"/>
      <c r="R858" s="595"/>
      <c r="S858" s="595"/>
      <c r="T858" s="595"/>
      <c r="U858" s="595"/>
      <c r="V858" s="595"/>
      <c r="W858" s="595"/>
      <c r="X858" s="595"/>
      <c r="Y858" s="595"/>
      <c r="Z858" s="595"/>
    </row>
    <row r="859" spans="1:26" ht="19.5" customHeight="1">
      <c r="A859" s="595"/>
      <c r="B859" s="595"/>
      <c r="C859" s="596"/>
      <c r="D859" s="595"/>
      <c r="E859" s="595"/>
      <c r="F859" s="595"/>
      <c r="G859" s="595"/>
      <c r="H859" s="595"/>
      <c r="I859" s="595"/>
      <c r="J859" s="595"/>
      <c r="K859" s="595"/>
      <c r="L859" s="595"/>
      <c r="M859" s="595"/>
      <c r="N859" s="595"/>
      <c r="O859" s="595"/>
      <c r="P859" s="595"/>
      <c r="Q859" s="595"/>
      <c r="R859" s="595"/>
      <c r="S859" s="595"/>
      <c r="T859" s="595"/>
      <c r="U859" s="595"/>
      <c r="V859" s="595"/>
      <c r="W859" s="595"/>
      <c r="X859" s="595"/>
      <c r="Y859" s="595"/>
      <c r="Z859" s="595"/>
    </row>
    <row r="860" spans="1:26" ht="19.5" customHeight="1">
      <c r="A860" s="595"/>
      <c r="B860" s="595"/>
      <c r="C860" s="596"/>
      <c r="D860" s="595"/>
      <c r="E860" s="595"/>
      <c r="F860" s="595"/>
      <c r="G860" s="595"/>
      <c r="H860" s="595"/>
      <c r="I860" s="595"/>
      <c r="J860" s="595"/>
      <c r="K860" s="595"/>
      <c r="L860" s="595"/>
      <c r="M860" s="595"/>
      <c r="N860" s="595"/>
      <c r="O860" s="595"/>
      <c r="P860" s="595"/>
      <c r="Q860" s="595"/>
      <c r="R860" s="595"/>
      <c r="S860" s="595"/>
      <c r="T860" s="595"/>
      <c r="U860" s="595"/>
      <c r="V860" s="595"/>
      <c r="W860" s="595"/>
      <c r="X860" s="595"/>
      <c r="Y860" s="595"/>
      <c r="Z860" s="595"/>
    </row>
    <row r="861" spans="1:26" ht="19.5" customHeight="1">
      <c r="A861" s="595"/>
      <c r="B861" s="595"/>
      <c r="C861" s="596"/>
      <c r="D861" s="595"/>
      <c r="E861" s="595"/>
      <c r="F861" s="595"/>
      <c r="G861" s="595"/>
      <c r="H861" s="595"/>
      <c r="I861" s="595"/>
      <c r="J861" s="595"/>
      <c r="K861" s="595"/>
      <c r="L861" s="595"/>
      <c r="M861" s="595"/>
      <c r="N861" s="595"/>
      <c r="O861" s="595"/>
      <c r="P861" s="595"/>
      <c r="Q861" s="595"/>
      <c r="R861" s="595"/>
      <c r="S861" s="595"/>
      <c r="T861" s="595"/>
      <c r="U861" s="595"/>
      <c r="V861" s="595"/>
      <c r="W861" s="595"/>
      <c r="X861" s="595"/>
      <c r="Y861" s="595"/>
      <c r="Z861" s="595"/>
    </row>
    <row r="862" spans="1:26" ht="19.5" customHeight="1">
      <c r="A862" s="595"/>
      <c r="B862" s="595"/>
      <c r="C862" s="596"/>
      <c r="D862" s="595"/>
      <c r="E862" s="595"/>
      <c r="F862" s="595"/>
      <c r="G862" s="595"/>
      <c r="H862" s="595"/>
      <c r="I862" s="595"/>
      <c r="J862" s="595"/>
      <c r="K862" s="595"/>
      <c r="L862" s="595"/>
      <c r="M862" s="595"/>
      <c r="N862" s="595"/>
      <c r="O862" s="595"/>
      <c r="P862" s="595"/>
      <c r="Q862" s="595"/>
      <c r="R862" s="595"/>
      <c r="S862" s="595"/>
      <c r="T862" s="595"/>
      <c r="U862" s="595"/>
      <c r="V862" s="595"/>
      <c r="W862" s="595"/>
      <c r="X862" s="595"/>
      <c r="Y862" s="595"/>
      <c r="Z862" s="595"/>
    </row>
    <row r="863" spans="1:26" ht="19.5" customHeight="1">
      <c r="A863" s="595"/>
      <c r="B863" s="595"/>
      <c r="C863" s="596"/>
      <c r="D863" s="595"/>
      <c r="E863" s="595"/>
      <c r="F863" s="595"/>
      <c r="G863" s="595"/>
      <c r="H863" s="595"/>
      <c r="I863" s="595"/>
      <c r="J863" s="595"/>
      <c r="K863" s="595"/>
      <c r="L863" s="595"/>
      <c r="M863" s="595"/>
      <c r="N863" s="595"/>
      <c r="O863" s="595"/>
      <c r="P863" s="595"/>
      <c r="Q863" s="595"/>
      <c r="R863" s="595"/>
      <c r="S863" s="595"/>
      <c r="T863" s="595"/>
      <c r="U863" s="595"/>
      <c r="V863" s="595"/>
      <c r="W863" s="595"/>
      <c r="X863" s="595"/>
      <c r="Y863" s="595"/>
      <c r="Z863" s="595"/>
    </row>
    <row r="864" spans="1:26" ht="19.5" customHeight="1">
      <c r="A864" s="595"/>
      <c r="B864" s="595"/>
      <c r="C864" s="596"/>
      <c r="D864" s="595"/>
      <c r="E864" s="595"/>
      <c r="F864" s="595"/>
      <c r="G864" s="595"/>
      <c r="H864" s="595"/>
      <c r="I864" s="595"/>
      <c r="J864" s="595"/>
      <c r="K864" s="595"/>
      <c r="L864" s="595"/>
      <c r="M864" s="595"/>
      <c r="N864" s="595"/>
      <c r="O864" s="595"/>
      <c r="P864" s="595"/>
      <c r="Q864" s="595"/>
      <c r="R864" s="595"/>
      <c r="S864" s="595"/>
      <c r="T864" s="595"/>
      <c r="U864" s="595"/>
      <c r="V864" s="595"/>
      <c r="W864" s="595"/>
      <c r="X864" s="595"/>
      <c r="Y864" s="595"/>
      <c r="Z864" s="595"/>
    </row>
    <row r="865" spans="1:26" ht="19.5" customHeight="1">
      <c r="A865" s="595"/>
      <c r="B865" s="595"/>
      <c r="C865" s="596"/>
      <c r="D865" s="595"/>
      <c r="E865" s="595"/>
      <c r="F865" s="595"/>
      <c r="G865" s="595"/>
      <c r="H865" s="595"/>
      <c r="I865" s="595"/>
      <c r="J865" s="595"/>
      <c r="K865" s="595"/>
      <c r="L865" s="595"/>
      <c r="M865" s="595"/>
      <c r="N865" s="595"/>
      <c r="O865" s="595"/>
      <c r="P865" s="595"/>
      <c r="Q865" s="595"/>
      <c r="R865" s="595"/>
      <c r="S865" s="595"/>
      <c r="T865" s="595"/>
      <c r="U865" s="595"/>
      <c r="V865" s="595"/>
      <c r="W865" s="595"/>
      <c r="X865" s="595"/>
      <c r="Y865" s="595"/>
      <c r="Z865" s="595"/>
    </row>
    <row r="866" spans="1:26" ht="19.5" customHeight="1">
      <c r="A866" s="595"/>
      <c r="B866" s="595"/>
      <c r="C866" s="596"/>
      <c r="D866" s="595"/>
      <c r="E866" s="595"/>
      <c r="F866" s="595"/>
      <c r="G866" s="595"/>
      <c r="H866" s="595"/>
      <c r="I866" s="595"/>
      <c r="J866" s="595"/>
      <c r="K866" s="595"/>
      <c r="L866" s="595"/>
      <c r="M866" s="595"/>
      <c r="N866" s="595"/>
      <c r="O866" s="595"/>
      <c r="P866" s="595"/>
      <c r="Q866" s="595"/>
      <c r="R866" s="595"/>
      <c r="S866" s="595"/>
      <c r="T866" s="595"/>
      <c r="U866" s="595"/>
      <c r="V866" s="595"/>
      <c r="W866" s="595"/>
      <c r="X866" s="595"/>
      <c r="Y866" s="595"/>
      <c r="Z866" s="595"/>
    </row>
    <row r="867" spans="1:26" ht="19.5" customHeight="1">
      <c r="A867" s="595"/>
      <c r="B867" s="595"/>
      <c r="C867" s="596"/>
      <c r="D867" s="595"/>
      <c r="E867" s="595"/>
      <c r="F867" s="595"/>
      <c r="G867" s="595"/>
      <c r="H867" s="595"/>
      <c r="I867" s="595"/>
      <c r="J867" s="595"/>
      <c r="K867" s="595"/>
      <c r="L867" s="595"/>
      <c r="M867" s="595"/>
      <c r="N867" s="595"/>
      <c r="O867" s="595"/>
      <c r="P867" s="595"/>
      <c r="Q867" s="595"/>
      <c r="R867" s="595"/>
      <c r="S867" s="595"/>
      <c r="T867" s="595"/>
      <c r="U867" s="595"/>
      <c r="V867" s="595"/>
      <c r="W867" s="595"/>
      <c r="X867" s="595"/>
      <c r="Y867" s="595"/>
      <c r="Z867" s="595"/>
    </row>
    <row r="868" spans="1:26" ht="19.5" customHeight="1">
      <c r="A868" s="595"/>
      <c r="B868" s="595"/>
      <c r="C868" s="596"/>
      <c r="D868" s="595"/>
      <c r="E868" s="595"/>
      <c r="F868" s="595"/>
      <c r="G868" s="595"/>
      <c r="H868" s="595"/>
      <c r="I868" s="595"/>
      <c r="J868" s="595"/>
      <c r="K868" s="595"/>
      <c r="L868" s="595"/>
      <c r="M868" s="595"/>
      <c r="N868" s="595"/>
      <c r="O868" s="595"/>
      <c r="P868" s="595"/>
      <c r="Q868" s="595"/>
      <c r="R868" s="595"/>
      <c r="S868" s="595"/>
      <c r="T868" s="595"/>
      <c r="U868" s="595"/>
      <c r="V868" s="595"/>
      <c r="W868" s="595"/>
      <c r="X868" s="595"/>
      <c r="Y868" s="595"/>
      <c r="Z868" s="595"/>
    </row>
    <row r="869" spans="1:26" ht="19.5" customHeight="1">
      <c r="A869" s="595"/>
      <c r="B869" s="595"/>
      <c r="C869" s="596"/>
      <c r="D869" s="595"/>
      <c r="E869" s="595"/>
      <c r="F869" s="595"/>
      <c r="G869" s="595"/>
      <c r="H869" s="595"/>
      <c r="I869" s="595"/>
      <c r="J869" s="595"/>
      <c r="K869" s="595"/>
      <c r="L869" s="595"/>
      <c r="M869" s="595"/>
      <c r="N869" s="595"/>
      <c r="O869" s="595"/>
      <c r="P869" s="595"/>
      <c r="Q869" s="595"/>
      <c r="R869" s="595"/>
      <c r="S869" s="595"/>
      <c r="T869" s="595"/>
      <c r="U869" s="595"/>
      <c r="V869" s="595"/>
      <c r="W869" s="595"/>
      <c r="X869" s="595"/>
      <c r="Y869" s="595"/>
      <c r="Z869" s="595"/>
    </row>
    <row r="870" spans="1:26" ht="19.5" customHeight="1">
      <c r="A870" s="595"/>
      <c r="B870" s="595"/>
      <c r="C870" s="596"/>
      <c r="D870" s="595"/>
      <c r="E870" s="595"/>
      <c r="F870" s="595"/>
      <c r="G870" s="595"/>
      <c r="H870" s="595"/>
      <c r="I870" s="595"/>
      <c r="J870" s="595"/>
      <c r="K870" s="595"/>
      <c r="L870" s="595"/>
      <c r="M870" s="595"/>
      <c r="N870" s="595"/>
      <c r="O870" s="595"/>
      <c r="P870" s="595"/>
      <c r="Q870" s="595"/>
      <c r="R870" s="595"/>
      <c r="S870" s="595"/>
      <c r="T870" s="595"/>
      <c r="U870" s="595"/>
      <c r="V870" s="595"/>
      <c r="W870" s="595"/>
      <c r="X870" s="595"/>
      <c r="Y870" s="595"/>
      <c r="Z870" s="595"/>
    </row>
    <row r="871" spans="1:26" ht="19.5" customHeight="1">
      <c r="A871" s="595"/>
      <c r="B871" s="595"/>
      <c r="C871" s="596"/>
      <c r="D871" s="595"/>
      <c r="E871" s="595"/>
      <c r="F871" s="595"/>
      <c r="G871" s="595"/>
      <c r="H871" s="595"/>
      <c r="I871" s="595"/>
      <c r="J871" s="595"/>
      <c r="K871" s="595"/>
      <c r="L871" s="595"/>
      <c r="M871" s="595"/>
      <c r="N871" s="595"/>
      <c r="O871" s="595"/>
      <c r="P871" s="595"/>
      <c r="Q871" s="595"/>
      <c r="R871" s="595"/>
      <c r="S871" s="595"/>
      <c r="T871" s="595"/>
      <c r="U871" s="595"/>
      <c r="V871" s="595"/>
      <c r="W871" s="595"/>
      <c r="X871" s="595"/>
      <c r="Y871" s="595"/>
      <c r="Z871" s="595"/>
    </row>
    <row r="872" spans="1:26" ht="19.5" customHeight="1">
      <c r="A872" s="595"/>
      <c r="B872" s="595"/>
      <c r="C872" s="596"/>
      <c r="D872" s="595"/>
      <c r="E872" s="595"/>
      <c r="F872" s="595"/>
      <c r="G872" s="595"/>
      <c r="H872" s="595"/>
      <c r="I872" s="595"/>
      <c r="J872" s="595"/>
      <c r="K872" s="595"/>
      <c r="L872" s="595"/>
      <c r="M872" s="595"/>
      <c r="N872" s="595"/>
      <c r="O872" s="595"/>
      <c r="P872" s="595"/>
      <c r="Q872" s="595"/>
      <c r="R872" s="595"/>
      <c r="S872" s="595"/>
      <c r="T872" s="595"/>
      <c r="U872" s="595"/>
      <c r="V872" s="595"/>
      <c r="W872" s="595"/>
      <c r="X872" s="595"/>
      <c r="Y872" s="595"/>
      <c r="Z872" s="595"/>
    </row>
    <row r="873" spans="1:26" ht="19.5" customHeight="1">
      <c r="A873" s="595"/>
      <c r="B873" s="595"/>
      <c r="C873" s="596"/>
      <c r="D873" s="595"/>
      <c r="E873" s="595"/>
      <c r="F873" s="595"/>
      <c r="G873" s="595"/>
      <c r="H873" s="595"/>
      <c r="I873" s="595"/>
      <c r="J873" s="595"/>
      <c r="K873" s="595"/>
      <c r="L873" s="595"/>
      <c r="M873" s="595"/>
      <c r="N873" s="595"/>
      <c r="O873" s="595"/>
      <c r="P873" s="595"/>
      <c r="Q873" s="595"/>
      <c r="R873" s="595"/>
      <c r="S873" s="595"/>
      <c r="T873" s="595"/>
      <c r="U873" s="595"/>
      <c r="V873" s="595"/>
      <c r="W873" s="595"/>
      <c r="X873" s="595"/>
      <c r="Y873" s="595"/>
      <c r="Z873" s="595"/>
    </row>
    <row r="874" spans="1:26" ht="19.5" customHeight="1">
      <c r="A874" s="595"/>
      <c r="B874" s="595"/>
      <c r="C874" s="596"/>
      <c r="D874" s="595"/>
      <c r="E874" s="595"/>
      <c r="F874" s="595"/>
      <c r="G874" s="595"/>
      <c r="H874" s="595"/>
      <c r="I874" s="595"/>
      <c r="J874" s="595"/>
      <c r="K874" s="595"/>
      <c r="L874" s="595"/>
      <c r="M874" s="595"/>
      <c r="N874" s="595"/>
      <c r="O874" s="595"/>
      <c r="P874" s="595"/>
      <c r="Q874" s="595"/>
      <c r="R874" s="595"/>
      <c r="S874" s="595"/>
      <c r="T874" s="595"/>
      <c r="U874" s="595"/>
      <c r="V874" s="595"/>
      <c r="W874" s="595"/>
      <c r="X874" s="595"/>
      <c r="Y874" s="595"/>
      <c r="Z874" s="595"/>
    </row>
    <row r="875" spans="1:26" ht="19.5" customHeight="1">
      <c r="A875" s="595"/>
      <c r="B875" s="595"/>
      <c r="C875" s="596"/>
      <c r="D875" s="595"/>
      <c r="E875" s="595"/>
      <c r="F875" s="595"/>
      <c r="G875" s="595"/>
      <c r="H875" s="595"/>
      <c r="I875" s="595"/>
      <c r="J875" s="595"/>
      <c r="K875" s="595"/>
      <c r="L875" s="595"/>
      <c r="M875" s="595"/>
      <c r="N875" s="595"/>
      <c r="O875" s="595"/>
      <c r="P875" s="595"/>
      <c r="Q875" s="595"/>
      <c r="R875" s="595"/>
      <c r="S875" s="595"/>
      <c r="T875" s="595"/>
      <c r="U875" s="595"/>
      <c r="V875" s="595"/>
      <c r="W875" s="595"/>
      <c r="X875" s="595"/>
      <c r="Y875" s="595"/>
      <c r="Z875" s="595"/>
    </row>
    <row r="876" spans="1:26" ht="19.5" customHeight="1">
      <c r="A876" s="595"/>
      <c r="B876" s="595"/>
      <c r="C876" s="596"/>
      <c r="D876" s="595"/>
      <c r="E876" s="595"/>
      <c r="F876" s="595"/>
      <c r="G876" s="595"/>
      <c r="H876" s="595"/>
      <c r="I876" s="595"/>
      <c r="J876" s="595"/>
      <c r="K876" s="595"/>
      <c r="L876" s="595"/>
      <c r="M876" s="595"/>
      <c r="N876" s="595"/>
      <c r="O876" s="595"/>
      <c r="P876" s="595"/>
      <c r="Q876" s="595"/>
      <c r="R876" s="595"/>
      <c r="S876" s="595"/>
      <c r="T876" s="595"/>
      <c r="U876" s="595"/>
      <c r="V876" s="595"/>
      <c r="W876" s="595"/>
      <c r="X876" s="595"/>
      <c r="Y876" s="595"/>
      <c r="Z876" s="595"/>
    </row>
    <row r="877" spans="1:26" ht="19.5" customHeight="1">
      <c r="A877" s="595"/>
      <c r="B877" s="595"/>
      <c r="C877" s="596"/>
      <c r="D877" s="595"/>
      <c r="E877" s="595"/>
      <c r="F877" s="595"/>
      <c r="G877" s="595"/>
      <c r="H877" s="595"/>
      <c r="I877" s="595"/>
      <c r="J877" s="595"/>
      <c r="K877" s="595"/>
      <c r="L877" s="595"/>
      <c r="M877" s="595"/>
      <c r="N877" s="595"/>
      <c r="O877" s="595"/>
      <c r="P877" s="595"/>
      <c r="Q877" s="595"/>
      <c r="R877" s="595"/>
      <c r="S877" s="595"/>
      <c r="T877" s="595"/>
      <c r="U877" s="595"/>
      <c r="V877" s="595"/>
      <c r="W877" s="595"/>
      <c r="X877" s="595"/>
      <c r="Y877" s="595"/>
      <c r="Z877" s="595"/>
    </row>
    <row r="878" spans="1:26" ht="19.5" customHeight="1">
      <c r="A878" s="595"/>
      <c r="B878" s="595"/>
      <c r="C878" s="596"/>
      <c r="D878" s="595"/>
      <c r="E878" s="595"/>
      <c r="F878" s="595"/>
      <c r="G878" s="595"/>
      <c r="H878" s="595"/>
      <c r="I878" s="595"/>
      <c r="J878" s="595"/>
      <c r="K878" s="595"/>
      <c r="L878" s="595"/>
      <c r="M878" s="595"/>
      <c r="N878" s="595"/>
      <c r="O878" s="595"/>
      <c r="P878" s="595"/>
      <c r="Q878" s="595"/>
      <c r="R878" s="595"/>
      <c r="S878" s="595"/>
      <c r="T878" s="595"/>
      <c r="U878" s="595"/>
      <c r="V878" s="595"/>
      <c r="W878" s="595"/>
      <c r="X878" s="595"/>
      <c r="Y878" s="595"/>
      <c r="Z878" s="595"/>
    </row>
    <row r="879" spans="1:26" ht="19.5" customHeight="1">
      <c r="A879" s="595"/>
      <c r="B879" s="595"/>
      <c r="C879" s="596"/>
      <c r="D879" s="595"/>
      <c r="E879" s="595"/>
      <c r="F879" s="595"/>
      <c r="G879" s="595"/>
      <c r="H879" s="595"/>
      <c r="I879" s="595"/>
      <c r="J879" s="595"/>
      <c r="K879" s="595"/>
      <c r="L879" s="595"/>
      <c r="M879" s="595"/>
      <c r="N879" s="595"/>
      <c r="O879" s="595"/>
      <c r="P879" s="595"/>
      <c r="Q879" s="595"/>
      <c r="R879" s="595"/>
      <c r="S879" s="595"/>
      <c r="T879" s="595"/>
      <c r="U879" s="595"/>
      <c r="V879" s="595"/>
      <c r="W879" s="595"/>
      <c r="X879" s="595"/>
      <c r="Y879" s="595"/>
      <c r="Z879" s="595"/>
    </row>
    <row r="880" spans="1:26" ht="19.5" customHeight="1">
      <c r="A880" s="595"/>
      <c r="B880" s="595"/>
      <c r="C880" s="596"/>
      <c r="D880" s="595"/>
      <c r="E880" s="595"/>
      <c r="F880" s="595"/>
      <c r="G880" s="595"/>
      <c r="H880" s="595"/>
      <c r="I880" s="595"/>
      <c r="J880" s="595"/>
      <c r="K880" s="595"/>
      <c r="L880" s="595"/>
      <c r="M880" s="595"/>
      <c r="N880" s="595"/>
      <c r="O880" s="595"/>
      <c r="P880" s="595"/>
      <c r="Q880" s="595"/>
      <c r="R880" s="595"/>
      <c r="S880" s="595"/>
      <c r="T880" s="595"/>
      <c r="U880" s="595"/>
      <c r="V880" s="595"/>
      <c r="W880" s="595"/>
      <c r="X880" s="595"/>
      <c r="Y880" s="595"/>
      <c r="Z880" s="595"/>
    </row>
    <row r="881" spans="1:26" ht="19.5" customHeight="1">
      <c r="A881" s="595"/>
      <c r="B881" s="595"/>
      <c r="C881" s="596"/>
      <c r="D881" s="595"/>
      <c r="E881" s="595"/>
      <c r="F881" s="595"/>
      <c r="G881" s="595"/>
      <c r="H881" s="595"/>
      <c r="I881" s="595"/>
      <c r="J881" s="595"/>
      <c r="K881" s="595"/>
      <c r="L881" s="595"/>
      <c r="M881" s="595"/>
      <c r="N881" s="595"/>
      <c r="O881" s="595"/>
      <c r="P881" s="595"/>
      <c r="Q881" s="595"/>
      <c r="R881" s="595"/>
      <c r="S881" s="595"/>
      <c r="T881" s="595"/>
      <c r="U881" s="595"/>
      <c r="V881" s="595"/>
      <c r="W881" s="595"/>
      <c r="X881" s="595"/>
      <c r="Y881" s="595"/>
      <c r="Z881" s="595"/>
    </row>
    <row r="882" spans="1:26" ht="19.5" customHeight="1">
      <c r="A882" s="595"/>
      <c r="B882" s="595"/>
      <c r="C882" s="596"/>
      <c r="D882" s="595"/>
      <c r="E882" s="595"/>
      <c r="F882" s="595"/>
      <c r="G882" s="595"/>
      <c r="H882" s="595"/>
      <c r="I882" s="595"/>
      <c r="J882" s="595"/>
      <c r="K882" s="595"/>
      <c r="L882" s="595"/>
      <c r="M882" s="595"/>
      <c r="N882" s="595"/>
      <c r="O882" s="595"/>
      <c r="P882" s="595"/>
      <c r="Q882" s="595"/>
      <c r="R882" s="595"/>
      <c r="S882" s="595"/>
      <c r="T882" s="595"/>
      <c r="U882" s="595"/>
      <c r="V882" s="595"/>
      <c r="W882" s="595"/>
      <c r="X882" s="595"/>
      <c r="Y882" s="595"/>
      <c r="Z882" s="595"/>
    </row>
    <row r="883" spans="1:26" ht="19.5" customHeight="1">
      <c r="A883" s="595"/>
      <c r="B883" s="595"/>
      <c r="C883" s="596"/>
      <c r="D883" s="595"/>
      <c r="E883" s="595"/>
      <c r="F883" s="595"/>
      <c r="G883" s="595"/>
      <c r="H883" s="595"/>
      <c r="I883" s="595"/>
      <c r="J883" s="595"/>
      <c r="K883" s="595"/>
      <c r="L883" s="595"/>
      <c r="M883" s="595"/>
      <c r="N883" s="595"/>
      <c r="O883" s="595"/>
      <c r="P883" s="595"/>
      <c r="Q883" s="595"/>
      <c r="R883" s="595"/>
      <c r="S883" s="595"/>
      <c r="T883" s="595"/>
      <c r="U883" s="595"/>
      <c r="V883" s="595"/>
      <c r="W883" s="595"/>
      <c r="X883" s="595"/>
      <c r="Y883" s="595"/>
      <c r="Z883" s="595"/>
    </row>
    <row r="884" spans="1:26" ht="19.5" customHeight="1">
      <c r="A884" s="595"/>
      <c r="B884" s="595"/>
      <c r="C884" s="596"/>
      <c r="D884" s="595"/>
      <c r="E884" s="595"/>
      <c r="F884" s="595"/>
      <c r="G884" s="595"/>
      <c r="H884" s="595"/>
      <c r="I884" s="595"/>
      <c r="J884" s="595"/>
      <c r="K884" s="595"/>
      <c r="L884" s="595"/>
      <c r="M884" s="595"/>
      <c r="N884" s="595"/>
      <c r="O884" s="595"/>
      <c r="P884" s="595"/>
      <c r="Q884" s="595"/>
      <c r="R884" s="595"/>
      <c r="S884" s="595"/>
      <c r="T884" s="595"/>
      <c r="U884" s="595"/>
      <c r="V884" s="595"/>
      <c r="W884" s="595"/>
      <c r="X884" s="595"/>
      <c r="Y884" s="595"/>
      <c r="Z884" s="595"/>
    </row>
    <row r="885" spans="1:26" ht="19.5" customHeight="1">
      <c r="A885" s="595"/>
      <c r="B885" s="595"/>
      <c r="C885" s="596"/>
      <c r="D885" s="595"/>
      <c r="E885" s="595"/>
      <c r="F885" s="595"/>
      <c r="G885" s="595"/>
      <c r="H885" s="595"/>
      <c r="I885" s="595"/>
      <c r="J885" s="595"/>
      <c r="K885" s="595"/>
      <c r="L885" s="595"/>
      <c r="M885" s="595"/>
      <c r="N885" s="595"/>
      <c r="O885" s="595"/>
      <c r="P885" s="595"/>
      <c r="Q885" s="595"/>
      <c r="R885" s="595"/>
      <c r="S885" s="595"/>
      <c r="T885" s="595"/>
      <c r="U885" s="595"/>
      <c r="V885" s="595"/>
      <c r="W885" s="595"/>
      <c r="X885" s="595"/>
      <c r="Y885" s="595"/>
      <c r="Z885" s="595"/>
    </row>
    <row r="886" spans="1:26" ht="19.5" customHeight="1">
      <c r="A886" s="595"/>
      <c r="B886" s="595"/>
      <c r="C886" s="596"/>
      <c r="D886" s="595"/>
      <c r="E886" s="595"/>
      <c r="F886" s="595"/>
      <c r="G886" s="595"/>
      <c r="H886" s="595"/>
      <c r="I886" s="595"/>
      <c r="J886" s="595"/>
      <c r="K886" s="595"/>
      <c r="L886" s="595"/>
      <c r="M886" s="595"/>
      <c r="N886" s="595"/>
      <c r="O886" s="595"/>
      <c r="P886" s="595"/>
      <c r="Q886" s="595"/>
      <c r="R886" s="595"/>
      <c r="S886" s="595"/>
      <c r="T886" s="595"/>
      <c r="U886" s="595"/>
      <c r="V886" s="595"/>
      <c r="W886" s="595"/>
      <c r="X886" s="595"/>
      <c r="Y886" s="595"/>
      <c r="Z886" s="595"/>
    </row>
    <row r="887" spans="1:26" ht="19.5" customHeight="1">
      <c r="A887" s="595"/>
      <c r="B887" s="595"/>
      <c r="C887" s="596"/>
      <c r="D887" s="595"/>
      <c r="E887" s="595"/>
      <c r="F887" s="595"/>
      <c r="G887" s="595"/>
      <c r="H887" s="595"/>
      <c r="I887" s="595"/>
      <c r="J887" s="595"/>
      <c r="K887" s="595"/>
      <c r="L887" s="595"/>
      <c r="M887" s="595"/>
      <c r="N887" s="595"/>
      <c r="O887" s="595"/>
      <c r="P887" s="595"/>
      <c r="Q887" s="595"/>
      <c r="R887" s="595"/>
      <c r="S887" s="595"/>
      <c r="T887" s="595"/>
      <c r="U887" s="595"/>
      <c r="V887" s="595"/>
      <c r="W887" s="595"/>
      <c r="X887" s="595"/>
      <c r="Y887" s="595"/>
      <c r="Z887" s="595"/>
    </row>
    <row r="888" spans="1:26" ht="19.5" customHeight="1">
      <c r="A888" s="595"/>
      <c r="B888" s="595"/>
      <c r="C888" s="596"/>
      <c r="D888" s="595"/>
      <c r="E888" s="595"/>
      <c r="F888" s="595"/>
      <c r="G888" s="595"/>
      <c r="H888" s="595"/>
      <c r="I888" s="595"/>
      <c r="J888" s="595"/>
      <c r="K888" s="595"/>
      <c r="L888" s="595"/>
      <c r="M888" s="595"/>
      <c r="N888" s="595"/>
      <c r="O888" s="595"/>
      <c r="P888" s="595"/>
      <c r="Q888" s="595"/>
      <c r="R888" s="595"/>
      <c r="S888" s="595"/>
      <c r="T888" s="595"/>
      <c r="U888" s="595"/>
      <c r="V888" s="595"/>
      <c r="W888" s="595"/>
      <c r="X888" s="595"/>
      <c r="Y888" s="595"/>
      <c r="Z888" s="595"/>
    </row>
    <row r="889" spans="1:26" ht="19.5" customHeight="1">
      <c r="A889" s="595"/>
      <c r="B889" s="595"/>
      <c r="C889" s="596"/>
      <c r="D889" s="595"/>
      <c r="E889" s="595"/>
      <c r="F889" s="595"/>
      <c r="G889" s="595"/>
      <c r="H889" s="595"/>
      <c r="I889" s="595"/>
      <c r="J889" s="595"/>
      <c r="K889" s="595"/>
      <c r="L889" s="595"/>
      <c r="M889" s="595"/>
      <c r="N889" s="595"/>
      <c r="O889" s="595"/>
      <c r="P889" s="595"/>
      <c r="Q889" s="595"/>
      <c r="R889" s="595"/>
      <c r="S889" s="595"/>
      <c r="T889" s="595"/>
      <c r="U889" s="595"/>
      <c r="V889" s="595"/>
      <c r="W889" s="595"/>
      <c r="X889" s="595"/>
      <c r="Y889" s="595"/>
      <c r="Z889" s="595"/>
    </row>
    <row r="890" spans="1:26" ht="19.5" customHeight="1">
      <c r="A890" s="595"/>
      <c r="B890" s="595"/>
      <c r="C890" s="596"/>
      <c r="D890" s="595"/>
      <c r="E890" s="595"/>
      <c r="F890" s="595"/>
      <c r="G890" s="595"/>
      <c r="H890" s="595"/>
      <c r="I890" s="595"/>
      <c r="J890" s="595"/>
      <c r="K890" s="595"/>
      <c r="L890" s="595"/>
      <c r="M890" s="595"/>
      <c r="N890" s="595"/>
      <c r="O890" s="595"/>
      <c r="P890" s="595"/>
      <c r="Q890" s="595"/>
      <c r="R890" s="595"/>
      <c r="S890" s="595"/>
      <c r="T890" s="595"/>
      <c r="U890" s="595"/>
      <c r="V890" s="595"/>
      <c r="W890" s="595"/>
      <c r="X890" s="595"/>
      <c r="Y890" s="595"/>
      <c r="Z890" s="595"/>
    </row>
    <row r="891" spans="1:26" ht="19.5" customHeight="1">
      <c r="A891" s="595"/>
      <c r="B891" s="595"/>
      <c r="C891" s="596"/>
      <c r="D891" s="595"/>
      <c r="E891" s="595"/>
      <c r="F891" s="595"/>
      <c r="G891" s="595"/>
      <c r="H891" s="595"/>
      <c r="I891" s="595"/>
      <c r="J891" s="595"/>
      <c r="K891" s="595"/>
      <c r="L891" s="595"/>
      <c r="M891" s="595"/>
      <c r="N891" s="595"/>
      <c r="O891" s="595"/>
      <c r="P891" s="595"/>
      <c r="Q891" s="595"/>
      <c r="R891" s="595"/>
      <c r="S891" s="595"/>
      <c r="T891" s="595"/>
      <c r="U891" s="595"/>
      <c r="V891" s="595"/>
      <c r="W891" s="595"/>
      <c r="X891" s="595"/>
      <c r="Y891" s="595"/>
      <c r="Z891" s="595"/>
    </row>
    <row r="892" spans="1:26" ht="19.5" customHeight="1">
      <c r="A892" s="595"/>
      <c r="B892" s="595"/>
      <c r="C892" s="596"/>
      <c r="D892" s="595"/>
      <c r="E892" s="595"/>
      <c r="F892" s="595"/>
      <c r="G892" s="595"/>
      <c r="H892" s="595"/>
      <c r="I892" s="595"/>
      <c r="J892" s="595"/>
      <c r="K892" s="595"/>
      <c r="L892" s="595"/>
      <c r="M892" s="595"/>
      <c r="N892" s="595"/>
      <c r="O892" s="595"/>
      <c r="P892" s="595"/>
      <c r="Q892" s="595"/>
      <c r="R892" s="595"/>
      <c r="S892" s="595"/>
      <c r="T892" s="595"/>
      <c r="U892" s="595"/>
      <c r="V892" s="595"/>
      <c r="W892" s="595"/>
      <c r="X892" s="595"/>
      <c r="Y892" s="595"/>
      <c r="Z892" s="595"/>
    </row>
    <row r="893" spans="1:26" ht="19.5" customHeight="1">
      <c r="A893" s="595"/>
      <c r="B893" s="595"/>
      <c r="C893" s="596"/>
      <c r="D893" s="595"/>
      <c r="E893" s="595"/>
      <c r="F893" s="595"/>
      <c r="G893" s="595"/>
      <c r="H893" s="595"/>
      <c r="I893" s="595"/>
      <c r="J893" s="595"/>
      <c r="K893" s="595"/>
      <c r="L893" s="595"/>
      <c r="M893" s="595"/>
      <c r="N893" s="595"/>
      <c r="O893" s="595"/>
      <c r="P893" s="595"/>
      <c r="Q893" s="595"/>
      <c r="R893" s="595"/>
      <c r="S893" s="595"/>
      <c r="T893" s="595"/>
      <c r="U893" s="595"/>
      <c r="V893" s="595"/>
      <c r="W893" s="595"/>
      <c r="X893" s="595"/>
      <c r="Y893" s="595"/>
      <c r="Z893" s="595"/>
    </row>
    <row r="894" spans="1:26" ht="19.5" customHeight="1">
      <c r="A894" s="595"/>
      <c r="B894" s="595"/>
      <c r="C894" s="596"/>
      <c r="D894" s="595"/>
      <c r="E894" s="595"/>
      <c r="F894" s="595"/>
      <c r="G894" s="595"/>
      <c r="H894" s="595"/>
      <c r="I894" s="595"/>
      <c r="J894" s="595"/>
      <c r="K894" s="595"/>
      <c r="L894" s="595"/>
      <c r="M894" s="595"/>
      <c r="N894" s="595"/>
      <c r="O894" s="595"/>
      <c r="P894" s="595"/>
      <c r="Q894" s="595"/>
      <c r="R894" s="595"/>
      <c r="S894" s="595"/>
      <c r="T894" s="595"/>
      <c r="U894" s="595"/>
      <c r="V894" s="595"/>
      <c r="W894" s="595"/>
      <c r="X894" s="595"/>
      <c r="Y894" s="595"/>
      <c r="Z894" s="595"/>
    </row>
    <row r="895" spans="1:26" ht="19.5" customHeight="1">
      <c r="A895" s="595"/>
      <c r="B895" s="595"/>
      <c r="C895" s="596"/>
      <c r="D895" s="595"/>
      <c r="E895" s="595"/>
      <c r="F895" s="595"/>
      <c r="G895" s="595"/>
      <c r="H895" s="595"/>
      <c r="I895" s="595"/>
      <c r="J895" s="595"/>
      <c r="K895" s="595"/>
      <c r="L895" s="595"/>
      <c r="M895" s="595"/>
      <c r="N895" s="595"/>
      <c r="O895" s="595"/>
      <c r="P895" s="595"/>
      <c r="Q895" s="595"/>
      <c r="R895" s="595"/>
      <c r="S895" s="595"/>
      <c r="T895" s="595"/>
      <c r="U895" s="595"/>
      <c r="V895" s="595"/>
      <c r="W895" s="595"/>
      <c r="X895" s="595"/>
      <c r="Y895" s="595"/>
      <c r="Z895" s="595"/>
    </row>
    <row r="896" spans="1:26" ht="19.5" customHeight="1">
      <c r="A896" s="595"/>
      <c r="B896" s="595"/>
      <c r="C896" s="596"/>
      <c r="D896" s="595"/>
      <c r="E896" s="595"/>
      <c r="F896" s="595"/>
      <c r="G896" s="595"/>
      <c r="H896" s="595"/>
      <c r="I896" s="595"/>
      <c r="J896" s="595"/>
      <c r="K896" s="595"/>
      <c r="L896" s="595"/>
      <c r="M896" s="595"/>
      <c r="N896" s="595"/>
      <c r="O896" s="595"/>
      <c r="P896" s="595"/>
      <c r="Q896" s="595"/>
      <c r="R896" s="595"/>
      <c r="S896" s="595"/>
      <c r="T896" s="595"/>
      <c r="U896" s="595"/>
      <c r="V896" s="595"/>
      <c r="W896" s="595"/>
      <c r="X896" s="595"/>
      <c r="Y896" s="595"/>
      <c r="Z896" s="595"/>
    </row>
    <row r="897" spans="1:26" ht="19.5" customHeight="1">
      <c r="A897" s="595"/>
      <c r="B897" s="595"/>
      <c r="C897" s="596"/>
      <c r="D897" s="595"/>
      <c r="E897" s="595"/>
      <c r="F897" s="595"/>
      <c r="G897" s="595"/>
      <c r="H897" s="595"/>
      <c r="I897" s="595"/>
      <c r="J897" s="595"/>
      <c r="K897" s="595"/>
      <c r="L897" s="595"/>
      <c r="M897" s="595"/>
      <c r="N897" s="595"/>
      <c r="O897" s="595"/>
      <c r="P897" s="595"/>
      <c r="Q897" s="595"/>
      <c r="R897" s="595"/>
      <c r="S897" s="595"/>
      <c r="T897" s="595"/>
      <c r="U897" s="595"/>
      <c r="V897" s="595"/>
      <c r="W897" s="595"/>
      <c r="X897" s="595"/>
      <c r="Y897" s="595"/>
      <c r="Z897" s="595"/>
    </row>
    <row r="898" spans="1:26" ht="19.5" customHeight="1">
      <c r="A898" s="595"/>
      <c r="B898" s="595"/>
      <c r="C898" s="596"/>
      <c r="D898" s="595"/>
      <c r="E898" s="595"/>
      <c r="F898" s="595"/>
      <c r="G898" s="595"/>
      <c r="H898" s="595"/>
      <c r="I898" s="595"/>
      <c r="J898" s="595"/>
      <c r="K898" s="595"/>
      <c r="L898" s="595"/>
      <c r="M898" s="595"/>
      <c r="N898" s="595"/>
      <c r="O898" s="595"/>
      <c r="P898" s="595"/>
      <c r="Q898" s="595"/>
      <c r="R898" s="595"/>
      <c r="S898" s="595"/>
      <c r="T898" s="595"/>
      <c r="U898" s="595"/>
      <c r="V898" s="595"/>
      <c r="W898" s="595"/>
      <c r="X898" s="595"/>
      <c r="Y898" s="595"/>
      <c r="Z898" s="595"/>
    </row>
    <row r="899" spans="1:26" ht="19.5" customHeight="1">
      <c r="A899" s="595"/>
      <c r="B899" s="595"/>
      <c r="C899" s="596"/>
      <c r="D899" s="595"/>
      <c r="E899" s="595"/>
      <c r="F899" s="595"/>
      <c r="G899" s="595"/>
      <c r="H899" s="595"/>
      <c r="I899" s="595"/>
      <c r="J899" s="595"/>
      <c r="K899" s="595"/>
      <c r="L899" s="595"/>
      <c r="M899" s="595"/>
      <c r="N899" s="595"/>
      <c r="O899" s="595"/>
      <c r="P899" s="595"/>
      <c r="Q899" s="595"/>
      <c r="R899" s="595"/>
      <c r="S899" s="595"/>
      <c r="T899" s="595"/>
      <c r="U899" s="595"/>
      <c r="V899" s="595"/>
      <c r="W899" s="595"/>
      <c r="X899" s="595"/>
      <c r="Y899" s="595"/>
      <c r="Z899" s="595"/>
    </row>
    <row r="900" spans="1:26" ht="19.5" customHeight="1">
      <c r="A900" s="595"/>
      <c r="B900" s="595"/>
      <c r="C900" s="596"/>
      <c r="D900" s="595"/>
      <c r="E900" s="595"/>
      <c r="F900" s="595"/>
      <c r="G900" s="595"/>
      <c r="H900" s="595"/>
      <c r="I900" s="595"/>
      <c r="J900" s="595"/>
      <c r="K900" s="595"/>
      <c r="L900" s="595"/>
      <c r="M900" s="595"/>
      <c r="N900" s="595"/>
      <c r="O900" s="595"/>
      <c r="P900" s="595"/>
      <c r="Q900" s="595"/>
      <c r="R900" s="595"/>
      <c r="S900" s="595"/>
      <c r="T900" s="595"/>
      <c r="U900" s="595"/>
      <c r="V900" s="595"/>
      <c r="W900" s="595"/>
      <c r="X900" s="595"/>
      <c r="Y900" s="595"/>
      <c r="Z900" s="595"/>
    </row>
    <row r="901" spans="1:26" ht="19.5" customHeight="1">
      <c r="A901" s="595"/>
      <c r="B901" s="595"/>
      <c r="C901" s="596"/>
      <c r="D901" s="595"/>
      <c r="E901" s="595"/>
      <c r="F901" s="595"/>
      <c r="G901" s="595"/>
      <c r="H901" s="595"/>
      <c r="I901" s="595"/>
      <c r="J901" s="595"/>
      <c r="K901" s="595"/>
      <c r="L901" s="595"/>
      <c r="M901" s="595"/>
      <c r="N901" s="595"/>
      <c r="O901" s="595"/>
      <c r="P901" s="595"/>
      <c r="Q901" s="595"/>
      <c r="R901" s="595"/>
      <c r="S901" s="595"/>
      <c r="T901" s="595"/>
      <c r="U901" s="595"/>
      <c r="V901" s="595"/>
      <c r="W901" s="595"/>
      <c r="X901" s="595"/>
      <c r="Y901" s="595"/>
      <c r="Z901" s="595"/>
    </row>
    <row r="902" spans="1:26" ht="19.5" customHeight="1">
      <c r="A902" s="595"/>
      <c r="B902" s="595"/>
      <c r="C902" s="596"/>
      <c r="D902" s="595"/>
      <c r="E902" s="595"/>
      <c r="F902" s="595"/>
      <c r="G902" s="595"/>
      <c r="H902" s="595"/>
      <c r="I902" s="595"/>
      <c r="J902" s="595"/>
      <c r="K902" s="595"/>
      <c r="L902" s="595"/>
      <c r="M902" s="595"/>
      <c r="N902" s="595"/>
      <c r="O902" s="595"/>
      <c r="P902" s="595"/>
      <c r="Q902" s="595"/>
      <c r="R902" s="595"/>
      <c r="S902" s="595"/>
      <c r="T902" s="595"/>
      <c r="U902" s="595"/>
      <c r="V902" s="595"/>
      <c r="W902" s="595"/>
      <c r="X902" s="595"/>
      <c r="Y902" s="595"/>
      <c r="Z902" s="595"/>
    </row>
    <row r="903" spans="1:26" ht="19.5" customHeight="1">
      <c r="A903" s="595"/>
      <c r="B903" s="595"/>
      <c r="C903" s="596"/>
      <c r="D903" s="595"/>
      <c r="E903" s="595"/>
      <c r="F903" s="595"/>
      <c r="G903" s="595"/>
      <c r="H903" s="595"/>
      <c r="I903" s="595"/>
      <c r="J903" s="595"/>
      <c r="K903" s="595"/>
      <c r="L903" s="595"/>
      <c r="M903" s="595"/>
      <c r="N903" s="595"/>
      <c r="O903" s="595"/>
      <c r="P903" s="595"/>
      <c r="Q903" s="595"/>
      <c r="R903" s="595"/>
      <c r="S903" s="595"/>
      <c r="T903" s="595"/>
      <c r="U903" s="595"/>
      <c r="V903" s="595"/>
      <c r="W903" s="595"/>
      <c r="X903" s="595"/>
      <c r="Y903" s="595"/>
      <c r="Z903" s="595"/>
    </row>
    <row r="904" spans="1:26" ht="19.5" customHeight="1">
      <c r="A904" s="595"/>
      <c r="B904" s="595"/>
      <c r="C904" s="596"/>
      <c r="D904" s="595"/>
      <c r="E904" s="595"/>
      <c r="F904" s="595"/>
      <c r="G904" s="595"/>
      <c r="H904" s="595"/>
      <c r="I904" s="595"/>
      <c r="J904" s="595"/>
      <c r="K904" s="595"/>
      <c r="L904" s="595"/>
      <c r="M904" s="595"/>
      <c r="N904" s="595"/>
      <c r="O904" s="595"/>
      <c r="P904" s="595"/>
      <c r="Q904" s="595"/>
      <c r="R904" s="595"/>
      <c r="S904" s="595"/>
      <c r="T904" s="595"/>
      <c r="U904" s="595"/>
      <c r="V904" s="595"/>
      <c r="W904" s="595"/>
      <c r="X904" s="595"/>
      <c r="Y904" s="595"/>
      <c r="Z904" s="595"/>
    </row>
    <row r="905" spans="1:26" ht="19.5" customHeight="1">
      <c r="A905" s="595"/>
      <c r="B905" s="595"/>
      <c r="C905" s="596"/>
      <c r="D905" s="595"/>
      <c r="E905" s="595"/>
      <c r="F905" s="595"/>
      <c r="G905" s="595"/>
      <c r="H905" s="595"/>
      <c r="I905" s="595"/>
      <c r="J905" s="595"/>
      <c r="K905" s="595"/>
      <c r="L905" s="595"/>
      <c r="M905" s="595"/>
      <c r="N905" s="595"/>
      <c r="O905" s="595"/>
      <c r="P905" s="595"/>
      <c r="Q905" s="595"/>
      <c r="R905" s="595"/>
      <c r="S905" s="595"/>
      <c r="T905" s="595"/>
      <c r="U905" s="595"/>
      <c r="V905" s="595"/>
      <c r="W905" s="595"/>
      <c r="X905" s="595"/>
      <c r="Y905" s="595"/>
      <c r="Z905" s="595"/>
    </row>
    <row r="906" spans="1:26" ht="19.5" customHeight="1">
      <c r="A906" s="595"/>
      <c r="B906" s="595"/>
      <c r="C906" s="596"/>
      <c r="D906" s="595"/>
      <c r="E906" s="595"/>
      <c r="F906" s="595"/>
      <c r="G906" s="595"/>
      <c r="H906" s="595"/>
      <c r="I906" s="595"/>
      <c r="J906" s="595"/>
      <c r="K906" s="595"/>
      <c r="L906" s="595"/>
      <c r="M906" s="595"/>
      <c r="N906" s="595"/>
      <c r="O906" s="595"/>
      <c r="P906" s="595"/>
      <c r="Q906" s="595"/>
      <c r="R906" s="595"/>
      <c r="S906" s="595"/>
      <c r="T906" s="595"/>
      <c r="U906" s="595"/>
      <c r="V906" s="595"/>
      <c r="W906" s="595"/>
      <c r="X906" s="595"/>
      <c r="Y906" s="595"/>
      <c r="Z906" s="595"/>
    </row>
    <row r="907" spans="1:26" ht="19.5" customHeight="1">
      <c r="A907" s="595"/>
      <c r="B907" s="595"/>
      <c r="C907" s="596"/>
      <c r="D907" s="595"/>
      <c r="E907" s="595"/>
      <c r="F907" s="595"/>
      <c r="G907" s="595"/>
      <c r="H907" s="595"/>
      <c r="I907" s="595"/>
      <c r="J907" s="595"/>
      <c r="K907" s="595"/>
      <c r="L907" s="595"/>
      <c r="M907" s="595"/>
      <c r="N907" s="595"/>
      <c r="O907" s="595"/>
      <c r="P907" s="595"/>
      <c r="Q907" s="595"/>
      <c r="R907" s="595"/>
      <c r="S907" s="595"/>
      <c r="T907" s="595"/>
      <c r="U907" s="595"/>
      <c r="V907" s="595"/>
      <c r="W907" s="595"/>
      <c r="X907" s="595"/>
      <c r="Y907" s="595"/>
      <c r="Z907" s="595"/>
    </row>
    <row r="908" spans="1:26" ht="19.5" customHeight="1">
      <c r="A908" s="595"/>
      <c r="B908" s="595"/>
      <c r="C908" s="596"/>
      <c r="D908" s="595"/>
      <c r="E908" s="595"/>
      <c r="F908" s="595"/>
      <c r="G908" s="595"/>
      <c r="H908" s="595"/>
      <c r="I908" s="595"/>
      <c r="J908" s="595"/>
      <c r="K908" s="595"/>
      <c r="L908" s="595"/>
      <c r="M908" s="595"/>
      <c r="N908" s="595"/>
      <c r="O908" s="595"/>
      <c r="P908" s="595"/>
      <c r="Q908" s="595"/>
      <c r="R908" s="595"/>
      <c r="S908" s="595"/>
      <c r="T908" s="595"/>
      <c r="U908" s="595"/>
      <c r="V908" s="595"/>
      <c r="W908" s="595"/>
      <c r="X908" s="595"/>
      <c r="Y908" s="595"/>
      <c r="Z908" s="595"/>
    </row>
    <row r="909" spans="1:26" ht="19.5" customHeight="1">
      <c r="A909" s="595"/>
      <c r="B909" s="595"/>
      <c r="C909" s="596"/>
      <c r="D909" s="595"/>
      <c r="E909" s="595"/>
      <c r="F909" s="595"/>
      <c r="G909" s="595"/>
      <c r="H909" s="595"/>
      <c r="I909" s="595"/>
      <c r="J909" s="595"/>
      <c r="K909" s="595"/>
      <c r="L909" s="595"/>
      <c r="M909" s="595"/>
      <c r="N909" s="595"/>
      <c r="O909" s="595"/>
      <c r="P909" s="595"/>
      <c r="Q909" s="595"/>
      <c r="R909" s="595"/>
      <c r="S909" s="595"/>
      <c r="T909" s="595"/>
      <c r="U909" s="595"/>
      <c r="V909" s="595"/>
      <c r="W909" s="595"/>
      <c r="X909" s="595"/>
      <c r="Y909" s="595"/>
      <c r="Z909" s="595"/>
    </row>
    <row r="910" spans="1:26" ht="19.5" customHeight="1">
      <c r="A910" s="595"/>
      <c r="B910" s="595"/>
      <c r="C910" s="596"/>
      <c r="D910" s="595"/>
      <c r="E910" s="595"/>
      <c r="F910" s="595"/>
      <c r="G910" s="595"/>
      <c r="H910" s="595"/>
      <c r="I910" s="595"/>
      <c r="J910" s="595"/>
      <c r="K910" s="595"/>
      <c r="L910" s="595"/>
      <c r="M910" s="595"/>
      <c r="N910" s="595"/>
      <c r="O910" s="595"/>
      <c r="P910" s="595"/>
      <c r="Q910" s="595"/>
      <c r="R910" s="595"/>
      <c r="S910" s="595"/>
      <c r="T910" s="595"/>
      <c r="U910" s="595"/>
      <c r="V910" s="595"/>
      <c r="W910" s="595"/>
      <c r="X910" s="595"/>
      <c r="Y910" s="595"/>
      <c r="Z910" s="595"/>
    </row>
    <row r="911" spans="1:26" ht="19.5" customHeight="1">
      <c r="A911" s="595"/>
      <c r="B911" s="595"/>
      <c r="C911" s="596"/>
      <c r="D911" s="595"/>
      <c r="E911" s="595"/>
      <c r="F911" s="595"/>
      <c r="G911" s="595"/>
      <c r="H911" s="595"/>
      <c r="I911" s="595"/>
      <c r="J911" s="595"/>
      <c r="K911" s="595"/>
      <c r="L911" s="595"/>
      <c r="M911" s="595"/>
      <c r="N911" s="595"/>
      <c r="O911" s="595"/>
      <c r="P911" s="595"/>
      <c r="Q911" s="595"/>
      <c r="R911" s="595"/>
      <c r="S911" s="595"/>
      <c r="T911" s="595"/>
      <c r="U911" s="595"/>
      <c r="V911" s="595"/>
      <c r="W911" s="595"/>
      <c r="X911" s="595"/>
      <c r="Y911" s="595"/>
      <c r="Z911" s="595"/>
    </row>
    <row r="912" spans="1:26" ht="19.5" customHeight="1">
      <c r="A912" s="595"/>
      <c r="B912" s="595"/>
      <c r="C912" s="596"/>
      <c r="D912" s="595"/>
      <c r="E912" s="595"/>
      <c r="F912" s="595"/>
      <c r="G912" s="595"/>
      <c r="H912" s="595"/>
      <c r="I912" s="595"/>
      <c r="J912" s="595"/>
      <c r="K912" s="595"/>
      <c r="L912" s="595"/>
      <c r="M912" s="595"/>
      <c r="N912" s="595"/>
      <c r="O912" s="595"/>
      <c r="P912" s="595"/>
      <c r="Q912" s="595"/>
      <c r="R912" s="595"/>
      <c r="S912" s="595"/>
      <c r="T912" s="595"/>
      <c r="U912" s="595"/>
      <c r="V912" s="595"/>
      <c r="W912" s="595"/>
      <c r="X912" s="595"/>
      <c r="Y912" s="595"/>
      <c r="Z912" s="595"/>
    </row>
    <row r="913" spans="1:26" ht="19.5" customHeight="1">
      <c r="A913" s="595"/>
      <c r="B913" s="595"/>
      <c r="C913" s="596"/>
      <c r="D913" s="595"/>
      <c r="E913" s="595"/>
      <c r="F913" s="595"/>
      <c r="G913" s="595"/>
      <c r="H913" s="595"/>
      <c r="I913" s="595"/>
      <c r="J913" s="595"/>
      <c r="K913" s="595"/>
      <c r="L913" s="595"/>
      <c r="M913" s="595"/>
      <c r="N913" s="595"/>
      <c r="O913" s="595"/>
      <c r="P913" s="595"/>
      <c r="Q913" s="595"/>
      <c r="R913" s="595"/>
      <c r="S913" s="595"/>
      <c r="T913" s="595"/>
      <c r="U913" s="595"/>
      <c r="V913" s="595"/>
      <c r="W913" s="595"/>
      <c r="X913" s="595"/>
      <c r="Y913" s="595"/>
      <c r="Z913" s="595"/>
    </row>
    <row r="914" spans="1:26" ht="19.5" customHeight="1">
      <c r="A914" s="595"/>
      <c r="B914" s="595"/>
      <c r="C914" s="596"/>
      <c r="D914" s="595"/>
      <c r="E914" s="595"/>
      <c r="F914" s="595"/>
      <c r="G914" s="595"/>
      <c r="H914" s="595"/>
      <c r="I914" s="595"/>
      <c r="J914" s="595"/>
      <c r="K914" s="595"/>
      <c r="L914" s="595"/>
      <c r="M914" s="595"/>
      <c r="N914" s="595"/>
      <c r="O914" s="595"/>
      <c r="P914" s="595"/>
      <c r="Q914" s="595"/>
      <c r="R914" s="595"/>
      <c r="S914" s="595"/>
      <c r="T914" s="595"/>
      <c r="U914" s="595"/>
      <c r="V914" s="595"/>
      <c r="W914" s="595"/>
      <c r="X914" s="595"/>
      <c r="Y914" s="595"/>
      <c r="Z914" s="595"/>
    </row>
    <row r="915" spans="1:26" ht="19.5" customHeight="1">
      <c r="A915" s="595"/>
      <c r="B915" s="595"/>
      <c r="C915" s="596"/>
      <c r="D915" s="595"/>
      <c r="E915" s="595"/>
      <c r="F915" s="595"/>
      <c r="G915" s="595"/>
      <c r="H915" s="595"/>
      <c r="I915" s="595"/>
      <c r="J915" s="595"/>
      <c r="K915" s="595"/>
      <c r="L915" s="595"/>
      <c r="M915" s="595"/>
      <c r="N915" s="595"/>
      <c r="O915" s="595"/>
      <c r="P915" s="595"/>
      <c r="Q915" s="595"/>
      <c r="R915" s="595"/>
      <c r="S915" s="595"/>
      <c r="T915" s="595"/>
      <c r="U915" s="595"/>
      <c r="V915" s="595"/>
      <c r="W915" s="595"/>
      <c r="X915" s="595"/>
      <c r="Y915" s="595"/>
      <c r="Z915" s="595"/>
    </row>
    <row r="916" spans="1:26" ht="19.5" customHeight="1">
      <c r="A916" s="595"/>
      <c r="B916" s="595"/>
      <c r="C916" s="596"/>
      <c r="D916" s="595"/>
      <c r="E916" s="595"/>
      <c r="F916" s="595"/>
      <c r="G916" s="595"/>
      <c r="H916" s="595"/>
      <c r="I916" s="595"/>
      <c r="J916" s="595"/>
      <c r="K916" s="595"/>
      <c r="L916" s="595"/>
      <c r="M916" s="595"/>
      <c r="N916" s="595"/>
      <c r="O916" s="595"/>
      <c r="P916" s="595"/>
      <c r="Q916" s="595"/>
      <c r="R916" s="595"/>
      <c r="S916" s="595"/>
      <c r="T916" s="595"/>
      <c r="U916" s="595"/>
      <c r="V916" s="595"/>
      <c r="W916" s="595"/>
      <c r="X916" s="595"/>
      <c r="Y916" s="595"/>
      <c r="Z916" s="595"/>
    </row>
    <row r="917" spans="1:26" ht="19.5" customHeight="1">
      <c r="A917" s="595"/>
      <c r="B917" s="595"/>
      <c r="C917" s="596"/>
      <c r="D917" s="595"/>
      <c r="E917" s="595"/>
      <c r="F917" s="595"/>
      <c r="G917" s="595"/>
      <c r="H917" s="595"/>
      <c r="I917" s="595"/>
      <c r="J917" s="595"/>
      <c r="K917" s="595"/>
      <c r="L917" s="595"/>
      <c r="M917" s="595"/>
      <c r="N917" s="595"/>
      <c r="O917" s="595"/>
      <c r="P917" s="595"/>
      <c r="Q917" s="595"/>
      <c r="R917" s="595"/>
      <c r="S917" s="595"/>
      <c r="T917" s="595"/>
      <c r="U917" s="595"/>
      <c r="V917" s="595"/>
      <c r="W917" s="595"/>
      <c r="X917" s="595"/>
      <c r="Y917" s="595"/>
      <c r="Z917" s="595"/>
    </row>
    <row r="918" spans="1:26" ht="19.5" customHeight="1">
      <c r="A918" s="595"/>
      <c r="B918" s="595"/>
      <c r="C918" s="596"/>
      <c r="D918" s="595"/>
      <c r="E918" s="595"/>
      <c r="F918" s="595"/>
      <c r="G918" s="595"/>
      <c r="H918" s="595"/>
      <c r="I918" s="595"/>
      <c r="J918" s="595"/>
      <c r="K918" s="595"/>
      <c r="L918" s="595"/>
      <c r="M918" s="595"/>
      <c r="N918" s="595"/>
      <c r="O918" s="595"/>
      <c r="P918" s="595"/>
      <c r="Q918" s="595"/>
      <c r="R918" s="595"/>
      <c r="S918" s="595"/>
      <c r="T918" s="595"/>
      <c r="U918" s="595"/>
      <c r="V918" s="595"/>
      <c r="W918" s="595"/>
      <c r="X918" s="595"/>
      <c r="Y918" s="595"/>
      <c r="Z918" s="595"/>
    </row>
    <row r="919" spans="1:26" ht="19.5" customHeight="1">
      <c r="A919" s="595"/>
      <c r="B919" s="595"/>
      <c r="C919" s="596"/>
      <c r="D919" s="595"/>
      <c r="E919" s="595"/>
      <c r="F919" s="595"/>
      <c r="G919" s="595"/>
      <c r="H919" s="595"/>
      <c r="I919" s="595"/>
      <c r="J919" s="595"/>
      <c r="K919" s="595"/>
      <c r="L919" s="595"/>
      <c r="M919" s="595"/>
      <c r="N919" s="595"/>
      <c r="O919" s="595"/>
      <c r="P919" s="595"/>
      <c r="Q919" s="595"/>
      <c r="R919" s="595"/>
      <c r="S919" s="595"/>
      <c r="T919" s="595"/>
      <c r="U919" s="595"/>
      <c r="V919" s="595"/>
      <c r="W919" s="595"/>
      <c r="X919" s="595"/>
      <c r="Y919" s="595"/>
      <c r="Z919" s="595"/>
    </row>
    <row r="920" spans="1:26" ht="19.5" customHeight="1">
      <c r="A920" s="595"/>
      <c r="B920" s="595"/>
      <c r="C920" s="596"/>
      <c r="D920" s="595"/>
      <c r="E920" s="595"/>
      <c r="F920" s="595"/>
      <c r="G920" s="595"/>
      <c r="H920" s="595"/>
      <c r="I920" s="595"/>
      <c r="J920" s="595"/>
      <c r="K920" s="595"/>
      <c r="L920" s="595"/>
      <c r="M920" s="595"/>
      <c r="N920" s="595"/>
      <c r="O920" s="595"/>
      <c r="P920" s="595"/>
      <c r="Q920" s="595"/>
      <c r="R920" s="595"/>
      <c r="S920" s="595"/>
      <c r="T920" s="595"/>
      <c r="U920" s="595"/>
      <c r="V920" s="595"/>
      <c r="W920" s="595"/>
      <c r="X920" s="595"/>
      <c r="Y920" s="595"/>
      <c r="Z920" s="595"/>
    </row>
    <row r="921" spans="1:26" ht="19.5" customHeight="1">
      <c r="A921" s="595"/>
      <c r="B921" s="595"/>
      <c r="C921" s="596"/>
      <c r="D921" s="595"/>
      <c r="E921" s="595"/>
      <c r="F921" s="595"/>
      <c r="G921" s="595"/>
      <c r="H921" s="595"/>
      <c r="I921" s="595"/>
      <c r="J921" s="595"/>
      <c r="K921" s="595"/>
      <c r="L921" s="595"/>
      <c r="M921" s="595"/>
      <c r="N921" s="595"/>
      <c r="O921" s="595"/>
      <c r="P921" s="595"/>
      <c r="Q921" s="595"/>
      <c r="R921" s="595"/>
      <c r="S921" s="595"/>
      <c r="T921" s="595"/>
      <c r="U921" s="595"/>
      <c r="V921" s="595"/>
      <c r="W921" s="595"/>
      <c r="X921" s="595"/>
      <c r="Y921" s="595"/>
      <c r="Z921" s="595"/>
    </row>
    <row r="922" spans="1:26" ht="19.5" customHeight="1">
      <c r="A922" s="595"/>
      <c r="B922" s="595"/>
      <c r="C922" s="596"/>
      <c r="D922" s="595"/>
      <c r="E922" s="595"/>
      <c r="F922" s="595"/>
      <c r="G922" s="595"/>
      <c r="H922" s="595"/>
      <c r="I922" s="595"/>
      <c r="J922" s="595"/>
      <c r="K922" s="595"/>
      <c r="L922" s="595"/>
      <c r="M922" s="595"/>
      <c r="N922" s="595"/>
      <c r="O922" s="595"/>
      <c r="P922" s="595"/>
      <c r="Q922" s="595"/>
      <c r="R922" s="595"/>
      <c r="S922" s="595"/>
      <c r="T922" s="595"/>
      <c r="U922" s="595"/>
      <c r="V922" s="595"/>
      <c r="W922" s="595"/>
      <c r="X922" s="595"/>
      <c r="Y922" s="595"/>
      <c r="Z922" s="595"/>
    </row>
    <row r="923" spans="1:26" ht="19.5" customHeight="1">
      <c r="A923" s="595"/>
      <c r="B923" s="595"/>
      <c r="C923" s="596"/>
      <c r="D923" s="595"/>
      <c r="E923" s="595"/>
      <c r="F923" s="595"/>
      <c r="G923" s="595"/>
      <c r="H923" s="595"/>
      <c r="I923" s="595"/>
      <c r="J923" s="595"/>
      <c r="K923" s="595"/>
      <c r="L923" s="595"/>
      <c r="M923" s="595"/>
      <c r="N923" s="595"/>
      <c r="O923" s="595"/>
      <c r="P923" s="595"/>
      <c r="Q923" s="595"/>
      <c r="R923" s="595"/>
      <c r="S923" s="595"/>
      <c r="T923" s="595"/>
      <c r="U923" s="595"/>
      <c r="V923" s="595"/>
      <c r="W923" s="595"/>
      <c r="X923" s="595"/>
      <c r="Y923" s="595"/>
      <c r="Z923" s="595"/>
    </row>
    <row r="924" spans="1:26" ht="19.5" customHeight="1">
      <c r="A924" s="595"/>
      <c r="B924" s="595"/>
      <c r="C924" s="596"/>
      <c r="D924" s="595"/>
      <c r="E924" s="595"/>
      <c r="F924" s="595"/>
      <c r="G924" s="595"/>
      <c r="H924" s="595"/>
      <c r="I924" s="595"/>
      <c r="J924" s="595"/>
      <c r="K924" s="595"/>
      <c r="L924" s="595"/>
      <c r="M924" s="595"/>
      <c r="N924" s="595"/>
      <c r="O924" s="595"/>
      <c r="P924" s="595"/>
      <c r="Q924" s="595"/>
      <c r="R924" s="595"/>
      <c r="S924" s="595"/>
      <c r="T924" s="595"/>
      <c r="U924" s="595"/>
      <c r="V924" s="595"/>
      <c r="W924" s="595"/>
      <c r="X924" s="595"/>
      <c r="Y924" s="595"/>
      <c r="Z924" s="595"/>
    </row>
    <row r="925" spans="1:26" ht="19.5" customHeight="1">
      <c r="A925" s="595"/>
      <c r="B925" s="595"/>
      <c r="C925" s="596"/>
      <c r="D925" s="595"/>
      <c r="E925" s="595"/>
      <c r="F925" s="595"/>
      <c r="G925" s="595"/>
      <c r="H925" s="595"/>
      <c r="I925" s="595"/>
      <c r="J925" s="595"/>
      <c r="K925" s="595"/>
      <c r="L925" s="595"/>
      <c r="M925" s="595"/>
      <c r="N925" s="595"/>
      <c r="O925" s="595"/>
      <c r="P925" s="595"/>
      <c r="Q925" s="595"/>
      <c r="R925" s="595"/>
      <c r="S925" s="595"/>
      <c r="T925" s="595"/>
      <c r="U925" s="595"/>
      <c r="V925" s="595"/>
      <c r="W925" s="595"/>
      <c r="X925" s="595"/>
      <c r="Y925" s="595"/>
      <c r="Z925" s="595"/>
    </row>
    <row r="926" spans="1:26" ht="19.5" customHeight="1">
      <c r="A926" s="595"/>
      <c r="B926" s="595"/>
      <c r="C926" s="596"/>
      <c r="D926" s="595"/>
      <c r="E926" s="595"/>
      <c r="F926" s="595"/>
      <c r="G926" s="595"/>
      <c r="H926" s="595"/>
      <c r="I926" s="595"/>
      <c r="J926" s="595"/>
      <c r="K926" s="595"/>
      <c r="L926" s="595"/>
      <c r="M926" s="595"/>
      <c r="N926" s="595"/>
      <c r="O926" s="595"/>
      <c r="P926" s="595"/>
      <c r="Q926" s="595"/>
      <c r="R926" s="595"/>
      <c r="S926" s="595"/>
      <c r="T926" s="595"/>
      <c r="U926" s="595"/>
      <c r="V926" s="595"/>
      <c r="W926" s="595"/>
      <c r="X926" s="595"/>
      <c r="Y926" s="595"/>
      <c r="Z926" s="595"/>
    </row>
    <row r="927" spans="1:26" ht="19.5" customHeight="1">
      <c r="A927" s="595"/>
      <c r="B927" s="595"/>
      <c r="C927" s="596"/>
      <c r="D927" s="595"/>
      <c r="E927" s="595"/>
      <c r="F927" s="595"/>
      <c r="G927" s="595"/>
      <c r="H927" s="595"/>
      <c r="I927" s="595"/>
      <c r="J927" s="595"/>
      <c r="K927" s="595"/>
      <c r="L927" s="595"/>
      <c r="M927" s="595"/>
      <c r="N927" s="595"/>
      <c r="O927" s="595"/>
      <c r="P927" s="595"/>
      <c r="Q927" s="595"/>
      <c r="R927" s="595"/>
      <c r="S927" s="595"/>
      <c r="T927" s="595"/>
      <c r="U927" s="595"/>
      <c r="V927" s="595"/>
      <c r="W927" s="595"/>
      <c r="X927" s="595"/>
      <c r="Y927" s="595"/>
      <c r="Z927" s="595"/>
    </row>
    <row r="928" spans="1:26" ht="19.5" customHeight="1">
      <c r="A928" s="595"/>
      <c r="B928" s="595"/>
      <c r="C928" s="596"/>
      <c r="D928" s="595"/>
      <c r="E928" s="595"/>
      <c r="F928" s="595"/>
      <c r="G928" s="595"/>
      <c r="H928" s="595"/>
      <c r="I928" s="595"/>
      <c r="J928" s="595"/>
      <c r="K928" s="595"/>
      <c r="L928" s="595"/>
      <c r="M928" s="595"/>
      <c r="N928" s="595"/>
      <c r="O928" s="595"/>
      <c r="P928" s="595"/>
      <c r="Q928" s="595"/>
      <c r="R928" s="595"/>
      <c r="S928" s="595"/>
      <c r="T928" s="595"/>
      <c r="U928" s="595"/>
      <c r="V928" s="595"/>
      <c r="W928" s="595"/>
      <c r="X928" s="595"/>
      <c r="Y928" s="595"/>
      <c r="Z928" s="595"/>
    </row>
    <row r="929" spans="1:26" ht="19.5" customHeight="1">
      <c r="A929" s="595"/>
      <c r="B929" s="595"/>
      <c r="C929" s="596"/>
      <c r="D929" s="595"/>
      <c r="E929" s="595"/>
      <c r="F929" s="595"/>
      <c r="G929" s="595"/>
      <c r="H929" s="595"/>
      <c r="I929" s="595"/>
      <c r="J929" s="595"/>
      <c r="K929" s="595"/>
      <c r="L929" s="595"/>
      <c r="M929" s="595"/>
      <c r="N929" s="595"/>
      <c r="O929" s="595"/>
      <c r="P929" s="595"/>
      <c r="Q929" s="595"/>
      <c r="R929" s="595"/>
      <c r="S929" s="595"/>
      <c r="T929" s="595"/>
      <c r="U929" s="595"/>
      <c r="V929" s="595"/>
      <c r="W929" s="595"/>
      <c r="X929" s="595"/>
      <c r="Y929" s="595"/>
      <c r="Z929" s="595"/>
    </row>
    <row r="930" spans="1:26" ht="19.5" customHeight="1">
      <c r="A930" s="595"/>
      <c r="B930" s="595"/>
      <c r="C930" s="596"/>
      <c r="D930" s="595"/>
      <c r="E930" s="595"/>
      <c r="F930" s="595"/>
      <c r="G930" s="595"/>
      <c r="H930" s="595"/>
      <c r="I930" s="595"/>
      <c r="J930" s="595"/>
      <c r="K930" s="595"/>
      <c r="L930" s="595"/>
      <c r="M930" s="595"/>
      <c r="N930" s="595"/>
      <c r="O930" s="595"/>
      <c r="P930" s="595"/>
      <c r="Q930" s="595"/>
      <c r="R930" s="595"/>
      <c r="S930" s="595"/>
      <c r="T930" s="595"/>
      <c r="U930" s="595"/>
      <c r="V930" s="595"/>
      <c r="W930" s="595"/>
      <c r="X930" s="595"/>
      <c r="Y930" s="595"/>
      <c r="Z930" s="595"/>
    </row>
    <row r="931" spans="1:26" ht="19.5" customHeight="1">
      <c r="A931" s="595"/>
      <c r="B931" s="595"/>
      <c r="C931" s="596"/>
      <c r="D931" s="595"/>
      <c r="E931" s="595"/>
      <c r="F931" s="595"/>
      <c r="G931" s="595"/>
      <c r="H931" s="595"/>
      <c r="I931" s="595"/>
      <c r="J931" s="595"/>
      <c r="K931" s="595"/>
      <c r="L931" s="595"/>
      <c r="M931" s="595"/>
      <c r="N931" s="595"/>
      <c r="O931" s="595"/>
      <c r="P931" s="595"/>
      <c r="Q931" s="595"/>
      <c r="R931" s="595"/>
      <c r="S931" s="595"/>
      <c r="T931" s="595"/>
      <c r="U931" s="595"/>
      <c r="V931" s="595"/>
      <c r="W931" s="595"/>
      <c r="X931" s="595"/>
      <c r="Y931" s="595"/>
      <c r="Z931" s="595"/>
    </row>
    <row r="932" spans="1:26" ht="19.5" customHeight="1">
      <c r="A932" s="595"/>
      <c r="B932" s="595"/>
      <c r="C932" s="596"/>
      <c r="D932" s="595"/>
      <c r="E932" s="595"/>
      <c r="F932" s="595"/>
      <c r="G932" s="595"/>
      <c r="H932" s="595"/>
      <c r="I932" s="595"/>
      <c r="J932" s="595"/>
      <c r="K932" s="595"/>
      <c r="L932" s="595"/>
      <c r="M932" s="595"/>
      <c r="N932" s="595"/>
      <c r="O932" s="595"/>
      <c r="P932" s="595"/>
      <c r="Q932" s="595"/>
      <c r="R932" s="595"/>
      <c r="S932" s="595"/>
      <c r="T932" s="595"/>
      <c r="U932" s="595"/>
      <c r="V932" s="595"/>
      <c r="W932" s="595"/>
      <c r="X932" s="595"/>
      <c r="Y932" s="595"/>
      <c r="Z932" s="595"/>
    </row>
    <row r="933" spans="1:26" ht="19.5" customHeight="1">
      <c r="A933" s="595"/>
      <c r="B933" s="595"/>
      <c r="C933" s="596"/>
      <c r="D933" s="595"/>
      <c r="E933" s="595"/>
      <c r="F933" s="595"/>
      <c r="G933" s="595"/>
      <c r="H933" s="595"/>
      <c r="I933" s="595"/>
      <c r="J933" s="595"/>
      <c r="K933" s="595"/>
      <c r="L933" s="595"/>
      <c r="M933" s="595"/>
      <c r="N933" s="595"/>
      <c r="O933" s="595"/>
      <c r="P933" s="595"/>
      <c r="Q933" s="595"/>
      <c r="R933" s="595"/>
      <c r="S933" s="595"/>
      <c r="T933" s="595"/>
      <c r="U933" s="595"/>
      <c r="V933" s="595"/>
      <c r="W933" s="595"/>
      <c r="X933" s="595"/>
      <c r="Y933" s="595"/>
      <c r="Z933" s="595"/>
    </row>
    <row r="934" spans="1:26" ht="19.5" customHeight="1">
      <c r="A934" s="595"/>
      <c r="B934" s="595"/>
      <c r="C934" s="596"/>
      <c r="D934" s="595"/>
      <c r="E934" s="595"/>
      <c r="F934" s="595"/>
      <c r="G934" s="595"/>
      <c r="H934" s="595"/>
      <c r="I934" s="595"/>
      <c r="J934" s="595"/>
      <c r="K934" s="595"/>
      <c r="L934" s="595"/>
      <c r="M934" s="595"/>
      <c r="N934" s="595"/>
      <c r="O934" s="595"/>
      <c r="P934" s="595"/>
      <c r="Q934" s="595"/>
      <c r="R934" s="595"/>
      <c r="S934" s="595"/>
      <c r="T934" s="595"/>
      <c r="U934" s="595"/>
      <c r="V934" s="595"/>
      <c r="W934" s="595"/>
      <c r="X934" s="595"/>
      <c r="Y934" s="595"/>
      <c r="Z934" s="595"/>
    </row>
    <row r="935" spans="1:26" ht="19.5" customHeight="1">
      <c r="A935" s="595"/>
      <c r="B935" s="595"/>
      <c r="C935" s="596"/>
      <c r="D935" s="595"/>
      <c r="E935" s="595"/>
      <c r="F935" s="595"/>
      <c r="G935" s="595"/>
      <c r="H935" s="595"/>
      <c r="I935" s="595"/>
      <c r="J935" s="595"/>
      <c r="K935" s="595"/>
      <c r="L935" s="595"/>
      <c r="M935" s="595"/>
      <c r="N935" s="595"/>
      <c r="O935" s="595"/>
      <c r="P935" s="595"/>
      <c r="Q935" s="595"/>
      <c r="R935" s="595"/>
      <c r="S935" s="595"/>
      <c r="T935" s="595"/>
      <c r="U935" s="595"/>
      <c r="V935" s="595"/>
      <c r="W935" s="595"/>
      <c r="X935" s="595"/>
      <c r="Y935" s="595"/>
      <c r="Z935" s="595"/>
    </row>
    <row r="936" spans="1:26" ht="19.5" customHeight="1">
      <c r="A936" s="595"/>
      <c r="B936" s="595"/>
      <c r="C936" s="596"/>
      <c r="D936" s="595"/>
      <c r="E936" s="595"/>
      <c r="F936" s="595"/>
      <c r="G936" s="595"/>
      <c r="H936" s="595"/>
      <c r="I936" s="595"/>
      <c r="J936" s="595"/>
      <c r="K936" s="595"/>
      <c r="L936" s="595"/>
      <c r="M936" s="595"/>
      <c r="N936" s="595"/>
      <c r="O936" s="595"/>
      <c r="P936" s="595"/>
      <c r="Q936" s="595"/>
      <c r="R936" s="595"/>
      <c r="S936" s="595"/>
      <c r="T936" s="595"/>
      <c r="U936" s="595"/>
      <c r="V936" s="595"/>
      <c r="W936" s="595"/>
      <c r="X936" s="595"/>
      <c r="Y936" s="595"/>
      <c r="Z936" s="595"/>
    </row>
    <row r="937" spans="1:26" ht="19.5" customHeight="1">
      <c r="A937" s="595"/>
      <c r="B937" s="595"/>
      <c r="C937" s="596"/>
      <c r="D937" s="595"/>
      <c r="E937" s="595"/>
      <c r="F937" s="595"/>
      <c r="G937" s="595"/>
      <c r="H937" s="595"/>
      <c r="I937" s="595"/>
      <c r="J937" s="595"/>
      <c r="K937" s="595"/>
      <c r="L937" s="595"/>
      <c r="M937" s="595"/>
      <c r="N937" s="595"/>
      <c r="O937" s="595"/>
      <c r="P937" s="595"/>
      <c r="Q937" s="595"/>
      <c r="R937" s="595"/>
      <c r="S937" s="595"/>
      <c r="T937" s="595"/>
      <c r="U937" s="595"/>
      <c r="V937" s="595"/>
      <c r="W937" s="595"/>
      <c r="X937" s="595"/>
      <c r="Y937" s="595"/>
      <c r="Z937" s="595"/>
    </row>
    <row r="938" spans="1:26" ht="19.5" customHeight="1">
      <c r="A938" s="595"/>
      <c r="B938" s="595"/>
      <c r="C938" s="596"/>
      <c r="D938" s="595"/>
      <c r="E938" s="595"/>
      <c r="F938" s="595"/>
      <c r="G938" s="595"/>
      <c r="H938" s="595"/>
      <c r="I938" s="595"/>
      <c r="J938" s="595"/>
      <c r="K938" s="595"/>
      <c r="L938" s="595"/>
      <c r="M938" s="595"/>
      <c r="N938" s="595"/>
      <c r="O938" s="595"/>
      <c r="P938" s="595"/>
      <c r="Q938" s="595"/>
      <c r="R938" s="595"/>
      <c r="S938" s="595"/>
      <c r="T938" s="595"/>
      <c r="U938" s="595"/>
      <c r="V938" s="595"/>
      <c r="W938" s="595"/>
      <c r="X938" s="595"/>
      <c r="Y938" s="595"/>
      <c r="Z938" s="595"/>
    </row>
    <row r="939" spans="1:26" ht="19.5" customHeight="1">
      <c r="A939" s="595"/>
      <c r="B939" s="595"/>
      <c r="C939" s="596"/>
      <c r="D939" s="595"/>
      <c r="E939" s="595"/>
      <c r="F939" s="595"/>
      <c r="G939" s="595"/>
      <c r="H939" s="595"/>
      <c r="I939" s="595"/>
      <c r="J939" s="595"/>
      <c r="K939" s="595"/>
      <c r="L939" s="595"/>
      <c r="M939" s="595"/>
      <c r="N939" s="595"/>
      <c r="O939" s="595"/>
      <c r="P939" s="595"/>
      <c r="Q939" s="595"/>
      <c r="R939" s="595"/>
      <c r="S939" s="595"/>
      <c r="T939" s="595"/>
      <c r="U939" s="595"/>
      <c r="V939" s="595"/>
      <c r="W939" s="595"/>
      <c r="X939" s="595"/>
      <c r="Y939" s="595"/>
      <c r="Z939" s="595"/>
    </row>
    <row r="940" spans="1:26" ht="19.5" customHeight="1">
      <c r="A940" s="595"/>
      <c r="B940" s="595"/>
      <c r="C940" s="596"/>
      <c r="D940" s="595"/>
      <c r="E940" s="595"/>
      <c r="F940" s="595"/>
      <c r="G940" s="595"/>
      <c r="H940" s="595"/>
      <c r="I940" s="595"/>
      <c r="J940" s="595"/>
      <c r="K940" s="595"/>
      <c r="L940" s="595"/>
      <c r="M940" s="595"/>
      <c r="N940" s="595"/>
      <c r="O940" s="595"/>
      <c r="P940" s="595"/>
      <c r="Q940" s="595"/>
      <c r="R940" s="595"/>
      <c r="S940" s="595"/>
      <c r="T940" s="595"/>
      <c r="U940" s="595"/>
      <c r="V940" s="595"/>
      <c r="W940" s="595"/>
      <c r="X940" s="595"/>
      <c r="Y940" s="595"/>
      <c r="Z940" s="595"/>
    </row>
    <row r="941" spans="1:26" ht="19.5" customHeight="1">
      <c r="A941" s="595"/>
      <c r="B941" s="595"/>
      <c r="C941" s="596"/>
      <c r="D941" s="595"/>
      <c r="E941" s="595"/>
      <c r="F941" s="595"/>
      <c r="G941" s="595"/>
      <c r="H941" s="595"/>
      <c r="I941" s="595"/>
      <c r="J941" s="595"/>
      <c r="K941" s="595"/>
      <c r="L941" s="595"/>
      <c r="M941" s="595"/>
      <c r="N941" s="595"/>
      <c r="O941" s="595"/>
      <c r="P941" s="595"/>
      <c r="Q941" s="595"/>
      <c r="R941" s="595"/>
      <c r="S941" s="595"/>
      <c r="T941" s="595"/>
      <c r="U941" s="595"/>
      <c r="V941" s="595"/>
      <c r="W941" s="595"/>
      <c r="X941" s="595"/>
      <c r="Y941" s="595"/>
      <c r="Z941" s="595"/>
    </row>
    <row r="942" spans="1:26" ht="19.5" customHeight="1">
      <c r="A942" s="595"/>
      <c r="B942" s="595"/>
      <c r="C942" s="596"/>
      <c r="D942" s="595"/>
      <c r="E942" s="595"/>
      <c r="F942" s="595"/>
      <c r="G942" s="595"/>
      <c r="H942" s="595"/>
      <c r="I942" s="595"/>
      <c r="J942" s="595"/>
      <c r="K942" s="595"/>
      <c r="L942" s="595"/>
      <c r="M942" s="595"/>
      <c r="N942" s="595"/>
      <c r="O942" s="595"/>
      <c r="P942" s="595"/>
      <c r="Q942" s="595"/>
      <c r="R942" s="595"/>
      <c r="S942" s="595"/>
      <c r="T942" s="595"/>
      <c r="U942" s="595"/>
      <c r="V942" s="595"/>
      <c r="W942" s="595"/>
      <c r="X942" s="595"/>
      <c r="Y942" s="595"/>
      <c r="Z942" s="595"/>
    </row>
    <row r="943" spans="1:26" ht="19.5" customHeight="1">
      <c r="A943" s="595"/>
      <c r="B943" s="595"/>
      <c r="C943" s="596"/>
      <c r="D943" s="595"/>
      <c r="E943" s="595"/>
      <c r="F943" s="595"/>
      <c r="G943" s="595"/>
      <c r="H943" s="595"/>
      <c r="I943" s="595"/>
      <c r="J943" s="595"/>
      <c r="K943" s="595"/>
      <c r="L943" s="595"/>
      <c r="M943" s="595"/>
      <c r="N943" s="595"/>
      <c r="O943" s="595"/>
      <c r="P943" s="595"/>
      <c r="Q943" s="595"/>
      <c r="R943" s="595"/>
      <c r="S943" s="595"/>
      <c r="T943" s="595"/>
      <c r="U943" s="595"/>
      <c r="V943" s="595"/>
      <c r="W943" s="595"/>
      <c r="X943" s="595"/>
      <c r="Y943" s="595"/>
      <c r="Z943" s="595"/>
    </row>
    <row r="944" spans="1:26" ht="19.5" customHeight="1">
      <c r="A944" s="595"/>
      <c r="B944" s="595"/>
      <c r="C944" s="596"/>
      <c r="D944" s="595"/>
      <c r="E944" s="595"/>
      <c r="F944" s="595"/>
      <c r="G944" s="595"/>
      <c r="H944" s="595"/>
      <c r="I944" s="595"/>
      <c r="J944" s="595"/>
      <c r="K944" s="595"/>
      <c r="L944" s="595"/>
      <c r="M944" s="595"/>
      <c r="N944" s="595"/>
      <c r="O944" s="595"/>
      <c r="P944" s="595"/>
      <c r="Q944" s="595"/>
      <c r="R944" s="595"/>
      <c r="S944" s="595"/>
      <c r="T944" s="595"/>
      <c r="U944" s="595"/>
      <c r="V944" s="595"/>
      <c r="W944" s="595"/>
      <c r="X944" s="595"/>
      <c r="Y944" s="595"/>
      <c r="Z944" s="595"/>
    </row>
    <row r="945" spans="1:26" ht="19.5" customHeight="1">
      <c r="A945" s="595"/>
      <c r="B945" s="595"/>
      <c r="C945" s="596"/>
      <c r="D945" s="595"/>
      <c r="E945" s="595"/>
      <c r="F945" s="595"/>
      <c r="G945" s="595"/>
      <c r="H945" s="595"/>
      <c r="I945" s="595"/>
      <c r="J945" s="595"/>
      <c r="K945" s="595"/>
      <c r="L945" s="595"/>
      <c r="M945" s="595"/>
      <c r="N945" s="595"/>
      <c r="O945" s="595"/>
      <c r="P945" s="595"/>
      <c r="Q945" s="595"/>
      <c r="R945" s="595"/>
      <c r="S945" s="595"/>
      <c r="T945" s="595"/>
      <c r="U945" s="595"/>
      <c r="V945" s="595"/>
      <c r="W945" s="595"/>
      <c r="X945" s="595"/>
      <c r="Y945" s="595"/>
      <c r="Z945" s="595"/>
    </row>
    <row r="946" spans="1:26" ht="19.5" customHeight="1">
      <c r="A946" s="595"/>
      <c r="B946" s="595"/>
      <c r="C946" s="596"/>
      <c r="D946" s="595"/>
      <c r="E946" s="595"/>
      <c r="F946" s="595"/>
      <c r="G946" s="595"/>
      <c r="H946" s="595"/>
      <c r="I946" s="595"/>
      <c r="J946" s="595"/>
      <c r="K946" s="595"/>
      <c r="L946" s="595"/>
      <c r="M946" s="595"/>
      <c r="N946" s="595"/>
      <c r="O946" s="595"/>
      <c r="P946" s="595"/>
      <c r="Q946" s="595"/>
      <c r="R946" s="595"/>
      <c r="S946" s="595"/>
      <c r="T946" s="595"/>
      <c r="U946" s="595"/>
      <c r="V946" s="595"/>
      <c r="W946" s="595"/>
      <c r="X946" s="595"/>
      <c r="Y946" s="595"/>
      <c r="Z946" s="595"/>
    </row>
    <row r="947" spans="1:26" ht="19.5" customHeight="1">
      <c r="A947" s="595"/>
      <c r="B947" s="595"/>
      <c r="C947" s="596"/>
      <c r="D947" s="595"/>
      <c r="E947" s="595"/>
      <c r="F947" s="595"/>
      <c r="G947" s="595"/>
      <c r="H947" s="595"/>
      <c r="I947" s="595"/>
      <c r="J947" s="595"/>
      <c r="K947" s="595"/>
      <c r="L947" s="595"/>
      <c r="M947" s="595"/>
      <c r="N947" s="595"/>
      <c r="O947" s="595"/>
      <c r="P947" s="595"/>
      <c r="Q947" s="595"/>
      <c r="R947" s="595"/>
      <c r="S947" s="595"/>
      <c r="T947" s="595"/>
      <c r="U947" s="595"/>
      <c r="V947" s="595"/>
      <c r="W947" s="595"/>
      <c r="X947" s="595"/>
      <c r="Y947" s="595"/>
      <c r="Z947" s="595"/>
    </row>
    <row r="948" spans="1:26" ht="19.5" customHeight="1">
      <c r="A948" s="595"/>
      <c r="B948" s="595"/>
      <c r="C948" s="596"/>
      <c r="D948" s="595"/>
      <c r="E948" s="595"/>
      <c r="F948" s="595"/>
      <c r="G948" s="595"/>
      <c r="H948" s="595"/>
      <c r="I948" s="595"/>
      <c r="J948" s="595"/>
      <c r="K948" s="595"/>
      <c r="L948" s="595"/>
      <c r="M948" s="595"/>
      <c r="N948" s="595"/>
      <c r="O948" s="595"/>
      <c r="P948" s="595"/>
      <c r="Q948" s="595"/>
      <c r="R948" s="595"/>
      <c r="S948" s="595"/>
      <c r="T948" s="595"/>
      <c r="U948" s="595"/>
      <c r="V948" s="595"/>
      <c r="W948" s="595"/>
      <c r="X948" s="595"/>
      <c r="Y948" s="595"/>
      <c r="Z948" s="595"/>
    </row>
    <row r="949" spans="1:26" ht="19.5" customHeight="1">
      <c r="A949" s="595"/>
      <c r="B949" s="595"/>
      <c r="C949" s="596"/>
      <c r="D949" s="595"/>
      <c r="E949" s="595"/>
      <c r="F949" s="595"/>
      <c r="G949" s="595"/>
      <c r="H949" s="595"/>
      <c r="I949" s="595"/>
      <c r="J949" s="595"/>
      <c r="K949" s="595"/>
      <c r="L949" s="595"/>
      <c r="M949" s="595"/>
      <c r="N949" s="595"/>
      <c r="O949" s="595"/>
      <c r="P949" s="595"/>
      <c r="Q949" s="595"/>
      <c r="R949" s="595"/>
      <c r="S949" s="595"/>
      <c r="T949" s="595"/>
      <c r="U949" s="595"/>
      <c r="V949" s="595"/>
      <c r="W949" s="595"/>
      <c r="X949" s="595"/>
      <c r="Y949" s="595"/>
      <c r="Z949" s="595"/>
    </row>
    <row r="950" spans="1:26" ht="19.5" customHeight="1">
      <c r="A950" s="595"/>
      <c r="B950" s="595"/>
      <c r="C950" s="596"/>
      <c r="D950" s="595"/>
      <c r="E950" s="595"/>
      <c r="F950" s="595"/>
      <c r="G950" s="595"/>
      <c r="H950" s="595"/>
      <c r="I950" s="595"/>
      <c r="J950" s="595"/>
      <c r="K950" s="595"/>
      <c r="L950" s="595"/>
      <c r="M950" s="595"/>
      <c r="N950" s="595"/>
      <c r="O950" s="595"/>
      <c r="P950" s="595"/>
      <c r="Q950" s="595"/>
      <c r="R950" s="595"/>
      <c r="S950" s="595"/>
      <c r="T950" s="595"/>
      <c r="U950" s="595"/>
      <c r="V950" s="595"/>
      <c r="W950" s="595"/>
      <c r="X950" s="595"/>
      <c r="Y950" s="595"/>
      <c r="Z950" s="595"/>
    </row>
    <row r="951" spans="1:26" ht="19.5" customHeight="1">
      <c r="A951" s="595"/>
      <c r="B951" s="595"/>
      <c r="C951" s="596"/>
      <c r="D951" s="595"/>
      <c r="E951" s="595"/>
      <c r="F951" s="595"/>
      <c r="G951" s="595"/>
      <c r="H951" s="595"/>
      <c r="I951" s="595"/>
      <c r="J951" s="595"/>
      <c r="K951" s="595"/>
      <c r="L951" s="595"/>
      <c r="M951" s="595"/>
      <c r="N951" s="595"/>
      <c r="O951" s="595"/>
      <c r="P951" s="595"/>
      <c r="Q951" s="595"/>
      <c r="R951" s="595"/>
      <c r="S951" s="595"/>
      <c r="T951" s="595"/>
      <c r="U951" s="595"/>
      <c r="V951" s="595"/>
      <c r="W951" s="595"/>
      <c r="X951" s="595"/>
      <c r="Y951" s="595"/>
      <c r="Z951" s="595"/>
    </row>
    <row r="952" spans="1:26" ht="19.5" customHeight="1">
      <c r="A952" s="595"/>
      <c r="B952" s="595"/>
      <c r="C952" s="596"/>
      <c r="D952" s="595"/>
      <c r="E952" s="595"/>
      <c r="F952" s="595"/>
      <c r="G952" s="595"/>
      <c r="H952" s="595"/>
      <c r="I952" s="595"/>
      <c r="J952" s="595"/>
      <c r="K952" s="595"/>
      <c r="L952" s="595"/>
      <c r="M952" s="595"/>
      <c r="N952" s="595"/>
      <c r="O952" s="595"/>
      <c r="P952" s="595"/>
      <c r="Q952" s="595"/>
      <c r="R952" s="595"/>
      <c r="S952" s="595"/>
      <c r="T952" s="595"/>
      <c r="U952" s="595"/>
      <c r="V952" s="595"/>
      <c r="W952" s="595"/>
      <c r="X952" s="595"/>
      <c r="Y952" s="595"/>
      <c r="Z952" s="595"/>
    </row>
    <row r="953" spans="1:26" ht="19.5" customHeight="1">
      <c r="A953" s="595"/>
      <c r="B953" s="595"/>
      <c r="C953" s="596"/>
      <c r="D953" s="595"/>
      <c r="E953" s="595"/>
      <c r="F953" s="595"/>
      <c r="G953" s="595"/>
      <c r="H953" s="595"/>
      <c r="I953" s="595"/>
      <c r="J953" s="595"/>
      <c r="K953" s="595"/>
      <c r="L953" s="595"/>
      <c r="M953" s="595"/>
      <c r="N953" s="595"/>
      <c r="O953" s="595"/>
      <c r="P953" s="595"/>
      <c r="Q953" s="595"/>
      <c r="R953" s="595"/>
      <c r="S953" s="595"/>
      <c r="T953" s="595"/>
      <c r="U953" s="595"/>
      <c r="V953" s="595"/>
      <c r="W953" s="595"/>
      <c r="X953" s="595"/>
      <c r="Y953" s="595"/>
      <c r="Z953" s="595"/>
    </row>
    <row r="954" spans="1:26" ht="19.5" customHeight="1">
      <c r="A954" s="595"/>
      <c r="B954" s="595"/>
      <c r="C954" s="596"/>
      <c r="D954" s="595"/>
      <c r="E954" s="595"/>
      <c r="F954" s="595"/>
      <c r="G954" s="595"/>
      <c r="H954" s="595"/>
      <c r="I954" s="595"/>
      <c r="J954" s="595"/>
      <c r="K954" s="595"/>
      <c r="L954" s="595"/>
      <c r="M954" s="595"/>
      <c r="N954" s="595"/>
      <c r="O954" s="595"/>
      <c r="P954" s="595"/>
      <c r="Q954" s="595"/>
      <c r="R954" s="595"/>
      <c r="S954" s="595"/>
      <c r="T954" s="595"/>
      <c r="U954" s="595"/>
      <c r="V954" s="595"/>
      <c r="W954" s="595"/>
      <c r="X954" s="595"/>
      <c r="Y954" s="595"/>
      <c r="Z954" s="595"/>
    </row>
    <row r="955" spans="1:26" ht="19.5" customHeight="1">
      <c r="A955" s="595"/>
      <c r="B955" s="595"/>
      <c r="C955" s="596"/>
      <c r="D955" s="595"/>
      <c r="E955" s="595"/>
      <c r="F955" s="595"/>
      <c r="G955" s="595"/>
      <c r="H955" s="595"/>
      <c r="I955" s="595"/>
      <c r="J955" s="595"/>
      <c r="K955" s="595"/>
      <c r="L955" s="595"/>
      <c r="M955" s="595"/>
      <c r="N955" s="595"/>
      <c r="O955" s="595"/>
      <c r="P955" s="595"/>
      <c r="Q955" s="595"/>
      <c r="R955" s="595"/>
      <c r="S955" s="595"/>
      <c r="T955" s="595"/>
      <c r="U955" s="595"/>
      <c r="V955" s="595"/>
      <c r="W955" s="595"/>
      <c r="X955" s="595"/>
      <c r="Y955" s="595"/>
      <c r="Z955" s="595"/>
    </row>
    <row r="956" spans="1:26" ht="19.5" customHeight="1">
      <c r="A956" s="595"/>
      <c r="B956" s="595"/>
      <c r="C956" s="596"/>
      <c r="D956" s="595"/>
      <c r="E956" s="595"/>
      <c r="F956" s="595"/>
      <c r="G956" s="595"/>
      <c r="H956" s="595"/>
      <c r="I956" s="595"/>
      <c r="J956" s="595"/>
      <c r="K956" s="595"/>
      <c r="L956" s="595"/>
      <c r="M956" s="595"/>
      <c r="N956" s="595"/>
      <c r="O956" s="595"/>
      <c r="P956" s="595"/>
      <c r="Q956" s="595"/>
      <c r="R956" s="595"/>
      <c r="S956" s="595"/>
      <c r="T956" s="595"/>
      <c r="U956" s="595"/>
      <c r="V956" s="595"/>
      <c r="W956" s="595"/>
      <c r="X956" s="595"/>
      <c r="Y956" s="595"/>
      <c r="Z956" s="595"/>
    </row>
    <row r="957" spans="1:26" ht="19.5" customHeight="1">
      <c r="A957" s="595"/>
      <c r="B957" s="595"/>
      <c r="C957" s="596"/>
      <c r="D957" s="595"/>
      <c r="E957" s="595"/>
      <c r="F957" s="595"/>
      <c r="G957" s="595"/>
      <c r="H957" s="595"/>
      <c r="I957" s="595"/>
      <c r="J957" s="595"/>
      <c r="K957" s="595"/>
      <c r="L957" s="595"/>
      <c r="M957" s="595"/>
      <c r="N957" s="595"/>
      <c r="O957" s="595"/>
      <c r="P957" s="595"/>
      <c r="Q957" s="595"/>
      <c r="R957" s="595"/>
      <c r="S957" s="595"/>
      <c r="T957" s="595"/>
      <c r="U957" s="595"/>
      <c r="V957" s="595"/>
      <c r="W957" s="595"/>
      <c r="X957" s="595"/>
      <c r="Y957" s="595"/>
      <c r="Z957" s="595"/>
    </row>
    <row r="958" spans="1:26" ht="19.5" customHeight="1">
      <c r="A958" s="595"/>
      <c r="B958" s="595"/>
      <c r="C958" s="596"/>
      <c r="D958" s="595"/>
      <c r="E958" s="595"/>
      <c r="F958" s="595"/>
      <c r="G958" s="595"/>
      <c r="H958" s="595"/>
      <c r="I958" s="595"/>
      <c r="J958" s="595"/>
      <c r="K958" s="595"/>
      <c r="L958" s="595"/>
      <c r="M958" s="595"/>
      <c r="N958" s="595"/>
      <c r="O958" s="595"/>
      <c r="P958" s="595"/>
      <c r="Q958" s="595"/>
      <c r="R958" s="595"/>
      <c r="S958" s="595"/>
      <c r="T958" s="595"/>
      <c r="U958" s="595"/>
      <c r="V958" s="595"/>
      <c r="W958" s="595"/>
      <c r="X958" s="595"/>
      <c r="Y958" s="595"/>
      <c r="Z958" s="595"/>
    </row>
    <row r="959" spans="1:26" ht="19.5" customHeight="1">
      <c r="A959" s="595"/>
      <c r="B959" s="595"/>
      <c r="C959" s="596"/>
      <c r="D959" s="595"/>
      <c r="E959" s="595"/>
      <c r="F959" s="595"/>
      <c r="G959" s="595"/>
      <c r="H959" s="595"/>
      <c r="I959" s="595"/>
      <c r="J959" s="595"/>
      <c r="K959" s="595"/>
      <c r="L959" s="595"/>
      <c r="M959" s="595"/>
      <c r="N959" s="595"/>
      <c r="O959" s="595"/>
      <c r="P959" s="595"/>
      <c r="Q959" s="595"/>
      <c r="R959" s="595"/>
      <c r="S959" s="595"/>
      <c r="T959" s="595"/>
      <c r="U959" s="595"/>
      <c r="V959" s="595"/>
      <c r="W959" s="595"/>
      <c r="X959" s="595"/>
      <c r="Y959" s="595"/>
      <c r="Z959" s="595"/>
    </row>
    <row r="960" spans="1:26" ht="19.5" customHeight="1">
      <c r="A960" s="595"/>
      <c r="B960" s="595"/>
      <c r="C960" s="596"/>
      <c r="D960" s="595"/>
      <c r="E960" s="595"/>
      <c r="F960" s="595"/>
      <c r="G960" s="595"/>
      <c r="H960" s="595"/>
      <c r="I960" s="595"/>
      <c r="J960" s="595"/>
      <c r="K960" s="595"/>
      <c r="L960" s="595"/>
      <c r="M960" s="595"/>
      <c r="N960" s="595"/>
      <c r="O960" s="595"/>
      <c r="P960" s="595"/>
      <c r="Q960" s="595"/>
      <c r="R960" s="595"/>
      <c r="S960" s="595"/>
      <c r="T960" s="595"/>
      <c r="U960" s="595"/>
      <c r="V960" s="595"/>
      <c r="W960" s="595"/>
      <c r="X960" s="595"/>
      <c r="Y960" s="595"/>
      <c r="Z960" s="595"/>
    </row>
    <row r="961" spans="1:26" ht="19.5" customHeight="1">
      <c r="A961" s="595"/>
      <c r="B961" s="595"/>
      <c r="C961" s="596"/>
      <c r="D961" s="595"/>
      <c r="E961" s="595"/>
      <c r="F961" s="595"/>
      <c r="G961" s="595"/>
      <c r="H961" s="595"/>
      <c r="I961" s="595"/>
      <c r="J961" s="595"/>
      <c r="K961" s="595"/>
      <c r="L961" s="595"/>
      <c r="M961" s="595"/>
      <c r="N961" s="595"/>
      <c r="O961" s="595"/>
      <c r="P961" s="595"/>
      <c r="Q961" s="595"/>
      <c r="R961" s="595"/>
      <c r="S961" s="595"/>
      <c r="T961" s="595"/>
      <c r="U961" s="595"/>
      <c r="V961" s="595"/>
      <c r="W961" s="595"/>
      <c r="X961" s="595"/>
      <c r="Y961" s="595"/>
      <c r="Z961" s="595"/>
    </row>
    <row r="962" spans="1:26" ht="19.5" customHeight="1">
      <c r="A962" s="595"/>
      <c r="B962" s="595"/>
      <c r="C962" s="596"/>
      <c r="D962" s="595"/>
      <c r="E962" s="595"/>
      <c r="F962" s="595"/>
      <c r="G962" s="595"/>
      <c r="H962" s="595"/>
      <c r="I962" s="595"/>
      <c r="J962" s="595"/>
      <c r="K962" s="595"/>
      <c r="L962" s="595"/>
      <c r="M962" s="595"/>
      <c r="N962" s="595"/>
      <c r="O962" s="595"/>
      <c r="P962" s="595"/>
      <c r="Q962" s="595"/>
      <c r="R962" s="595"/>
      <c r="S962" s="595"/>
      <c r="T962" s="595"/>
      <c r="U962" s="595"/>
      <c r="V962" s="595"/>
      <c r="W962" s="595"/>
      <c r="X962" s="595"/>
      <c r="Y962" s="595"/>
      <c r="Z962" s="595"/>
    </row>
    <row r="963" spans="1:26" ht="19.5" customHeight="1">
      <c r="A963" s="595"/>
      <c r="B963" s="595"/>
      <c r="C963" s="596"/>
      <c r="D963" s="595"/>
      <c r="E963" s="595"/>
      <c r="F963" s="595"/>
      <c r="G963" s="595"/>
      <c r="H963" s="595"/>
      <c r="I963" s="595"/>
      <c r="J963" s="595"/>
      <c r="K963" s="595"/>
      <c r="L963" s="595"/>
      <c r="M963" s="595"/>
      <c r="N963" s="595"/>
      <c r="O963" s="595"/>
      <c r="P963" s="595"/>
      <c r="Q963" s="595"/>
      <c r="R963" s="595"/>
      <c r="S963" s="595"/>
      <c r="T963" s="595"/>
      <c r="U963" s="595"/>
      <c r="V963" s="595"/>
      <c r="W963" s="595"/>
      <c r="X963" s="595"/>
      <c r="Y963" s="595"/>
      <c r="Z963" s="595"/>
    </row>
    <row r="964" spans="1:26" ht="19.5" customHeight="1">
      <c r="A964" s="595"/>
      <c r="B964" s="595"/>
      <c r="C964" s="596"/>
      <c r="D964" s="595"/>
      <c r="E964" s="595"/>
      <c r="F964" s="595"/>
      <c r="G964" s="595"/>
      <c r="H964" s="595"/>
      <c r="I964" s="595"/>
      <c r="J964" s="595"/>
      <c r="K964" s="595"/>
      <c r="L964" s="595"/>
      <c r="M964" s="595"/>
      <c r="N964" s="595"/>
      <c r="O964" s="595"/>
      <c r="P964" s="595"/>
      <c r="Q964" s="595"/>
      <c r="R964" s="595"/>
      <c r="S964" s="595"/>
      <c r="T964" s="595"/>
      <c r="U964" s="595"/>
      <c r="V964" s="595"/>
      <c r="W964" s="595"/>
      <c r="X964" s="595"/>
      <c r="Y964" s="595"/>
      <c r="Z964" s="595"/>
    </row>
    <row r="965" spans="1:26" ht="19.5" customHeight="1">
      <c r="A965" s="595"/>
      <c r="B965" s="595"/>
      <c r="C965" s="596"/>
      <c r="D965" s="595"/>
      <c r="E965" s="595"/>
      <c r="F965" s="595"/>
      <c r="G965" s="595"/>
      <c r="H965" s="595"/>
      <c r="I965" s="595"/>
      <c r="J965" s="595"/>
      <c r="K965" s="595"/>
      <c r="L965" s="595"/>
      <c r="M965" s="595"/>
      <c r="N965" s="595"/>
      <c r="O965" s="595"/>
      <c r="P965" s="595"/>
      <c r="Q965" s="595"/>
      <c r="R965" s="595"/>
      <c r="S965" s="595"/>
      <c r="T965" s="595"/>
      <c r="U965" s="595"/>
      <c r="V965" s="595"/>
      <c r="W965" s="595"/>
      <c r="X965" s="595"/>
      <c r="Y965" s="595"/>
      <c r="Z965" s="595"/>
    </row>
    <row r="966" spans="1:26" ht="19.5" customHeight="1">
      <c r="A966" s="595"/>
      <c r="B966" s="595"/>
      <c r="C966" s="596"/>
      <c r="D966" s="595"/>
      <c r="E966" s="595"/>
      <c r="F966" s="595"/>
      <c r="G966" s="595"/>
      <c r="H966" s="595"/>
      <c r="I966" s="595"/>
      <c r="J966" s="595"/>
      <c r="K966" s="595"/>
      <c r="L966" s="595"/>
      <c r="M966" s="595"/>
      <c r="N966" s="595"/>
      <c r="O966" s="595"/>
      <c r="P966" s="595"/>
      <c r="Q966" s="595"/>
      <c r="R966" s="595"/>
      <c r="S966" s="595"/>
      <c r="T966" s="595"/>
      <c r="U966" s="595"/>
      <c r="V966" s="595"/>
      <c r="W966" s="595"/>
      <c r="X966" s="595"/>
      <c r="Y966" s="595"/>
      <c r="Z966" s="595"/>
    </row>
    <row r="967" spans="1:26" ht="19.5" customHeight="1">
      <c r="A967" s="595"/>
      <c r="B967" s="595"/>
      <c r="C967" s="596"/>
      <c r="D967" s="595"/>
      <c r="E967" s="595"/>
      <c r="F967" s="595"/>
      <c r="G967" s="595"/>
      <c r="H967" s="595"/>
      <c r="I967" s="595"/>
      <c r="J967" s="595"/>
      <c r="K967" s="595"/>
      <c r="L967" s="595"/>
      <c r="M967" s="595"/>
      <c r="N967" s="595"/>
      <c r="O967" s="595"/>
      <c r="P967" s="595"/>
      <c r="Q967" s="595"/>
      <c r="R967" s="595"/>
      <c r="S967" s="595"/>
      <c r="T967" s="595"/>
      <c r="U967" s="595"/>
      <c r="V967" s="595"/>
      <c r="W967" s="595"/>
      <c r="X967" s="595"/>
      <c r="Y967" s="595"/>
      <c r="Z967" s="595"/>
    </row>
    <row r="968" spans="1:26" ht="19.5" customHeight="1">
      <c r="A968" s="595"/>
      <c r="B968" s="595"/>
      <c r="C968" s="596"/>
      <c r="D968" s="595"/>
      <c r="E968" s="595"/>
      <c r="F968" s="595"/>
      <c r="G968" s="595"/>
      <c r="H968" s="595"/>
      <c r="I968" s="595"/>
      <c r="J968" s="595"/>
      <c r="K968" s="595"/>
      <c r="L968" s="595"/>
      <c r="M968" s="595"/>
      <c r="N968" s="595"/>
      <c r="O968" s="595"/>
      <c r="P968" s="595"/>
      <c r="Q968" s="595"/>
      <c r="R968" s="595"/>
      <c r="S968" s="595"/>
      <c r="T968" s="595"/>
      <c r="U968" s="595"/>
      <c r="V968" s="595"/>
      <c r="W968" s="595"/>
      <c r="X968" s="595"/>
      <c r="Y968" s="595"/>
      <c r="Z968" s="595"/>
    </row>
    <row r="969" spans="1:26" ht="19.5" customHeight="1">
      <c r="A969" s="595"/>
      <c r="B969" s="595"/>
      <c r="C969" s="596"/>
      <c r="D969" s="595"/>
      <c r="E969" s="595"/>
      <c r="F969" s="595"/>
      <c r="G969" s="595"/>
      <c r="H969" s="595"/>
      <c r="I969" s="595"/>
      <c r="J969" s="595"/>
      <c r="K969" s="595"/>
      <c r="L969" s="595"/>
      <c r="M969" s="595"/>
      <c r="N969" s="595"/>
      <c r="O969" s="595"/>
      <c r="P969" s="595"/>
      <c r="Q969" s="595"/>
      <c r="R969" s="595"/>
      <c r="S969" s="595"/>
      <c r="T969" s="595"/>
      <c r="U969" s="595"/>
      <c r="V969" s="595"/>
      <c r="W969" s="595"/>
      <c r="X969" s="595"/>
      <c r="Y969" s="595"/>
      <c r="Z969" s="595"/>
    </row>
    <row r="970" spans="1:26" ht="19.5" customHeight="1">
      <c r="A970" s="595"/>
      <c r="B970" s="595"/>
      <c r="C970" s="596"/>
      <c r="D970" s="595"/>
      <c r="E970" s="595"/>
      <c r="F970" s="595"/>
      <c r="G970" s="595"/>
      <c r="H970" s="595"/>
      <c r="I970" s="595"/>
      <c r="J970" s="595"/>
      <c r="K970" s="595"/>
      <c r="L970" s="595"/>
      <c r="M970" s="595"/>
      <c r="N970" s="595"/>
      <c r="O970" s="595"/>
      <c r="P970" s="595"/>
      <c r="Q970" s="595"/>
      <c r="R970" s="595"/>
      <c r="S970" s="595"/>
      <c r="T970" s="595"/>
      <c r="U970" s="595"/>
      <c r="V970" s="595"/>
      <c r="W970" s="595"/>
      <c r="X970" s="595"/>
      <c r="Y970" s="595"/>
      <c r="Z970" s="595"/>
    </row>
    <row r="971" spans="1:26" ht="19.5" customHeight="1">
      <c r="A971" s="595"/>
      <c r="B971" s="595"/>
      <c r="C971" s="596"/>
      <c r="D971" s="595"/>
      <c r="E971" s="595"/>
      <c r="F971" s="595"/>
      <c r="G971" s="595"/>
      <c r="H971" s="595"/>
      <c r="I971" s="595"/>
      <c r="J971" s="595"/>
      <c r="K971" s="595"/>
      <c r="L971" s="595"/>
      <c r="M971" s="595"/>
      <c r="N971" s="595"/>
      <c r="O971" s="595"/>
      <c r="P971" s="595"/>
      <c r="Q971" s="595"/>
      <c r="R971" s="595"/>
      <c r="S971" s="595"/>
      <c r="T971" s="595"/>
      <c r="U971" s="595"/>
      <c r="V971" s="595"/>
      <c r="W971" s="595"/>
      <c r="X971" s="595"/>
      <c r="Y971" s="595"/>
      <c r="Z971" s="595"/>
    </row>
    <row r="972" spans="1:26" ht="19.5" customHeight="1">
      <c r="A972" s="595"/>
      <c r="B972" s="595"/>
      <c r="C972" s="596"/>
      <c r="D972" s="595"/>
      <c r="E972" s="595"/>
      <c r="F972" s="595"/>
      <c r="G972" s="595"/>
      <c r="H972" s="595"/>
      <c r="I972" s="595"/>
      <c r="J972" s="595"/>
      <c r="K972" s="595"/>
      <c r="L972" s="595"/>
      <c r="M972" s="595"/>
      <c r="N972" s="595"/>
      <c r="O972" s="595"/>
      <c r="P972" s="595"/>
      <c r="Q972" s="595"/>
      <c r="R972" s="595"/>
      <c r="S972" s="595"/>
      <c r="T972" s="595"/>
      <c r="U972" s="595"/>
      <c r="V972" s="595"/>
      <c r="W972" s="595"/>
      <c r="X972" s="595"/>
      <c r="Y972" s="595"/>
      <c r="Z972" s="595"/>
    </row>
    <row r="973" spans="1:26" ht="19.5" customHeight="1">
      <c r="A973" s="595"/>
      <c r="B973" s="595"/>
      <c r="C973" s="596"/>
      <c r="D973" s="595"/>
      <c r="E973" s="595"/>
      <c r="F973" s="595"/>
      <c r="G973" s="595"/>
      <c r="H973" s="595"/>
      <c r="I973" s="595"/>
      <c r="J973" s="595"/>
      <c r="K973" s="595"/>
      <c r="L973" s="595"/>
      <c r="M973" s="595"/>
      <c r="N973" s="595"/>
      <c r="O973" s="595"/>
      <c r="P973" s="595"/>
      <c r="Q973" s="595"/>
      <c r="R973" s="595"/>
      <c r="S973" s="595"/>
      <c r="T973" s="595"/>
      <c r="U973" s="595"/>
      <c r="V973" s="595"/>
      <c r="W973" s="595"/>
      <c r="X973" s="595"/>
      <c r="Y973" s="595"/>
      <c r="Z973" s="595"/>
    </row>
    <row r="974" spans="1:26" ht="19.5" customHeight="1">
      <c r="A974" s="595"/>
      <c r="B974" s="595"/>
      <c r="C974" s="596"/>
      <c r="D974" s="595"/>
      <c r="E974" s="595"/>
      <c r="F974" s="595"/>
      <c r="G974" s="595"/>
      <c r="H974" s="595"/>
      <c r="I974" s="595"/>
      <c r="J974" s="595"/>
      <c r="K974" s="595"/>
      <c r="L974" s="595"/>
      <c r="M974" s="595"/>
      <c r="N974" s="595"/>
      <c r="O974" s="595"/>
      <c r="P974" s="595"/>
      <c r="Q974" s="595"/>
      <c r="R974" s="595"/>
      <c r="S974" s="595"/>
      <c r="T974" s="595"/>
      <c r="U974" s="595"/>
      <c r="V974" s="595"/>
      <c r="W974" s="595"/>
      <c r="X974" s="595"/>
      <c r="Y974" s="595"/>
      <c r="Z974" s="595"/>
    </row>
    <row r="975" spans="1:26" ht="19.5" customHeight="1">
      <c r="A975" s="595"/>
      <c r="B975" s="595"/>
      <c r="C975" s="596"/>
      <c r="D975" s="595"/>
      <c r="E975" s="595"/>
      <c r="F975" s="595"/>
      <c r="G975" s="595"/>
      <c r="H975" s="595"/>
      <c r="I975" s="595"/>
      <c r="J975" s="595"/>
      <c r="K975" s="595"/>
      <c r="L975" s="595"/>
      <c r="M975" s="595"/>
      <c r="N975" s="595"/>
      <c r="O975" s="595"/>
      <c r="P975" s="595"/>
      <c r="Q975" s="595"/>
      <c r="R975" s="595"/>
      <c r="S975" s="595"/>
      <c r="T975" s="595"/>
      <c r="U975" s="595"/>
      <c r="V975" s="595"/>
      <c r="W975" s="595"/>
      <c r="X975" s="595"/>
      <c r="Y975" s="595"/>
      <c r="Z975" s="595"/>
    </row>
    <row r="976" spans="1:26" ht="19.5" customHeight="1">
      <c r="A976" s="595"/>
      <c r="B976" s="595"/>
      <c r="C976" s="596"/>
      <c r="D976" s="595"/>
      <c r="E976" s="595"/>
      <c r="F976" s="595"/>
      <c r="G976" s="595"/>
      <c r="H976" s="595"/>
      <c r="I976" s="595"/>
      <c r="J976" s="595"/>
      <c r="K976" s="595"/>
      <c r="L976" s="595"/>
      <c r="M976" s="595"/>
      <c r="N976" s="595"/>
      <c r="O976" s="595"/>
      <c r="P976" s="595"/>
      <c r="Q976" s="595"/>
      <c r="R976" s="595"/>
      <c r="S976" s="595"/>
      <c r="T976" s="595"/>
      <c r="U976" s="595"/>
      <c r="V976" s="595"/>
      <c r="W976" s="595"/>
      <c r="X976" s="595"/>
      <c r="Y976" s="595"/>
      <c r="Z976" s="595"/>
    </row>
    <row r="977" spans="1:26" ht="19.5" customHeight="1">
      <c r="A977" s="595"/>
      <c r="B977" s="595"/>
      <c r="C977" s="596"/>
      <c r="D977" s="595"/>
      <c r="E977" s="595"/>
      <c r="F977" s="595"/>
      <c r="G977" s="595"/>
      <c r="H977" s="595"/>
      <c r="I977" s="595"/>
      <c r="J977" s="595"/>
      <c r="K977" s="595"/>
      <c r="L977" s="595"/>
      <c r="M977" s="595"/>
      <c r="N977" s="595"/>
      <c r="O977" s="595"/>
      <c r="P977" s="595"/>
      <c r="Q977" s="595"/>
      <c r="R977" s="595"/>
      <c r="S977" s="595"/>
      <c r="T977" s="595"/>
      <c r="U977" s="595"/>
      <c r="V977" s="595"/>
      <c r="W977" s="595"/>
      <c r="X977" s="595"/>
      <c r="Y977" s="595"/>
      <c r="Z977" s="595"/>
    </row>
    <row r="978" spans="1:26" ht="19.5" customHeight="1">
      <c r="A978" s="595"/>
      <c r="B978" s="595"/>
      <c r="C978" s="596"/>
      <c r="D978" s="595"/>
      <c r="E978" s="595"/>
      <c r="F978" s="595"/>
      <c r="G978" s="595"/>
      <c r="H978" s="595"/>
      <c r="I978" s="595"/>
      <c r="J978" s="595"/>
      <c r="K978" s="595"/>
      <c r="L978" s="595"/>
      <c r="M978" s="595"/>
      <c r="N978" s="595"/>
      <c r="O978" s="595"/>
      <c r="P978" s="595"/>
      <c r="Q978" s="595"/>
      <c r="R978" s="595"/>
      <c r="S978" s="595"/>
      <c r="T978" s="595"/>
      <c r="U978" s="595"/>
      <c r="V978" s="595"/>
      <c r="W978" s="595"/>
      <c r="X978" s="595"/>
      <c r="Y978" s="595"/>
      <c r="Z978" s="595"/>
    </row>
    <row r="979" spans="1:26" ht="19.5" customHeight="1">
      <c r="A979" s="595"/>
      <c r="B979" s="595"/>
      <c r="C979" s="596"/>
      <c r="D979" s="595"/>
      <c r="E979" s="595"/>
      <c r="F979" s="595"/>
      <c r="G979" s="595"/>
      <c r="H979" s="595"/>
      <c r="I979" s="595"/>
      <c r="J979" s="595"/>
      <c r="K979" s="595"/>
      <c r="L979" s="595"/>
      <c r="M979" s="595"/>
      <c r="N979" s="595"/>
      <c r="O979" s="595"/>
      <c r="P979" s="595"/>
      <c r="Q979" s="595"/>
      <c r="R979" s="595"/>
      <c r="S979" s="595"/>
      <c r="T979" s="595"/>
      <c r="U979" s="595"/>
      <c r="V979" s="595"/>
      <c r="W979" s="595"/>
      <c r="X979" s="595"/>
      <c r="Y979" s="595"/>
      <c r="Z979" s="595"/>
    </row>
    <row r="980" spans="1:26" ht="19.5" customHeight="1">
      <c r="A980" s="595"/>
      <c r="B980" s="595"/>
      <c r="C980" s="596"/>
      <c r="D980" s="595"/>
      <c r="E980" s="595"/>
      <c r="F980" s="595"/>
      <c r="G980" s="595"/>
      <c r="H980" s="595"/>
      <c r="I980" s="595"/>
      <c r="J980" s="595"/>
      <c r="K980" s="595"/>
      <c r="L980" s="595"/>
      <c r="M980" s="595"/>
      <c r="N980" s="595"/>
      <c r="O980" s="595"/>
      <c r="P980" s="595"/>
      <c r="Q980" s="595"/>
      <c r="R980" s="595"/>
      <c r="S980" s="595"/>
      <c r="T980" s="595"/>
      <c r="U980" s="595"/>
      <c r="V980" s="595"/>
      <c r="W980" s="595"/>
      <c r="X980" s="595"/>
      <c r="Y980" s="595"/>
      <c r="Z980" s="595"/>
    </row>
    <row r="981" spans="1:26" ht="19.5" customHeight="1">
      <c r="A981" s="595"/>
      <c r="B981" s="595"/>
      <c r="C981" s="596"/>
      <c r="D981" s="595"/>
      <c r="E981" s="595"/>
      <c r="F981" s="595"/>
      <c r="G981" s="595"/>
      <c r="H981" s="595"/>
      <c r="I981" s="595"/>
      <c r="J981" s="595"/>
      <c r="K981" s="595"/>
      <c r="L981" s="595"/>
      <c r="M981" s="595"/>
      <c r="N981" s="595"/>
      <c r="O981" s="595"/>
      <c r="P981" s="595"/>
      <c r="Q981" s="595"/>
      <c r="R981" s="595"/>
      <c r="S981" s="595"/>
      <c r="T981" s="595"/>
      <c r="U981" s="595"/>
      <c r="V981" s="595"/>
      <c r="W981" s="595"/>
      <c r="X981" s="595"/>
      <c r="Y981" s="595"/>
      <c r="Z981" s="595"/>
    </row>
    <row r="982" spans="1:26" ht="19.5" customHeight="1">
      <c r="A982" s="595"/>
      <c r="B982" s="595"/>
      <c r="C982" s="596"/>
      <c r="D982" s="595"/>
      <c r="E982" s="595"/>
      <c r="F982" s="595"/>
      <c r="G982" s="595"/>
      <c r="H982" s="595"/>
      <c r="I982" s="595"/>
      <c r="J982" s="595"/>
      <c r="K982" s="595"/>
      <c r="L982" s="595"/>
      <c r="M982" s="595"/>
      <c r="N982" s="595"/>
      <c r="O982" s="595"/>
      <c r="P982" s="595"/>
      <c r="Q982" s="595"/>
      <c r="R982" s="595"/>
      <c r="S982" s="595"/>
      <c r="T982" s="595"/>
      <c r="U982" s="595"/>
      <c r="V982" s="595"/>
      <c r="W982" s="595"/>
      <c r="X982" s="595"/>
      <c r="Y982" s="595"/>
      <c r="Z982" s="595"/>
    </row>
    <row r="983" spans="1:26" ht="19.5" customHeight="1">
      <c r="A983" s="595"/>
      <c r="B983" s="595"/>
      <c r="C983" s="596"/>
      <c r="D983" s="595"/>
      <c r="E983" s="595"/>
      <c r="F983" s="595"/>
      <c r="G983" s="595"/>
      <c r="H983" s="595"/>
      <c r="I983" s="595"/>
      <c r="J983" s="595"/>
      <c r="K983" s="595"/>
      <c r="L983" s="595"/>
      <c r="M983" s="595"/>
      <c r="N983" s="595"/>
      <c r="O983" s="595"/>
      <c r="P983" s="595"/>
      <c r="Q983" s="595"/>
      <c r="R983" s="595"/>
      <c r="S983" s="595"/>
      <c r="T983" s="595"/>
      <c r="U983" s="595"/>
      <c r="V983" s="595"/>
      <c r="W983" s="595"/>
      <c r="X983" s="595"/>
      <c r="Y983" s="595"/>
      <c r="Z983" s="595"/>
    </row>
    <row r="984" spans="1:26" ht="19.5" customHeight="1">
      <c r="A984" s="595"/>
      <c r="B984" s="595"/>
      <c r="C984" s="596"/>
      <c r="D984" s="595"/>
      <c r="E984" s="595"/>
      <c r="F984" s="595"/>
      <c r="G984" s="595"/>
      <c r="H984" s="595"/>
      <c r="I984" s="595"/>
      <c r="J984" s="595"/>
      <c r="K984" s="595"/>
      <c r="L984" s="595"/>
      <c r="M984" s="595"/>
      <c r="N984" s="595"/>
      <c r="O984" s="595"/>
      <c r="P984" s="595"/>
      <c r="Q984" s="595"/>
      <c r="R984" s="595"/>
      <c r="S984" s="595"/>
      <c r="T984" s="595"/>
      <c r="U984" s="595"/>
      <c r="V984" s="595"/>
      <c r="W984" s="595"/>
      <c r="X984" s="595"/>
      <c r="Y984" s="595"/>
      <c r="Z984" s="595"/>
    </row>
    <row r="985" spans="1:26" ht="19.5" customHeight="1">
      <c r="A985" s="595"/>
      <c r="B985" s="595"/>
      <c r="C985" s="596"/>
      <c r="D985" s="595"/>
      <c r="E985" s="595"/>
      <c r="F985" s="595"/>
      <c r="G985" s="595"/>
      <c r="H985" s="595"/>
      <c r="I985" s="595"/>
      <c r="J985" s="595"/>
      <c r="K985" s="595"/>
      <c r="L985" s="595"/>
      <c r="M985" s="595"/>
      <c r="N985" s="595"/>
      <c r="O985" s="595"/>
      <c r="P985" s="595"/>
      <c r="Q985" s="595"/>
      <c r="R985" s="595"/>
      <c r="S985" s="595"/>
      <c r="T985" s="595"/>
      <c r="U985" s="595"/>
      <c r="V985" s="595"/>
      <c r="W985" s="595"/>
      <c r="X985" s="595"/>
      <c r="Y985" s="595"/>
      <c r="Z985" s="595"/>
    </row>
    <row r="986" spans="1:26" ht="19.5" customHeight="1">
      <c r="A986" s="595"/>
      <c r="B986" s="595"/>
      <c r="C986" s="596"/>
      <c r="D986" s="595"/>
      <c r="E986" s="595"/>
      <c r="F986" s="595"/>
      <c r="G986" s="595"/>
      <c r="H986" s="595"/>
      <c r="I986" s="595"/>
      <c r="J986" s="595"/>
      <c r="K986" s="595"/>
      <c r="L986" s="595"/>
      <c r="M986" s="595"/>
      <c r="N986" s="595"/>
      <c r="O986" s="595"/>
      <c r="P986" s="595"/>
      <c r="Q986" s="595"/>
      <c r="R986" s="595"/>
      <c r="S986" s="595"/>
      <c r="T986" s="595"/>
      <c r="U986" s="595"/>
      <c r="V986" s="595"/>
      <c r="W986" s="595"/>
      <c r="X986" s="595"/>
      <c r="Y986" s="595"/>
      <c r="Z986" s="595"/>
    </row>
    <row r="987" spans="1:26" ht="19.5" customHeight="1">
      <c r="A987" s="595"/>
      <c r="B987" s="595"/>
      <c r="C987" s="596"/>
      <c r="D987" s="595"/>
      <c r="E987" s="595"/>
      <c r="F987" s="595"/>
      <c r="G987" s="595"/>
      <c r="H987" s="595"/>
      <c r="I987" s="595"/>
      <c r="J987" s="595"/>
      <c r="K987" s="595"/>
      <c r="L987" s="595"/>
      <c r="M987" s="595"/>
      <c r="N987" s="595"/>
      <c r="O987" s="595"/>
      <c r="P987" s="595"/>
      <c r="Q987" s="595"/>
      <c r="R987" s="595"/>
      <c r="S987" s="595"/>
      <c r="T987" s="595"/>
      <c r="U987" s="595"/>
      <c r="V987" s="595"/>
      <c r="W987" s="595"/>
      <c r="X987" s="595"/>
      <c r="Y987" s="595"/>
      <c r="Z987" s="595"/>
    </row>
    <row r="988" spans="1:26" ht="19.5" customHeight="1">
      <c r="A988" s="595"/>
      <c r="B988" s="595"/>
      <c r="C988" s="596"/>
      <c r="D988" s="595"/>
      <c r="E988" s="595"/>
      <c r="F988" s="595"/>
      <c r="G988" s="595"/>
      <c r="H988" s="595"/>
      <c r="I988" s="595"/>
      <c r="J988" s="595"/>
      <c r="K988" s="595"/>
      <c r="L988" s="595"/>
      <c r="M988" s="595"/>
      <c r="N988" s="595"/>
      <c r="O988" s="595"/>
      <c r="P988" s="595"/>
      <c r="Q988" s="595"/>
      <c r="R988" s="595"/>
      <c r="S988" s="595"/>
      <c r="T988" s="595"/>
      <c r="U988" s="595"/>
      <c r="V988" s="595"/>
      <c r="W988" s="595"/>
      <c r="X988" s="595"/>
      <c r="Y988" s="595"/>
      <c r="Z988" s="595"/>
    </row>
    <row r="989" spans="1:26" ht="19.5" customHeight="1">
      <c r="A989" s="595"/>
      <c r="B989" s="595"/>
      <c r="C989" s="596"/>
      <c r="D989" s="595"/>
      <c r="E989" s="595"/>
      <c r="F989" s="595"/>
      <c r="G989" s="595"/>
      <c r="H989" s="595"/>
      <c r="I989" s="595"/>
      <c r="J989" s="595"/>
      <c r="K989" s="595"/>
      <c r="L989" s="595"/>
      <c r="M989" s="595"/>
      <c r="N989" s="595"/>
      <c r="O989" s="595"/>
      <c r="P989" s="595"/>
      <c r="Q989" s="595"/>
      <c r="R989" s="595"/>
      <c r="S989" s="595"/>
      <c r="T989" s="595"/>
      <c r="U989" s="595"/>
      <c r="V989" s="595"/>
      <c r="W989" s="595"/>
      <c r="X989" s="595"/>
      <c r="Y989" s="595"/>
      <c r="Z989" s="595"/>
    </row>
    <row r="990" spans="1:26" ht="19.5" customHeight="1">
      <c r="A990" s="595"/>
      <c r="B990" s="595"/>
      <c r="C990" s="596"/>
      <c r="D990" s="595"/>
      <c r="E990" s="595"/>
      <c r="F990" s="595"/>
      <c r="G990" s="595"/>
      <c r="H990" s="595"/>
      <c r="I990" s="595"/>
      <c r="J990" s="595"/>
      <c r="K990" s="595"/>
      <c r="L990" s="595"/>
      <c r="M990" s="595"/>
      <c r="N990" s="595"/>
      <c r="O990" s="595"/>
      <c r="P990" s="595"/>
      <c r="Q990" s="595"/>
      <c r="R990" s="595"/>
      <c r="S990" s="595"/>
      <c r="T990" s="595"/>
      <c r="U990" s="595"/>
      <c r="V990" s="595"/>
      <c r="W990" s="595"/>
      <c r="X990" s="595"/>
      <c r="Y990" s="595"/>
      <c r="Z990" s="595"/>
    </row>
    <row r="991" spans="1:26" ht="19.5" customHeight="1">
      <c r="A991" s="595"/>
      <c r="B991" s="595"/>
      <c r="C991" s="596"/>
      <c r="D991" s="595"/>
      <c r="E991" s="595"/>
      <c r="F991" s="595"/>
      <c r="G991" s="595"/>
      <c r="H991" s="595"/>
      <c r="I991" s="595"/>
      <c r="J991" s="595"/>
      <c r="K991" s="595"/>
      <c r="L991" s="595"/>
      <c r="M991" s="595"/>
      <c r="N991" s="595"/>
      <c r="O991" s="595"/>
      <c r="P991" s="595"/>
      <c r="Q991" s="595"/>
      <c r="R991" s="595"/>
      <c r="S991" s="595"/>
      <c r="T991" s="595"/>
      <c r="U991" s="595"/>
      <c r="V991" s="595"/>
      <c r="W991" s="595"/>
      <c r="X991" s="595"/>
      <c r="Y991" s="595"/>
      <c r="Z991" s="595"/>
    </row>
    <row r="992" spans="1:26" ht="19.5" customHeight="1">
      <c r="A992" s="595"/>
      <c r="B992" s="595"/>
      <c r="C992" s="596"/>
      <c r="D992" s="595"/>
      <c r="E992" s="595"/>
      <c r="F992" s="595"/>
      <c r="G992" s="595"/>
      <c r="H992" s="595"/>
      <c r="I992" s="595"/>
      <c r="J992" s="595"/>
      <c r="K992" s="595"/>
      <c r="L992" s="595"/>
      <c r="M992" s="595"/>
      <c r="N992" s="595"/>
      <c r="O992" s="595"/>
      <c r="P992" s="595"/>
      <c r="Q992" s="595"/>
      <c r="R992" s="595"/>
      <c r="S992" s="595"/>
      <c r="T992" s="595"/>
      <c r="U992" s="595"/>
      <c r="V992" s="595"/>
      <c r="W992" s="595"/>
      <c r="X992" s="595"/>
      <c r="Y992" s="595"/>
      <c r="Z992" s="595"/>
    </row>
    <row r="993" spans="1:26" ht="19.5" customHeight="1">
      <c r="A993" s="595"/>
      <c r="B993" s="595"/>
      <c r="C993" s="596"/>
      <c r="D993" s="595"/>
      <c r="E993" s="595"/>
      <c r="F993" s="595"/>
      <c r="G993" s="595"/>
      <c r="H993" s="595"/>
      <c r="I993" s="595"/>
      <c r="J993" s="595"/>
      <c r="K993" s="595"/>
      <c r="L993" s="595"/>
      <c r="M993" s="595"/>
      <c r="N993" s="595"/>
      <c r="O993" s="595"/>
      <c r="P993" s="595"/>
      <c r="Q993" s="595"/>
      <c r="R993" s="595"/>
      <c r="S993" s="595"/>
      <c r="T993" s="595"/>
      <c r="U993" s="595"/>
      <c r="V993" s="595"/>
      <c r="W993" s="595"/>
      <c r="X993" s="595"/>
      <c r="Y993" s="595"/>
      <c r="Z993" s="595"/>
    </row>
    <row r="994" spans="1:26" ht="19.5" customHeight="1">
      <c r="A994" s="595"/>
      <c r="B994" s="595"/>
      <c r="C994" s="596"/>
      <c r="D994" s="595"/>
      <c r="E994" s="595"/>
      <c r="F994" s="595"/>
      <c r="G994" s="595"/>
      <c r="H994" s="595"/>
      <c r="I994" s="595"/>
      <c r="J994" s="595"/>
      <c r="K994" s="595"/>
      <c r="L994" s="595"/>
      <c r="M994" s="595"/>
      <c r="N994" s="595"/>
      <c r="O994" s="595"/>
      <c r="P994" s="595"/>
      <c r="Q994" s="595"/>
      <c r="R994" s="595"/>
      <c r="S994" s="595"/>
      <c r="T994" s="595"/>
      <c r="U994" s="595"/>
      <c r="V994" s="595"/>
      <c r="W994" s="595"/>
      <c r="X994" s="595"/>
      <c r="Y994" s="595"/>
      <c r="Z994" s="595"/>
    </row>
    <row r="995" spans="1:26" ht="19.5" customHeight="1">
      <c r="A995" s="595"/>
      <c r="B995" s="595"/>
      <c r="C995" s="596"/>
      <c r="D995" s="595"/>
      <c r="E995" s="595"/>
      <c r="F995" s="595"/>
      <c r="G995" s="595"/>
      <c r="H995" s="595"/>
      <c r="I995" s="595"/>
      <c r="J995" s="595"/>
      <c r="K995" s="595"/>
      <c r="L995" s="595"/>
      <c r="M995" s="595"/>
      <c r="N995" s="595"/>
      <c r="O995" s="595"/>
      <c r="P995" s="595"/>
      <c r="Q995" s="595"/>
      <c r="R995" s="595"/>
      <c r="S995" s="595"/>
      <c r="T995" s="595"/>
      <c r="U995" s="595"/>
      <c r="V995" s="595"/>
      <c r="W995" s="595"/>
      <c r="X995" s="595"/>
      <c r="Y995" s="595"/>
      <c r="Z995" s="595"/>
    </row>
    <row r="996" spans="1:26" ht="19.5" customHeight="1">
      <c r="A996" s="595"/>
      <c r="B996" s="595"/>
      <c r="C996" s="596"/>
      <c r="D996" s="595"/>
      <c r="E996" s="595"/>
      <c r="F996" s="595"/>
      <c r="G996" s="595"/>
      <c r="H996" s="595"/>
      <c r="I996" s="595"/>
      <c r="J996" s="595"/>
      <c r="K996" s="595"/>
      <c r="L996" s="595"/>
      <c r="M996" s="595"/>
      <c r="N996" s="595"/>
      <c r="O996" s="595"/>
      <c r="P996" s="595"/>
      <c r="Q996" s="595"/>
      <c r="R996" s="595"/>
      <c r="S996" s="595"/>
      <c r="T996" s="595"/>
      <c r="U996" s="595"/>
      <c r="V996" s="595"/>
      <c r="W996" s="595"/>
      <c r="X996" s="595"/>
      <c r="Y996" s="595"/>
      <c r="Z996" s="595"/>
    </row>
    <row r="997" spans="1:26" ht="19.5" customHeight="1">
      <c r="A997" s="595"/>
      <c r="B997" s="595"/>
      <c r="C997" s="596"/>
      <c r="D997" s="595"/>
      <c r="E997" s="595"/>
      <c r="F997" s="595"/>
      <c r="G997" s="595"/>
      <c r="H997" s="595"/>
      <c r="I997" s="595"/>
      <c r="J997" s="595"/>
      <c r="K997" s="595"/>
      <c r="L997" s="595"/>
      <c r="M997" s="595"/>
      <c r="N997" s="595"/>
      <c r="O997" s="595"/>
      <c r="P997" s="595"/>
      <c r="Q997" s="595"/>
      <c r="R997" s="595"/>
      <c r="S997" s="595"/>
      <c r="T997" s="595"/>
      <c r="U997" s="595"/>
      <c r="V997" s="595"/>
      <c r="W997" s="595"/>
      <c r="X997" s="595"/>
      <c r="Y997" s="595"/>
      <c r="Z997" s="595"/>
    </row>
    <row r="998" spans="1:26" ht="19.5" customHeight="1">
      <c r="A998" s="595"/>
      <c r="B998" s="595"/>
      <c r="C998" s="596"/>
      <c r="D998" s="595"/>
      <c r="E998" s="595"/>
      <c r="F998" s="595"/>
      <c r="G998" s="595"/>
      <c r="H998" s="595"/>
      <c r="I998" s="595"/>
      <c r="J998" s="595"/>
      <c r="K998" s="595"/>
      <c r="L998" s="595"/>
      <c r="M998" s="595"/>
      <c r="N998" s="595"/>
      <c r="O998" s="595"/>
      <c r="P998" s="595"/>
      <c r="Q998" s="595"/>
      <c r="R998" s="595"/>
      <c r="S998" s="595"/>
      <c r="T998" s="595"/>
      <c r="U998" s="595"/>
      <c r="V998" s="595"/>
      <c r="W998" s="595"/>
      <c r="X998" s="595"/>
      <c r="Y998" s="595"/>
      <c r="Z998" s="595"/>
    </row>
    <row r="999" spans="1:26" ht="19.5" customHeight="1">
      <c r="A999" s="595"/>
      <c r="B999" s="595"/>
      <c r="C999" s="596"/>
      <c r="D999" s="595"/>
      <c r="E999" s="595"/>
      <c r="F999" s="595"/>
      <c r="G999" s="595"/>
      <c r="H999" s="595"/>
      <c r="I999" s="595"/>
      <c r="J999" s="595"/>
      <c r="K999" s="595"/>
      <c r="L999" s="595"/>
      <c r="M999" s="595"/>
      <c r="N999" s="595"/>
      <c r="O999" s="595"/>
      <c r="P999" s="595"/>
      <c r="Q999" s="595"/>
      <c r="R999" s="595"/>
      <c r="S999" s="595"/>
      <c r="T999" s="595"/>
      <c r="U999" s="595"/>
      <c r="V999" s="595"/>
      <c r="W999" s="595"/>
      <c r="X999" s="595"/>
      <c r="Y999" s="595"/>
      <c r="Z999" s="595"/>
    </row>
    <row r="1000" spans="1:26" ht="19.5" customHeight="1">
      <c r="A1000" s="595"/>
      <c r="B1000" s="595"/>
      <c r="C1000" s="596"/>
      <c r="D1000" s="595"/>
      <c r="E1000" s="595"/>
      <c r="F1000" s="595"/>
      <c r="G1000" s="595"/>
      <c r="H1000" s="595"/>
      <c r="I1000" s="595"/>
      <c r="J1000" s="595"/>
      <c r="K1000" s="595"/>
      <c r="L1000" s="595"/>
      <c r="M1000" s="595"/>
      <c r="N1000" s="595"/>
      <c r="O1000" s="595"/>
      <c r="P1000" s="595"/>
      <c r="Q1000" s="595"/>
      <c r="R1000" s="595"/>
      <c r="S1000" s="595"/>
      <c r="T1000" s="595"/>
      <c r="U1000" s="595"/>
      <c r="V1000" s="595"/>
      <c r="W1000" s="595"/>
      <c r="X1000" s="595"/>
      <c r="Y1000" s="595"/>
      <c r="Z1000" s="595"/>
    </row>
  </sheetData>
  <mergeCells count="36">
    <mergeCell ref="E72:E73"/>
    <mergeCell ref="B97:B98"/>
    <mergeCell ref="B99:B103"/>
    <mergeCell ref="B104:B122"/>
    <mergeCell ref="B123:B145"/>
    <mergeCell ref="E99:E103"/>
    <mergeCell ref="E104:E122"/>
    <mergeCell ref="E123:E145"/>
    <mergeCell ref="B72:B76"/>
    <mergeCell ref="C72:C74"/>
    <mergeCell ref="B77:B83"/>
    <mergeCell ref="B84:C84"/>
    <mergeCell ref="B86:B92"/>
    <mergeCell ref="B93:C93"/>
    <mergeCell ref="E97:E98"/>
    <mergeCell ref="B66:C66"/>
    <mergeCell ref="B68:C68"/>
    <mergeCell ref="B69:C70"/>
    <mergeCell ref="E69:E70"/>
    <mergeCell ref="B71:C71"/>
    <mergeCell ref="D32:F32"/>
    <mergeCell ref="D33:F33"/>
    <mergeCell ref="F52:F53"/>
    <mergeCell ref="F54:F58"/>
    <mergeCell ref="B64:E64"/>
    <mergeCell ref="D25:F25"/>
    <mergeCell ref="D26:F26"/>
    <mergeCell ref="D28:F28"/>
    <mergeCell ref="D29:F29"/>
    <mergeCell ref="D30:F30"/>
    <mergeCell ref="B8:F8"/>
    <mergeCell ref="C13:D13"/>
    <mergeCell ref="D21:F21"/>
    <mergeCell ref="D22:F22"/>
    <mergeCell ref="B23:B24"/>
    <mergeCell ref="D23:F24"/>
  </mergeCells>
  <phoneticPr fontId="102" type="noConversion"/>
  <pageMargins left="0.70866141732283472" right="0.70866141732283472" top="0.74803149606299213" bottom="0.74803149606299213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193"/>
  <sheetViews>
    <sheetView zoomScale="85" zoomScaleNormal="85" workbookViewId="0">
      <selection activeCell="H58" sqref="H58"/>
    </sheetView>
  </sheetViews>
  <sheetFormatPr defaultColWidth="14.453125" defaultRowHeight="15" customHeight="1"/>
  <cols>
    <col min="1" max="1" width="5.453125" style="935" customWidth="1"/>
    <col min="2" max="2" width="18" style="935" customWidth="1"/>
    <col min="3" max="3" width="14.453125" style="935" customWidth="1"/>
    <col min="4" max="5" width="13.54296875" style="935" customWidth="1"/>
    <col min="6" max="6" width="15.54296875" style="935" customWidth="1"/>
    <col min="7" max="7" width="17.1796875" style="935" customWidth="1"/>
    <col min="8" max="8" width="14.1796875" style="935" customWidth="1"/>
    <col min="9" max="10" width="12.54296875" style="935" customWidth="1"/>
    <col min="11" max="14" width="8.54296875" style="935" customWidth="1"/>
    <col min="15" max="15" width="10.1796875" style="935" bestFit="1" customWidth="1"/>
    <col min="16" max="17" width="8.54296875" style="935" customWidth="1"/>
    <col min="18" max="18" width="14.1796875" style="935" customWidth="1"/>
    <col min="19" max="26" width="8.54296875" style="935" customWidth="1"/>
    <col min="27" max="16384" width="14.453125" style="935"/>
  </cols>
  <sheetData>
    <row r="1" spans="1:26" ht="16.5" customHeight="1">
      <c r="A1" s="1089" t="s">
        <v>645</v>
      </c>
      <c r="B1" s="1023"/>
      <c r="C1" s="1023"/>
      <c r="D1" s="1023"/>
      <c r="E1" s="1023"/>
      <c r="F1" s="1023"/>
      <c r="G1" s="1023"/>
      <c r="H1" s="1023"/>
      <c r="I1" s="1023"/>
      <c r="J1" s="1023"/>
      <c r="K1" s="1023"/>
      <c r="L1" s="1023"/>
      <c r="M1" s="1023"/>
      <c r="N1" s="1023"/>
      <c r="O1" s="1023"/>
      <c r="P1" s="1023"/>
      <c r="Q1" s="1023"/>
      <c r="R1" s="1023"/>
      <c r="S1" s="1023"/>
      <c r="T1" s="934"/>
      <c r="U1" s="934"/>
      <c r="V1" s="934"/>
      <c r="W1" s="934"/>
      <c r="X1" s="934"/>
      <c r="Y1" s="934"/>
      <c r="Z1" s="934"/>
    </row>
    <row r="2" spans="1:26" ht="16.5" customHeight="1" thickBot="1">
      <c r="A2" s="1023"/>
      <c r="B2" s="1089"/>
      <c r="C2" s="1023"/>
      <c r="D2" s="1023"/>
      <c r="E2" s="1023"/>
      <c r="F2" s="1023"/>
      <c r="G2" s="1023" t="s">
        <v>646</v>
      </c>
      <c r="H2" s="1077"/>
      <c r="I2" s="1022"/>
      <c r="J2" s="1023"/>
      <c r="K2" s="1023"/>
      <c r="L2" s="1023"/>
      <c r="M2" s="1023"/>
      <c r="N2" s="1023"/>
      <c r="O2" s="1023"/>
      <c r="P2" s="1023"/>
      <c r="Q2" s="1023"/>
      <c r="R2" s="1023"/>
      <c r="S2" s="1023"/>
      <c r="T2" s="934"/>
      <c r="U2" s="934"/>
      <c r="V2" s="934"/>
      <c r="W2" s="934"/>
      <c r="X2" s="934"/>
      <c r="Y2" s="934"/>
      <c r="Z2" s="934"/>
    </row>
    <row r="3" spans="1:26" ht="16.5" customHeight="1" thickBot="1">
      <c r="A3" s="1694" t="s">
        <v>647</v>
      </c>
      <c r="B3" s="1696" t="s">
        <v>648</v>
      </c>
      <c r="C3" s="1698" t="s">
        <v>649</v>
      </c>
      <c r="D3" s="1699"/>
      <c r="E3" s="1698" t="s">
        <v>650</v>
      </c>
      <c r="F3" s="1699"/>
      <c r="G3" s="1696" t="s">
        <v>651</v>
      </c>
      <c r="H3" s="1692" t="s">
        <v>343</v>
      </c>
      <c r="I3" s="1023"/>
      <c r="J3" s="1023"/>
      <c r="K3" s="1023"/>
      <c r="L3" s="1683" t="s">
        <v>652</v>
      </c>
      <c r="M3" s="1684"/>
      <c r="N3" s="1684"/>
      <c r="O3" s="1684"/>
      <c r="P3" s="1684"/>
      <c r="Q3" s="1684"/>
      <c r="R3" s="1684"/>
      <c r="S3" s="1685"/>
      <c r="T3" s="934"/>
      <c r="U3" s="934"/>
      <c r="V3" s="934"/>
      <c r="W3" s="934"/>
      <c r="X3" s="934"/>
      <c r="Y3" s="934"/>
      <c r="Z3" s="934"/>
    </row>
    <row r="4" spans="1:26" ht="16.5" customHeight="1">
      <c r="A4" s="1695"/>
      <c r="B4" s="1697"/>
      <c r="C4" s="1088" t="s">
        <v>106</v>
      </c>
      <c r="D4" s="1088" t="s">
        <v>199</v>
      </c>
      <c r="E4" s="1088" t="s">
        <v>653</v>
      </c>
      <c r="F4" s="1087" t="s">
        <v>654</v>
      </c>
      <c r="G4" s="1700"/>
      <c r="H4" s="1693"/>
      <c r="I4" s="1023"/>
      <c r="J4" s="1023"/>
      <c r="K4" s="1023"/>
      <c r="L4" s="1686" t="s">
        <v>655</v>
      </c>
      <c r="M4" s="1688" t="s">
        <v>648</v>
      </c>
      <c r="N4" s="1690" t="s">
        <v>649</v>
      </c>
      <c r="O4" s="1691"/>
      <c r="P4" s="1690" t="s">
        <v>650</v>
      </c>
      <c r="Q4" s="1691"/>
      <c r="R4" s="1688" t="s">
        <v>651</v>
      </c>
      <c r="S4" s="1681" t="s">
        <v>343</v>
      </c>
      <c r="T4" s="934"/>
      <c r="U4" s="934"/>
      <c r="V4" s="934"/>
      <c r="W4" s="934"/>
      <c r="X4" s="934"/>
      <c r="Y4" s="934"/>
      <c r="Z4" s="934"/>
    </row>
    <row r="5" spans="1:26" ht="16.5" customHeight="1">
      <c r="A5" s="1073">
        <v>1</v>
      </c>
      <c r="B5" s="1073" t="s">
        <v>656</v>
      </c>
      <c r="C5" s="1072">
        <v>106.1</v>
      </c>
      <c r="D5" s="1071">
        <f t="shared" ref="D5:D68" si="0">C5*0.3025</f>
        <v>32.09525</v>
      </c>
      <c r="E5" s="1086">
        <f>(6909000*1.25)/1000</f>
        <v>8636.25</v>
      </c>
      <c r="F5" s="1069">
        <f t="shared" ref="F5:F68" si="1">E5/0.3025</f>
        <v>28549.586776859505</v>
      </c>
      <c r="G5" s="1069">
        <f t="shared" ref="G5:G68" si="2">C5*E5</f>
        <v>916306.125</v>
      </c>
      <c r="H5" s="1076">
        <f>C680</f>
        <v>761</v>
      </c>
      <c r="I5" s="1023"/>
      <c r="J5" s="1023"/>
      <c r="K5" s="1023"/>
      <c r="L5" s="1687"/>
      <c r="M5" s="1689"/>
      <c r="N5" s="1085" t="s">
        <v>106</v>
      </c>
      <c r="O5" s="1084" t="s">
        <v>199</v>
      </c>
      <c r="P5" s="1084" t="s">
        <v>653</v>
      </c>
      <c r="Q5" s="1084" t="s">
        <v>654</v>
      </c>
      <c r="R5" s="1689"/>
      <c r="S5" s="1682"/>
      <c r="T5" s="934"/>
      <c r="U5" s="934"/>
      <c r="V5" s="934"/>
      <c r="W5" s="934"/>
      <c r="X5" s="934"/>
      <c r="Y5" s="934"/>
      <c r="Z5" s="934"/>
    </row>
    <row r="6" spans="1:26" ht="16.5" customHeight="1">
      <c r="A6" s="1073">
        <v>2</v>
      </c>
      <c r="B6" s="1073" t="s">
        <v>657</v>
      </c>
      <c r="C6" s="1072">
        <v>129.30000000000001</v>
      </c>
      <c r="D6" s="1071">
        <f t="shared" si="0"/>
        <v>39.113250000000001</v>
      </c>
      <c r="E6" s="1070">
        <f>(6835000*1.25)/1000</f>
        <v>8543.75</v>
      </c>
      <c r="F6" s="1069">
        <f t="shared" si="1"/>
        <v>28243.801652892562</v>
      </c>
      <c r="G6" s="1069">
        <f t="shared" si="2"/>
        <v>1104706.875</v>
      </c>
      <c r="H6" s="1076">
        <f>C72</f>
        <v>89.2</v>
      </c>
      <c r="I6" s="1023"/>
      <c r="J6" s="1023"/>
      <c r="K6" s="1023"/>
      <c r="L6" s="1083">
        <v>1</v>
      </c>
      <c r="M6" s="1082" t="s">
        <v>658</v>
      </c>
      <c r="N6" s="1081" t="s">
        <v>659</v>
      </c>
      <c r="O6" s="1080">
        <v>450.57</v>
      </c>
      <c r="P6" s="1079">
        <v>11170</v>
      </c>
      <c r="Q6" s="1069">
        <v>36926</v>
      </c>
      <c r="R6" s="1069">
        <v>16637715</v>
      </c>
      <c r="S6" s="1078">
        <v>4897</v>
      </c>
      <c r="T6" s="934"/>
      <c r="U6" s="934"/>
      <c r="V6" s="934"/>
      <c r="W6" s="934"/>
      <c r="X6" s="934"/>
      <c r="Y6" s="934"/>
      <c r="Z6" s="934"/>
    </row>
    <row r="7" spans="1:26" ht="16.5" customHeight="1">
      <c r="A7" s="1073">
        <v>3</v>
      </c>
      <c r="B7" s="1073" t="s">
        <v>660</v>
      </c>
      <c r="C7" s="1072">
        <v>120.2</v>
      </c>
      <c r="D7" s="1071">
        <f t="shared" si="0"/>
        <v>36.360500000000002</v>
      </c>
      <c r="E7" s="1070">
        <f>(3676000*1.25)/1000</f>
        <v>4595</v>
      </c>
      <c r="F7" s="1069">
        <f t="shared" si="1"/>
        <v>15190.082644628099</v>
      </c>
      <c r="G7" s="1069">
        <f t="shared" si="2"/>
        <v>552319</v>
      </c>
      <c r="H7" s="1076">
        <f>C87</f>
        <v>89</v>
      </c>
      <c r="I7" s="1023"/>
      <c r="J7" s="1077"/>
      <c r="K7" s="1023"/>
      <c r="L7" s="1023"/>
      <c r="M7" s="1023"/>
      <c r="N7" s="1023"/>
      <c r="O7" s="1023"/>
      <c r="P7" s="1023"/>
      <c r="Q7" s="1023"/>
      <c r="R7" s="1023"/>
      <c r="S7" s="1023"/>
      <c r="T7" s="934"/>
      <c r="U7" s="934"/>
      <c r="V7" s="934"/>
      <c r="W7" s="934"/>
      <c r="X7" s="934"/>
      <c r="Y7" s="934"/>
      <c r="Z7" s="934"/>
    </row>
    <row r="8" spans="1:26" ht="16.5" customHeight="1">
      <c r="A8" s="1073">
        <v>4</v>
      </c>
      <c r="B8" s="1073" t="s">
        <v>661</v>
      </c>
      <c r="C8" s="1072">
        <v>109.6</v>
      </c>
      <c r="D8" s="1071">
        <f t="shared" si="0"/>
        <v>33.153999999999996</v>
      </c>
      <c r="E8" s="1070">
        <f>(3572000*1.25)/1000</f>
        <v>4465</v>
      </c>
      <c r="F8" s="1069">
        <f t="shared" si="1"/>
        <v>14760.330578512398</v>
      </c>
      <c r="G8" s="1069">
        <f t="shared" si="2"/>
        <v>489364</v>
      </c>
      <c r="H8" s="1076">
        <f>C102</f>
        <v>91.9</v>
      </c>
      <c r="I8" s="1023"/>
      <c r="J8" s="1023"/>
      <c r="K8" s="1023"/>
      <c r="L8" s="1023"/>
      <c r="M8" s="1023"/>
      <c r="N8" s="1023"/>
      <c r="O8" s="1023"/>
      <c r="P8" s="1023"/>
      <c r="Q8" s="1023"/>
      <c r="R8" s="1023"/>
      <c r="S8" s="1023"/>
      <c r="T8" s="934"/>
      <c r="U8" s="934"/>
      <c r="V8" s="934"/>
      <c r="W8" s="934"/>
      <c r="X8" s="934"/>
      <c r="Y8" s="934"/>
      <c r="Z8" s="934"/>
    </row>
    <row r="9" spans="1:26" ht="16.5" customHeight="1">
      <c r="A9" s="1073">
        <v>5</v>
      </c>
      <c r="B9" s="1073" t="s">
        <v>662</v>
      </c>
      <c r="C9" s="1072">
        <v>93.5</v>
      </c>
      <c r="D9" s="1071">
        <f t="shared" si="0"/>
        <v>28.283749999999998</v>
      </c>
      <c r="E9" s="1070">
        <f>(4710000*1.25)/1000</f>
        <v>5887.5</v>
      </c>
      <c r="F9" s="1069">
        <f t="shared" si="1"/>
        <v>19462.809917355371</v>
      </c>
      <c r="G9" s="1069">
        <f t="shared" si="2"/>
        <v>550481.25</v>
      </c>
      <c r="H9" s="1076">
        <f>C117</f>
        <v>87.5</v>
      </c>
      <c r="I9" s="1023"/>
      <c r="J9" s="1023"/>
      <c r="K9" s="1023"/>
      <c r="L9" s="1023"/>
      <c r="M9" s="1023"/>
      <c r="N9" s="1023"/>
      <c r="O9" s="1023"/>
      <c r="P9" s="1023"/>
      <c r="Q9" s="1023"/>
      <c r="R9" s="1023"/>
      <c r="S9" s="1023"/>
      <c r="T9" s="934"/>
      <c r="U9" s="934"/>
      <c r="V9" s="934"/>
      <c r="W9" s="934"/>
      <c r="X9" s="934"/>
      <c r="Y9" s="934"/>
      <c r="Z9" s="934"/>
    </row>
    <row r="10" spans="1:26" ht="16.5" customHeight="1">
      <c r="A10" s="1073">
        <v>6</v>
      </c>
      <c r="B10" s="1073" t="s">
        <v>663</v>
      </c>
      <c r="C10" s="1072">
        <v>90.3</v>
      </c>
      <c r="D10" s="1071">
        <f t="shared" si="0"/>
        <v>27.315749999999998</v>
      </c>
      <c r="E10" s="1070">
        <f>(3640000*1.25)/1000</f>
        <v>4550</v>
      </c>
      <c r="F10" s="1069">
        <f t="shared" si="1"/>
        <v>15041.322314049587</v>
      </c>
      <c r="G10" s="1069">
        <f t="shared" si="2"/>
        <v>410865</v>
      </c>
      <c r="H10" s="1076">
        <f>C132</f>
        <v>91</v>
      </c>
      <c r="I10" s="1023"/>
      <c r="J10" s="1023"/>
      <c r="K10" s="1023"/>
      <c r="L10" s="1023"/>
      <c r="M10" s="1023"/>
      <c r="N10" s="1023"/>
      <c r="O10" s="1023"/>
      <c r="P10" s="1023"/>
      <c r="Q10" s="1023"/>
      <c r="R10" s="1023"/>
      <c r="S10" s="1023"/>
      <c r="T10" s="934"/>
      <c r="U10" s="934"/>
      <c r="V10" s="934"/>
      <c r="W10" s="934"/>
      <c r="X10" s="934"/>
      <c r="Y10" s="934"/>
      <c r="Z10" s="934"/>
    </row>
    <row r="11" spans="1:26" ht="16.5" customHeight="1">
      <c r="A11" s="1073">
        <v>7</v>
      </c>
      <c r="B11" s="1073" t="s">
        <v>664</v>
      </c>
      <c r="C11" s="1072">
        <v>86.2</v>
      </c>
      <c r="D11" s="1071">
        <f t="shared" si="0"/>
        <v>26.075500000000002</v>
      </c>
      <c r="E11" s="1070">
        <f>(3640000*1.25)/1000</f>
        <v>4550</v>
      </c>
      <c r="F11" s="1069">
        <f t="shared" si="1"/>
        <v>15041.322314049587</v>
      </c>
      <c r="G11" s="1069">
        <f t="shared" si="2"/>
        <v>392210</v>
      </c>
      <c r="H11" s="1076">
        <f>C147</f>
        <v>85.7</v>
      </c>
      <c r="I11" s="1023"/>
      <c r="J11" s="1023"/>
      <c r="K11" s="1023"/>
      <c r="L11" s="1023"/>
      <c r="M11" s="1023"/>
      <c r="N11" s="1023"/>
      <c r="O11" s="1023"/>
      <c r="P11" s="1023"/>
      <c r="Q11" s="1023"/>
      <c r="R11" s="1023"/>
      <c r="S11" s="1023"/>
      <c r="T11" s="934"/>
      <c r="U11" s="934"/>
      <c r="V11" s="934"/>
      <c r="W11" s="934"/>
      <c r="X11" s="934"/>
      <c r="Y11" s="934"/>
      <c r="Z11" s="934"/>
    </row>
    <row r="12" spans="1:26" ht="16.5" customHeight="1">
      <c r="A12" s="1073">
        <v>8</v>
      </c>
      <c r="B12" s="1073" t="s">
        <v>665</v>
      </c>
      <c r="C12" s="1072">
        <v>89.1</v>
      </c>
      <c r="D12" s="1071">
        <f t="shared" si="0"/>
        <v>26.952749999999998</v>
      </c>
      <c r="E12" s="1070">
        <f>(3640000*1.25)/1000</f>
        <v>4550</v>
      </c>
      <c r="F12" s="1069">
        <f t="shared" si="1"/>
        <v>15041.322314049587</v>
      </c>
      <c r="G12" s="1069">
        <f t="shared" si="2"/>
        <v>405405</v>
      </c>
      <c r="H12" s="1076">
        <f>C162</f>
        <v>90.9</v>
      </c>
      <c r="I12" s="1023"/>
      <c r="J12" s="1023"/>
      <c r="K12" s="1023"/>
      <c r="L12" s="1023"/>
      <c r="M12" s="1023"/>
      <c r="N12" s="1023"/>
      <c r="O12" s="1023"/>
      <c r="P12" s="1023"/>
      <c r="Q12" s="1023"/>
      <c r="R12" s="1023"/>
      <c r="S12" s="1023"/>
      <c r="T12" s="934"/>
      <c r="U12" s="934"/>
      <c r="V12" s="934"/>
      <c r="W12" s="934"/>
      <c r="X12" s="934"/>
      <c r="Y12" s="934"/>
      <c r="Z12" s="934"/>
    </row>
    <row r="13" spans="1:26" ht="16.5" customHeight="1">
      <c r="A13" s="1073">
        <v>9</v>
      </c>
      <c r="B13" s="1073" t="s">
        <v>666</v>
      </c>
      <c r="C13" s="1072">
        <v>87.4</v>
      </c>
      <c r="D13" s="1071">
        <f t="shared" si="0"/>
        <v>26.438500000000001</v>
      </c>
      <c r="E13" s="1070">
        <f>(3640000*1.25)/1000</f>
        <v>4550</v>
      </c>
      <c r="F13" s="1069">
        <f t="shared" si="1"/>
        <v>15041.322314049587</v>
      </c>
      <c r="G13" s="1069">
        <f t="shared" si="2"/>
        <v>397670</v>
      </c>
      <c r="H13" s="1076">
        <f>C177</f>
        <v>88.3</v>
      </c>
      <c r="I13" s="1023"/>
      <c r="J13" s="1023"/>
      <c r="K13" s="1023"/>
      <c r="L13" s="1023"/>
      <c r="M13" s="1023"/>
      <c r="N13" s="1023"/>
      <c r="O13" s="1023"/>
      <c r="P13" s="1023"/>
      <c r="Q13" s="1023"/>
      <c r="R13" s="1023"/>
      <c r="S13" s="1023"/>
      <c r="T13" s="934"/>
      <c r="U13" s="934"/>
      <c r="V13" s="934"/>
      <c r="W13" s="934"/>
      <c r="X13" s="934"/>
      <c r="Y13" s="934"/>
      <c r="Z13" s="934"/>
    </row>
    <row r="14" spans="1:26" ht="16.5" customHeight="1">
      <c r="A14" s="1073">
        <v>10</v>
      </c>
      <c r="B14" s="1073" t="s">
        <v>667</v>
      </c>
      <c r="C14" s="1072">
        <v>102.1</v>
      </c>
      <c r="D14" s="1071">
        <f t="shared" si="0"/>
        <v>30.885249999999996</v>
      </c>
      <c r="E14" s="1070">
        <f>(6835000*1.25)/1000</f>
        <v>8543.75</v>
      </c>
      <c r="F14" s="1069">
        <f t="shared" si="1"/>
        <v>28243.801652892562</v>
      </c>
      <c r="G14" s="1069">
        <f t="shared" si="2"/>
        <v>872316.875</v>
      </c>
      <c r="H14" s="1076">
        <f>C192</f>
        <v>90.1</v>
      </c>
      <c r="I14" s="1023"/>
      <c r="J14" s="1023"/>
      <c r="K14" s="1023"/>
      <c r="L14" s="1023"/>
      <c r="M14" s="1023"/>
      <c r="N14" s="1023"/>
      <c r="O14" s="1023"/>
      <c r="P14" s="1023"/>
      <c r="Q14" s="1023"/>
      <c r="R14" s="1023"/>
      <c r="S14" s="1023"/>
      <c r="T14" s="934"/>
      <c r="U14" s="934"/>
      <c r="V14" s="934"/>
      <c r="W14" s="934"/>
      <c r="X14" s="934"/>
      <c r="Y14" s="934"/>
      <c r="Z14" s="934"/>
    </row>
    <row r="15" spans="1:26" ht="16.5" customHeight="1">
      <c r="A15" s="1073">
        <v>11</v>
      </c>
      <c r="B15" s="1073" t="s">
        <v>668</v>
      </c>
      <c r="C15" s="1072">
        <v>103.7</v>
      </c>
      <c r="D15" s="1071">
        <f t="shared" si="0"/>
        <v>31.369250000000001</v>
      </c>
      <c r="E15" s="1070">
        <f>(6835000*1.25)/1000</f>
        <v>8543.75</v>
      </c>
      <c r="F15" s="1069">
        <f t="shared" si="1"/>
        <v>28243.801652892562</v>
      </c>
      <c r="G15" s="1069">
        <f t="shared" si="2"/>
        <v>885986.875</v>
      </c>
      <c r="H15" s="1076">
        <f>C207</f>
        <v>175.6</v>
      </c>
      <c r="I15" s="1023"/>
      <c r="J15" s="1023"/>
      <c r="K15" s="1023"/>
      <c r="L15" s="1023"/>
      <c r="M15" s="1023"/>
      <c r="N15" s="1023"/>
      <c r="O15" s="1023"/>
      <c r="P15" s="1023"/>
      <c r="Q15" s="1023"/>
      <c r="R15" s="1023"/>
      <c r="S15" s="1023"/>
      <c r="T15" s="934"/>
      <c r="U15" s="934"/>
      <c r="V15" s="934"/>
      <c r="W15" s="934"/>
      <c r="X15" s="934"/>
      <c r="Y15" s="934"/>
      <c r="Z15" s="934"/>
    </row>
    <row r="16" spans="1:26" ht="16.5" customHeight="1">
      <c r="A16" s="1073">
        <v>12</v>
      </c>
      <c r="B16" s="1073" t="s">
        <v>669</v>
      </c>
      <c r="C16" s="1072">
        <v>96.3</v>
      </c>
      <c r="D16" s="1071">
        <f t="shared" si="0"/>
        <v>29.130749999999999</v>
      </c>
      <c r="E16" s="1070">
        <f t="shared" ref="E16:E22" si="3">(3712000*1.25)/1000</f>
        <v>4640</v>
      </c>
      <c r="F16" s="1069">
        <f t="shared" si="1"/>
        <v>15338.842975206611</v>
      </c>
      <c r="G16" s="1069">
        <f t="shared" si="2"/>
        <v>446832</v>
      </c>
      <c r="H16" s="1076">
        <f>C222</f>
        <v>88.5</v>
      </c>
      <c r="I16" s="1023"/>
      <c r="J16" s="1023"/>
      <c r="K16" s="1023"/>
      <c r="L16" s="1023"/>
      <c r="M16" s="1023"/>
      <c r="N16" s="1023"/>
      <c r="O16" s="1023"/>
      <c r="P16" s="1023"/>
      <c r="Q16" s="1023"/>
      <c r="R16" s="1023"/>
      <c r="S16" s="1023"/>
      <c r="T16" s="934"/>
      <c r="U16" s="934"/>
      <c r="V16" s="934"/>
      <c r="W16" s="934"/>
      <c r="X16" s="934"/>
      <c r="Y16" s="934"/>
      <c r="Z16" s="934"/>
    </row>
    <row r="17" spans="1:26" ht="16.5" customHeight="1">
      <c r="A17" s="1073">
        <v>13</v>
      </c>
      <c r="B17" s="1073" t="s">
        <v>670</v>
      </c>
      <c r="C17" s="1072">
        <v>92.3</v>
      </c>
      <c r="D17" s="1071">
        <f t="shared" si="0"/>
        <v>27.920749999999998</v>
      </c>
      <c r="E17" s="1070">
        <f t="shared" si="3"/>
        <v>4640</v>
      </c>
      <c r="F17" s="1069">
        <f t="shared" si="1"/>
        <v>15338.842975206611</v>
      </c>
      <c r="G17" s="1069">
        <f t="shared" si="2"/>
        <v>428272</v>
      </c>
      <c r="H17" s="1076">
        <f>C237</f>
        <v>88.9</v>
      </c>
      <c r="I17" s="1023"/>
      <c r="J17" s="1023"/>
      <c r="K17" s="1023"/>
      <c r="L17" s="1023"/>
      <c r="M17" s="1023"/>
      <c r="N17" s="1023"/>
      <c r="O17" s="1023"/>
      <c r="P17" s="1023"/>
      <c r="Q17" s="1023"/>
      <c r="R17" s="1023"/>
      <c r="S17" s="1023"/>
      <c r="T17" s="934"/>
      <c r="U17" s="934"/>
      <c r="V17" s="934"/>
      <c r="W17" s="934"/>
      <c r="X17" s="934"/>
      <c r="Y17" s="934"/>
      <c r="Z17" s="934"/>
    </row>
    <row r="18" spans="1:26" ht="16.5" customHeight="1">
      <c r="A18" s="1073">
        <v>14</v>
      </c>
      <c r="B18" s="1073" t="s">
        <v>671</v>
      </c>
      <c r="C18" s="1072">
        <v>90.7</v>
      </c>
      <c r="D18" s="1071">
        <f t="shared" si="0"/>
        <v>27.43675</v>
      </c>
      <c r="E18" s="1070">
        <f t="shared" si="3"/>
        <v>4640</v>
      </c>
      <c r="F18" s="1069">
        <f t="shared" si="1"/>
        <v>15338.842975206611</v>
      </c>
      <c r="G18" s="1069">
        <f t="shared" si="2"/>
        <v>420848</v>
      </c>
      <c r="H18" s="1076">
        <f>C253</f>
        <v>89.4</v>
      </c>
      <c r="I18" s="1023"/>
      <c r="J18" s="1023"/>
      <c r="K18" s="1023"/>
      <c r="L18" s="1023"/>
      <c r="M18" s="1023"/>
      <c r="N18" s="1023"/>
      <c r="O18" s="1023"/>
      <c r="P18" s="1023"/>
      <c r="Q18" s="1023"/>
      <c r="R18" s="1023"/>
      <c r="S18" s="1023"/>
      <c r="T18" s="934"/>
      <c r="U18" s="934"/>
      <c r="V18" s="934"/>
      <c r="W18" s="934"/>
      <c r="X18" s="934"/>
      <c r="Y18" s="934"/>
      <c r="Z18" s="934"/>
    </row>
    <row r="19" spans="1:26" ht="16.5" customHeight="1">
      <c r="A19" s="1073">
        <v>15</v>
      </c>
      <c r="B19" s="1073" t="s">
        <v>672</v>
      </c>
      <c r="C19" s="1072">
        <v>90.2</v>
      </c>
      <c r="D19" s="1071">
        <f t="shared" si="0"/>
        <v>27.285499999999999</v>
      </c>
      <c r="E19" s="1070">
        <f t="shared" si="3"/>
        <v>4640</v>
      </c>
      <c r="F19" s="1069">
        <f t="shared" si="1"/>
        <v>15338.842975206611</v>
      </c>
      <c r="G19" s="1069">
        <f t="shared" si="2"/>
        <v>418528</v>
      </c>
      <c r="H19" s="1076">
        <f>C268</f>
        <v>87.5</v>
      </c>
      <c r="I19" s="1023"/>
      <c r="J19" s="1023"/>
      <c r="K19" s="1023"/>
      <c r="L19" s="1023"/>
      <c r="M19" s="1023"/>
      <c r="N19" s="1023"/>
      <c r="O19" s="1023"/>
      <c r="P19" s="1023"/>
      <c r="Q19" s="1023"/>
      <c r="R19" s="1023"/>
      <c r="S19" s="1023"/>
      <c r="T19" s="934"/>
      <c r="U19" s="934"/>
      <c r="V19" s="934"/>
      <c r="W19" s="934"/>
      <c r="X19" s="934"/>
      <c r="Y19" s="934"/>
      <c r="Z19" s="934"/>
    </row>
    <row r="20" spans="1:26" ht="16.5" customHeight="1">
      <c r="A20" s="1073">
        <v>16</v>
      </c>
      <c r="B20" s="1073" t="s">
        <v>673</v>
      </c>
      <c r="C20" s="1072">
        <v>89.6</v>
      </c>
      <c r="D20" s="1071">
        <f t="shared" si="0"/>
        <v>27.103999999999999</v>
      </c>
      <c r="E20" s="1070">
        <f t="shared" si="3"/>
        <v>4640</v>
      </c>
      <c r="F20" s="1069">
        <f t="shared" si="1"/>
        <v>15338.842975206611</v>
      </c>
      <c r="G20" s="1069">
        <f t="shared" si="2"/>
        <v>415744</v>
      </c>
      <c r="H20" s="1076">
        <f>C283</f>
        <v>88.7</v>
      </c>
      <c r="I20" s="1023"/>
      <c r="J20" s="1023"/>
      <c r="K20" s="1023"/>
      <c r="L20" s="1023"/>
      <c r="M20" s="1023"/>
      <c r="N20" s="1023"/>
      <c r="O20" s="1023"/>
      <c r="P20" s="1023"/>
      <c r="Q20" s="1023"/>
      <c r="R20" s="1023"/>
      <c r="S20" s="1023"/>
      <c r="T20" s="934"/>
      <c r="U20" s="934"/>
      <c r="V20" s="934"/>
      <c r="W20" s="934"/>
      <c r="X20" s="934"/>
      <c r="Y20" s="934"/>
      <c r="Z20" s="934"/>
    </row>
    <row r="21" spans="1:26" ht="16.5" customHeight="1">
      <c r="A21" s="1073">
        <v>17</v>
      </c>
      <c r="B21" s="1073" t="s">
        <v>674</v>
      </c>
      <c r="C21" s="1072">
        <v>85</v>
      </c>
      <c r="D21" s="1071">
        <f t="shared" si="0"/>
        <v>25.712499999999999</v>
      </c>
      <c r="E21" s="1070">
        <f t="shared" si="3"/>
        <v>4640</v>
      </c>
      <c r="F21" s="1069">
        <f t="shared" si="1"/>
        <v>15338.842975206611</v>
      </c>
      <c r="G21" s="1069">
        <f t="shared" si="2"/>
        <v>394400</v>
      </c>
      <c r="H21" s="1076">
        <f>C298</f>
        <v>88.2</v>
      </c>
      <c r="I21" s="1023"/>
      <c r="J21" s="1023"/>
      <c r="K21" s="1023"/>
      <c r="L21" s="1023"/>
      <c r="M21" s="1023"/>
      <c r="N21" s="1023"/>
      <c r="O21" s="1023"/>
      <c r="P21" s="1023"/>
      <c r="Q21" s="1023"/>
      <c r="R21" s="1023"/>
      <c r="S21" s="1023"/>
      <c r="T21" s="934"/>
      <c r="U21" s="934"/>
      <c r="V21" s="934"/>
      <c r="W21" s="934"/>
      <c r="X21" s="934"/>
      <c r="Y21" s="934"/>
      <c r="Z21" s="934"/>
    </row>
    <row r="22" spans="1:26" ht="16.5" customHeight="1">
      <c r="A22" s="1073">
        <v>18</v>
      </c>
      <c r="B22" s="1073" t="s">
        <v>675</v>
      </c>
      <c r="C22" s="1072">
        <v>89.3</v>
      </c>
      <c r="D22" s="1071">
        <f t="shared" si="0"/>
        <v>27.013249999999999</v>
      </c>
      <c r="E22" s="1070">
        <f t="shared" si="3"/>
        <v>4640</v>
      </c>
      <c r="F22" s="1069">
        <f t="shared" si="1"/>
        <v>15338.842975206611</v>
      </c>
      <c r="G22" s="1069">
        <f t="shared" si="2"/>
        <v>414352</v>
      </c>
      <c r="H22" s="1076">
        <f>C313</f>
        <v>89.7</v>
      </c>
      <c r="I22" s="1023"/>
      <c r="J22" s="1023"/>
      <c r="K22" s="1023"/>
      <c r="L22" s="1023"/>
      <c r="M22" s="1023"/>
      <c r="N22" s="1023"/>
      <c r="O22" s="1023"/>
      <c r="P22" s="1023"/>
      <c r="Q22" s="1023"/>
      <c r="R22" s="1023"/>
      <c r="S22" s="1023"/>
      <c r="T22" s="934"/>
      <c r="U22" s="934"/>
      <c r="V22" s="934"/>
      <c r="W22" s="934"/>
      <c r="X22" s="934"/>
      <c r="Y22" s="934"/>
      <c r="Z22" s="934"/>
    </row>
    <row r="23" spans="1:26" ht="16.5" customHeight="1">
      <c r="A23" s="1073">
        <v>19</v>
      </c>
      <c r="B23" s="1073" t="s">
        <v>676</v>
      </c>
      <c r="C23" s="1072">
        <v>109.2</v>
      </c>
      <c r="D23" s="1071">
        <f t="shared" si="0"/>
        <v>33.033000000000001</v>
      </c>
      <c r="E23" s="1070">
        <f>(3608000*1.25)/1000</f>
        <v>4510</v>
      </c>
      <c r="F23" s="1069">
        <f t="shared" si="1"/>
        <v>14909.09090909091</v>
      </c>
      <c r="G23" s="1069">
        <f t="shared" si="2"/>
        <v>492492</v>
      </c>
      <c r="H23" s="1076">
        <f>C328</f>
        <v>86.5</v>
      </c>
      <c r="I23" s="1023"/>
      <c r="J23" s="1023"/>
      <c r="K23" s="1023"/>
      <c r="L23" s="1023"/>
      <c r="M23" s="1023"/>
      <c r="N23" s="1023"/>
      <c r="O23" s="1023"/>
      <c r="P23" s="1023"/>
      <c r="Q23" s="1023"/>
      <c r="R23" s="1023"/>
      <c r="S23" s="1023"/>
      <c r="T23" s="934"/>
      <c r="U23" s="934"/>
      <c r="V23" s="934"/>
      <c r="W23" s="934"/>
      <c r="X23" s="934"/>
      <c r="Y23" s="934"/>
      <c r="Z23" s="934"/>
    </row>
    <row r="24" spans="1:26" ht="16.5" customHeight="1">
      <c r="A24" s="1073">
        <v>20</v>
      </c>
      <c r="B24" s="1073" t="s">
        <v>677</v>
      </c>
      <c r="C24" s="1072">
        <v>94</v>
      </c>
      <c r="D24" s="1071">
        <f t="shared" si="0"/>
        <v>28.434999999999999</v>
      </c>
      <c r="E24" s="1070">
        <f>(3608000*1.25)/1000</f>
        <v>4510</v>
      </c>
      <c r="F24" s="1069">
        <f t="shared" si="1"/>
        <v>14909.09090909091</v>
      </c>
      <c r="G24" s="1069">
        <f t="shared" si="2"/>
        <v>423940</v>
      </c>
      <c r="H24" s="1076">
        <f>C343</f>
        <v>90.8</v>
      </c>
      <c r="I24" s="1023"/>
      <c r="J24" s="1077"/>
      <c r="K24" s="1023"/>
      <c r="L24" s="1023"/>
      <c r="M24" s="1023"/>
      <c r="N24" s="1023"/>
      <c r="O24" s="1023"/>
      <c r="P24" s="1023"/>
      <c r="Q24" s="1023"/>
      <c r="R24" s="1023"/>
      <c r="S24" s="1023"/>
      <c r="T24" s="934"/>
      <c r="U24" s="934"/>
      <c r="V24" s="934"/>
      <c r="W24" s="934"/>
      <c r="X24" s="934"/>
      <c r="Y24" s="934"/>
      <c r="Z24" s="934"/>
    </row>
    <row r="25" spans="1:26" ht="16.5" customHeight="1">
      <c r="A25" s="1073">
        <v>21</v>
      </c>
      <c r="B25" s="1073" t="s">
        <v>678</v>
      </c>
      <c r="C25" s="1072">
        <v>142</v>
      </c>
      <c r="D25" s="1071">
        <f t="shared" si="0"/>
        <v>42.954999999999998</v>
      </c>
      <c r="E25" s="1070">
        <f>(1201000*1.25)/1000</f>
        <v>1501.25</v>
      </c>
      <c r="F25" s="1069">
        <f t="shared" si="1"/>
        <v>4962.8099173553719</v>
      </c>
      <c r="G25" s="1069">
        <f t="shared" si="2"/>
        <v>213177.5</v>
      </c>
      <c r="H25" s="1076">
        <f>C358</f>
        <v>87.8</v>
      </c>
      <c r="I25" s="1023"/>
      <c r="J25" s="1023"/>
      <c r="K25" s="1023"/>
      <c r="L25" s="1023"/>
      <c r="M25" s="1023"/>
      <c r="N25" s="1023"/>
      <c r="O25" s="1023"/>
      <c r="P25" s="1023"/>
      <c r="Q25" s="1023"/>
      <c r="R25" s="1023"/>
      <c r="S25" s="1023"/>
      <c r="T25" s="934"/>
      <c r="U25" s="934"/>
      <c r="V25" s="934"/>
      <c r="W25" s="934"/>
      <c r="X25" s="934"/>
      <c r="Y25" s="934"/>
      <c r="Z25" s="934"/>
    </row>
    <row r="26" spans="1:26" ht="16.5" customHeight="1">
      <c r="A26" s="1073">
        <v>22</v>
      </c>
      <c r="B26" s="1073" t="s">
        <v>679</v>
      </c>
      <c r="C26" s="1072">
        <v>166.2</v>
      </c>
      <c r="D26" s="1071">
        <f t="shared" si="0"/>
        <v>50.275499999999994</v>
      </c>
      <c r="E26" s="1070">
        <f>(3629000*1.25)/1000</f>
        <v>4536.25</v>
      </c>
      <c r="F26" s="1069">
        <f t="shared" si="1"/>
        <v>14995.867768595042</v>
      </c>
      <c r="G26" s="1069">
        <f t="shared" si="2"/>
        <v>753924.75</v>
      </c>
      <c r="H26" s="1076">
        <f>C373</f>
        <v>90.3</v>
      </c>
      <c r="I26" s="1023"/>
      <c r="J26" s="1023"/>
      <c r="K26" s="1023"/>
      <c r="L26" s="1023"/>
      <c r="M26" s="1023"/>
      <c r="N26" s="1023"/>
      <c r="O26" s="1023"/>
      <c r="P26" s="1023"/>
      <c r="Q26" s="1023"/>
      <c r="R26" s="1023"/>
      <c r="S26" s="1023"/>
      <c r="T26" s="934"/>
      <c r="U26" s="934"/>
      <c r="V26" s="934"/>
      <c r="W26" s="934"/>
      <c r="X26" s="934"/>
      <c r="Y26" s="934"/>
      <c r="Z26" s="934"/>
    </row>
    <row r="27" spans="1:26" ht="16.5" customHeight="1">
      <c r="A27" s="1073">
        <v>23</v>
      </c>
      <c r="B27" s="1073" t="s">
        <v>680</v>
      </c>
      <c r="C27" s="1072">
        <v>85.9</v>
      </c>
      <c r="D27" s="1071">
        <f t="shared" si="0"/>
        <v>25.984750000000002</v>
      </c>
      <c r="E27" s="1070">
        <f t="shared" ref="E27:E36" si="4">(3640000*1.25)/1000</f>
        <v>4550</v>
      </c>
      <c r="F27" s="1069">
        <f t="shared" si="1"/>
        <v>15041.322314049587</v>
      </c>
      <c r="G27" s="1069">
        <f t="shared" si="2"/>
        <v>390845</v>
      </c>
      <c r="H27" s="1068">
        <f>C388</f>
        <v>89.4</v>
      </c>
      <c r="I27" s="1023"/>
      <c r="J27" s="1023"/>
      <c r="K27" s="1023"/>
      <c r="L27" s="1023"/>
      <c r="M27" s="1023"/>
      <c r="N27" s="1023"/>
      <c r="O27" s="1023"/>
      <c r="P27" s="1023"/>
      <c r="Q27" s="1023"/>
      <c r="R27" s="1023"/>
      <c r="S27" s="1023"/>
      <c r="T27" s="934"/>
      <c r="U27" s="934"/>
      <c r="V27" s="934"/>
      <c r="W27" s="934"/>
      <c r="X27" s="934"/>
      <c r="Y27" s="934"/>
      <c r="Z27" s="934"/>
    </row>
    <row r="28" spans="1:26" ht="16.5" customHeight="1">
      <c r="A28" s="1073">
        <v>24</v>
      </c>
      <c r="B28" s="1073" t="s">
        <v>681</v>
      </c>
      <c r="C28" s="1072">
        <v>87.9</v>
      </c>
      <c r="D28" s="1071">
        <f t="shared" si="0"/>
        <v>26.589750000000002</v>
      </c>
      <c r="E28" s="1070">
        <f t="shared" si="4"/>
        <v>4550</v>
      </c>
      <c r="F28" s="1069">
        <f t="shared" si="1"/>
        <v>15041.322314049587</v>
      </c>
      <c r="G28" s="1069">
        <f t="shared" si="2"/>
        <v>399945</v>
      </c>
      <c r="H28" s="1068">
        <f>C403</f>
        <v>87.5</v>
      </c>
      <c r="I28" s="1023"/>
      <c r="J28" s="1023"/>
      <c r="K28" s="1023"/>
      <c r="L28" s="1023"/>
      <c r="M28" s="1023"/>
      <c r="N28" s="1023"/>
      <c r="O28" s="1023"/>
      <c r="P28" s="1023"/>
      <c r="Q28" s="1023"/>
      <c r="R28" s="1023"/>
      <c r="S28" s="1023"/>
      <c r="T28" s="934"/>
      <c r="U28" s="934"/>
      <c r="V28" s="934"/>
      <c r="W28" s="934"/>
      <c r="X28" s="934"/>
      <c r="Y28" s="934"/>
      <c r="Z28" s="934"/>
    </row>
    <row r="29" spans="1:26" ht="16.5" customHeight="1">
      <c r="A29" s="1073">
        <v>25</v>
      </c>
      <c r="B29" s="1073" t="s">
        <v>682</v>
      </c>
      <c r="C29" s="1072">
        <v>87.2</v>
      </c>
      <c r="D29" s="1071">
        <f t="shared" si="0"/>
        <v>26.378</v>
      </c>
      <c r="E29" s="1070">
        <f t="shared" si="4"/>
        <v>4550</v>
      </c>
      <c r="F29" s="1069">
        <f t="shared" si="1"/>
        <v>15041.322314049587</v>
      </c>
      <c r="G29" s="1069">
        <f t="shared" si="2"/>
        <v>396760</v>
      </c>
      <c r="H29" s="1068">
        <f>C418</f>
        <v>88.1</v>
      </c>
      <c r="I29" s="1023"/>
      <c r="J29" s="1023"/>
      <c r="K29" s="1023"/>
      <c r="L29" s="1023"/>
      <c r="M29" s="1023"/>
      <c r="N29" s="1023"/>
      <c r="O29" s="1023"/>
      <c r="P29" s="1023"/>
      <c r="Q29" s="1023"/>
      <c r="R29" s="1023"/>
      <c r="S29" s="1023"/>
      <c r="T29" s="934"/>
      <c r="U29" s="934"/>
      <c r="V29" s="934"/>
      <c r="W29" s="934"/>
      <c r="X29" s="934"/>
      <c r="Y29" s="934"/>
      <c r="Z29" s="934"/>
    </row>
    <row r="30" spans="1:26" ht="16.5" customHeight="1">
      <c r="A30" s="1073">
        <v>26</v>
      </c>
      <c r="B30" s="1073" t="s">
        <v>683</v>
      </c>
      <c r="C30" s="1072">
        <v>87</v>
      </c>
      <c r="D30" s="1071">
        <f t="shared" si="0"/>
        <v>26.317499999999999</v>
      </c>
      <c r="E30" s="1070">
        <f t="shared" si="4"/>
        <v>4550</v>
      </c>
      <c r="F30" s="1069">
        <f t="shared" si="1"/>
        <v>15041.322314049587</v>
      </c>
      <c r="G30" s="1069">
        <f t="shared" si="2"/>
        <v>395850</v>
      </c>
      <c r="H30" s="1068">
        <f>C433</f>
        <v>87.6</v>
      </c>
      <c r="I30" s="1023"/>
      <c r="J30" s="1023"/>
      <c r="K30" s="1023"/>
      <c r="L30" s="1023"/>
      <c r="M30" s="1023"/>
      <c r="N30" s="1023"/>
      <c r="O30" s="1023"/>
      <c r="P30" s="1023"/>
      <c r="Q30" s="1023"/>
      <c r="R30" s="1023"/>
      <c r="S30" s="1023"/>
      <c r="T30" s="934"/>
      <c r="U30" s="934"/>
      <c r="V30" s="934"/>
      <c r="W30" s="934"/>
      <c r="X30" s="934"/>
      <c r="Y30" s="934"/>
      <c r="Z30" s="934"/>
    </row>
    <row r="31" spans="1:26" ht="16.5" customHeight="1">
      <c r="A31" s="1073">
        <v>27</v>
      </c>
      <c r="B31" s="1073" t="s">
        <v>684</v>
      </c>
      <c r="C31" s="1072">
        <v>91.5</v>
      </c>
      <c r="D31" s="1071">
        <f t="shared" si="0"/>
        <v>27.678750000000001</v>
      </c>
      <c r="E31" s="1070">
        <f t="shared" si="4"/>
        <v>4550</v>
      </c>
      <c r="F31" s="1069">
        <f t="shared" si="1"/>
        <v>15041.322314049587</v>
      </c>
      <c r="G31" s="1069">
        <f t="shared" si="2"/>
        <v>416325</v>
      </c>
      <c r="H31" s="1068">
        <f>C448</f>
        <v>89.7</v>
      </c>
      <c r="I31" s="1023"/>
      <c r="J31" s="1023"/>
      <c r="K31" s="1023"/>
      <c r="L31" s="1023"/>
      <c r="M31" s="1023"/>
      <c r="N31" s="1023"/>
      <c r="O31" s="1023"/>
      <c r="P31" s="1023"/>
      <c r="Q31" s="1023"/>
      <c r="R31" s="1023"/>
      <c r="S31" s="1023"/>
      <c r="T31" s="934"/>
      <c r="U31" s="934"/>
      <c r="V31" s="934"/>
      <c r="W31" s="934"/>
      <c r="X31" s="934"/>
      <c r="Y31" s="934"/>
      <c r="Z31" s="934"/>
    </row>
    <row r="32" spans="1:26" ht="16.5" customHeight="1">
      <c r="A32" s="1073">
        <v>28</v>
      </c>
      <c r="B32" s="1073" t="s">
        <v>685</v>
      </c>
      <c r="C32" s="1072">
        <v>89.8</v>
      </c>
      <c r="D32" s="1071">
        <f t="shared" si="0"/>
        <v>27.164499999999997</v>
      </c>
      <c r="E32" s="1070">
        <f t="shared" si="4"/>
        <v>4550</v>
      </c>
      <c r="F32" s="1069">
        <f t="shared" si="1"/>
        <v>15041.322314049587</v>
      </c>
      <c r="G32" s="1069">
        <f t="shared" si="2"/>
        <v>408590</v>
      </c>
      <c r="H32" s="1068">
        <f>C463</f>
        <v>89.6</v>
      </c>
      <c r="I32" s="1023"/>
      <c r="J32" s="1023"/>
      <c r="K32" s="1023"/>
      <c r="L32" s="1023"/>
      <c r="M32" s="1023"/>
      <c r="N32" s="1023"/>
      <c r="O32" s="1023"/>
      <c r="P32" s="1023"/>
      <c r="Q32" s="1023"/>
      <c r="R32" s="1023"/>
      <c r="S32" s="1023"/>
      <c r="T32" s="934"/>
      <c r="U32" s="934"/>
      <c r="V32" s="934"/>
      <c r="W32" s="934"/>
      <c r="X32" s="934"/>
      <c r="Y32" s="934"/>
      <c r="Z32" s="934"/>
    </row>
    <row r="33" spans="1:26" ht="16.5" customHeight="1">
      <c r="A33" s="1073">
        <v>29</v>
      </c>
      <c r="B33" s="1073" t="s">
        <v>686</v>
      </c>
      <c r="C33" s="1072">
        <v>88.6</v>
      </c>
      <c r="D33" s="1071">
        <f t="shared" si="0"/>
        <v>26.801499999999997</v>
      </c>
      <c r="E33" s="1070">
        <f t="shared" si="4"/>
        <v>4550</v>
      </c>
      <c r="F33" s="1069">
        <f t="shared" si="1"/>
        <v>15041.322314049587</v>
      </c>
      <c r="G33" s="1069">
        <f t="shared" si="2"/>
        <v>403130</v>
      </c>
      <c r="H33" s="1068">
        <f>C478</f>
        <v>91</v>
      </c>
      <c r="I33" s="1023"/>
      <c r="J33" s="1023"/>
      <c r="K33" s="1023"/>
      <c r="L33" s="1023"/>
      <c r="M33" s="1023"/>
      <c r="N33" s="1023"/>
      <c r="O33" s="1023"/>
      <c r="P33" s="1023"/>
      <c r="Q33" s="1023"/>
      <c r="R33" s="1023"/>
      <c r="S33" s="1023"/>
      <c r="T33" s="934"/>
      <c r="U33" s="934"/>
      <c r="V33" s="934"/>
      <c r="W33" s="934"/>
      <c r="X33" s="934"/>
      <c r="Y33" s="934"/>
      <c r="Z33" s="934"/>
    </row>
    <row r="34" spans="1:26" ht="16.5" customHeight="1">
      <c r="A34" s="1073">
        <v>30</v>
      </c>
      <c r="B34" s="1073" t="s">
        <v>687</v>
      </c>
      <c r="C34" s="1072">
        <v>87.5</v>
      </c>
      <c r="D34" s="1071">
        <f t="shared" si="0"/>
        <v>26.46875</v>
      </c>
      <c r="E34" s="1070">
        <f t="shared" si="4"/>
        <v>4550</v>
      </c>
      <c r="F34" s="1069">
        <f t="shared" si="1"/>
        <v>15041.322314049587</v>
      </c>
      <c r="G34" s="1069">
        <f t="shared" si="2"/>
        <v>398125</v>
      </c>
      <c r="H34" s="1068">
        <f>C493</f>
        <v>92.1</v>
      </c>
      <c r="I34" s="1023"/>
      <c r="J34" s="1023"/>
      <c r="K34" s="1023"/>
      <c r="L34" s="1023"/>
      <c r="M34" s="1023"/>
      <c r="N34" s="1023"/>
      <c r="O34" s="1023"/>
      <c r="P34" s="1023"/>
      <c r="Q34" s="1023"/>
      <c r="R34" s="1023"/>
      <c r="S34" s="1023"/>
      <c r="T34" s="934"/>
      <c r="U34" s="934"/>
      <c r="V34" s="934"/>
      <c r="W34" s="934"/>
      <c r="X34" s="934"/>
      <c r="Y34" s="934"/>
      <c r="Z34" s="934"/>
    </row>
    <row r="35" spans="1:26" ht="16.5" customHeight="1">
      <c r="A35" s="1073">
        <v>31</v>
      </c>
      <c r="B35" s="1073" t="s">
        <v>688</v>
      </c>
      <c r="C35" s="1072">
        <v>86.5</v>
      </c>
      <c r="D35" s="1071">
        <f t="shared" si="0"/>
        <v>26.166249999999998</v>
      </c>
      <c r="E35" s="1070">
        <f t="shared" si="4"/>
        <v>4550</v>
      </c>
      <c r="F35" s="1069">
        <f t="shared" si="1"/>
        <v>15041.322314049587</v>
      </c>
      <c r="G35" s="1069">
        <f t="shared" si="2"/>
        <v>393575</v>
      </c>
      <c r="H35" s="1068">
        <f>C508</f>
        <v>90.6</v>
      </c>
      <c r="I35" s="1023"/>
      <c r="J35" s="1023"/>
      <c r="K35" s="1023"/>
      <c r="L35" s="1023"/>
      <c r="M35" s="1023"/>
      <c r="N35" s="1023"/>
      <c r="O35" s="1023"/>
      <c r="P35" s="1023"/>
      <c r="Q35" s="1023"/>
      <c r="R35" s="1023"/>
      <c r="S35" s="1023"/>
      <c r="T35" s="934"/>
      <c r="U35" s="934"/>
      <c r="V35" s="934"/>
      <c r="W35" s="934"/>
      <c r="X35" s="934"/>
      <c r="Y35" s="934"/>
      <c r="Z35" s="934"/>
    </row>
    <row r="36" spans="1:26" ht="16.5" customHeight="1">
      <c r="A36" s="1073">
        <v>32</v>
      </c>
      <c r="B36" s="1073" t="s">
        <v>689</v>
      </c>
      <c r="C36" s="1072">
        <v>91.2</v>
      </c>
      <c r="D36" s="1071">
        <f t="shared" si="0"/>
        <v>27.588000000000001</v>
      </c>
      <c r="E36" s="1070">
        <f t="shared" si="4"/>
        <v>4550</v>
      </c>
      <c r="F36" s="1069">
        <f t="shared" si="1"/>
        <v>15041.322314049587</v>
      </c>
      <c r="G36" s="1069">
        <f t="shared" si="2"/>
        <v>414960</v>
      </c>
      <c r="H36" s="1068">
        <f>C509</f>
        <v>88.5</v>
      </c>
      <c r="I36" s="1075"/>
      <c r="J36" s="1023"/>
      <c r="K36" s="1023"/>
      <c r="L36" s="1023"/>
      <c r="M36" s="1023"/>
      <c r="N36" s="1023"/>
      <c r="O36" s="1023"/>
      <c r="P36" s="1023"/>
      <c r="Q36" s="1023"/>
      <c r="R36" s="1023"/>
      <c r="S36" s="1023"/>
      <c r="T36" s="934"/>
      <c r="U36" s="934"/>
      <c r="V36" s="934"/>
      <c r="W36" s="934"/>
      <c r="X36" s="934"/>
      <c r="Y36" s="934"/>
      <c r="Z36" s="934"/>
    </row>
    <row r="37" spans="1:26" ht="16.5" customHeight="1">
      <c r="A37" s="1073">
        <v>33</v>
      </c>
      <c r="B37" s="1073" t="s">
        <v>690</v>
      </c>
      <c r="C37" s="1072">
        <v>84.9</v>
      </c>
      <c r="D37" s="1071">
        <f t="shared" si="0"/>
        <v>25.68225</v>
      </c>
      <c r="E37" s="1070">
        <f>(6835000*1.25)/1000</f>
        <v>8543.75</v>
      </c>
      <c r="F37" s="1069">
        <f t="shared" si="1"/>
        <v>28243.801652892562</v>
      </c>
      <c r="G37" s="1069">
        <f t="shared" si="2"/>
        <v>725364.375</v>
      </c>
      <c r="H37" s="1068">
        <f>C510</f>
        <v>90.6</v>
      </c>
      <c r="I37" s="1075"/>
      <c r="J37" s="1023"/>
      <c r="K37" s="1023"/>
      <c r="L37" s="1023"/>
      <c r="M37" s="1023"/>
      <c r="N37" s="1023"/>
      <c r="O37" s="1023"/>
      <c r="P37" s="1023"/>
      <c r="Q37" s="1023"/>
      <c r="R37" s="1023"/>
      <c r="S37" s="1023"/>
      <c r="T37" s="934"/>
      <c r="U37" s="934"/>
      <c r="V37" s="934"/>
      <c r="W37" s="934"/>
      <c r="X37" s="934"/>
      <c r="Y37" s="934"/>
      <c r="Z37" s="934"/>
    </row>
    <row r="38" spans="1:26" ht="20.25" customHeight="1">
      <c r="A38" s="1073">
        <v>34</v>
      </c>
      <c r="B38" s="1073" t="s">
        <v>691</v>
      </c>
      <c r="C38" s="1072">
        <v>82.4</v>
      </c>
      <c r="D38" s="1071">
        <f t="shared" si="0"/>
        <v>24.926000000000002</v>
      </c>
      <c r="E38" s="1070">
        <f>(6835000*1.25)/1000</f>
        <v>8543.75</v>
      </c>
      <c r="F38" s="1069">
        <f t="shared" si="1"/>
        <v>28243.801652892562</v>
      </c>
      <c r="G38" s="1069">
        <f t="shared" si="2"/>
        <v>704005</v>
      </c>
      <c r="H38" s="1068">
        <f>C511</f>
        <v>86.8</v>
      </c>
      <c r="I38" s="1023"/>
      <c r="J38" s="1023"/>
      <c r="K38" s="1023"/>
      <c r="L38" s="1023"/>
      <c r="M38" s="1023"/>
      <c r="N38" s="1023"/>
      <c r="O38" s="1023"/>
      <c r="P38" s="1023"/>
      <c r="Q38" s="1023"/>
      <c r="R38" s="1023"/>
      <c r="S38" s="1023"/>
      <c r="T38" s="934"/>
      <c r="U38" s="934"/>
      <c r="V38" s="934"/>
      <c r="W38" s="934"/>
      <c r="X38" s="934"/>
      <c r="Y38" s="934"/>
      <c r="Z38" s="934"/>
    </row>
    <row r="39" spans="1:26" ht="16.5" customHeight="1">
      <c r="A39" s="1073">
        <v>35</v>
      </c>
      <c r="B39" s="1073" t="s">
        <v>692</v>
      </c>
      <c r="C39" s="1072">
        <v>88.9</v>
      </c>
      <c r="D39" s="1071">
        <f t="shared" si="0"/>
        <v>26.892250000000001</v>
      </c>
      <c r="E39" s="1070">
        <f>(3570000*1.25)/1000</f>
        <v>4462.5</v>
      </c>
      <c r="F39" s="1069">
        <f t="shared" si="1"/>
        <v>14752.066115702481</v>
      </c>
      <c r="G39" s="1069">
        <f t="shared" si="2"/>
        <v>396716.25</v>
      </c>
      <c r="H39" s="1068">
        <f>C498</f>
        <v>497.4</v>
      </c>
      <c r="I39" s="1040"/>
      <c r="J39" s="1040"/>
      <c r="K39" s="1023"/>
      <c r="L39" s="1023"/>
      <c r="M39" s="1023"/>
      <c r="N39" s="1023"/>
      <c r="O39" s="1023"/>
      <c r="P39" s="1023"/>
      <c r="Q39" s="1023"/>
      <c r="R39" s="1023"/>
      <c r="S39" s="1023"/>
      <c r="T39" s="934"/>
      <c r="U39" s="934"/>
      <c r="V39" s="934"/>
      <c r="W39" s="934"/>
      <c r="X39" s="934"/>
      <c r="Y39" s="934"/>
      <c r="Z39" s="934"/>
    </row>
    <row r="40" spans="1:26" ht="16.5" customHeight="1">
      <c r="A40" s="1073">
        <v>36</v>
      </c>
      <c r="B40" s="1073" t="s">
        <v>693</v>
      </c>
      <c r="C40" s="1072">
        <v>88.7</v>
      </c>
      <c r="D40" s="1071">
        <f t="shared" si="0"/>
        <v>26.83175</v>
      </c>
      <c r="E40" s="1070">
        <f t="shared" ref="E40:E48" si="5">(3712000*1.25)/1000</f>
        <v>4640</v>
      </c>
      <c r="F40" s="1069">
        <f t="shared" si="1"/>
        <v>15338.842975206611</v>
      </c>
      <c r="G40" s="1069">
        <f t="shared" si="2"/>
        <v>411568</v>
      </c>
      <c r="H40" s="1068">
        <f>C513</f>
        <v>176.5</v>
      </c>
      <c r="I40" s="1040"/>
      <c r="J40" s="1040"/>
      <c r="K40" s="1023"/>
      <c r="L40" s="1023"/>
      <c r="M40" s="1023"/>
      <c r="N40" s="1023"/>
      <c r="O40" s="1023"/>
      <c r="P40" s="1023"/>
      <c r="Q40" s="1023"/>
      <c r="R40" s="1023"/>
      <c r="S40" s="1023"/>
      <c r="T40" s="934"/>
      <c r="U40" s="934"/>
      <c r="V40" s="934"/>
      <c r="W40" s="934"/>
      <c r="X40" s="934"/>
      <c r="Y40" s="934"/>
      <c r="Z40" s="934"/>
    </row>
    <row r="41" spans="1:26" ht="16.5" customHeight="1">
      <c r="A41" s="1073">
        <v>37</v>
      </c>
      <c r="B41" s="1073" t="s">
        <v>694</v>
      </c>
      <c r="C41" s="1072">
        <v>90.1</v>
      </c>
      <c r="D41" s="1071">
        <f t="shared" si="0"/>
        <v>27.255249999999997</v>
      </c>
      <c r="E41" s="1070">
        <f t="shared" si="5"/>
        <v>4640</v>
      </c>
      <c r="F41" s="1069">
        <f t="shared" si="1"/>
        <v>15338.842975206611</v>
      </c>
      <c r="G41" s="1069">
        <f t="shared" si="2"/>
        <v>418064</v>
      </c>
      <c r="H41" s="1068">
        <f>C514</f>
        <v>89.3</v>
      </c>
      <c r="I41" s="1040"/>
      <c r="J41" s="1040"/>
      <c r="K41" s="1023"/>
      <c r="L41" s="1023"/>
      <c r="M41" s="1023"/>
      <c r="N41" s="1023"/>
      <c r="O41" s="1023"/>
      <c r="P41" s="1023"/>
      <c r="Q41" s="1023"/>
      <c r="R41" s="1023"/>
      <c r="S41" s="1023"/>
      <c r="T41" s="934"/>
      <c r="U41" s="934"/>
      <c r="V41" s="934"/>
      <c r="W41" s="934"/>
      <c r="X41" s="934"/>
      <c r="Y41" s="934"/>
      <c r="Z41" s="934"/>
    </row>
    <row r="42" spans="1:26" ht="16.5" customHeight="1">
      <c r="A42" s="1073">
        <v>38</v>
      </c>
      <c r="B42" s="1073" t="s">
        <v>695</v>
      </c>
      <c r="C42" s="1072">
        <v>88.9</v>
      </c>
      <c r="D42" s="1071">
        <f t="shared" si="0"/>
        <v>26.892250000000001</v>
      </c>
      <c r="E42" s="1070">
        <f t="shared" si="5"/>
        <v>4640</v>
      </c>
      <c r="F42" s="1069">
        <f t="shared" si="1"/>
        <v>15338.842975206611</v>
      </c>
      <c r="G42" s="1069">
        <f t="shared" si="2"/>
        <v>412496</v>
      </c>
      <c r="H42" s="1068">
        <f>C515</f>
        <v>87.1</v>
      </c>
      <c r="I42" s="1040"/>
      <c r="J42" s="1040"/>
      <c r="K42" s="1023"/>
      <c r="L42" s="1023"/>
      <c r="M42" s="1023"/>
      <c r="N42" s="1023"/>
      <c r="O42" s="1023"/>
      <c r="P42" s="1023"/>
      <c r="Q42" s="1023"/>
      <c r="R42" s="1023"/>
      <c r="S42" s="1023"/>
      <c r="T42" s="934"/>
      <c r="U42" s="934"/>
      <c r="V42" s="934"/>
      <c r="W42" s="934"/>
      <c r="X42" s="934"/>
      <c r="Y42" s="934"/>
      <c r="Z42" s="934"/>
    </row>
    <row r="43" spans="1:26" ht="16.5" customHeight="1">
      <c r="A43" s="1073">
        <v>39</v>
      </c>
      <c r="B43" s="1073" t="s">
        <v>696</v>
      </c>
      <c r="C43" s="1072">
        <v>89.4</v>
      </c>
      <c r="D43" s="1071">
        <f t="shared" si="0"/>
        <v>27.043500000000002</v>
      </c>
      <c r="E43" s="1070">
        <f t="shared" si="5"/>
        <v>4640</v>
      </c>
      <c r="F43" s="1069">
        <f t="shared" si="1"/>
        <v>15338.842975206611</v>
      </c>
      <c r="G43" s="1069">
        <f t="shared" si="2"/>
        <v>414816</v>
      </c>
      <c r="H43" s="1068">
        <f>C516</f>
        <v>89</v>
      </c>
      <c r="I43" s="1074"/>
      <c r="J43" s="1074"/>
      <c r="K43" s="1023"/>
      <c r="L43" s="1023"/>
      <c r="M43" s="1023"/>
      <c r="N43" s="1023"/>
      <c r="O43" s="1023"/>
      <c r="P43" s="1023"/>
      <c r="Q43" s="1023"/>
      <c r="R43" s="1023"/>
      <c r="S43" s="1023"/>
      <c r="T43" s="934"/>
      <c r="U43" s="934"/>
      <c r="V43" s="934"/>
      <c r="W43" s="934"/>
      <c r="X43" s="934"/>
      <c r="Y43" s="934"/>
      <c r="Z43" s="934"/>
    </row>
    <row r="44" spans="1:26" ht="16.5" customHeight="1">
      <c r="A44" s="1073">
        <v>40</v>
      </c>
      <c r="B44" s="1073" t="s">
        <v>697</v>
      </c>
      <c r="C44" s="1072">
        <v>89.4</v>
      </c>
      <c r="D44" s="1071">
        <f t="shared" si="0"/>
        <v>27.043500000000002</v>
      </c>
      <c r="E44" s="1070">
        <f t="shared" si="5"/>
        <v>4640</v>
      </c>
      <c r="F44" s="1069">
        <f t="shared" si="1"/>
        <v>15338.842975206611</v>
      </c>
      <c r="G44" s="1069">
        <f t="shared" si="2"/>
        <v>414816</v>
      </c>
      <c r="H44" s="1068">
        <f>C503</f>
        <v>89.1</v>
      </c>
      <c r="I44" s="1074"/>
      <c r="J44" s="1074"/>
      <c r="K44" s="1023"/>
      <c r="L44" s="1023"/>
      <c r="M44" s="1023"/>
      <c r="N44" s="1023"/>
      <c r="O44" s="1023"/>
      <c r="P44" s="1023"/>
      <c r="Q44" s="1023"/>
      <c r="R44" s="1023"/>
      <c r="S44" s="1023"/>
      <c r="T44" s="934"/>
      <c r="U44" s="934"/>
      <c r="V44" s="934"/>
      <c r="W44" s="934"/>
      <c r="X44" s="934"/>
      <c r="Y44" s="934"/>
      <c r="Z44" s="934"/>
    </row>
    <row r="45" spans="1:26" ht="16.5" customHeight="1">
      <c r="A45" s="1073">
        <v>41</v>
      </c>
      <c r="B45" s="1073" t="s">
        <v>698</v>
      </c>
      <c r="C45" s="1072">
        <v>91.6</v>
      </c>
      <c r="D45" s="1071">
        <f t="shared" si="0"/>
        <v>27.708999999999996</v>
      </c>
      <c r="E45" s="1070">
        <f t="shared" si="5"/>
        <v>4640</v>
      </c>
      <c r="F45" s="1069">
        <f t="shared" si="1"/>
        <v>15338.842975206611</v>
      </c>
      <c r="G45" s="1069">
        <f t="shared" si="2"/>
        <v>425024</v>
      </c>
      <c r="H45" s="1068">
        <f>C518</f>
        <v>88.3</v>
      </c>
      <c r="I45" s="1074"/>
      <c r="J45" s="1074"/>
      <c r="K45" s="1023"/>
      <c r="L45" s="1023"/>
      <c r="M45" s="1023"/>
      <c r="N45" s="1023"/>
      <c r="O45" s="1023"/>
      <c r="P45" s="1023"/>
      <c r="Q45" s="1023"/>
      <c r="R45" s="1023"/>
      <c r="S45" s="1023"/>
      <c r="T45" s="934"/>
      <c r="U45" s="934"/>
      <c r="V45" s="934"/>
      <c r="W45" s="934"/>
      <c r="X45" s="934"/>
      <c r="Y45" s="934"/>
      <c r="Z45" s="934"/>
    </row>
    <row r="46" spans="1:26" ht="16.5" customHeight="1">
      <c r="A46" s="1073">
        <v>42</v>
      </c>
      <c r="B46" s="1073" t="s">
        <v>699</v>
      </c>
      <c r="C46" s="1072">
        <v>91.5</v>
      </c>
      <c r="D46" s="1071">
        <f t="shared" si="0"/>
        <v>27.678750000000001</v>
      </c>
      <c r="E46" s="1070">
        <f t="shared" si="5"/>
        <v>4640</v>
      </c>
      <c r="F46" s="1069">
        <f t="shared" si="1"/>
        <v>15338.842975206611</v>
      </c>
      <c r="G46" s="1069">
        <f t="shared" si="2"/>
        <v>424560</v>
      </c>
      <c r="H46" s="1068">
        <f>C519</f>
        <v>88.8</v>
      </c>
      <c r="I46" s="1074"/>
      <c r="J46" s="1074"/>
      <c r="K46" s="1023"/>
      <c r="L46" s="1023"/>
      <c r="M46" s="1023"/>
      <c r="N46" s="1023"/>
      <c r="O46" s="1023"/>
      <c r="P46" s="1023"/>
      <c r="Q46" s="1023"/>
      <c r="R46" s="1023"/>
      <c r="S46" s="1023"/>
      <c r="T46" s="934"/>
      <c r="U46" s="934"/>
      <c r="V46" s="934"/>
      <c r="W46" s="934"/>
      <c r="X46" s="934"/>
      <c r="Y46" s="934"/>
      <c r="Z46" s="934"/>
    </row>
    <row r="47" spans="1:26" ht="16.5" customHeight="1">
      <c r="A47" s="1073">
        <v>43</v>
      </c>
      <c r="B47" s="1073" t="s">
        <v>700</v>
      </c>
      <c r="C47" s="1072">
        <v>91.9</v>
      </c>
      <c r="D47" s="1071">
        <f t="shared" si="0"/>
        <v>27.79975</v>
      </c>
      <c r="E47" s="1070">
        <f t="shared" si="5"/>
        <v>4640</v>
      </c>
      <c r="F47" s="1069">
        <f t="shared" si="1"/>
        <v>15338.842975206611</v>
      </c>
      <c r="G47" s="1069">
        <f t="shared" si="2"/>
        <v>426416</v>
      </c>
      <c r="H47" s="1068">
        <f>C520</f>
        <v>88.8</v>
      </c>
      <c r="I47" s="1074"/>
      <c r="J47" s="1074"/>
      <c r="K47" s="1023"/>
      <c r="L47" s="1023"/>
      <c r="M47" s="1023"/>
      <c r="N47" s="1023"/>
      <c r="O47" s="1023"/>
      <c r="P47" s="1023"/>
      <c r="Q47" s="1023"/>
      <c r="R47" s="1023"/>
      <c r="S47" s="1023"/>
      <c r="T47" s="934"/>
      <c r="U47" s="934"/>
      <c r="V47" s="934"/>
      <c r="W47" s="934"/>
      <c r="X47" s="934"/>
      <c r="Y47" s="934"/>
      <c r="Z47" s="934"/>
    </row>
    <row r="48" spans="1:26" ht="16.5" customHeight="1">
      <c r="A48" s="1073">
        <v>44</v>
      </c>
      <c r="B48" s="1073" t="s">
        <v>701</v>
      </c>
      <c r="C48" s="1072">
        <v>95.7</v>
      </c>
      <c r="D48" s="1071">
        <f t="shared" si="0"/>
        <v>28.949249999999999</v>
      </c>
      <c r="E48" s="1070">
        <f t="shared" si="5"/>
        <v>4640</v>
      </c>
      <c r="F48" s="1069">
        <f t="shared" si="1"/>
        <v>15338.842975206611</v>
      </c>
      <c r="G48" s="1069">
        <f t="shared" si="2"/>
        <v>444048</v>
      </c>
      <c r="H48" s="1068">
        <f>C521</f>
        <v>87</v>
      </c>
      <c r="I48" s="1074"/>
      <c r="J48" s="1074"/>
      <c r="K48" s="1023"/>
      <c r="L48" s="1023"/>
      <c r="M48" s="1023"/>
      <c r="N48" s="1023"/>
      <c r="O48" s="1023"/>
      <c r="P48" s="1023"/>
      <c r="Q48" s="1023"/>
      <c r="R48" s="1023"/>
      <c r="S48" s="1023"/>
      <c r="T48" s="934"/>
      <c r="U48" s="934"/>
      <c r="V48" s="934"/>
      <c r="W48" s="934"/>
      <c r="X48" s="934"/>
      <c r="Y48" s="934"/>
      <c r="Z48" s="934"/>
    </row>
    <row r="49" spans="1:26" ht="16.5" customHeight="1">
      <c r="A49" s="1073">
        <v>45</v>
      </c>
      <c r="B49" s="1073" t="s">
        <v>702</v>
      </c>
      <c r="C49" s="1072">
        <v>103.6</v>
      </c>
      <c r="D49" s="1071">
        <f t="shared" si="0"/>
        <v>31.338999999999999</v>
      </c>
      <c r="E49" s="1070">
        <f>(3556000*1.25)/1000</f>
        <v>4445</v>
      </c>
      <c r="F49" s="1069">
        <f t="shared" si="1"/>
        <v>14694.214876033058</v>
      </c>
      <c r="G49" s="1069">
        <f t="shared" si="2"/>
        <v>460502</v>
      </c>
      <c r="H49" s="1068">
        <f>C508</f>
        <v>90.6</v>
      </c>
      <c r="I49" s="1074"/>
      <c r="J49" s="1074"/>
      <c r="K49" s="1023"/>
      <c r="L49" s="1023"/>
      <c r="M49" s="1023"/>
      <c r="N49" s="1023"/>
      <c r="O49" s="1023"/>
      <c r="P49" s="1023"/>
      <c r="Q49" s="1023"/>
      <c r="R49" s="1023"/>
      <c r="S49" s="1023"/>
      <c r="T49" s="934"/>
      <c r="U49" s="934"/>
      <c r="V49" s="934"/>
      <c r="W49" s="934"/>
      <c r="X49" s="934"/>
      <c r="Y49" s="934"/>
      <c r="Z49" s="934"/>
    </row>
    <row r="50" spans="1:26" ht="16.5" customHeight="1">
      <c r="A50" s="1073">
        <v>46</v>
      </c>
      <c r="B50" s="1073" t="s">
        <v>703</v>
      </c>
      <c r="C50" s="1072">
        <v>89.7</v>
      </c>
      <c r="D50" s="1071">
        <f t="shared" si="0"/>
        <v>27.134250000000002</v>
      </c>
      <c r="E50" s="1070">
        <f t="shared" ref="E50:E59" si="6">(3640000*1.25)/1000</f>
        <v>4550</v>
      </c>
      <c r="F50" s="1069">
        <f t="shared" si="1"/>
        <v>15041.322314049587</v>
      </c>
      <c r="G50" s="1069">
        <f t="shared" si="2"/>
        <v>408135</v>
      </c>
      <c r="H50" s="1068">
        <f>C523</f>
        <v>88.6</v>
      </c>
      <c r="I50" s="1074"/>
      <c r="J50" s="1074"/>
      <c r="K50" s="1023"/>
      <c r="L50" s="1023"/>
      <c r="M50" s="1023"/>
      <c r="N50" s="1023"/>
      <c r="O50" s="1023"/>
      <c r="P50" s="1023"/>
      <c r="Q50" s="1023"/>
      <c r="R50" s="1023"/>
      <c r="S50" s="1023"/>
      <c r="T50" s="934"/>
      <c r="U50" s="934"/>
      <c r="V50" s="934"/>
      <c r="W50" s="934"/>
      <c r="X50" s="934"/>
      <c r="Y50" s="934"/>
      <c r="Z50" s="934"/>
    </row>
    <row r="51" spans="1:26" ht="16.5" customHeight="1">
      <c r="A51" s="1073">
        <v>47</v>
      </c>
      <c r="B51" s="1073" t="s">
        <v>704</v>
      </c>
      <c r="C51" s="1072">
        <v>88.3</v>
      </c>
      <c r="D51" s="1071">
        <f t="shared" si="0"/>
        <v>26.710749999999997</v>
      </c>
      <c r="E51" s="1070">
        <f t="shared" si="6"/>
        <v>4550</v>
      </c>
      <c r="F51" s="1069">
        <f t="shared" si="1"/>
        <v>15041.322314049587</v>
      </c>
      <c r="G51" s="1069">
        <f t="shared" si="2"/>
        <v>401765</v>
      </c>
      <c r="H51" s="1068">
        <f>C524</f>
        <v>87</v>
      </c>
      <c r="I51" s="1074"/>
      <c r="J51" s="1074"/>
      <c r="K51" s="1023"/>
      <c r="L51" s="1023"/>
      <c r="M51" s="1023"/>
      <c r="N51" s="1023"/>
      <c r="O51" s="1023"/>
      <c r="P51" s="1023"/>
      <c r="Q51" s="1023"/>
      <c r="R51" s="1023"/>
      <c r="S51" s="1023"/>
      <c r="T51" s="934"/>
      <c r="U51" s="934"/>
      <c r="V51" s="934"/>
      <c r="W51" s="934"/>
      <c r="X51" s="934"/>
      <c r="Y51" s="934"/>
      <c r="Z51" s="934"/>
    </row>
    <row r="52" spans="1:26" ht="16.5" customHeight="1">
      <c r="A52" s="1073">
        <v>48</v>
      </c>
      <c r="B52" s="1073" t="s">
        <v>705</v>
      </c>
      <c r="C52" s="1072">
        <v>85.6</v>
      </c>
      <c r="D52" s="1071">
        <f t="shared" si="0"/>
        <v>25.893999999999998</v>
      </c>
      <c r="E52" s="1070">
        <f t="shared" si="6"/>
        <v>4550</v>
      </c>
      <c r="F52" s="1069">
        <f t="shared" si="1"/>
        <v>15041.322314049587</v>
      </c>
      <c r="G52" s="1069">
        <f t="shared" si="2"/>
        <v>389480</v>
      </c>
      <c r="H52" s="1068">
        <f>C525</f>
        <v>88.7</v>
      </c>
      <c r="I52" s="1074"/>
      <c r="J52" s="1074"/>
      <c r="K52" s="1023"/>
      <c r="L52" s="1023"/>
      <c r="M52" s="1023"/>
      <c r="N52" s="1023"/>
      <c r="O52" s="1023"/>
      <c r="P52" s="1023"/>
      <c r="Q52" s="1023"/>
      <c r="R52" s="1023"/>
      <c r="S52" s="1023"/>
      <c r="T52" s="934"/>
      <c r="U52" s="934"/>
      <c r="V52" s="934"/>
      <c r="W52" s="934"/>
      <c r="X52" s="934"/>
      <c r="Y52" s="934"/>
      <c r="Z52" s="934"/>
    </row>
    <row r="53" spans="1:26" ht="16.5" customHeight="1">
      <c r="A53" s="1073">
        <v>49</v>
      </c>
      <c r="B53" s="1073" t="s">
        <v>706</v>
      </c>
      <c r="C53" s="1072">
        <v>86.9</v>
      </c>
      <c r="D53" s="1071">
        <f t="shared" si="0"/>
        <v>26.28725</v>
      </c>
      <c r="E53" s="1070">
        <f t="shared" si="6"/>
        <v>4550</v>
      </c>
      <c r="F53" s="1069">
        <f t="shared" si="1"/>
        <v>15041.322314049587</v>
      </c>
      <c r="G53" s="1069">
        <f t="shared" si="2"/>
        <v>395395</v>
      </c>
      <c r="H53" s="1068">
        <f>C526</f>
        <v>91.2</v>
      </c>
      <c r="I53" s="1074"/>
      <c r="J53" s="1074"/>
      <c r="K53" s="1023"/>
      <c r="L53" s="1023"/>
      <c r="M53" s="1023"/>
      <c r="N53" s="1023"/>
      <c r="O53" s="1023"/>
      <c r="P53" s="1023"/>
      <c r="Q53" s="1023"/>
      <c r="R53" s="1023"/>
      <c r="S53" s="1023"/>
      <c r="T53" s="934"/>
      <c r="U53" s="934"/>
      <c r="V53" s="934"/>
      <c r="W53" s="934"/>
      <c r="X53" s="934"/>
      <c r="Y53" s="934"/>
      <c r="Z53" s="934"/>
    </row>
    <row r="54" spans="1:26" ht="16.5" customHeight="1">
      <c r="A54" s="1073">
        <v>50</v>
      </c>
      <c r="B54" s="1073" t="s">
        <v>707</v>
      </c>
      <c r="C54" s="1072">
        <v>87.5</v>
      </c>
      <c r="D54" s="1071">
        <f t="shared" si="0"/>
        <v>26.46875</v>
      </c>
      <c r="E54" s="1070">
        <f t="shared" si="6"/>
        <v>4550</v>
      </c>
      <c r="F54" s="1069">
        <f t="shared" si="1"/>
        <v>15041.322314049587</v>
      </c>
      <c r="G54" s="1069">
        <f t="shared" si="2"/>
        <v>398125</v>
      </c>
      <c r="H54" s="1068">
        <f>C513</f>
        <v>176.5</v>
      </c>
      <c r="I54" s="1074"/>
      <c r="J54" s="1074"/>
      <c r="K54" s="1023"/>
      <c r="L54" s="1023"/>
      <c r="M54" s="1023"/>
      <c r="N54" s="1023"/>
      <c r="O54" s="1023"/>
      <c r="P54" s="1023"/>
      <c r="Q54" s="1023"/>
      <c r="R54" s="1023"/>
      <c r="S54" s="1023"/>
      <c r="T54" s="934"/>
      <c r="U54" s="934"/>
      <c r="V54" s="934"/>
      <c r="W54" s="934"/>
      <c r="X54" s="934"/>
      <c r="Y54" s="934"/>
      <c r="Z54" s="934"/>
    </row>
    <row r="55" spans="1:26" ht="16.5" customHeight="1">
      <c r="A55" s="1073">
        <v>51</v>
      </c>
      <c r="B55" s="1073" t="s">
        <v>708</v>
      </c>
      <c r="C55" s="1072">
        <v>85.8</v>
      </c>
      <c r="D55" s="1071">
        <f t="shared" si="0"/>
        <v>25.954499999999999</v>
      </c>
      <c r="E55" s="1070">
        <f t="shared" si="6"/>
        <v>4550</v>
      </c>
      <c r="F55" s="1069">
        <f t="shared" si="1"/>
        <v>15041.322314049587</v>
      </c>
      <c r="G55" s="1069">
        <f t="shared" si="2"/>
        <v>390390</v>
      </c>
      <c r="H55" s="1068">
        <f>C528</f>
        <v>103</v>
      </c>
      <c r="I55" s="1074"/>
      <c r="J55" s="1074"/>
      <c r="K55" s="1023"/>
      <c r="L55" s="1023"/>
      <c r="M55" s="1023"/>
      <c r="N55" s="1023"/>
      <c r="O55" s="1023"/>
      <c r="P55" s="1023"/>
      <c r="Q55" s="1023"/>
      <c r="R55" s="1023"/>
      <c r="S55" s="1023"/>
      <c r="T55" s="934"/>
      <c r="U55" s="934"/>
      <c r="V55" s="934"/>
      <c r="W55" s="934"/>
      <c r="X55" s="934"/>
      <c r="Y55" s="934"/>
      <c r="Z55" s="934"/>
    </row>
    <row r="56" spans="1:26" ht="16.5" customHeight="1">
      <c r="A56" s="1073">
        <v>52</v>
      </c>
      <c r="B56" s="1073" t="s">
        <v>709</v>
      </c>
      <c r="C56" s="1072">
        <v>85.7</v>
      </c>
      <c r="D56" s="1071">
        <f t="shared" si="0"/>
        <v>25.924250000000001</v>
      </c>
      <c r="E56" s="1070">
        <f t="shared" si="6"/>
        <v>4550</v>
      </c>
      <c r="F56" s="1069">
        <f t="shared" si="1"/>
        <v>15041.322314049587</v>
      </c>
      <c r="G56" s="1069">
        <f t="shared" si="2"/>
        <v>389935</v>
      </c>
      <c r="H56" s="1068">
        <f>C529</f>
        <v>91.9</v>
      </c>
      <c r="I56" s="1074"/>
      <c r="J56" s="1074"/>
      <c r="K56" s="1023"/>
      <c r="L56" s="1023"/>
      <c r="M56" s="1023"/>
      <c r="N56" s="1023"/>
      <c r="O56" s="1023"/>
      <c r="P56" s="1023"/>
      <c r="Q56" s="1023"/>
      <c r="R56" s="1023"/>
      <c r="S56" s="1023"/>
      <c r="T56" s="934"/>
      <c r="U56" s="934"/>
      <c r="V56" s="934"/>
      <c r="W56" s="934"/>
      <c r="X56" s="934"/>
      <c r="Y56" s="934"/>
      <c r="Z56" s="934"/>
    </row>
    <row r="57" spans="1:26" ht="16.5" customHeight="1">
      <c r="A57" s="1073">
        <v>53</v>
      </c>
      <c r="B57" s="1073" t="s">
        <v>710</v>
      </c>
      <c r="C57" s="1072">
        <v>88</v>
      </c>
      <c r="D57" s="1071">
        <f t="shared" si="0"/>
        <v>26.619999999999997</v>
      </c>
      <c r="E57" s="1070">
        <f t="shared" si="6"/>
        <v>4550</v>
      </c>
      <c r="F57" s="1069">
        <f t="shared" si="1"/>
        <v>15041.322314049587</v>
      </c>
      <c r="G57" s="1069">
        <f t="shared" si="2"/>
        <v>400400</v>
      </c>
      <c r="H57" s="1068">
        <f>C530</f>
        <v>87.8</v>
      </c>
      <c r="I57" s="1074"/>
      <c r="J57" s="1074"/>
      <c r="K57" s="1023"/>
      <c r="L57" s="1023"/>
      <c r="M57" s="1023"/>
      <c r="N57" s="1023"/>
      <c r="O57" s="1023"/>
      <c r="P57" s="1023"/>
      <c r="Q57" s="1023"/>
      <c r="R57" s="1023"/>
      <c r="S57" s="1023"/>
      <c r="T57" s="934"/>
      <c r="U57" s="934"/>
      <c r="V57" s="934"/>
      <c r="W57" s="934"/>
      <c r="X57" s="934"/>
      <c r="Y57" s="934"/>
      <c r="Z57" s="934"/>
    </row>
    <row r="58" spans="1:26" ht="16.5" customHeight="1">
      <c r="A58" s="1073">
        <v>54</v>
      </c>
      <c r="B58" s="1073" t="s">
        <v>711</v>
      </c>
      <c r="C58" s="1072">
        <v>86.3</v>
      </c>
      <c r="D58" s="1071">
        <f t="shared" si="0"/>
        <v>26.105749999999997</v>
      </c>
      <c r="E58" s="1070">
        <f t="shared" si="6"/>
        <v>4550</v>
      </c>
      <c r="F58" s="1069">
        <f t="shared" si="1"/>
        <v>15041.322314049587</v>
      </c>
      <c r="G58" s="1069">
        <f t="shared" si="2"/>
        <v>392665</v>
      </c>
      <c r="H58" s="1068">
        <f>C531</f>
        <v>89.4</v>
      </c>
      <c r="I58" s="1074"/>
      <c r="J58" s="1074"/>
      <c r="K58" s="1023"/>
      <c r="L58" s="1023"/>
      <c r="M58" s="1023"/>
      <c r="N58" s="1023"/>
      <c r="O58" s="1023"/>
      <c r="P58" s="1023"/>
      <c r="Q58" s="1023"/>
      <c r="R58" s="1023"/>
      <c r="S58" s="1023"/>
      <c r="T58" s="934"/>
      <c r="U58" s="934"/>
      <c r="V58" s="934"/>
      <c r="W58" s="934"/>
      <c r="X58" s="934"/>
      <c r="Y58" s="934"/>
      <c r="Z58" s="934"/>
    </row>
    <row r="59" spans="1:26" ht="16.5" customHeight="1">
      <c r="A59" s="1073">
        <v>55</v>
      </c>
      <c r="B59" s="1073" t="s">
        <v>712</v>
      </c>
      <c r="C59" s="1072">
        <v>88.8</v>
      </c>
      <c r="D59" s="1071">
        <f t="shared" si="0"/>
        <v>26.861999999999998</v>
      </c>
      <c r="E59" s="1070">
        <f t="shared" si="6"/>
        <v>4550</v>
      </c>
      <c r="F59" s="1069">
        <f t="shared" si="1"/>
        <v>15041.322314049587</v>
      </c>
      <c r="G59" s="1069">
        <f t="shared" si="2"/>
        <v>404040</v>
      </c>
      <c r="H59" s="1068">
        <f>C518</f>
        <v>88.3</v>
      </c>
      <c r="I59" s="1040"/>
      <c r="J59" s="1040"/>
      <c r="K59" s="1023"/>
      <c r="L59" s="1023"/>
      <c r="M59" s="1023"/>
      <c r="N59" s="1023"/>
      <c r="O59" s="1023"/>
      <c r="P59" s="1023"/>
      <c r="Q59" s="1023"/>
      <c r="R59" s="1023"/>
      <c r="S59" s="1023"/>
      <c r="T59" s="934"/>
      <c r="U59" s="934"/>
      <c r="V59" s="934"/>
      <c r="W59" s="934"/>
      <c r="X59" s="934"/>
      <c r="Y59" s="934"/>
      <c r="Z59" s="934"/>
    </row>
    <row r="60" spans="1:26" ht="16.5" customHeight="1">
      <c r="A60" s="1073">
        <v>56</v>
      </c>
      <c r="B60" s="1073" t="s">
        <v>713</v>
      </c>
      <c r="C60" s="1072">
        <v>85.4</v>
      </c>
      <c r="D60" s="1071">
        <f t="shared" si="0"/>
        <v>25.833500000000001</v>
      </c>
      <c r="E60" s="1070">
        <f>(6835000*1.25)/1000</f>
        <v>8543.75</v>
      </c>
      <c r="F60" s="1069">
        <f t="shared" si="1"/>
        <v>28243.801652892562</v>
      </c>
      <c r="G60" s="1069">
        <f t="shared" si="2"/>
        <v>729636.25</v>
      </c>
      <c r="H60" s="1068">
        <f>C533</f>
        <v>87.1</v>
      </c>
      <c r="I60" s="1040"/>
      <c r="J60" s="1040"/>
      <c r="K60" s="1023"/>
      <c r="L60" s="1023"/>
      <c r="M60" s="1023"/>
      <c r="N60" s="1023"/>
      <c r="O60" s="1023"/>
      <c r="P60" s="1023"/>
      <c r="Q60" s="1023"/>
      <c r="R60" s="1023"/>
      <c r="S60" s="1023"/>
      <c r="T60" s="934"/>
      <c r="U60" s="934"/>
      <c r="V60" s="934"/>
      <c r="W60" s="934"/>
      <c r="X60" s="934"/>
      <c r="Y60" s="934"/>
      <c r="Z60" s="934"/>
    </row>
    <row r="61" spans="1:26" ht="16.5" customHeight="1">
      <c r="A61" s="1073">
        <v>57</v>
      </c>
      <c r="B61" s="1073" t="s">
        <v>714</v>
      </c>
      <c r="C61" s="1072">
        <v>71.3</v>
      </c>
      <c r="D61" s="1071">
        <f t="shared" si="0"/>
        <v>21.568249999999999</v>
      </c>
      <c r="E61" s="1070">
        <f>(6835000*1.25)/1000</f>
        <v>8543.75</v>
      </c>
      <c r="F61" s="1069">
        <f t="shared" si="1"/>
        <v>28243.801652892562</v>
      </c>
      <c r="G61" s="1069">
        <f t="shared" si="2"/>
        <v>609169.375</v>
      </c>
      <c r="H61" s="1068">
        <f>C534</f>
        <v>87</v>
      </c>
      <c r="I61" s="1040"/>
      <c r="J61" s="1040"/>
      <c r="K61" s="1023"/>
      <c r="L61" s="1023"/>
      <c r="M61" s="1023"/>
      <c r="N61" s="1023"/>
      <c r="O61" s="1023"/>
      <c r="P61" s="1023"/>
      <c r="Q61" s="1023"/>
      <c r="R61" s="1023"/>
      <c r="S61" s="1023"/>
      <c r="T61" s="934"/>
      <c r="U61" s="934"/>
      <c r="V61" s="934"/>
      <c r="W61" s="934"/>
      <c r="X61" s="934"/>
      <c r="Y61" s="934"/>
      <c r="Z61" s="934"/>
    </row>
    <row r="62" spans="1:26" ht="16.5" customHeight="1">
      <c r="A62" s="1073">
        <v>58</v>
      </c>
      <c r="B62" s="1073" t="s">
        <v>715</v>
      </c>
      <c r="C62" s="1072">
        <v>74.2</v>
      </c>
      <c r="D62" s="1071">
        <f t="shared" si="0"/>
        <v>22.445499999999999</v>
      </c>
      <c r="E62" s="1070">
        <f>(6835000*1.25)/1000</f>
        <v>8543.75</v>
      </c>
      <c r="F62" s="1069">
        <f t="shared" si="1"/>
        <v>28243.801652892562</v>
      </c>
      <c r="G62" s="1069">
        <f t="shared" si="2"/>
        <v>633946.25</v>
      </c>
      <c r="H62" s="1068">
        <f>C535</f>
        <v>89.4</v>
      </c>
      <c r="I62" s="1040"/>
      <c r="J62" s="1040"/>
      <c r="K62" s="1023"/>
      <c r="L62" s="1023"/>
      <c r="M62" s="1023"/>
      <c r="N62" s="1023"/>
      <c r="O62" s="1023"/>
      <c r="P62" s="1023"/>
      <c r="Q62" s="1023"/>
      <c r="R62" s="1023"/>
      <c r="S62" s="1023"/>
      <c r="T62" s="934"/>
      <c r="U62" s="934"/>
      <c r="V62" s="934"/>
      <c r="W62" s="934"/>
      <c r="X62" s="934"/>
      <c r="Y62" s="934"/>
      <c r="Z62" s="934"/>
    </row>
    <row r="63" spans="1:26" ht="16.5" customHeight="1">
      <c r="A63" s="1073">
        <v>59</v>
      </c>
      <c r="B63" s="1073" t="s">
        <v>716</v>
      </c>
      <c r="C63" s="1072">
        <v>91</v>
      </c>
      <c r="D63" s="1071">
        <f t="shared" si="0"/>
        <v>27.5275</v>
      </c>
      <c r="E63" s="1070">
        <f t="shared" ref="E63:E74" si="7">(3712000*1.25)/1000</f>
        <v>4640</v>
      </c>
      <c r="F63" s="1069">
        <f t="shared" si="1"/>
        <v>15338.842975206611</v>
      </c>
      <c r="G63" s="1069">
        <f t="shared" si="2"/>
        <v>422240</v>
      </c>
      <c r="H63" s="1068">
        <f>C536</f>
        <v>89.4</v>
      </c>
      <c r="I63" s="1040"/>
      <c r="J63" s="1040"/>
      <c r="K63" s="1023"/>
      <c r="L63" s="1023"/>
      <c r="M63" s="1023"/>
      <c r="N63" s="1023"/>
      <c r="O63" s="1023"/>
      <c r="P63" s="1023"/>
      <c r="Q63" s="1023"/>
      <c r="R63" s="1023"/>
      <c r="S63" s="1023"/>
      <c r="T63" s="934"/>
      <c r="U63" s="934"/>
      <c r="V63" s="934"/>
      <c r="W63" s="934"/>
      <c r="X63" s="934"/>
      <c r="Y63" s="934"/>
      <c r="Z63" s="934"/>
    </row>
    <row r="64" spans="1:26" ht="16.5" customHeight="1">
      <c r="A64" s="1073">
        <v>60</v>
      </c>
      <c r="B64" s="1073" t="s">
        <v>717</v>
      </c>
      <c r="C64" s="1072">
        <v>92.1</v>
      </c>
      <c r="D64" s="1071">
        <f t="shared" si="0"/>
        <v>27.860249999999997</v>
      </c>
      <c r="E64" s="1070">
        <f t="shared" si="7"/>
        <v>4640</v>
      </c>
      <c r="F64" s="1069">
        <f t="shared" si="1"/>
        <v>15338.842975206611</v>
      </c>
      <c r="G64" s="1069">
        <f t="shared" si="2"/>
        <v>427344</v>
      </c>
      <c r="H64" s="1068">
        <f>C523</f>
        <v>88.6</v>
      </c>
      <c r="I64" s="1040"/>
      <c r="J64" s="1040"/>
      <c r="K64" s="1023"/>
      <c r="L64" s="1023"/>
      <c r="M64" s="1023"/>
      <c r="N64" s="1023"/>
      <c r="O64" s="1023"/>
      <c r="P64" s="1023"/>
      <c r="Q64" s="1023"/>
      <c r="R64" s="1023"/>
      <c r="S64" s="1023"/>
      <c r="T64" s="934"/>
      <c r="U64" s="934"/>
      <c r="V64" s="934"/>
      <c r="W64" s="934"/>
      <c r="X64" s="934"/>
      <c r="Y64" s="934"/>
      <c r="Z64" s="934"/>
    </row>
    <row r="65" spans="1:26" ht="16.5" customHeight="1">
      <c r="A65" s="1073">
        <v>61</v>
      </c>
      <c r="B65" s="1073" t="s">
        <v>718</v>
      </c>
      <c r="C65" s="1072">
        <v>91.9</v>
      </c>
      <c r="D65" s="1071">
        <f t="shared" si="0"/>
        <v>27.79975</v>
      </c>
      <c r="E65" s="1070">
        <f t="shared" si="7"/>
        <v>4640</v>
      </c>
      <c r="F65" s="1069">
        <f t="shared" si="1"/>
        <v>15338.842975206611</v>
      </c>
      <c r="G65" s="1069">
        <f t="shared" si="2"/>
        <v>426416</v>
      </c>
      <c r="H65" s="1068">
        <f>C538</f>
        <v>86.7</v>
      </c>
      <c r="I65" s="1040"/>
      <c r="J65" s="1040"/>
      <c r="K65" s="1023"/>
      <c r="L65" s="1023"/>
      <c r="M65" s="1023"/>
      <c r="N65" s="1023"/>
      <c r="O65" s="1023"/>
      <c r="P65" s="1023"/>
      <c r="Q65" s="1023"/>
      <c r="R65" s="1023"/>
      <c r="S65" s="1023"/>
      <c r="T65" s="934"/>
      <c r="U65" s="934"/>
      <c r="V65" s="934"/>
      <c r="W65" s="934"/>
      <c r="X65" s="934"/>
      <c r="Y65" s="934"/>
      <c r="Z65" s="934"/>
    </row>
    <row r="66" spans="1:26" ht="16.5" customHeight="1">
      <c r="A66" s="1073">
        <v>62</v>
      </c>
      <c r="B66" s="1073" t="s">
        <v>719</v>
      </c>
      <c r="C66" s="1072">
        <v>89.6</v>
      </c>
      <c r="D66" s="1071">
        <f t="shared" si="0"/>
        <v>27.103999999999999</v>
      </c>
      <c r="E66" s="1070">
        <f t="shared" si="7"/>
        <v>4640</v>
      </c>
      <c r="F66" s="1069">
        <f t="shared" si="1"/>
        <v>15338.842975206611</v>
      </c>
      <c r="G66" s="1069">
        <f t="shared" si="2"/>
        <v>415744</v>
      </c>
      <c r="H66" s="1068">
        <f>C539</f>
        <v>86.4</v>
      </c>
      <c r="I66" s="1040"/>
      <c r="J66" s="1040"/>
      <c r="K66" s="1023"/>
      <c r="L66" s="1023"/>
      <c r="M66" s="1023"/>
      <c r="N66" s="1023"/>
      <c r="O66" s="1023"/>
      <c r="P66" s="1023"/>
      <c r="Q66" s="1023"/>
      <c r="R66" s="1023"/>
      <c r="S66" s="1023"/>
      <c r="T66" s="934"/>
      <c r="U66" s="934"/>
      <c r="V66" s="934"/>
      <c r="W66" s="934"/>
      <c r="X66" s="934"/>
      <c r="Y66" s="934"/>
      <c r="Z66" s="934"/>
    </row>
    <row r="67" spans="1:26" ht="16.5" customHeight="1">
      <c r="A67" s="1073">
        <v>63</v>
      </c>
      <c r="B67" s="1073" t="s">
        <v>720</v>
      </c>
      <c r="C67" s="1072">
        <v>89.1</v>
      </c>
      <c r="D67" s="1071">
        <f t="shared" si="0"/>
        <v>26.952749999999998</v>
      </c>
      <c r="E67" s="1070">
        <f t="shared" si="7"/>
        <v>4640</v>
      </c>
      <c r="F67" s="1069">
        <f t="shared" si="1"/>
        <v>15338.842975206611</v>
      </c>
      <c r="G67" s="1069">
        <f t="shared" si="2"/>
        <v>413424</v>
      </c>
      <c r="H67" s="1068">
        <f>C540</f>
        <v>87.9</v>
      </c>
      <c r="I67" s="1040"/>
      <c r="J67" s="1040"/>
      <c r="K67" s="1023"/>
      <c r="L67" s="1023"/>
      <c r="M67" s="1023"/>
      <c r="N67" s="1023"/>
      <c r="O67" s="1023"/>
      <c r="P67" s="1023"/>
      <c r="Q67" s="1023"/>
      <c r="R67" s="1023"/>
      <c r="S67" s="1023"/>
      <c r="T67" s="934"/>
      <c r="U67" s="934"/>
      <c r="V67" s="934"/>
      <c r="W67" s="934"/>
      <c r="X67" s="934"/>
      <c r="Y67" s="934"/>
      <c r="Z67" s="934"/>
    </row>
    <row r="68" spans="1:26" ht="16.5" customHeight="1">
      <c r="A68" s="1073">
        <v>64</v>
      </c>
      <c r="B68" s="1073" t="s">
        <v>721</v>
      </c>
      <c r="C68" s="1072">
        <v>90</v>
      </c>
      <c r="D68" s="1071">
        <f t="shared" si="0"/>
        <v>27.224999999999998</v>
      </c>
      <c r="E68" s="1070">
        <f t="shared" si="7"/>
        <v>4640</v>
      </c>
      <c r="F68" s="1069">
        <f t="shared" si="1"/>
        <v>15338.842975206611</v>
      </c>
      <c r="G68" s="1069">
        <f t="shared" si="2"/>
        <v>417600</v>
      </c>
      <c r="H68" s="1068">
        <f>C541</f>
        <v>90.6</v>
      </c>
      <c r="I68" s="1040"/>
      <c r="J68" s="1040"/>
      <c r="K68" s="1023"/>
      <c r="L68" s="1023"/>
      <c r="M68" s="1023"/>
      <c r="N68" s="1023"/>
      <c r="O68" s="1023"/>
      <c r="P68" s="1023"/>
      <c r="Q68" s="1023"/>
      <c r="R68" s="1023"/>
      <c r="S68" s="1023"/>
      <c r="T68" s="934"/>
      <c r="U68" s="934"/>
      <c r="V68" s="934"/>
      <c r="W68" s="934"/>
      <c r="X68" s="934"/>
      <c r="Y68" s="934"/>
      <c r="Z68" s="934"/>
    </row>
    <row r="69" spans="1:26" ht="16.5" customHeight="1">
      <c r="A69" s="1073">
        <v>65</v>
      </c>
      <c r="B69" s="1073" t="s">
        <v>722</v>
      </c>
      <c r="C69" s="1072">
        <v>91.1</v>
      </c>
      <c r="D69" s="1071">
        <f t="shared" ref="D69:D132" si="8">C69*0.3025</f>
        <v>27.557749999999999</v>
      </c>
      <c r="E69" s="1070">
        <f t="shared" si="7"/>
        <v>4640</v>
      </c>
      <c r="F69" s="1069">
        <f t="shared" ref="F69:F132" si="9">E69/0.3025</f>
        <v>15338.842975206611</v>
      </c>
      <c r="G69" s="1069">
        <f t="shared" ref="G69:G132" si="10">C69*E69</f>
        <v>422704</v>
      </c>
      <c r="H69" s="1068">
        <f>C528</f>
        <v>103</v>
      </c>
      <c r="I69" s="1040"/>
      <c r="J69" s="1040"/>
      <c r="K69" s="1023"/>
      <c r="L69" s="1023"/>
      <c r="M69" s="1023"/>
      <c r="N69" s="1023"/>
      <c r="O69" s="1023"/>
      <c r="P69" s="1023"/>
      <c r="Q69" s="1023"/>
      <c r="R69" s="1023"/>
      <c r="S69" s="1023"/>
      <c r="T69" s="934"/>
      <c r="U69" s="934"/>
      <c r="V69" s="934"/>
      <c r="W69" s="934"/>
      <c r="X69" s="934"/>
      <c r="Y69" s="934"/>
      <c r="Z69" s="934"/>
    </row>
    <row r="70" spans="1:26" ht="16.5" customHeight="1">
      <c r="A70" s="1073">
        <v>66</v>
      </c>
      <c r="B70" s="1073" t="s">
        <v>723</v>
      </c>
      <c r="C70" s="1072">
        <v>90.5</v>
      </c>
      <c r="D70" s="1071">
        <f t="shared" si="8"/>
        <v>27.376249999999999</v>
      </c>
      <c r="E70" s="1070">
        <f t="shared" si="7"/>
        <v>4640</v>
      </c>
      <c r="F70" s="1069">
        <f t="shared" si="9"/>
        <v>15338.842975206611</v>
      </c>
      <c r="G70" s="1069">
        <f t="shared" si="10"/>
        <v>419920</v>
      </c>
      <c r="H70" s="1068">
        <f>C543</f>
        <v>89.1</v>
      </c>
      <c r="I70" s="1040"/>
      <c r="J70" s="1040"/>
      <c r="K70" s="1023"/>
      <c r="L70" s="1023"/>
      <c r="M70" s="1023"/>
      <c r="N70" s="1023"/>
      <c r="O70" s="1023"/>
      <c r="P70" s="1023"/>
      <c r="Q70" s="1023"/>
      <c r="R70" s="1023"/>
      <c r="S70" s="1023"/>
      <c r="T70" s="934"/>
      <c r="U70" s="934"/>
      <c r="V70" s="934"/>
      <c r="W70" s="934"/>
      <c r="X70" s="934"/>
      <c r="Y70" s="934"/>
      <c r="Z70" s="934"/>
    </row>
    <row r="71" spans="1:26" ht="16.5" customHeight="1">
      <c r="A71" s="1073">
        <v>67</v>
      </c>
      <c r="B71" s="1073" t="s">
        <v>724</v>
      </c>
      <c r="C71" s="1072">
        <v>88.9</v>
      </c>
      <c r="D71" s="1071">
        <f t="shared" si="8"/>
        <v>26.892250000000001</v>
      </c>
      <c r="E71" s="1070">
        <f t="shared" si="7"/>
        <v>4640</v>
      </c>
      <c r="F71" s="1069">
        <f t="shared" si="9"/>
        <v>15338.842975206611</v>
      </c>
      <c r="G71" s="1069">
        <f t="shared" si="10"/>
        <v>412496</v>
      </c>
      <c r="H71" s="1068">
        <f>C544</f>
        <v>88.3</v>
      </c>
      <c r="I71" s="1040"/>
      <c r="J71" s="1040"/>
      <c r="K71" s="1023"/>
      <c r="L71" s="1023"/>
      <c r="M71" s="1023"/>
      <c r="N71" s="1023"/>
      <c r="O71" s="1023"/>
      <c r="P71" s="1023"/>
      <c r="Q71" s="1023"/>
      <c r="R71" s="1023"/>
      <c r="S71" s="1023"/>
      <c r="T71" s="934"/>
      <c r="U71" s="934"/>
      <c r="V71" s="934"/>
      <c r="W71" s="934"/>
      <c r="X71" s="934"/>
      <c r="Y71" s="934"/>
      <c r="Z71" s="934"/>
    </row>
    <row r="72" spans="1:26" ht="16.5" customHeight="1">
      <c r="A72" s="1073">
        <v>68</v>
      </c>
      <c r="B72" s="1073" t="s">
        <v>725</v>
      </c>
      <c r="C72" s="1072">
        <v>89.2</v>
      </c>
      <c r="D72" s="1071">
        <f t="shared" si="8"/>
        <v>26.983000000000001</v>
      </c>
      <c r="E72" s="1070">
        <f t="shared" si="7"/>
        <v>4640</v>
      </c>
      <c r="F72" s="1069">
        <f t="shared" si="9"/>
        <v>15338.842975206611</v>
      </c>
      <c r="G72" s="1069">
        <f t="shared" si="10"/>
        <v>413888</v>
      </c>
      <c r="H72" s="1068">
        <f>C545</f>
        <v>89.9</v>
      </c>
      <c r="I72" s="1040"/>
      <c r="J72" s="1040"/>
      <c r="K72" s="1023"/>
      <c r="L72" s="1023"/>
      <c r="M72" s="1023"/>
      <c r="N72" s="1023"/>
      <c r="O72" s="1023"/>
      <c r="P72" s="1023"/>
      <c r="Q72" s="1023"/>
      <c r="R72" s="1023"/>
      <c r="S72" s="1023"/>
      <c r="T72" s="934"/>
      <c r="U72" s="934"/>
      <c r="V72" s="934"/>
      <c r="W72" s="934"/>
      <c r="X72" s="934"/>
      <c r="Y72" s="934"/>
      <c r="Z72" s="934"/>
    </row>
    <row r="73" spans="1:26" ht="16.5" customHeight="1">
      <c r="A73" s="1073">
        <v>69</v>
      </c>
      <c r="B73" s="1073" t="s">
        <v>726</v>
      </c>
      <c r="C73" s="1072">
        <v>89.2</v>
      </c>
      <c r="D73" s="1071">
        <f t="shared" si="8"/>
        <v>26.983000000000001</v>
      </c>
      <c r="E73" s="1070">
        <f t="shared" si="7"/>
        <v>4640</v>
      </c>
      <c r="F73" s="1069">
        <f t="shared" si="9"/>
        <v>15338.842975206611</v>
      </c>
      <c r="G73" s="1069">
        <f t="shared" si="10"/>
        <v>413888</v>
      </c>
      <c r="H73" s="1068">
        <f>C546</f>
        <v>87.9</v>
      </c>
      <c r="I73" s="1040"/>
      <c r="J73" s="1040"/>
      <c r="K73" s="1023"/>
      <c r="L73" s="1023"/>
      <c r="M73" s="1023"/>
      <c r="N73" s="1023"/>
      <c r="O73" s="1023"/>
      <c r="P73" s="1023"/>
      <c r="Q73" s="1023"/>
      <c r="R73" s="1023"/>
      <c r="S73" s="1023"/>
      <c r="T73" s="934"/>
      <c r="U73" s="934"/>
      <c r="V73" s="934"/>
      <c r="W73" s="934"/>
      <c r="X73" s="934"/>
      <c r="Y73" s="934"/>
      <c r="Z73" s="934"/>
    </row>
    <row r="74" spans="1:26" ht="16.5" customHeight="1">
      <c r="A74" s="1073">
        <v>70</v>
      </c>
      <c r="B74" s="1073" t="s">
        <v>727</v>
      </c>
      <c r="C74" s="1072">
        <v>84.5</v>
      </c>
      <c r="D74" s="1071">
        <f t="shared" si="8"/>
        <v>25.561249999999998</v>
      </c>
      <c r="E74" s="1070">
        <f t="shared" si="7"/>
        <v>4640</v>
      </c>
      <c r="F74" s="1069">
        <f t="shared" si="9"/>
        <v>15338.842975206611</v>
      </c>
      <c r="G74" s="1069">
        <f t="shared" si="10"/>
        <v>392080</v>
      </c>
      <c r="H74" s="1068">
        <f>C533</f>
        <v>87.1</v>
      </c>
      <c r="I74" s="1040"/>
      <c r="J74" s="1040"/>
      <c r="K74" s="1023"/>
      <c r="L74" s="1023"/>
      <c r="M74" s="1023"/>
      <c r="N74" s="1023"/>
      <c r="O74" s="1023"/>
      <c r="P74" s="1023"/>
      <c r="Q74" s="1023"/>
      <c r="R74" s="1023"/>
      <c r="S74" s="1023"/>
      <c r="T74" s="934"/>
      <c r="U74" s="934"/>
      <c r="V74" s="934"/>
      <c r="W74" s="934"/>
      <c r="X74" s="934"/>
      <c r="Y74" s="934"/>
      <c r="Z74" s="934"/>
    </row>
    <row r="75" spans="1:26" ht="16.5" customHeight="1">
      <c r="A75" s="1073">
        <v>71</v>
      </c>
      <c r="B75" s="1073" t="s">
        <v>728</v>
      </c>
      <c r="C75" s="1072">
        <v>82.2</v>
      </c>
      <c r="D75" s="1071">
        <f t="shared" si="8"/>
        <v>24.865500000000001</v>
      </c>
      <c r="E75" s="1070">
        <f>(3556000*1.25)/1000</f>
        <v>4445</v>
      </c>
      <c r="F75" s="1069">
        <f t="shared" si="9"/>
        <v>14694.214876033058</v>
      </c>
      <c r="G75" s="1069">
        <f t="shared" si="10"/>
        <v>365379</v>
      </c>
      <c r="H75" s="1068">
        <f>C548</f>
        <v>91.2</v>
      </c>
      <c r="I75" s="1040"/>
      <c r="J75" s="1040"/>
      <c r="K75" s="1023"/>
      <c r="L75" s="1023"/>
      <c r="M75" s="1023"/>
      <c r="N75" s="1023"/>
      <c r="O75" s="1023"/>
      <c r="P75" s="1023"/>
      <c r="Q75" s="1023"/>
      <c r="R75" s="1023"/>
      <c r="S75" s="1023"/>
      <c r="T75" s="934"/>
      <c r="U75" s="934"/>
      <c r="V75" s="934"/>
      <c r="W75" s="934"/>
      <c r="X75" s="934"/>
      <c r="Y75" s="934"/>
      <c r="Z75" s="934"/>
    </row>
    <row r="76" spans="1:26" ht="16.5" customHeight="1">
      <c r="A76" s="1073">
        <v>72</v>
      </c>
      <c r="B76" s="1073" t="s">
        <v>729</v>
      </c>
      <c r="C76" s="1072">
        <v>42.2</v>
      </c>
      <c r="D76" s="1071">
        <f t="shared" si="8"/>
        <v>12.765500000000001</v>
      </c>
      <c r="E76" s="1070">
        <f>(3556000*1.25)/1000</f>
        <v>4445</v>
      </c>
      <c r="F76" s="1069">
        <f t="shared" si="9"/>
        <v>14694.214876033058</v>
      </c>
      <c r="G76" s="1069">
        <f t="shared" si="10"/>
        <v>187579</v>
      </c>
      <c r="H76" s="1068">
        <f>C549</f>
        <v>72.099999999999994</v>
      </c>
      <c r="I76" s="1040"/>
      <c r="J76" s="1040"/>
      <c r="K76" s="1023"/>
      <c r="L76" s="1023"/>
      <c r="M76" s="1023"/>
      <c r="N76" s="1023"/>
      <c r="O76" s="1023"/>
      <c r="P76" s="1023"/>
      <c r="Q76" s="1023"/>
      <c r="R76" s="1023"/>
      <c r="S76" s="1023"/>
      <c r="T76" s="934"/>
      <c r="U76" s="934"/>
      <c r="V76" s="934"/>
      <c r="W76" s="934"/>
      <c r="X76" s="934"/>
      <c r="Y76" s="934"/>
      <c r="Z76" s="934"/>
    </row>
    <row r="77" spans="1:26" ht="16.5" customHeight="1">
      <c r="A77" s="1073">
        <v>73</v>
      </c>
      <c r="B77" s="1073" t="s">
        <v>730</v>
      </c>
      <c r="C77" s="1072">
        <v>85.2</v>
      </c>
      <c r="D77" s="1071">
        <f t="shared" si="8"/>
        <v>25.773</v>
      </c>
      <c r="E77" s="1070">
        <f t="shared" ref="E77:E88" si="11">(3640000*1.25)/1000</f>
        <v>4550</v>
      </c>
      <c r="F77" s="1069">
        <f t="shared" si="9"/>
        <v>15041.322314049587</v>
      </c>
      <c r="G77" s="1069">
        <f t="shared" si="10"/>
        <v>387660</v>
      </c>
      <c r="H77" s="1068">
        <f>C550</f>
        <v>52.9</v>
      </c>
      <c r="I77" s="1040"/>
      <c r="J77" s="1040"/>
      <c r="K77" s="1023"/>
      <c r="L77" s="1023"/>
      <c r="M77" s="1023"/>
      <c r="N77" s="1023"/>
      <c r="O77" s="1023"/>
      <c r="P77" s="1023"/>
      <c r="Q77" s="1023"/>
      <c r="R77" s="1023"/>
      <c r="S77" s="1023"/>
      <c r="T77" s="934"/>
      <c r="U77" s="934"/>
      <c r="V77" s="934"/>
      <c r="W77" s="934"/>
      <c r="X77" s="934"/>
      <c r="Y77" s="934"/>
      <c r="Z77" s="934"/>
    </row>
    <row r="78" spans="1:26" ht="16.5" customHeight="1">
      <c r="A78" s="1073">
        <v>74</v>
      </c>
      <c r="B78" s="1073" t="s">
        <v>731</v>
      </c>
      <c r="C78" s="1072">
        <v>89.4</v>
      </c>
      <c r="D78" s="1071">
        <f t="shared" si="8"/>
        <v>27.043500000000002</v>
      </c>
      <c r="E78" s="1070">
        <f t="shared" si="11"/>
        <v>4550</v>
      </c>
      <c r="F78" s="1069">
        <f t="shared" si="9"/>
        <v>15041.322314049587</v>
      </c>
      <c r="G78" s="1069">
        <f t="shared" si="10"/>
        <v>406770</v>
      </c>
      <c r="H78" s="1068">
        <f>C551</f>
        <v>87</v>
      </c>
      <c r="I78" s="1040"/>
      <c r="J78" s="1040"/>
      <c r="K78" s="1023"/>
      <c r="L78" s="1023"/>
      <c r="M78" s="1023"/>
      <c r="N78" s="1023"/>
      <c r="O78" s="1023"/>
      <c r="P78" s="1023"/>
      <c r="Q78" s="1023"/>
      <c r="R78" s="1023"/>
      <c r="S78" s="1023"/>
      <c r="T78" s="934"/>
      <c r="U78" s="934"/>
      <c r="V78" s="934"/>
      <c r="W78" s="934"/>
      <c r="X78" s="934"/>
      <c r="Y78" s="934"/>
      <c r="Z78" s="934"/>
    </row>
    <row r="79" spans="1:26" ht="16.5" customHeight="1">
      <c r="A79" s="1073">
        <v>75</v>
      </c>
      <c r="B79" s="1073" t="s">
        <v>732</v>
      </c>
      <c r="C79" s="1072">
        <v>88.3</v>
      </c>
      <c r="D79" s="1071">
        <f t="shared" si="8"/>
        <v>26.710749999999997</v>
      </c>
      <c r="E79" s="1070">
        <f t="shared" si="11"/>
        <v>4550</v>
      </c>
      <c r="F79" s="1069">
        <f t="shared" si="9"/>
        <v>15041.322314049587</v>
      </c>
      <c r="G79" s="1069">
        <f t="shared" si="10"/>
        <v>401765</v>
      </c>
      <c r="H79" s="1068">
        <f>C538</f>
        <v>86.7</v>
      </c>
      <c r="I79" s="1040"/>
      <c r="J79" s="1040"/>
      <c r="K79" s="1023"/>
      <c r="L79" s="1023"/>
      <c r="M79" s="1023"/>
      <c r="N79" s="1023"/>
      <c r="O79" s="1023"/>
      <c r="P79" s="1023"/>
      <c r="Q79" s="1023"/>
      <c r="R79" s="1023"/>
      <c r="S79" s="1023"/>
      <c r="T79" s="934"/>
      <c r="U79" s="934"/>
      <c r="V79" s="934"/>
      <c r="W79" s="934"/>
      <c r="X79" s="934"/>
      <c r="Y79" s="934"/>
      <c r="Z79" s="934"/>
    </row>
    <row r="80" spans="1:26" ht="16.5" customHeight="1">
      <c r="A80" s="1073">
        <v>76</v>
      </c>
      <c r="B80" s="1073" t="s">
        <v>733</v>
      </c>
      <c r="C80" s="1072">
        <v>88</v>
      </c>
      <c r="D80" s="1071">
        <f t="shared" si="8"/>
        <v>26.619999999999997</v>
      </c>
      <c r="E80" s="1070">
        <f t="shared" si="11"/>
        <v>4550</v>
      </c>
      <c r="F80" s="1069">
        <f t="shared" si="9"/>
        <v>15041.322314049587</v>
      </c>
      <c r="G80" s="1069">
        <f t="shared" si="10"/>
        <v>400400</v>
      </c>
      <c r="H80" s="1068">
        <f>C553</f>
        <v>88</v>
      </c>
      <c r="I80" s="1040"/>
      <c r="J80" s="1040"/>
      <c r="K80" s="1023"/>
      <c r="L80" s="1023"/>
      <c r="M80" s="1023"/>
      <c r="N80" s="1023"/>
      <c r="O80" s="1023"/>
      <c r="P80" s="1023"/>
      <c r="Q80" s="1023"/>
      <c r="R80" s="1023"/>
      <c r="S80" s="1023"/>
      <c r="T80" s="934"/>
      <c r="U80" s="934"/>
      <c r="V80" s="934"/>
      <c r="W80" s="934"/>
      <c r="X80" s="934"/>
      <c r="Y80" s="934"/>
      <c r="Z80" s="934"/>
    </row>
    <row r="81" spans="1:26" ht="16.5" customHeight="1">
      <c r="A81" s="1073">
        <v>77</v>
      </c>
      <c r="B81" s="1073" t="s">
        <v>734</v>
      </c>
      <c r="C81" s="1072">
        <v>89.9</v>
      </c>
      <c r="D81" s="1071">
        <f t="shared" si="8"/>
        <v>27.194750000000003</v>
      </c>
      <c r="E81" s="1070">
        <f t="shared" si="11"/>
        <v>4550</v>
      </c>
      <c r="F81" s="1069">
        <f t="shared" si="9"/>
        <v>15041.322314049587</v>
      </c>
      <c r="G81" s="1069">
        <f t="shared" si="10"/>
        <v>409045</v>
      </c>
      <c r="H81" s="1068">
        <f>C554</f>
        <v>89.5</v>
      </c>
      <c r="I81" s="1040"/>
      <c r="J81" s="1040"/>
      <c r="K81" s="1023"/>
      <c r="L81" s="1023"/>
      <c r="M81" s="1023"/>
      <c r="N81" s="1023"/>
      <c r="O81" s="1023"/>
      <c r="P81" s="1023"/>
      <c r="Q81" s="1023"/>
      <c r="R81" s="1023"/>
      <c r="S81" s="1023"/>
      <c r="T81" s="934"/>
      <c r="U81" s="934"/>
      <c r="V81" s="934"/>
      <c r="W81" s="934"/>
      <c r="X81" s="934"/>
      <c r="Y81" s="934"/>
      <c r="Z81" s="934"/>
    </row>
    <row r="82" spans="1:26" ht="16.5" customHeight="1">
      <c r="A82" s="1073">
        <v>78</v>
      </c>
      <c r="B82" s="1073" t="s">
        <v>735</v>
      </c>
      <c r="C82" s="1072">
        <v>86.9</v>
      </c>
      <c r="D82" s="1071">
        <f t="shared" si="8"/>
        <v>26.28725</v>
      </c>
      <c r="E82" s="1070">
        <f t="shared" si="11"/>
        <v>4550</v>
      </c>
      <c r="F82" s="1069">
        <f t="shared" si="9"/>
        <v>15041.322314049587</v>
      </c>
      <c r="G82" s="1069">
        <f t="shared" si="10"/>
        <v>395395</v>
      </c>
      <c r="H82" s="1068">
        <f>C555</f>
        <v>90.2</v>
      </c>
      <c r="I82" s="1040"/>
      <c r="J82" s="1040"/>
      <c r="K82" s="1023"/>
      <c r="L82" s="1023"/>
      <c r="M82" s="1023"/>
      <c r="N82" s="1023"/>
      <c r="O82" s="1023"/>
      <c r="P82" s="1023"/>
      <c r="Q82" s="1023"/>
      <c r="R82" s="1023"/>
      <c r="S82" s="1023"/>
      <c r="T82" s="934"/>
      <c r="U82" s="934"/>
      <c r="V82" s="934"/>
      <c r="W82" s="934"/>
      <c r="X82" s="934"/>
      <c r="Y82" s="934"/>
      <c r="Z82" s="934"/>
    </row>
    <row r="83" spans="1:26" ht="16.5" customHeight="1">
      <c r="A83" s="1073">
        <v>79</v>
      </c>
      <c r="B83" s="1073" t="s">
        <v>736</v>
      </c>
      <c r="C83" s="1072">
        <v>90.7</v>
      </c>
      <c r="D83" s="1071">
        <f t="shared" si="8"/>
        <v>27.43675</v>
      </c>
      <c r="E83" s="1070">
        <f t="shared" si="11"/>
        <v>4550</v>
      </c>
      <c r="F83" s="1069">
        <f t="shared" si="9"/>
        <v>15041.322314049587</v>
      </c>
      <c r="G83" s="1069">
        <f t="shared" si="10"/>
        <v>412685</v>
      </c>
      <c r="H83" s="1068">
        <f>C556</f>
        <v>88.4</v>
      </c>
      <c r="I83" s="1040"/>
      <c r="J83" s="1040"/>
      <c r="K83" s="1023"/>
      <c r="L83" s="1023"/>
      <c r="M83" s="1023"/>
      <c r="N83" s="1023"/>
      <c r="O83" s="1023"/>
      <c r="P83" s="1023"/>
      <c r="Q83" s="1023"/>
      <c r="R83" s="1023"/>
      <c r="S83" s="1023"/>
      <c r="T83" s="934"/>
      <c r="U83" s="934"/>
      <c r="V83" s="934"/>
      <c r="W83" s="934"/>
      <c r="X83" s="934"/>
      <c r="Y83" s="934"/>
      <c r="Z83" s="934"/>
    </row>
    <row r="84" spans="1:26" ht="16.5" customHeight="1">
      <c r="A84" s="1073">
        <v>80</v>
      </c>
      <c r="B84" s="1073" t="s">
        <v>737</v>
      </c>
      <c r="C84" s="1072">
        <v>89.6</v>
      </c>
      <c r="D84" s="1071">
        <f t="shared" si="8"/>
        <v>27.103999999999999</v>
      </c>
      <c r="E84" s="1070">
        <f t="shared" si="11"/>
        <v>4550</v>
      </c>
      <c r="F84" s="1069">
        <f t="shared" si="9"/>
        <v>15041.322314049587</v>
      </c>
      <c r="G84" s="1069">
        <f t="shared" si="10"/>
        <v>407680</v>
      </c>
      <c r="H84" s="1068">
        <f>C543</f>
        <v>89.1</v>
      </c>
      <c r="I84" s="1040"/>
      <c r="J84" s="1040"/>
      <c r="K84" s="1023"/>
      <c r="L84" s="1023"/>
      <c r="M84" s="1023"/>
      <c r="N84" s="1023"/>
      <c r="O84" s="1023"/>
      <c r="P84" s="1023"/>
      <c r="Q84" s="1023"/>
      <c r="R84" s="1023"/>
      <c r="S84" s="1023"/>
      <c r="T84" s="934"/>
      <c r="U84" s="934"/>
      <c r="V84" s="934"/>
      <c r="W84" s="934"/>
      <c r="X84" s="934"/>
      <c r="Y84" s="934"/>
      <c r="Z84" s="934"/>
    </row>
    <row r="85" spans="1:26" ht="16.5" customHeight="1">
      <c r="A85" s="1073">
        <v>81</v>
      </c>
      <c r="B85" s="1073" t="s">
        <v>738</v>
      </c>
      <c r="C85" s="1072">
        <v>88.3</v>
      </c>
      <c r="D85" s="1071">
        <f t="shared" si="8"/>
        <v>26.710749999999997</v>
      </c>
      <c r="E85" s="1070">
        <f t="shared" si="11"/>
        <v>4550</v>
      </c>
      <c r="F85" s="1069">
        <f t="shared" si="9"/>
        <v>15041.322314049587</v>
      </c>
      <c r="G85" s="1069">
        <f t="shared" si="10"/>
        <v>401765</v>
      </c>
      <c r="H85" s="1068">
        <f>C558</f>
        <v>90.4</v>
      </c>
      <c r="I85" s="1040"/>
      <c r="J85" s="1040"/>
      <c r="K85" s="1023"/>
      <c r="L85" s="1023"/>
      <c r="M85" s="1023"/>
      <c r="N85" s="1023"/>
      <c r="O85" s="1023"/>
      <c r="P85" s="1023"/>
      <c r="Q85" s="1023"/>
      <c r="R85" s="1023"/>
      <c r="S85" s="1023"/>
      <c r="T85" s="934"/>
      <c r="U85" s="934"/>
      <c r="V85" s="934"/>
      <c r="W85" s="934"/>
      <c r="X85" s="934"/>
      <c r="Y85" s="934"/>
      <c r="Z85" s="934"/>
    </row>
    <row r="86" spans="1:26" ht="16.5" customHeight="1">
      <c r="A86" s="1073">
        <v>82</v>
      </c>
      <c r="B86" s="1073" t="s">
        <v>739</v>
      </c>
      <c r="C86" s="1072">
        <v>89.3</v>
      </c>
      <c r="D86" s="1071">
        <f t="shared" si="8"/>
        <v>27.013249999999999</v>
      </c>
      <c r="E86" s="1070">
        <f t="shared" si="11"/>
        <v>4550</v>
      </c>
      <c r="F86" s="1069">
        <f t="shared" si="9"/>
        <v>15041.322314049587</v>
      </c>
      <c r="G86" s="1069">
        <f t="shared" si="10"/>
        <v>406315</v>
      </c>
      <c r="H86" s="1068">
        <f>C559</f>
        <v>89.7</v>
      </c>
      <c r="I86" s="1040"/>
      <c r="J86" s="1040"/>
      <c r="K86" s="1023"/>
      <c r="L86" s="1023"/>
      <c r="M86" s="1023"/>
      <c r="N86" s="1023"/>
      <c r="O86" s="1023"/>
      <c r="P86" s="1023"/>
      <c r="Q86" s="1023"/>
      <c r="R86" s="1023"/>
      <c r="S86" s="1023"/>
      <c r="T86" s="934"/>
      <c r="U86" s="934"/>
      <c r="V86" s="934"/>
      <c r="W86" s="934"/>
      <c r="X86" s="934"/>
      <c r="Y86" s="934"/>
      <c r="Z86" s="934"/>
    </row>
    <row r="87" spans="1:26" ht="16.5" customHeight="1">
      <c r="A87" s="1073">
        <v>83</v>
      </c>
      <c r="B87" s="1073" t="s">
        <v>740</v>
      </c>
      <c r="C87" s="1072">
        <v>89</v>
      </c>
      <c r="D87" s="1071">
        <f t="shared" si="8"/>
        <v>26.922499999999999</v>
      </c>
      <c r="E87" s="1070">
        <f t="shared" si="11"/>
        <v>4550</v>
      </c>
      <c r="F87" s="1069">
        <f t="shared" si="9"/>
        <v>15041.322314049587</v>
      </c>
      <c r="G87" s="1069">
        <f t="shared" si="10"/>
        <v>404950</v>
      </c>
      <c r="H87" s="1068">
        <f>C560</f>
        <v>88.9</v>
      </c>
      <c r="I87" s="1040"/>
      <c r="J87" s="1040"/>
      <c r="K87" s="1023"/>
      <c r="L87" s="1023"/>
      <c r="M87" s="1023"/>
      <c r="N87" s="1023"/>
      <c r="O87" s="1023"/>
      <c r="P87" s="1023"/>
      <c r="Q87" s="1023"/>
      <c r="R87" s="1023"/>
      <c r="S87" s="1023"/>
      <c r="T87" s="934"/>
      <c r="U87" s="934"/>
      <c r="V87" s="934"/>
      <c r="W87" s="934"/>
      <c r="X87" s="934"/>
      <c r="Y87" s="934"/>
      <c r="Z87" s="934"/>
    </row>
    <row r="88" spans="1:26" ht="16.5" customHeight="1">
      <c r="A88" s="1073">
        <v>84</v>
      </c>
      <c r="B88" s="1073" t="s">
        <v>741</v>
      </c>
      <c r="C88" s="1072">
        <v>90</v>
      </c>
      <c r="D88" s="1071">
        <f t="shared" si="8"/>
        <v>27.224999999999998</v>
      </c>
      <c r="E88" s="1070">
        <f t="shared" si="11"/>
        <v>4550</v>
      </c>
      <c r="F88" s="1069">
        <f t="shared" si="9"/>
        <v>15041.322314049587</v>
      </c>
      <c r="G88" s="1069">
        <f t="shared" si="10"/>
        <v>409500</v>
      </c>
      <c r="H88" s="1068">
        <f>C561</f>
        <v>90.2</v>
      </c>
      <c r="I88" s="1040"/>
      <c r="J88" s="1040"/>
      <c r="K88" s="1023"/>
      <c r="L88" s="1023"/>
      <c r="M88" s="1023"/>
      <c r="N88" s="1023"/>
      <c r="O88" s="1023"/>
      <c r="P88" s="1023"/>
      <c r="Q88" s="1023"/>
      <c r="R88" s="1023"/>
      <c r="S88" s="1023"/>
      <c r="T88" s="934"/>
      <c r="U88" s="934"/>
      <c r="V88" s="934"/>
      <c r="W88" s="934"/>
      <c r="X88" s="934"/>
      <c r="Y88" s="934"/>
      <c r="Z88" s="934"/>
    </row>
    <row r="89" spans="1:26" ht="16.5" customHeight="1">
      <c r="A89" s="1073">
        <v>85</v>
      </c>
      <c r="B89" s="1073" t="s">
        <v>742</v>
      </c>
      <c r="C89" s="1072">
        <v>162</v>
      </c>
      <c r="D89" s="1071">
        <f t="shared" si="8"/>
        <v>49.004999999999995</v>
      </c>
      <c r="E89" s="1070">
        <f>(6835000*1.25)/1000</f>
        <v>8543.75</v>
      </c>
      <c r="F89" s="1069">
        <f t="shared" si="9"/>
        <v>28243.801652892562</v>
      </c>
      <c r="G89" s="1069">
        <f t="shared" si="10"/>
        <v>1384087.5</v>
      </c>
      <c r="H89" s="1068">
        <f>C548</f>
        <v>91.2</v>
      </c>
      <c r="I89" s="1040"/>
      <c r="J89" s="1040"/>
      <c r="K89" s="1023"/>
      <c r="L89" s="1023"/>
      <c r="M89" s="1023"/>
      <c r="N89" s="1023"/>
      <c r="O89" s="1023"/>
      <c r="P89" s="1023"/>
      <c r="Q89" s="1023"/>
      <c r="R89" s="1023"/>
      <c r="S89" s="1023"/>
      <c r="T89" s="934"/>
      <c r="U89" s="934"/>
      <c r="V89" s="934"/>
      <c r="W89" s="934"/>
      <c r="X89" s="934"/>
      <c r="Y89" s="934"/>
      <c r="Z89" s="934"/>
    </row>
    <row r="90" spans="1:26" ht="16.5" customHeight="1">
      <c r="A90" s="1073">
        <v>86</v>
      </c>
      <c r="B90" s="1073" t="s">
        <v>743</v>
      </c>
      <c r="C90" s="1072">
        <v>84.8</v>
      </c>
      <c r="D90" s="1071">
        <f t="shared" si="8"/>
        <v>25.651999999999997</v>
      </c>
      <c r="E90" s="1070">
        <f>(7350000*1.25)/1000</f>
        <v>9187.5</v>
      </c>
      <c r="F90" s="1069">
        <f t="shared" si="9"/>
        <v>30371.900826446283</v>
      </c>
      <c r="G90" s="1069">
        <f t="shared" si="10"/>
        <v>779100</v>
      </c>
      <c r="H90" s="1068">
        <f>C563</f>
        <v>89.5</v>
      </c>
      <c r="I90" s="1040"/>
      <c r="J90" s="1040"/>
      <c r="K90" s="1023"/>
      <c r="L90" s="1023"/>
      <c r="M90" s="1023"/>
      <c r="N90" s="1023"/>
      <c r="O90" s="1023"/>
      <c r="P90" s="1023"/>
      <c r="Q90" s="1023"/>
      <c r="R90" s="1023"/>
      <c r="S90" s="1023"/>
      <c r="T90" s="934"/>
      <c r="U90" s="934"/>
      <c r="V90" s="934"/>
      <c r="W90" s="934"/>
      <c r="X90" s="934"/>
      <c r="Y90" s="934"/>
      <c r="Z90" s="934"/>
    </row>
    <row r="91" spans="1:26" ht="16.5" customHeight="1">
      <c r="A91" s="1073">
        <v>87</v>
      </c>
      <c r="B91" s="1073" t="s">
        <v>744</v>
      </c>
      <c r="C91" s="1072">
        <v>90</v>
      </c>
      <c r="D91" s="1071">
        <f t="shared" si="8"/>
        <v>27.224999999999998</v>
      </c>
      <c r="E91" s="1070">
        <f t="shared" ref="E91:E103" si="12">(3712000*1.25)/1000</f>
        <v>4640</v>
      </c>
      <c r="F91" s="1069">
        <f t="shared" si="9"/>
        <v>15338.842975206611</v>
      </c>
      <c r="G91" s="1069">
        <f t="shared" si="10"/>
        <v>417600</v>
      </c>
      <c r="H91" s="1068">
        <f>C564</f>
        <v>91.5</v>
      </c>
      <c r="I91" s="1040"/>
      <c r="J91" s="1040"/>
      <c r="K91" s="1023"/>
      <c r="L91" s="1023"/>
      <c r="M91" s="1023"/>
      <c r="N91" s="1023"/>
      <c r="O91" s="1023"/>
      <c r="P91" s="1023"/>
      <c r="Q91" s="1023"/>
      <c r="R91" s="1023"/>
      <c r="S91" s="1023"/>
      <c r="T91" s="934"/>
      <c r="U91" s="934"/>
      <c r="V91" s="934"/>
      <c r="W91" s="934"/>
      <c r="X91" s="934"/>
      <c r="Y91" s="934"/>
      <c r="Z91" s="934"/>
    </row>
    <row r="92" spans="1:26" ht="16.5" customHeight="1">
      <c r="A92" s="1073">
        <v>88</v>
      </c>
      <c r="B92" s="1073" t="s">
        <v>745</v>
      </c>
      <c r="C92" s="1072">
        <v>90.9</v>
      </c>
      <c r="D92" s="1071">
        <f t="shared" si="8"/>
        <v>27.497250000000001</v>
      </c>
      <c r="E92" s="1070">
        <f t="shared" si="12"/>
        <v>4640</v>
      </c>
      <c r="F92" s="1069">
        <f t="shared" si="9"/>
        <v>15338.842975206611</v>
      </c>
      <c r="G92" s="1069">
        <f t="shared" si="10"/>
        <v>421776</v>
      </c>
      <c r="H92" s="1068">
        <f>C565</f>
        <v>85.3</v>
      </c>
      <c r="I92" s="1040"/>
      <c r="J92" s="1040"/>
      <c r="K92" s="1023"/>
      <c r="L92" s="1023"/>
      <c r="M92" s="1023"/>
      <c r="N92" s="1023"/>
      <c r="O92" s="1023"/>
      <c r="P92" s="1023"/>
      <c r="Q92" s="1023"/>
      <c r="R92" s="1023"/>
      <c r="S92" s="1023"/>
      <c r="T92" s="934"/>
      <c r="U92" s="934"/>
      <c r="V92" s="934"/>
      <c r="W92" s="934"/>
      <c r="X92" s="934"/>
      <c r="Y92" s="934"/>
      <c r="Z92" s="934"/>
    </row>
    <row r="93" spans="1:26" ht="16.5" customHeight="1">
      <c r="A93" s="1073">
        <v>89</v>
      </c>
      <c r="B93" s="1073" t="s">
        <v>746</v>
      </c>
      <c r="C93" s="1072">
        <v>89.8</v>
      </c>
      <c r="D93" s="1071">
        <f t="shared" si="8"/>
        <v>27.164499999999997</v>
      </c>
      <c r="E93" s="1070">
        <f t="shared" si="12"/>
        <v>4640</v>
      </c>
      <c r="F93" s="1069">
        <f t="shared" si="9"/>
        <v>15338.842975206611</v>
      </c>
      <c r="G93" s="1069">
        <f t="shared" si="10"/>
        <v>416672</v>
      </c>
      <c r="H93" s="1068">
        <f>C566</f>
        <v>83.5</v>
      </c>
      <c r="I93" s="1040"/>
      <c r="J93" s="1040"/>
      <c r="K93" s="1023"/>
      <c r="L93" s="1023"/>
      <c r="M93" s="1023"/>
      <c r="N93" s="1023"/>
      <c r="O93" s="1023"/>
      <c r="P93" s="1023"/>
      <c r="Q93" s="1023"/>
      <c r="R93" s="1023"/>
      <c r="S93" s="1023"/>
      <c r="T93" s="934"/>
      <c r="U93" s="934"/>
      <c r="V93" s="934"/>
      <c r="W93" s="934"/>
      <c r="X93" s="934"/>
      <c r="Y93" s="934"/>
      <c r="Z93" s="934"/>
    </row>
    <row r="94" spans="1:26" ht="16.5" customHeight="1">
      <c r="A94" s="1073">
        <v>90</v>
      </c>
      <c r="B94" s="1073" t="s">
        <v>747</v>
      </c>
      <c r="C94" s="1072">
        <v>91.7</v>
      </c>
      <c r="D94" s="1071">
        <f t="shared" si="8"/>
        <v>27.739249999999998</v>
      </c>
      <c r="E94" s="1070">
        <f t="shared" si="12"/>
        <v>4640</v>
      </c>
      <c r="F94" s="1069">
        <f t="shared" si="9"/>
        <v>15338.842975206611</v>
      </c>
      <c r="G94" s="1069">
        <f t="shared" si="10"/>
        <v>425488</v>
      </c>
      <c r="H94" s="1068">
        <f>C553</f>
        <v>88</v>
      </c>
      <c r="I94" s="1040"/>
      <c r="J94" s="1040"/>
      <c r="K94" s="1023"/>
      <c r="L94" s="1023"/>
      <c r="M94" s="1023"/>
      <c r="N94" s="1023"/>
      <c r="O94" s="1023"/>
      <c r="P94" s="1023"/>
      <c r="Q94" s="1023"/>
      <c r="R94" s="1023"/>
      <c r="S94" s="1023"/>
      <c r="T94" s="934"/>
      <c r="U94" s="934"/>
      <c r="V94" s="934"/>
      <c r="W94" s="934"/>
      <c r="X94" s="934"/>
      <c r="Y94" s="934"/>
      <c r="Z94" s="934"/>
    </row>
    <row r="95" spans="1:26" ht="16.5" customHeight="1">
      <c r="A95" s="1073">
        <v>91</v>
      </c>
      <c r="B95" s="1073" t="s">
        <v>748</v>
      </c>
      <c r="C95" s="1072">
        <v>90.2</v>
      </c>
      <c r="D95" s="1071">
        <f t="shared" si="8"/>
        <v>27.285499999999999</v>
      </c>
      <c r="E95" s="1070">
        <f t="shared" si="12"/>
        <v>4640</v>
      </c>
      <c r="F95" s="1069">
        <f t="shared" si="9"/>
        <v>15338.842975206611</v>
      </c>
      <c r="G95" s="1069">
        <f t="shared" si="10"/>
        <v>418528</v>
      </c>
      <c r="H95" s="1068">
        <f>C568</f>
        <v>88.1</v>
      </c>
      <c r="I95" s="1040"/>
      <c r="J95" s="1040"/>
      <c r="K95" s="1023"/>
      <c r="L95" s="1023"/>
      <c r="M95" s="1023"/>
      <c r="N95" s="1023"/>
      <c r="O95" s="1023"/>
      <c r="P95" s="1023"/>
      <c r="Q95" s="1023"/>
      <c r="R95" s="1023"/>
      <c r="S95" s="1023"/>
      <c r="T95" s="934"/>
      <c r="U95" s="934"/>
      <c r="V95" s="934"/>
      <c r="W95" s="934"/>
      <c r="X95" s="934"/>
      <c r="Y95" s="934"/>
      <c r="Z95" s="934"/>
    </row>
    <row r="96" spans="1:26" ht="16.5" customHeight="1">
      <c r="A96" s="1073">
        <v>92</v>
      </c>
      <c r="B96" s="1073" t="s">
        <v>749</v>
      </c>
      <c r="C96" s="1072">
        <v>89.2</v>
      </c>
      <c r="D96" s="1071">
        <f t="shared" si="8"/>
        <v>26.983000000000001</v>
      </c>
      <c r="E96" s="1070">
        <f t="shared" si="12"/>
        <v>4640</v>
      </c>
      <c r="F96" s="1069">
        <f t="shared" si="9"/>
        <v>15338.842975206611</v>
      </c>
      <c r="G96" s="1069">
        <f t="shared" si="10"/>
        <v>413888</v>
      </c>
      <c r="H96" s="1068">
        <f>C569</f>
        <v>88.5</v>
      </c>
      <c r="I96" s="1040"/>
      <c r="J96" s="1040"/>
      <c r="K96" s="1023"/>
      <c r="L96" s="1023"/>
      <c r="M96" s="1023"/>
      <c r="N96" s="1023"/>
      <c r="O96" s="1023"/>
      <c r="P96" s="1023"/>
      <c r="Q96" s="1023"/>
      <c r="R96" s="1023"/>
      <c r="S96" s="1023"/>
      <c r="T96" s="934"/>
      <c r="U96" s="934"/>
      <c r="V96" s="934"/>
      <c r="W96" s="934"/>
      <c r="X96" s="934"/>
      <c r="Y96" s="934"/>
      <c r="Z96" s="934"/>
    </row>
    <row r="97" spans="1:26" ht="16.5" customHeight="1">
      <c r="A97" s="1073">
        <v>93</v>
      </c>
      <c r="B97" s="1073" t="s">
        <v>750</v>
      </c>
      <c r="C97" s="1072">
        <v>89.7</v>
      </c>
      <c r="D97" s="1071">
        <f t="shared" si="8"/>
        <v>27.134250000000002</v>
      </c>
      <c r="E97" s="1070">
        <f t="shared" si="12"/>
        <v>4640</v>
      </c>
      <c r="F97" s="1069">
        <f t="shared" si="9"/>
        <v>15338.842975206611</v>
      </c>
      <c r="G97" s="1069">
        <f t="shared" si="10"/>
        <v>416208</v>
      </c>
      <c r="H97" s="1068">
        <f>C570</f>
        <v>89</v>
      </c>
      <c r="I97" s="1040"/>
      <c r="J97" s="1040"/>
      <c r="K97" s="1023"/>
      <c r="L97" s="1023"/>
      <c r="M97" s="1023"/>
      <c r="N97" s="1023"/>
      <c r="O97" s="1023"/>
      <c r="P97" s="1023"/>
      <c r="Q97" s="1023"/>
      <c r="R97" s="1023"/>
      <c r="S97" s="1023"/>
      <c r="T97" s="934"/>
      <c r="U97" s="934"/>
      <c r="V97" s="934"/>
      <c r="W97" s="934"/>
      <c r="X97" s="934"/>
      <c r="Y97" s="934"/>
      <c r="Z97" s="934"/>
    </row>
    <row r="98" spans="1:26" ht="16.5" customHeight="1">
      <c r="A98" s="1073">
        <v>94</v>
      </c>
      <c r="B98" s="1073" t="s">
        <v>751</v>
      </c>
      <c r="C98" s="1072">
        <v>89.2</v>
      </c>
      <c r="D98" s="1071">
        <f t="shared" si="8"/>
        <v>26.983000000000001</v>
      </c>
      <c r="E98" s="1070">
        <f t="shared" si="12"/>
        <v>4640</v>
      </c>
      <c r="F98" s="1069">
        <f t="shared" si="9"/>
        <v>15338.842975206611</v>
      </c>
      <c r="G98" s="1069">
        <f t="shared" si="10"/>
        <v>413888</v>
      </c>
      <c r="H98" s="1068">
        <f>C571</f>
        <v>87.9</v>
      </c>
      <c r="I98" s="1040"/>
      <c r="J98" s="1040"/>
      <c r="K98" s="1023"/>
      <c r="L98" s="1023"/>
      <c r="M98" s="1023"/>
      <c r="N98" s="1023"/>
      <c r="O98" s="1023"/>
      <c r="P98" s="1023"/>
      <c r="Q98" s="1023"/>
      <c r="R98" s="1023"/>
      <c r="S98" s="1023"/>
      <c r="T98" s="934"/>
      <c r="U98" s="934"/>
      <c r="V98" s="934"/>
      <c r="W98" s="934"/>
      <c r="X98" s="934"/>
      <c r="Y98" s="934"/>
      <c r="Z98" s="934"/>
    </row>
    <row r="99" spans="1:26" ht="16.5" customHeight="1">
      <c r="A99" s="1073">
        <v>95</v>
      </c>
      <c r="B99" s="1073" t="s">
        <v>752</v>
      </c>
      <c r="C99" s="1072">
        <v>92.1</v>
      </c>
      <c r="D99" s="1071">
        <f t="shared" si="8"/>
        <v>27.860249999999997</v>
      </c>
      <c r="E99" s="1070">
        <f t="shared" si="12"/>
        <v>4640</v>
      </c>
      <c r="F99" s="1069">
        <f t="shared" si="9"/>
        <v>15338.842975206611</v>
      </c>
      <c r="G99" s="1069">
        <f t="shared" si="10"/>
        <v>427344</v>
      </c>
      <c r="H99" s="1068">
        <f>C558</f>
        <v>90.4</v>
      </c>
      <c r="I99" s="1040"/>
      <c r="J99" s="1040"/>
      <c r="K99" s="1023"/>
      <c r="L99" s="1023"/>
      <c r="M99" s="1023"/>
      <c r="N99" s="1023"/>
      <c r="O99" s="1023"/>
      <c r="P99" s="1023"/>
      <c r="Q99" s="1023"/>
      <c r="R99" s="1023"/>
      <c r="S99" s="1023"/>
      <c r="T99" s="934"/>
      <c r="U99" s="934"/>
      <c r="V99" s="934"/>
      <c r="W99" s="934"/>
      <c r="X99" s="934"/>
      <c r="Y99" s="934"/>
      <c r="Z99" s="934"/>
    </row>
    <row r="100" spans="1:26" ht="16.5" customHeight="1">
      <c r="A100" s="1073">
        <v>96</v>
      </c>
      <c r="B100" s="1073" t="s">
        <v>753</v>
      </c>
      <c r="C100" s="1072">
        <v>89.5</v>
      </c>
      <c r="D100" s="1071">
        <f t="shared" si="8"/>
        <v>27.07375</v>
      </c>
      <c r="E100" s="1070">
        <f t="shared" si="12"/>
        <v>4640</v>
      </c>
      <c r="F100" s="1069">
        <f t="shared" si="9"/>
        <v>15338.842975206611</v>
      </c>
      <c r="G100" s="1069">
        <f t="shared" si="10"/>
        <v>415280</v>
      </c>
      <c r="H100" s="1068">
        <f>C573</f>
        <v>90.3</v>
      </c>
      <c r="I100" s="1040"/>
      <c r="J100" s="1040"/>
      <c r="K100" s="1023"/>
      <c r="L100" s="1023"/>
      <c r="M100" s="1023"/>
      <c r="N100" s="1023"/>
      <c r="O100" s="1023"/>
      <c r="P100" s="1023"/>
      <c r="Q100" s="1023"/>
      <c r="R100" s="1023"/>
      <c r="S100" s="1023"/>
      <c r="T100" s="934"/>
      <c r="U100" s="934"/>
      <c r="V100" s="934"/>
      <c r="W100" s="934"/>
      <c r="X100" s="934"/>
      <c r="Y100" s="934"/>
      <c r="Z100" s="934"/>
    </row>
    <row r="101" spans="1:26" ht="16.5" customHeight="1">
      <c r="A101" s="1073">
        <v>97</v>
      </c>
      <c r="B101" s="1073" t="s">
        <v>754</v>
      </c>
      <c r="C101" s="1072">
        <v>90.8</v>
      </c>
      <c r="D101" s="1071">
        <f t="shared" si="8"/>
        <v>27.466999999999999</v>
      </c>
      <c r="E101" s="1070">
        <f t="shared" si="12"/>
        <v>4640</v>
      </c>
      <c r="F101" s="1069">
        <f t="shared" si="9"/>
        <v>15338.842975206611</v>
      </c>
      <c r="G101" s="1069">
        <f t="shared" si="10"/>
        <v>421312</v>
      </c>
      <c r="H101" s="1068">
        <f>C574</f>
        <v>87.7</v>
      </c>
      <c r="I101" s="1040"/>
      <c r="J101" s="1040"/>
      <c r="K101" s="1023"/>
      <c r="L101" s="1023"/>
      <c r="M101" s="1023"/>
      <c r="N101" s="1023"/>
      <c r="O101" s="1023"/>
      <c r="P101" s="1023"/>
      <c r="Q101" s="1023"/>
      <c r="R101" s="1023"/>
      <c r="S101" s="1023"/>
      <c r="T101" s="934"/>
      <c r="U101" s="934"/>
      <c r="V101" s="934"/>
      <c r="W101" s="934"/>
      <c r="X101" s="934"/>
      <c r="Y101" s="934"/>
      <c r="Z101" s="934"/>
    </row>
    <row r="102" spans="1:26" ht="16.5" customHeight="1">
      <c r="A102" s="1073">
        <v>98</v>
      </c>
      <c r="B102" s="1073" t="s">
        <v>755</v>
      </c>
      <c r="C102" s="1072">
        <v>91.9</v>
      </c>
      <c r="D102" s="1071">
        <f t="shared" si="8"/>
        <v>27.79975</v>
      </c>
      <c r="E102" s="1070">
        <f t="shared" si="12"/>
        <v>4640</v>
      </c>
      <c r="F102" s="1069">
        <f t="shared" si="9"/>
        <v>15338.842975206611</v>
      </c>
      <c r="G102" s="1069">
        <f t="shared" si="10"/>
        <v>426416</v>
      </c>
      <c r="H102" s="1068">
        <f>C575</f>
        <v>89.1</v>
      </c>
      <c r="I102" s="1040"/>
      <c r="J102" s="1040"/>
      <c r="K102" s="1023"/>
      <c r="L102" s="1023"/>
      <c r="M102" s="1023"/>
      <c r="N102" s="1023"/>
      <c r="O102" s="1023"/>
      <c r="P102" s="1023"/>
      <c r="Q102" s="1023"/>
      <c r="R102" s="1023"/>
      <c r="S102" s="1023"/>
      <c r="T102" s="934"/>
      <c r="U102" s="934"/>
      <c r="V102" s="934"/>
      <c r="W102" s="934"/>
      <c r="X102" s="934"/>
      <c r="Y102" s="934"/>
      <c r="Z102" s="934"/>
    </row>
    <row r="103" spans="1:26" ht="16.5" customHeight="1">
      <c r="A103" s="1073">
        <v>99</v>
      </c>
      <c r="B103" s="1073" t="s">
        <v>756</v>
      </c>
      <c r="C103" s="1072">
        <v>90.5</v>
      </c>
      <c r="D103" s="1071">
        <f t="shared" si="8"/>
        <v>27.376249999999999</v>
      </c>
      <c r="E103" s="1070">
        <f t="shared" si="12"/>
        <v>4640</v>
      </c>
      <c r="F103" s="1069">
        <f t="shared" si="9"/>
        <v>15338.842975206611</v>
      </c>
      <c r="G103" s="1069">
        <f t="shared" si="10"/>
        <v>419920</v>
      </c>
      <c r="H103" s="1068">
        <f>C576</f>
        <v>89.3</v>
      </c>
      <c r="I103" s="1040"/>
      <c r="J103" s="1040"/>
      <c r="K103" s="1023"/>
      <c r="L103" s="1023"/>
      <c r="M103" s="1023"/>
      <c r="N103" s="1023"/>
      <c r="O103" s="1023"/>
      <c r="P103" s="1023"/>
      <c r="Q103" s="1023"/>
      <c r="R103" s="1023"/>
      <c r="S103" s="1023"/>
      <c r="T103" s="934"/>
      <c r="U103" s="934"/>
      <c r="V103" s="934"/>
      <c r="W103" s="934"/>
      <c r="X103" s="934"/>
      <c r="Y103" s="934"/>
      <c r="Z103" s="934"/>
    </row>
    <row r="104" spans="1:26" ht="16.5" customHeight="1">
      <c r="A104" s="1073">
        <v>100</v>
      </c>
      <c r="B104" s="1073" t="s">
        <v>757</v>
      </c>
      <c r="C104" s="1072">
        <v>98.4</v>
      </c>
      <c r="D104" s="1071">
        <f t="shared" si="8"/>
        <v>29.766000000000002</v>
      </c>
      <c r="E104" s="1070">
        <f>(3556000*1.25)/1000</f>
        <v>4445</v>
      </c>
      <c r="F104" s="1069">
        <f t="shared" si="9"/>
        <v>14694.214876033058</v>
      </c>
      <c r="G104" s="1069">
        <f t="shared" si="10"/>
        <v>437388</v>
      </c>
      <c r="H104" s="1068">
        <f>C563</f>
        <v>89.5</v>
      </c>
      <c r="I104" s="1040"/>
      <c r="J104" s="1040"/>
      <c r="K104" s="1023"/>
      <c r="L104" s="1023"/>
      <c r="M104" s="1023"/>
      <c r="N104" s="1023"/>
      <c r="O104" s="1023"/>
      <c r="P104" s="1023"/>
      <c r="Q104" s="1023"/>
      <c r="R104" s="1023"/>
      <c r="S104" s="1023"/>
      <c r="T104" s="934"/>
      <c r="U104" s="934"/>
      <c r="V104" s="934"/>
      <c r="W104" s="934"/>
      <c r="X104" s="934"/>
      <c r="Y104" s="934"/>
      <c r="Z104" s="934"/>
    </row>
    <row r="105" spans="1:26" ht="16.5" customHeight="1">
      <c r="A105" s="1073">
        <v>101</v>
      </c>
      <c r="B105" s="1073" t="s">
        <v>758</v>
      </c>
      <c r="C105" s="1072">
        <v>88.9</v>
      </c>
      <c r="D105" s="1071">
        <f t="shared" si="8"/>
        <v>26.892250000000001</v>
      </c>
      <c r="E105" s="1070">
        <f>(3556000*1.25)/1000</f>
        <v>4445</v>
      </c>
      <c r="F105" s="1069">
        <f t="shared" si="9"/>
        <v>14694.214876033058</v>
      </c>
      <c r="G105" s="1069">
        <f t="shared" si="10"/>
        <v>395160.5</v>
      </c>
      <c r="H105" s="1068">
        <f>C578</f>
        <v>89</v>
      </c>
      <c r="I105" s="1040"/>
      <c r="J105" s="1040"/>
      <c r="K105" s="1023"/>
      <c r="L105" s="1023"/>
      <c r="M105" s="1023"/>
      <c r="N105" s="1023"/>
      <c r="O105" s="1023"/>
      <c r="P105" s="1023"/>
      <c r="Q105" s="1023"/>
      <c r="R105" s="1023"/>
      <c r="S105" s="1023"/>
      <c r="T105" s="934"/>
      <c r="U105" s="934"/>
      <c r="V105" s="934"/>
      <c r="W105" s="934"/>
      <c r="X105" s="934"/>
      <c r="Y105" s="934"/>
      <c r="Z105" s="934"/>
    </row>
    <row r="106" spans="1:26" ht="16.5" customHeight="1">
      <c r="A106" s="1073">
        <v>102</v>
      </c>
      <c r="B106" s="1073" t="s">
        <v>759</v>
      </c>
      <c r="C106" s="1072">
        <v>89.4</v>
      </c>
      <c r="D106" s="1071">
        <f t="shared" si="8"/>
        <v>27.043500000000002</v>
      </c>
      <c r="E106" s="1070">
        <f t="shared" ref="E106:E118" si="13">(3640000*1.25)/1000</f>
        <v>4550</v>
      </c>
      <c r="F106" s="1069">
        <f t="shared" si="9"/>
        <v>15041.322314049587</v>
      </c>
      <c r="G106" s="1069">
        <f t="shared" si="10"/>
        <v>406770</v>
      </c>
      <c r="H106" s="1068">
        <f>C579</f>
        <v>92.7</v>
      </c>
      <c r="I106" s="1040"/>
      <c r="J106" s="1040"/>
      <c r="K106" s="1023"/>
      <c r="L106" s="1023"/>
      <c r="M106" s="1023"/>
      <c r="N106" s="1023"/>
      <c r="O106" s="1023"/>
      <c r="P106" s="1023"/>
      <c r="Q106" s="1023"/>
      <c r="R106" s="1023"/>
      <c r="S106" s="1023"/>
      <c r="T106" s="934"/>
      <c r="U106" s="934"/>
      <c r="V106" s="934"/>
      <c r="W106" s="934"/>
      <c r="X106" s="934"/>
      <c r="Y106" s="934"/>
      <c r="Z106" s="934"/>
    </row>
    <row r="107" spans="1:26" ht="16.5" customHeight="1">
      <c r="A107" s="1073">
        <v>103</v>
      </c>
      <c r="B107" s="1073" t="s">
        <v>760</v>
      </c>
      <c r="C107" s="1072">
        <v>90.1</v>
      </c>
      <c r="D107" s="1071">
        <f t="shared" si="8"/>
        <v>27.255249999999997</v>
      </c>
      <c r="E107" s="1070">
        <f t="shared" si="13"/>
        <v>4550</v>
      </c>
      <c r="F107" s="1069">
        <f t="shared" si="9"/>
        <v>15041.322314049587</v>
      </c>
      <c r="G107" s="1069">
        <f t="shared" si="10"/>
        <v>409955</v>
      </c>
      <c r="H107" s="1068">
        <f>C580</f>
        <v>87.2</v>
      </c>
      <c r="I107" s="1040"/>
      <c r="J107" s="1040"/>
      <c r="K107" s="1023"/>
      <c r="L107" s="1023"/>
      <c r="M107" s="1023"/>
      <c r="N107" s="1023"/>
      <c r="O107" s="1023"/>
      <c r="P107" s="1023"/>
      <c r="Q107" s="1023"/>
      <c r="R107" s="1023"/>
      <c r="S107" s="1023"/>
      <c r="T107" s="934"/>
      <c r="U107" s="934"/>
      <c r="V107" s="934"/>
      <c r="W107" s="934"/>
      <c r="X107" s="934"/>
      <c r="Y107" s="934"/>
      <c r="Z107" s="934"/>
    </row>
    <row r="108" spans="1:26" ht="16.5" customHeight="1">
      <c r="A108" s="1073">
        <v>104</v>
      </c>
      <c r="B108" s="1073" t="s">
        <v>761</v>
      </c>
      <c r="C108" s="1072">
        <v>87.5</v>
      </c>
      <c r="D108" s="1071">
        <f t="shared" si="8"/>
        <v>26.46875</v>
      </c>
      <c r="E108" s="1070">
        <f t="shared" si="13"/>
        <v>4550</v>
      </c>
      <c r="F108" s="1069">
        <f t="shared" si="9"/>
        <v>15041.322314049587</v>
      </c>
      <c r="G108" s="1069">
        <f t="shared" si="10"/>
        <v>398125</v>
      </c>
      <c r="H108" s="1068" t="e">
        <f>#REF!</f>
        <v>#REF!</v>
      </c>
      <c r="I108" s="1040"/>
      <c r="J108" s="1040"/>
      <c r="K108" s="1023"/>
      <c r="L108" s="1023"/>
      <c r="M108" s="1023"/>
      <c r="N108" s="1023"/>
      <c r="O108" s="1023"/>
      <c r="P108" s="1023"/>
      <c r="Q108" s="1023"/>
      <c r="R108" s="1023"/>
      <c r="S108" s="1023"/>
      <c r="T108" s="934"/>
      <c r="U108" s="934"/>
      <c r="V108" s="934"/>
      <c r="W108" s="934"/>
      <c r="X108" s="934"/>
      <c r="Y108" s="934"/>
      <c r="Z108" s="934"/>
    </row>
    <row r="109" spans="1:26" ht="16.5" customHeight="1">
      <c r="A109" s="1073">
        <v>105</v>
      </c>
      <c r="B109" s="1073" t="s">
        <v>762</v>
      </c>
      <c r="C109" s="1072">
        <v>88</v>
      </c>
      <c r="D109" s="1071">
        <f t="shared" si="8"/>
        <v>26.619999999999997</v>
      </c>
      <c r="E109" s="1070">
        <f t="shared" si="13"/>
        <v>4550</v>
      </c>
      <c r="F109" s="1069">
        <f t="shared" si="9"/>
        <v>15041.322314049587</v>
      </c>
      <c r="G109" s="1069">
        <f t="shared" si="10"/>
        <v>400400</v>
      </c>
      <c r="H109" s="1068">
        <f>C568</f>
        <v>88.1</v>
      </c>
      <c r="I109" s="1040"/>
      <c r="J109" s="1040"/>
      <c r="K109" s="1023"/>
      <c r="L109" s="1023"/>
      <c r="M109" s="1023"/>
      <c r="N109" s="1023"/>
      <c r="O109" s="1023"/>
      <c r="P109" s="1023"/>
      <c r="Q109" s="1023"/>
      <c r="R109" s="1023"/>
      <c r="S109" s="1023"/>
      <c r="T109" s="934"/>
      <c r="U109" s="934"/>
      <c r="V109" s="934"/>
      <c r="W109" s="934"/>
      <c r="X109" s="934"/>
      <c r="Y109" s="934"/>
      <c r="Z109" s="934"/>
    </row>
    <row r="110" spans="1:26" ht="16.5" customHeight="1">
      <c r="A110" s="1073">
        <v>106</v>
      </c>
      <c r="B110" s="1073" t="s">
        <v>763</v>
      </c>
      <c r="C110" s="1072">
        <v>87.4</v>
      </c>
      <c r="D110" s="1071">
        <f t="shared" si="8"/>
        <v>26.438500000000001</v>
      </c>
      <c r="E110" s="1070">
        <f t="shared" si="13"/>
        <v>4550</v>
      </c>
      <c r="F110" s="1069">
        <f t="shared" si="9"/>
        <v>15041.322314049587</v>
      </c>
      <c r="G110" s="1069">
        <f t="shared" si="10"/>
        <v>397670</v>
      </c>
      <c r="H110" s="1068" t="e">
        <f>#REF!</f>
        <v>#REF!</v>
      </c>
      <c r="I110" s="1040"/>
      <c r="J110" s="1040"/>
      <c r="K110" s="1023"/>
      <c r="L110" s="1023"/>
      <c r="M110" s="1023"/>
      <c r="N110" s="1023"/>
      <c r="O110" s="1023"/>
      <c r="P110" s="1023"/>
      <c r="Q110" s="1023"/>
      <c r="R110" s="1023"/>
      <c r="S110" s="1023"/>
      <c r="T110" s="934"/>
      <c r="U110" s="934"/>
      <c r="V110" s="934"/>
      <c r="W110" s="934"/>
      <c r="X110" s="934"/>
      <c r="Y110" s="934"/>
      <c r="Z110" s="934"/>
    </row>
    <row r="111" spans="1:26" ht="16.5" customHeight="1">
      <c r="A111" s="1073">
        <v>107</v>
      </c>
      <c r="B111" s="1073" t="s">
        <v>764</v>
      </c>
      <c r="C111" s="1072">
        <v>85.7</v>
      </c>
      <c r="D111" s="1071">
        <f t="shared" si="8"/>
        <v>25.924250000000001</v>
      </c>
      <c r="E111" s="1070">
        <f t="shared" si="13"/>
        <v>4550</v>
      </c>
      <c r="F111" s="1069">
        <f t="shared" si="9"/>
        <v>15041.322314049587</v>
      </c>
      <c r="G111" s="1069">
        <f t="shared" si="10"/>
        <v>389935</v>
      </c>
      <c r="H111" s="1068" t="e">
        <f>#REF!</f>
        <v>#REF!</v>
      </c>
      <c r="I111" s="1040"/>
      <c r="J111" s="1040"/>
      <c r="K111" s="1023"/>
      <c r="L111" s="1023"/>
      <c r="M111" s="1023"/>
      <c r="N111" s="1023"/>
      <c r="O111" s="1023"/>
      <c r="P111" s="1023"/>
      <c r="Q111" s="1023"/>
      <c r="R111" s="1023"/>
      <c r="S111" s="1023"/>
      <c r="T111" s="934"/>
      <c r="U111" s="934"/>
      <c r="V111" s="934"/>
      <c r="W111" s="934"/>
      <c r="X111" s="934"/>
      <c r="Y111" s="934"/>
      <c r="Z111" s="934"/>
    </row>
    <row r="112" spans="1:26" ht="16.5" customHeight="1">
      <c r="A112" s="1073">
        <v>108</v>
      </c>
      <c r="B112" s="1073" t="s">
        <v>765</v>
      </c>
      <c r="C112" s="1072">
        <v>86.8</v>
      </c>
      <c r="D112" s="1071">
        <f t="shared" si="8"/>
        <v>26.256999999999998</v>
      </c>
      <c r="E112" s="1070">
        <f t="shared" si="13"/>
        <v>4550</v>
      </c>
      <c r="F112" s="1069">
        <f t="shared" si="9"/>
        <v>15041.322314049587</v>
      </c>
      <c r="G112" s="1069">
        <f t="shared" si="10"/>
        <v>394940</v>
      </c>
      <c r="H112" s="1068">
        <f>C581</f>
        <v>89.3</v>
      </c>
      <c r="I112" s="1040"/>
      <c r="J112" s="1040"/>
      <c r="K112" s="1023"/>
      <c r="L112" s="1023"/>
      <c r="M112" s="1023"/>
      <c r="N112" s="1023"/>
      <c r="O112" s="1023"/>
      <c r="P112" s="1023"/>
      <c r="Q112" s="1023"/>
      <c r="R112" s="1023"/>
      <c r="S112" s="1023"/>
      <c r="T112" s="934"/>
      <c r="U112" s="934"/>
      <c r="V112" s="934"/>
      <c r="W112" s="934"/>
      <c r="X112" s="934"/>
      <c r="Y112" s="934"/>
      <c r="Z112" s="934"/>
    </row>
    <row r="113" spans="1:26" ht="16.5" customHeight="1">
      <c r="A113" s="1073">
        <v>109</v>
      </c>
      <c r="B113" s="1073" t="s">
        <v>766</v>
      </c>
      <c r="C113" s="1072">
        <v>90.7</v>
      </c>
      <c r="D113" s="1071">
        <f t="shared" si="8"/>
        <v>27.43675</v>
      </c>
      <c r="E113" s="1070">
        <f t="shared" si="13"/>
        <v>4550</v>
      </c>
      <c r="F113" s="1069">
        <f t="shared" si="9"/>
        <v>15041.322314049587</v>
      </c>
      <c r="G113" s="1069">
        <f t="shared" si="10"/>
        <v>412685</v>
      </c>
      <c r="H113" s="1068">
        <f>C582</f>
        <v>88.6</v>
      </c>
      <c r="I113" s="1040"/>
      <c r="J113" s="1040"/>
      <c r="K113" s="1023"/>
      <c r="L113" s="1023"/>
      <c r="M113" s="1023"/>
      <c r="N113" s="1023"/>
      <c r="O113" s="1023"/>
      <c r="P113" s="1023"/>
      <c r="Q113" s="1023"/>
      <c r="R113" s="1023"/>
      <c r="S113" s="1023"/>
      <c r="T113" s="934"/>
      <c r="U113" s="934"/>
      <c r="V113" s="934"/>
      <c r="W113" s="934"/>
      <c r="X113" s="934"/>
      <c r="Y113" s="934"/>
      <c r="Z113" s="934"/>
    </row>
    <row r="114" spans="1:26" ht="16.5" customHeight="1">
      <c r="A114" s="1073">
        <v>110</v>
      </c>
      <c r="B114" s="1073" t="s">
        <v>767</v>
      </c>
      <c r="C114" s="1072">
        <v>86.6</v>
      </c>
      <c r="D114" s="1071">
        <f t="shared" si="8"/>
        <v>26.196499999999997</v>
      </c>
      <c r="E114" s="1070">
        <f t="shared" si="13"/>
        <v>4550</v>
      </c>
      <c r="F114" s="1069">
        <f t="shared" si="9"/>
        <v>15041.322314049587</v>
      </c>
      <c r="G114" s="1069">
        <f t="shared" si="10"/>
        <v>394030</v>
      </c>
      <c r="H114" s="1068">
        <f>C573</f>
        <v>90.3</v>
      </c>
      <c r="I114" s="1040"/>
      <c r="J114" s="1040"/>
      <c r="K114" s="1023"/>
      <c r="L114" s="1023"/>
      <c r="M114" s="1023"/>
      <c r="N114" s="1023"/>
      <c r="O114" s="1023"/>
      <c r="P114" s="1023"/>
      <c r="Q114" s="1023"/>
      <c r="R114" s="1023"/>
      <c r="S114" s="1023"/>
      <c r="T114" s="934"/>
      <c r="U114" s="934"/>
      <c r="V114" s="934"/>
      <c r="W114" s="934"/>
      <c r="X114" s="934"/>
      <c r="Y114" s="934"/>
      <c r="Z114" s="934"/>
    </row>
    <row r="115" spans="1:26" ht="16.5" customHeight="1">
      <c r="A115" s="1073">
        <v>111</v>
      </c>
      <c r="B115" s="1073" t="s">
        <v>768</v>
      </c>
      <c r="C115" s="1072">
        <v>87.1</v>
      </c>
      <c r="D115" s="1071">
        <f t="shared" si="8"/>
        <v>26.347749999999998</v>
      </c>
      <c r="E115" s="1070">
        <f t="shared" si="13"/>
        <v>4550</v>
      </c>
      <c r="F115" s="1069">
        <f t="shared" si="9"/>
        <v>15041.322314049587</v>
      </c>
      <c r="G115" s="1069">
        <f t="shared" si="10"/>
        <v>396305</v>
      </c>
      <c r="H115" s="1068">
        <f>C584</f>
        <v>87.6</v>
      </c>
      <c r="I115" s="1040"/>
      <c r="J115" s="1040"/>
      <c r="K115" s="1023"/>
      <c r="L115" s="1023"/>
      <c r="M115" s="1023"/>
      <c r="N115" s="1023"/>
      <c r="O115" s="1023"/>
      <c r="P115" s="1023"/>
      <c r="Q115" s="1023"/>
      <c r="R115" s="1023"/>
      <c r="S115" s="1023"/>
      <c r="T115" s="934"/>
      <c r="U115" s="934"/>
      <c r="V115" s="934"/>
      <c r="W115" s="934"/>
      <c r="X115" s="934"/>
      <c r="Y115" s="934"/>
      <c r="Z115" s="934"/>
    </row>
    <row r="116" spans="1:26" ht="16.5" customHeight="1">
      <c r="A116" s="1073">
        <v>112</v>
      </c>
      <c r="B116" s="1073" t="s">
        <v>769</v>
      </c>
      <c r="C116" s="1072">
        <v>87</v>
      </c>
      <c r="D116" s="1071">
        <f t="shared" si="8"/>
        <v>26.317499999999999</v>
      </c>
      <c r="E116" s="1070">
        <f t="shared" si="13"/>
        <v>4550</v>
      </c>
      <c r="F116" s="1069">
        <f t="shared" si="9"/>
        <v>15041.322314049587</v>
      </c>
      <c r="G116" s="1069">
        <f t="shared" si="10"/>
        <v>395850</v>
      </c>
      <c r="H116" s="1068">
        <f>C585</f>
        <v>88.1</v>
      </c>
      <c r="I116" s="1040"/>
      <c r="J116" s="1040"/>
      <c r="K116" s="1023"/>
      <c r="L116" s="1023"/>
      <c r="M116" s="1023"/>
      <c r="N116" s="1023"/>
      <c r="O116" s="1023"/>
      <c r="P116" s="1023"/>
      <c r="Q116" s="1023"/>
      <c r="R116" s="1023"/>
      <c r="S116" s="1023"/>
      <c r="T116" s="934"/>
      <c r="U116" s="934"/>
      <c r="V116" s="934"/>
      <c r="W116" s="934"/>
      <c r="X116" s="934"/>
      <c r="Y116" s="934"/>
      <c r="Z116" s="934"/>
    </row>
    <row r="117" spans="1:26" ht="16.5" customHeight="1">
      <c r="A117" s="1073">
        <v>113</v>
      </c>
      <c r="B117" s="1073" t="s">
        <v>770</v>
      </c>
      <c r="C117" s="1072">
        <v>87.5</v>
      </c>
      <c r="D117" s="1071">
        <f t="shared" si="8"/>
        <v>26.46875</v>
      </c>
      <c r="E117" s="1070">
        <f t="shared" si="13"/>
        <v>4550</v>
      </c>
      <c r="F117" s="1069">
        <f t="shared" si="9"/>
        <v>15041.322314049587</v>
      </c>
      <c r="G117" s="1069">
        <f t="shared" si="10"/>
        <v>398125</v>
      </c>
      <c r="H117" s="1068">
        <f>C586</f>
        <v>89.7</v>
      </c>
      <c r="I117" s="1040"/>
      <c r="J117" s="1040"/>
      <c r="K117" s="1023"/>
      <c r="L117" s="1023"/>
      <c r="M117" s="1023"/>
      <c r="N117" s="1023"/>
      <c r="O117" s="1023"/>
      <c r="P117" s="1023"/>
      <c r="Q117" s="1023"/>
      <c r="R117" s="1023"/>
      <c r="S117" s="1023"/>
      <c r="T117" s="934"/>
      <c r="U117" s="934"/>
      <c r="V117" s="934"/>
      <c r="W117" s="934"/>
      <c r="X117" s="934"/>
      <c r="Y117" s="934"/>
      <c r="Z117" s="934"/>
    </row>
    <row r="118" spans="1:26" ht="16.5" customHeight="1">
      <c r="A118" s="1073">
        <v>114</v>
      </c>
      <c r="B118" s="1073" t="s">
        <v>771</v>
      </c>
      <c r="C118" s="1072">
        <v>83.8</v>
      </c>
      <c r="D118" s="1071">
        <f t="shared" si="8"/>
        <v>25.349499999999999</v>
      </c>
      <c r="E118" s="1070">
        <f t="shared" si="13"/>
        <v>4550</v>
      </c>
      <c r="F118" s="1069">
        <f t="shared" si="9"/>
        <v>15041.322314049587</v>
      </c>
      <c r="G118" s="1069">
        <f t="shared" si="10"/>
        <v>381290</v>
      </c>
      <c r="H118" s="1068">
        <f>C587</f>
        <v>87.4</v>
      </c>
      <c r="I118" s="1040"/>
      <c r="J118" s="1040"/>
      <c r="K118" s="1023"/>
      <c r="L118" s="1023"/>
      <c r="M118" s="1023"/>
      <c r="N118" s="1023"/>
      <c r="O118" s="1023"/>
      <c r="P118" s="1023"/>
      <c r="Q118" s="1023"/>
      <c r="R118" s="1023"/>
      <c r="S118" s="1023"/>
      <c r="T118" s="934"/>
      <c r="U118" s="934"/>
      <c r="V118" s="934"/>
      <c r="W118" s="934"/>
      <c r="X118" s="934"/>
      <c r="Y118" s="934"/>
      <c r="Z118" s="934"/>
    </row>
    <row r="119" spans="1:26" ht="16.5" customHeight="1">
      <c r="A119" s="1073">
        <v>115</v>
      </c>
      <c r="B119" s="1073" t="s">
        <v>772</v>
      </c>
      <c r="C119" s="1072">
        <v>85.7</v>
      </c>
      <c r="D119" s="1071">
        <f t="shared" si="8"/>
        <v>25.924250000000001</v>
      </c>
      <c r="E119" s="1070">
        <f>(7350000*1.25)/1000</f>
        <v>9187.5</v>
      </c>
      <c r="F119" s="1069">
        <f t="shared" si="9"/>
        <v>30371.900826446283</v>
      </c>
      <c r="G119" s="1069">
        <f t="shared" si="10"/>
        <v>787368.75</v>
      </c>
      <c r="H119" s="1068">
        <f>C578</f>
        <v>89</v>
      </c>
      <c r="I119" s="1040"/>
      <c r="J119" s="1040"/>
      <c r="K119" s="1023"/>
      <c r="L119" s="1023"/>
      <c r="M119" s="1023"/>
      <c r="N119" s="1023"/>
      <c r="O119" s="1023"/>
      <c r="P119" s="1023"/>
      <c r="Q119" s="1023"/>
      <c r="R119" s="1023"/>
      <c r="S119" s="1023"/>
      <c r="T119" s="934"/>
      <c r="U119" s="934"/>
      <c r="V119" s="934"/>
      <c r="W119" s="934"/>
      <c r="X119" s="934"/>
      <c r="Y119" s="934"/>
      <c r="Z119" s="934"/>
    </row>
    <row r="120" spans="1:26" ht="16.5" customHeight="1">
      <c r="A120" s="1073">
        <v>116</v>
      </c>
      <c r="B120" s="1073" t="s">
        <v>773</v>
      </c>
      <c r="C120" s="1072">
        <v>89.4</v>
      </c>
      <c r="D120" s="1071">
        <f t="shared" si="8"/>
        <v>27.043500000000002</v>
      </c>
      <c r="E120" s="1070">
        <f>(7350000*1.25)/1000</f>
        <v>9187.5</v>
      </c>
      <c r="F120" s="1069">
        <f t="shared" si="9"/>
        <v>30371.900826446283</v>
      </c>
      <c r="G120" s="1069">
        <f t="shared" si="10"/>
        <v>821362.5</v>
      </c>
      <c r="H120" s="1068">
        <f>C589</f>
        <v>88.6</v>
      </c>
      <c r="I120" s="1040"/>
      <c r="J120" s="1040"/>
      <c r="K120" s="1023"/>
      <c r="L120" s="1023"/>
      <c r="M120" s="1023"/>
      <c r="N120" s="1023"/>
      <c r="O120" s="1023"/>
      <c r="P120" s="1023"/>
      <c r="Q120" s="1023"/>
      <c r="R120" s="1023"/>
      <c r="S120" s="1023"/>
      <c r="T120" s="934"/>
      <c r="U120" s="934"/>
      <c r="V120" s="934"/>
      <c r="W120" s="934"/>
      <c r="X120" s="934"/>
      <c r="Y120" s="934"/>
      <c r="Z120" s="934"/>
    </row>
    <row r="121" spans="1:26" ht="16.5" customHeight="1">
      <c r="A121" s="1073">
        <v>117</v>
      </c>
      <c r="B121" s="1073" t="s">
        <v>774</v>
      </c>
      <c r="C121" s="1072">
        <v>90.6</v>
      </c>
      <c r="D121" s="1071">
        <f t="shared" si="8"/>
        <v>27.406499999999998</v>
      </c>
      <c r="E121" s="1070">
        <f t="shared" ref="E121:E133" si="14">(3377000*1.25)/1000</f>
        <v>4221.25</v>
      </c>
      <c r="F121" s="1069">
        <f t="shared" si="9"/>
        <v>13954.545454545454</v>
      </c>
      <c r="G121" s="1069">
        <f t="shared" si="10"/>
        <v>382445.25</v>
      </c>
      <c r="H121" s="1068">
        <f>C590</f>
        <v>85.2</v>
      </c>
      <c r="I121" s="1040"/>
      <c r="J121" s="1040"/>
      <c r="K121" s="1023"/>
      <c r="L121" s="1023"/>
      <c r="M121" s="1023"/>
      <c r="N121" s="1023"/>
      <c r="O121" s="1023"/>
      <c r="P121" s="1023"/>
      <c r="Q121" s="1023"/>
      <c r="R121" s="1023"/>
      <c r="S121" s="1023"/>
      <c r="T121" s="934"/>
      <c r="U121" s="934"/>
      <c r="V121" s="934"/>
      <c r="W121" s="934"/>
      <c r="X121" s="934"/>
      <c r="Y121" s="934"/>
      <c r="Z121" s="934"/>
    </row>
    <row r="122" spans="1:26" ht="16.5" customHeight="1">
      <c r="A122" s="1073">
        <v>118</v>
      </c>
      <c r="B122" s="1073" t="s">
        <v>775</v>
      </c>
      <c r="C122" s="1072">
        <v>91.9</v>
      </c>
      <c r="D122" s="1071">
        <f t="shared" si="8"/>
        <v>27.79975</v>
      </c>
      <c r="E122" s="1070">
        <f t="shared" si="14"/>
        <v>4221.25</v>
      </c>
      <c r="F122" s="1069">
        <f t="shared" si="9"/>
        <v>13954.545454545454</v>
      </c>
      <c r="G122" s="1069">
        <f t="shared" si="10"/>
        <v>387932.875</v>
      </c>
      <c r="H122" s="1068">
        <f>C591</f>
        <v>86.4</v>
      </c>
      <c r="I122" s="1040"/>
      <c r="J122" s="1040"/>
      <c r="K122" s="1023"/>
      <c r="L122" s="1023"/>
      <c r="M122" s="1023"/>
      <c r="N122" s="1023"/>
      <c r="O122" s="1023"/>
      <c r="P122" s="1023"/>
      <c r="Q122" s="1023"/>
      <c r="R122" s="1023"/>
      <c r="S122" s="1023"/>
      <c r="T122" s="934"/>
      <c r="U122" s="934"/>
      <c r="V122" s="934"/>
      <c r="W122" s="934"/>
      <c r="X122" s="934"/>
      <c r="Y122" s="934"/>
      <c r="Z122" s="934"/>
    </row>
    <row r="123" spans="1:26" ht="16.5" customHeight="1">
      <c r="A123" s="1073">
        <v>119</v>
      </c>
      <c r="B123" s="1073" t="s">
        <v>776</v>
      </c>
      <c r="C123" s="1072">
        <v>92.2</v>
      </c>
      <c r="D123" s="1071">
        <f t="shared" si="8"/>
        <v>27.890499999999999</v>
      </c>
      <c r="E123" s="1070">
        <f t="shared" si="14"/>
        <v>4221.25</v>
      </c>
      <c r="F123" s="1069">
        <f t="shared" si="9"/>
        <v>13954.545454545454</v>
      </c>
      <c r="G123" s="1069">
        <f t="shared" si="10"/>
        <v>389199.25</v>
      </c>
      <c r="H123" s="1068">
        <f>C592</f>
        <v>91.1</v>
      </c>
      <c r="I123" s="1040"/>
      <c r="J123" s="1040"/>
      <c r="K123" s="1023"/>
      <c r="L123" s="1023"/>
      <c r="M123" s="1023"/>
      <c r="N123" s="1023"/>
      <c r="O123" s="1023"/>
      <c r="P123" s="1023"/>
      <c r="Q123" s="1023"/>
      <c r="R123" s="1023"/>
      <c r="S123" s="1023"/>
      <c r="T123" s="934"/>
      <c r="U123" s="934"/>
      <c r="V123" s="934"/>
      <c r="W123" s="934"/>
      <c r="X123" s="934"/>
      <c r="Y123" s="934"/>
      <c r="Z123" s="934"/>
    </row>
    <row r="124" spans="1:26" ht="16.5" customHeight="1">
      <c r="A124" s="1073">
        <v>120</v>
      </c>
      <c r="B124" s="1073" t="s">
        <v>777</v>
      </c>
      <c r="C124" s="1072">
        <v>90.6</v>
      </c>
      <c r="D124" s="1071">
        <f t="shared" si="8"/>
        <v>27.406499999999998</v>
      </c>
      <c r="E124" s="1070">
        <f t="shared" si="14"/>
        <v>4221.25</v>
      </c>
      <c r="F124" s="1069">
        <f t="shared" si="9"/>
        <v>13954.545454545454</v>
      </c>
      <c r="G124" s="1069">
        <f t="shared" si="10"/>
        <v>382445.25</v>
      </c>
      <c r="H124" s="1068" t="e">
        <f>#REF!</f>
        <v>#REF!</v>
      </c>
      <c r="I124" s="1040"/>
      <c r="J124" s="1040"/>
      <c r="K124" s="1023"/>
      <c r="L124" s="1023"/>
      <c r="M124" s="1023"/>
      <c r="N124" s="1023"/>
      <c r="O124" s="1023"/>
      <c r="P124" s="1023"/>
      <c r="Q124" s="1023"/>
      <c r="R124" s="1023"/>
      <c r="S124" s="1023"/>
      <c r="T124" s="934"/>
      <c r="U124" s="934"/>
      <c r="V124" s="934"/>
      <c r="W124" s="934"/>
      <c r="X124" s="934"/>
      <c r="Y124" s="934"/>
      <c r="Z124" s="934"/>
    </row>
    <row r="125" spans="1:26" ht="16.5" customHeight="1">
      <c r="A125" s="1073">
        <v>121</v>
      </c>
      <c r="B125" s="1073" t="s">
        <v>778</v>
      </c>
      <c r="C125" s="1072">
        <v>91.3</v>
      </c>
      <c r="D125" s="1071">
        <f t="shared" si="8"/>
        <v>27.61825</v>
      </c>
      <c r="E125" s="1070">
        <f t="shared" si="14"/>
        <v>4221.25</v>
      </c>
      <c r="F125" s="1069">
        <f t="shared" si="9"/>
        <v>13954.545454545454</v>
      </c>
      <c r="G125" s="1069">
        <f t="shared" si="10"/>
        <v>385400.125</v>
      </c>
      <c r="H125" s="1068">
        <f>C594</f>
        <v>90.6</v>
      </c>
      <c r="I125" s="1040"/>
      <c r="J125" s="1040"/>
      <c r="K125" s="1023"/>
      <c r="L125" s="1023"/>
      <c r="M125" s="1023"/>
      <c r="N125" s="1023"/>
      <c r="O125" s="1023"/>
      <c r="P125" s="1023"/>
      <c r="Q125" s="1023"/>
      <c r="R125" s="1023"/>
      <c r="S125" s="1023"/>
      <c r="T125" s="934"/>
      <c r="U125" s="934"/>
      <c r="V125" s="934"/>
      <c r="W125" s="934"/>
      <c r="X125" s="934"/>
      <c r="Y125" s="934"/>
      <c r="Z125" s="934"/>
    </row>
    <row r="126" spans="1:26" ht="16.5" customHeight="1">
      <c r="A126" s="1073">
        <v>122</v>
      </c>
      <c r="B126" s="1073" t="s">
        <v>779</v>
      </c>
      <c r="C126" s="1072">
        <v>91.8</v>
      </c>
      <c r="D126" s="1071">
        <f t="shared" si="8"/>
        <v>27.769499999999997</v>
      </c>
      <c r="E126" s="1070">
        <f t="shared" si="14"/>
        <v>4221.25</v>
      </c>
      <c r="F126" s="1069">
        <f t="shared" si="9"/>
        <v>13954.545454545454</v>
      </c>
      <c r="G126" s="1069">
        <f t="shared" si="10"/>
        <v>387510.75</v>
      </c>
      <c r="H126" s="1068">
        <f>C595</f>
        <v>90.3</v>
      </c>
      <c r="I126" s="1040"/>
      <c r="J126" s="1040"/>
      <c r="K126" s="1023"/>
      <c r="L126" s="1023"/>
      <c r="M126" s="1023"/>
      <c r="N126" s="1023"/>
      <c r="O126" s="1023"/>
      <c r="P126" s="1023"/>
      <c r="Q126" s="1023"/>
      <c r="R126" s="1023"/>
      <c r="S126" s="1023"/>
      <c r="T126" s="934"/>
      <c r="U126" s="934"/>
      <c r="V126" s="934"/>
      <c r="W126" s="934"/>
      <c r="X126" s="934"/>
      <c r="Y126" s="934"/>
      <c r="Z126" s="934"/>
    </row>
    <row r="127" spans="1:26" ht="16.5" customHeight="1">
      <c r="A127" s="1073">
        <v>123</v>
      </c>
      <c r="B127" s="1073" t="s">
        <v>780</v>
      </c>
      <c r="C127" s="1072">
        <v>89.6</v>
      </c>
      <c r="D127" s="1071">
        <f t="shared" si="8"/>
        <v>27.103999999999999</v>
      </c>
      <c r="E127" s="1070">
        <f t="shared" si="14"/>
        <v>4221.25</v>
      </c>
      <c r="F127" s="1069">
        <f t="shared" si="9"/>
        <v>13954.545454545454</v>
      </c>
      <c r="G127" s="1069">
        <f t="shared" si="10"/>
        <v>378224</v>
      </c>
      <c r="H127" s="1068">
        <f>C596</f>
        <v>89.6</v>
      </c>
      <c r="I127" s="1040"/>
      <c r="J127" s="1040"/>
      <c r="K127" s="1023"/>
      <c r="L127" s="1023"/>
      <c r="M127" s="1023"/>
      <c r="N127" s="1023"/>
      <c r="O127" s="1023"/>
      <c r="P127" s="1023"/>
      <c r="Q127" s="1023"/>
      <c r="R127" s="1023"/>
      <c r="S127" s="1023"/>
      <c r="T127" s="934"/>
      <c r="U127" s="934"/>
      <c r="V127" s="934"/>
      <c r="W127" s="934"/>
      <c r="X127" s="934"/>
      <c r="Y127" s="934"/>
      <c r="Z127" s="934"/>
    </row>
    <row r="128" spans="1:26" ht="16.5" customHeight="1">
      <c r="A128" s="1073">
        <v>124</v>
      </c>
      <c r="B128" s="1073" t="s">
        <v>781</v>
      </c>
      <c r="C128" s="1072">
        <v>90.4</v>
      </c>
      <c r="D128" s="1071">
        <f t="shared" si="8"/>
        <v>27.346</v>
      </c>
      <c r="E128" s="1070">
        <f t="shared" si="14"/>
        <v>4221.25</v>
      </c>
      <c r="F128" s="1069">
        <f t="shared" si="9"/>
        <v>13954.545454545454</v>
      </c>
      <c r="G128" s="1069">
        <f t="shared" si="10"/>
        <v>381601</v>
      </c>
      <c r="H128" s="1068">
        <f>C597</f>
        <v>90.8</v>
      </c>
      <c r="I128" s="1040"/>
      <c r="J128" s="1040"/>
      <c r="K128" s="1023"/>
      <c r="L128" s="1023"/>
      <c r="M128" s="1023"/>
      <c r="N128" s="1023"/>
      <c r="O128" s="1023"/>
      <c r="P128" s="1023"/>
      <c r="Q128" s="1023"/>
      <c r="R128" s="1023"/>
      <c r="S128" s="1023"/>
      <c r="T128" s="934"/>
      <c r="U128" s="934"/>
      <c r="V128" s="934"/>
      <c r="W128" s="934"/>
      <c r="X128" s="934"/>
      <c r="Y128" s="934"/>
      <c r="Z128" s="934"/>
    </row>
    <row r="129" spans="1:26" ht="16.5" customHeight="1">
      <c r="A129" s="1073">
        <v>125</v>
      </c>
      <c r="B129" s="1073" t="s">
        <v>782</v>
      </c>
      <c r="C129" s="1072">
        <v>90.6</v>
      </c>
      <c r="D129" s="1071">
        <f t="shared" si="8"/>
        <v>27.406499999999998</v>
      </c>
      <c r="E129" s="1070">
        <f t="shared" si="14"/>
        <v>4221.25</v>
      </c>
      <c r="F129" s="1069">
        <f t="shared" si="9"/>
        <v>13954.545454545454</v>
      </c>
      <c r="G129" s="1069">
        <f t="shared" si="10"/>
        <v>382445.25</v>
      </c>
      <c r="H129" s="1068">
        <f>C584</f>
        <v>87.6</v>
      </c>
      <c r="I129" s="1040"/>
      <c r="J129" s="1040"/>
      <c r="K129" s="1023"/>
      <c r="L129" s="1023"/>
      <c r="M129" s="1023"/>
      <c r="N129" s="1023"/>
      <c r="O129" s="1023"/>
      <c r="P129" s="1023"/>
      <c r="Q129" s="1023"/>
      <c r="R129" s="1023"/>
      <c r="S129" s="1023"/>
      <c r="T129" s="934"/>
      <c r="U129" s="934"/>
      <c r="V129" s="934"/>
      <c r="W129" s="934"/>
      <c r="X129" s="934"/>
      <c r="Y129" s="934"/>
      <c r="Z129" s="934"/>
    </row>
    <row r="130" spans="1:26" ht="16.5" customHeight="1">
      <c r="A130" s="1073">
        <v>126</v>
      </c>
      <c r="B130" s="1073" t="s">
        <v>783</v>
      </c>
      <c r="C130" s="1072">
        <v>88.7</v>
      </c>
      <c r="D130" s="1071">
        <f t="shared" si="8"/>
        <v>26.83175</v>
      </c>
      <c r="E130" s="1070">
        <f t="shared" si="14"/>
        <v>4221.25</v>
      </c>
      <c r="F130" s="1069">
        <f t="shared" si="9"/>
        <v>13954.545454545454</v>
      </c>
      <c r="G130" s="1069">
        <f t="shared" si="10"/>
        <v>374424.875</v>
      </c>
      <c r="H130" s="1068">
        <f>C599</f>
        <v>89.9</v>
      </c>
      <c r="I130" s="1040"/>
      <c r="J130" s="1040"/>
      <c r="K130" s="1023"/>
      <c r="L130" s="1023"/>
      <c r="M130" s="1023"/>
      <c r="N130" s="1023"/>
      <c r="O130" s="1023"/>
      <c r="P130" s="1023"/>
      <c r="Q130" s="1023"/>
      <c r="R130" s="1023"/>
      <c r="S130" s="1023"/>
      <c r="T130" s="934"/>
      <c r="U130" s="934"/>
      <c r="V130" s="934"/>
      <c r="W130" s="934"/>
      <c r="X130" s="934"/>
      <c r="Y130" s="934"/>
      <c r="Z130" s="934"/>
    </row>
    <row r="131" spans="1:26" ht="16.5" customHeight="1">
      <c r="A131" s="1073">
        <v>127</v>
      </c>
      <c r="B131" s="1073" t="s">
        <v>784</v>
      </c>
      <c r="C131" s="1072">
        <v>89.5</v>
      </c>
      <c r="D131" s="1071">
        <f t="shared" si="8"/>
        <v>27.07375</v>
      </c>
      <c r="E131" s="1070">
        <f t="shared" si="14"/>
        <v>4221.25</v>
      </c>
      <c r="F131" s="1069">
        <f t="shared" si="9"/>
        <v>13954.545454545454</v>
      </c>
      <c r="G131" s="1069">
        <f t="shared" si="10"/>
        <v>377801.875</v>
      </c>
      <c r="H131" s="1068">
        <f>C600</f>
        <v>91.3</v>
      </c>
      <c r="I131" s="1040"/>
      <c r="J131" s="1040"/>
      <c r="K131" s="1023"/>
      <c r="L131" s="1023"/>
      <c r="M131" s="1023"/>
      <c r="N131" s="1023"/>
      <c r="O131" s="1023"/>
      <c r="P131" s="1023"/>
      <c r="Q131" s="1023"/>
      <c r="R131" s="1023"/>
      <c r="S131" s="1023"/>
      <c r="T131" s="934"/>
      <c r="U131" s="934"/>
      <c r="V131" s="934"/>
      <c r="W131" s="934"/>
      <c r="X131" s="934"/>
      <c r="Y131" s="934"/>
      <c r="Z131" s="934"/>
    </row>
    <row r="132" spans="1:26" ht="16.5" customHeight="1">
      <c r="A132" s="1073">
        <v>128</v>
      </c>
      <c r="B132" s="1073" t="s">
        <v>785</v>
      </c>
      <c r="C132" s="1072">
        <v>91</v>
      </c>
      <c r="D132" s="1071">
        <f t="shared" si="8"/>
        <v>27.5275</v>
      </c>
      <c r="E132" s="1070">
        <f t="shared" si="14"/>
        <v>4221.25</v>
      </c>
      <c r="F132" s="1069">
        <f t="shared" si="9"/>
        <v>13954.545454545454</v>
      </c>
      <c r="G132" s="1069">
        <f t="shared" si="10"/>
        <v>384133.75</v>
      </c>
      <c r="H132" s="1068" t="e">
        <f>#REF!</f>
        <v>#REF!</v>
      </c>
      <c r="I132" s="1040"/>
      <c r="J132" s="1040"/>
      <c r="K132" s="1023"/>
      <c r="L132" s="1023"/>
      <c r="M132" s="1023"/>
      <c r="N132" s="1023"/>
      <c r="O132" s="1023"/>
      <c r="P132" s="1023"/>
      <c r="Q132" s="1023"/>
      <c r="R132" s="1023"/>
      <c r="S132" s="1023"/>
      <c r="T132" s="934"/>
      <c r="U132" s="934"/>
      <c r="V132" s="934"/>
      <c r="W132" s="934"/>
      <c r="X132" s="934"/>
      <c r="Y132" s="934"/>
      <c r="Z132" s="934"/>
    </row>
    <row r="133" spans="1:26" ht="16.5" customHeight="1">
      <c r="A133" s="1073">
        <v>129</v>
      </c>
      <c r="B133" s="1073" t="s">
        <v>786</v>
      </c>
      <c r="C133" s="1072">
        <v>89.7</v>
      </c>
      <c r="D133" s="1071">
        <f t="shared" ref="D133:D196" si="15">C133*0.3025</f>
        <v>27.134250000000002</v>
      </c>
      <c r="E133" s="1070">
        <f t="shared" si="14"/>
        <v>4221.25</v>
      </c>
      <c r="F133" s="1069">
        <f t="shared" ref="F133:F196" si="16">E133/0.3025</f>
        <v>13954.545454545454</v>
      </c>
      <c r="G133" s="1069">
        <f t="shared" ref="G133:G196" si="17">C133*E133</f>
        <v>378646.125</v>
      </c>
      <c r="H133" s="1068" t="e">
        <f>#REF!</f>
        <v>#REF!</v>
      </c>
      <c r="I133" s="1040"/>
      <c r="J133" s="1040"/>
      <c r="K133" s="1023"/>
      <c r="L133" s="1023"/>
      <c r="M133" s="1023"/>
      <c r="N133" s="1023"/>
      <c r="O133" s="1023"/>
      <c r="P133" s="1023"/>
      <c r="Q133" s="1023"/>
      <c r="R133" s="1023"/>
      <c r="S133" s="1023"/>
      <c r="T133" s="934"/>
      <c r="U133" s="934"/>
      <c r="V133" s="934"/>
      <c r="W133" s="934"/>
      <c r="X133" s="934"/>
      <c r="Y133" s="934"/>
      <c r="Z133" s="934"/>
    </row>
    <row r="134" spans="1:26" ht="16.5" customHeight="1">
      <c r="A134" s="1073">
        <v>130</v>
      </c>
      <c r="B134" s="1073" t="s">
        <v>787</v>
      </c>
      <c r="C134" s="1072">
        <v>93.6</v>
      </c>
      <c r="D134" s="1071">
        <f t="shared" si="15"/>
        <v>28.313999999999997</v>
      </c>
      <c r="E134" s="1070">
        <f>(3494000*1.25)/1000</f>
        <v>4367.5</v>
      </c>
      <c r="F134" s="1069">
        <f t="shared" si="16"/>
        <v>14438.01652892562</v>
      </c>
      <c r="G134" s="1069">
        <f t="shared" si="17"/>
        <v>408798</v>
      </c>
      <c r="H134" s="1068">
        <f>C589</f>
        <v>88.6</v>
      </c>
      <c r="I134" s="1040"/>
      <c r="J134" s="1040"/>
      <c r="K134" s="1023"/>
      <c r="L134" s="1023"/>
      <c r="M134" s="1023"/>
      <c r="N134" s="1023"/>
      <c r="O134" s="1023"/>
      <c r="P134" s="1023"/>
      <c r="Q134" s="1023"/>
      <c r="R134" s="1023"/>
      <c r="S134" s="1023"/>
      <c r="T134" s="934"/>
      <c r="U134" s="934"/>
      <c r="V134" s="934"/>
      <c r="W134" s="934"/>
      <c r="X134" s="934"/>
      <c r="Y134" s="934"/>
      <c r="Z134" s="934"/>
    </row>
    <row r="135" spans="1:26" ht="16.5" customHeight="1">
      <c r="A135" s="1073">
        <v>131</v>
      </c>
      <c r="B135" s="1073" t="s">
        <v>788</v>
      </c>
      <c r="C135" s="1072">
        <v>91.2</v>
      </c>
      <c r="D135" s="1071">
        <f t="shared" si="15"/>
        <v>27.588000000000001</v>
      </c>
      <c r="E135" s="1070">
        <f>(3494000*1.25)/1000</f>
        <v>4367.5</v>
      </c>
      <c r="F135" s="1069">
        <f t="shared" si="16"/>
        <v>14438.01652892562</v>
      </c>
      <c r="G135" s="1069">
        <f t="shared" si="17"/>
        <v>398316</v>
      </c>
      <c r="H135" s="1068" t="e">
        <f>#REF!</f>
        <v>#REF!</v>
      </c>
      <c r="I135" s="1040"/>
      <c r="J135" s="1040"/>
      <c r="K135" s="1023"/>
      <c r="L135" s="1023"/>
      <c r="M135" s="1023"/>
      <c r="N135" s="1023"/>
      <c r="O135" s="1023"/>
      <c r="P135" s="1023"/>
      <c r="Q135" s="1023"/>
      <c r="R135" s="1023"/>
      <c r="S135" s="1023"/>
      <c r="T135" s="934"/>
      <c r="U135" s="934"/>
      <c r="V135" s="934"/>
      <c r="W135" s="934"/>
      <c r="X135" s="934"/>
      <c r="Y135" s="934"/>
      <c r="Z135" s="934"/>
    </row>
    <row r="136" spans="1:26" ht="16.5" customHeight="1">
      <c r="A136" s="1073">
        <v>132</v>
      </c>
      <c r="B136" s="1073" t="s">
        <v>789</v>
      </c>
      <c r="C136" s="1072">
        <v>82.2</v>
      </c>
      <c r="D136" s="1071">
        <f t="shared" si="15"/>
        <v>24.865500000000001</v>
      </c>
      <c r="E136" s="1070">
        <f>(3388000*1.25)/1000</f>
        <v>4235</v>
      </c>
      <c r="F136" s="1069">
        <f t="shared" si="16"/>
        <v>14000</v>
      </c>
      <c r="G136" s="1069">
        <f t="shared" si="17"/>
        <v>348117</v>
      </c>
      <c r="H136" s="1068" t="e">
        <f>#REF!</f>
        <v>#REF!</v>
      </c>
      <c r="I136" s="1040"/>
      <c r="J136" s="1040"/>
      <c r="K136" s="1023"/>
      <c r="L136" s="1023"/>
      <c r="M136" s="1023"/>
      <c r="N136" s="1023"/>
      <c r="O136" s="1023"/>
      <c r="P136" s="1023"/>
      <c r="Q136" s="1023"/>
      <c r="R136" s="1023"/>
      <c r="S136" s="1023"/>
      <c r="T136" s="934"/>
      <c r="U136" s="934"/>
      <c r="V136" s="934"/>
      <c r="W136" s="934"/>
      <c r="X136" s="934"/>
      <c r="Y136" s="934"/>
      <c r="Z136" s="934"/>
    </row>
    <row r="137" spans="1:26" ht="16.5" customHeight="1">
      <c r="A137" s="1073">
        <v>133</v>
      </c>
      <c r="B137" s="1073" t="s">
        <v>790</v>
      </c>
      <c r="C137" s="1072">
        <v>85</v>
      </c>
      <c r="D137" s="1071">
        <f t="shared" si="15"/>
        <v>25.712499999999999</v>
      </c>
      <c r="E137" s="1070">
        <f t="shared" ref="E137:E149" si="18">(3312000*1.25)/1000</f>
        <v>4140</v>
      </c>
      <c r="F137" s="1069">
        <f t="shared" si="16"/>
        <v>13685.950413223141</v>
      </c>
      <c r="G137" s="1069">
        <f t="shared" si="17"/>
        <v>351900</v>
      </c>
      <c r="H137" s="1068">
        <f>C601</f>
        <v>495.6</v>
      </c>
      <c r="I137" s="1040"/>
      <c r="J137" s="1040"/>
      <c r="K137" s="1023"/>
      <c r="L137" s="1023"/>
      <c r="M137" s="1023"/>
      <c r="N137" s="1023"/>
      <c r="O137" s="1023"/>
      <c r="P137" s="1023"/>
      <c r="Q137" s="1023"/>
      <c r="R137" s="1023"/>
      <c r="S137" s="1023"/>
      <c r="T137" s="934"/>
      <c r="U137" s="934"/>
      <c r="V137" s="934"/>
      <c r="W137" s="934"/>
      <c r="X137" s="934"/>
      <c r="Y137" s="934"/>
      <c r="Z137" s="934"/>
    </row>
    <row r="138" spans="1:26" ht="16.5" customHeight="1">
      <c r="A138" s="1073">
        <v>134</v>
      </c>
      <c r="B138" s="1073" t="s">
        <v>791</v>
      </c>
      <c r="C138" s="1072">
        <v>91</v>
      </c>
      <c r="D138" s="1071">
        <f t="shared" si="15"/>
        <v>27.5275</v>
      </c>
      <c r="E138" s="1070">
        <f t="shared" si="18"/>
        <v>4140</v>
      </c>
      <c r="F138" s="1069">
        <f t="shared" si="16"/>
        <v>13685.950413223141</v>
      </c>
      <c r="G138" s="1069">
        <f t="shared" si="17"/>
        <v>376740</v>
      </c>
      <c r="H138" s="1068" t="e">
        <f>#REF!</f>
        <v>#REF!</v>
      </c>
      <c r="I138" s="1040"/>
      <c r="J138" s="1040"/>
      <c r="K138" s="1023"/>
      <c r="L138" s="1023"/>
      <c r="M138" s="1023"/>
      <c r="N138" s="1023"/>
      <c r="O138" s="1023"/>
      <c r="P138" s="1023"/>
      <c r="Q138" s="1023"/>
      <c r="R138" s="1023"/>
      <c r="S138" s="1023"/>
      <c r="T138" s="934"/>
      <c r="U138" s="934"/>
      <c r="V138" s="934"/>
      <c r="W138" s="934"/>
      <c r="X138" s="934"/>
      <c r="Y138" s="934"/>
      <c r="Z138" s="934"/>
    </row>
    <row r="139" spans="1:26" ht="16.5" customHeight="1">
      <c r="A139" s="1073">
        <v>135</v>
      </c>
      <c r="B139" s="1073" t="s">
        <v>792</v>
      </c>
      <c r="C139" s="1072">
        <v>86.8</v>
      </c>
      <c r="D139" s="1071">
        <f t="shared" si="15"/>
        <v>26.256999999999998</v>
      </c>
      <c r="E139" s="1070">
        <f t="shared" si="18"/>
        <v>4140</v>
      </c>
      <c r="F139" s="1069">
        <f t="shared" si="16"/>
        <v>13685.950413223141</v>
      </c>
      <c r="G139" s="1069">
        <f t="shared" si="17"/>
        <v>359352</v>
      </c>
      <c r="H139" s="1068">
        <f>C594</f>
        <v>90.6</v>
      </c>
      <c r="I139" s="1040"/>
      <c r="J139" s="1040"/>
      <c r="K139" s="1023"/>
      <c r="L139" s="1023"/>
      <c r="M139" s="1023"/>
      <c r="N139" s="1023"/>
      <c r="O139" s="1023"/>
      <c r="P139" s="1023"/>
      <c r="Q139" s="1023"/>
      <c r="R139" s="1023"/>
      <c r="S139" s="1023"/>
      <c r="T139" s="934"/>
      <c r="U139" s="934"/>
      <c r="V139" s="934"/>
      <c r="W139" s="934"/>
      <c r="X139" s="934"/>
      <c r="Y139" s="934"/>
      <c r="Z139" s="934"/>
    </row>
    <row r="140" spans="1:26" ht="16.5" customHeight="1">
      <c r="A140" s="1073">
        <v>136</v>
      </c>
      <c r="B140" s="1073" t="s">
        <v>793</v>
      </c>
      <c r="C140" s="1072">
        <v>87.5</v>
      </c>
      <c r="D140" s="1071">
        <f t="shared" si="15"/>
        <v>26.46875</v>
      </c>
      <c r="E140" s="1070">
        <f t="shared" si="18"/>
        <v>4140</v>
      </c>
      <c r="F140" s="1069">
        <f t="shared" si="16"/>
        <v>13685.950413223141</v>
      </c>
      <c r="G140" s="1069">
        <f t="shared" si="17"/>
        <v>362250</v>
      </c>
      <c r="H140" s="1068" t="e">
        <f>#REF!</f>
        <v>#REF!</v>
      </c>
      <c r="I140" s="1040"/>
      <c r="J140" s="1040"/>
      <c r="K140" s="1023"/>
      <c r="L140" s="1023"/>
      <c r="M140" s="1023"/>
      <c r="N140" s="1023"/>
      <c r="O140" s="1023"/>
      <c r="P140" s="1023"/>
      <c r="Q140" s="1023"/>
      <c r="R140" s="1023"/>
      <c r="S140" s="1023"/>
      <c r="T140" s="934"/>
      <c r="U140" s="934"/>
      <c r="V140" s="934"/>
      <c r="W140" s="934"/>
      <c r="X140" s="934"/>
      <c r="Y140" s="934"/>
      <c r="Z140" s="934"/>
    </row>
    <row r="141" spans="1:26" ht="16.5" customHeight="1">
      <c r="A141" s="1073">
        <v>137</v>
      </c>
      <c r="B141" s="1073" t="s">
        <v>794</v>
      </c>
      <c r="C141" s="1072">
        <v>87.2</v>
      </c>
      <c r="D141" s="1071">
        <f t="shared" si="15"/>
        <v>26.378</v>
      </c>
      <c r="E141" s="1070">
        <f t="shared" si="18"/>
        <v>4140</v>
      </c>
      <c r="F141" s="1069">
        <f t="shared" si="16"/>
        <v>13685.950413223141</v>
      </c>
      <c r="G141" s="1069">
        <f t="shared" si="17"/>
        <v>361008</v>
      </c>
      <c r="H141" s="1068" t="e">
        <f>#REF!</f>
        <v>#REF!</v>
      </c>
      <c r="I141" s="1040"/>
      <c r="J141" s="1040"/>
      <c r="K141" s="1023"/>
      <c r="L141" s="1023"/>
      <c r="M141" s="1023"/>
      <c r="N141" s="1023"/>
      <c r="O141" s="1023"/>
      <c r="P141" s="1023"/>
      <c r="Q141" s="1023"/>
      <c r="R141" s="1023"/>
      <c r="S141" s="1023"/>
      <c r="T141" s="934"/>
      <c r="U141" s="934"/>
      <c r="V141" s="934"/>
      <c r="W141" s="934"/>
      <c r="X141" s="934"/>
      <c r="Y141" s="934"/>
      <c r="Z141" s="934"/>
    </row>
    <row r="142" spans="1:26" ht="16.5" customHeight="1">
      <c r="A142" s="1073">
        <v>138</v>
      </c>
      <c r="B142" s="1073" t="s">
        <v>795</v>
      </c>
      <c r="C142" s="1072">
        <v>87.7</v>
      </c>
      <c r="D142" s="1071">
        <f t="shared" si="15"/>
        <v>26.529250000000001</v>
      </c>
      <c r="E142" s="1070">
        <f t="shared" si="18"/>
        <v>4140</v>
      </c>
      <c r="F142" s="1069">
        <f t="shared" si="16"/>
        <v>13685.950413223141</v>
      </c>
      <c r="G142" s="1069">
        <f t="shared" si="17"/>
        <v>363078</v>
      </c>
      <c r="H142" s="1068" t="e">
        <f>#REF!</f>
        <v>#REF!</v>
      </c>
      <c r="I142" s="1040"/>
      <c r="J142" s="1040"/>
      <c r="K142" s="1023"/>
      <c r="L142" s="1023"/>
      <c r="M142" s="1023"/>
      <c r="N142" s="1023"/>
      <c r="O142" s="1023"/>
      <c r="P142" s="1023"/>
      <c r="Q142" s="1023"/>
      <c r="R142" s="1023"/>
      <c r="S142" s="1023"/>
      <c r="T142" s="934"/>
      <c r="U142" s="934"/>
      <c r="V142" s="934"/>
      <c r="W142" s="934"/>
      <c r="X142" s="934"/>
      <c r="Y142" s="934"/>
      <c r="Z142" s="934"/>
    </row>
    <row r="143" spans="1:26" ht="16.5" customHeight="1">
      <c r="A143" s="1073">
        <v>139</v>
      </c>
      <c r="B143" s="1073" t="s">
        <v>796</v>
      </c>
      <c r="C143" s="1072">
        <v>88.2</v>
      </c>
      <c r="D143" s="1071">
        <f t="shared" si="15"/>
        <v>26.680499999999999</v>
      </c>
      <c r="E143" s="1070">
        <f t="shared" si="18"/>
        <v>4140</v>
      </c>
      <c r="F143" s="1069">
        <f t="shared" si="16"/>
        <v>13685.950413223141</v>
      </c>
      <c r="G143" s="1069">
        <f t="shared" si="17"/>
        <v>365148</v>
      </c>
      <c r="H143" s="1068" t="e">
        <f>#REF!</f>
        <v>#REF!</v>
      </c>
      <c r="I143" s="1040"/>
      <c r="J143" s="1040"/>
      <c r="K143" s="1023"/>
      <c r="L143" s="1023"/>
      <c r="M143" s="1023"/>
      <c r="N143" s="1023"/>
      <c r="O143" s="1023"/>
      <c r="P143" s="1023"/>
      <c r="Q143" s="1023"/>
      <c r="R143" s="1023"/>
      <c r="S143" s="1023"/>
      <c r="T143" s="934"/>
      <c r="U143" s="934"/>
      <c r="V143" s="934"/>
      <c r="W143" s="934"/>
      <c r="X143" s="934"/>
      <c r="Y143" s="934"/>
      <c r="Z143" s="934"/>
    </row>
    <row r="144" spans="1:26" ht="16.5" customHeight="1">
      <c r="A144" s="1073">
        <v>140</v>
      </c>
      <c r="B144" s="1073" t="s">
        <v>797</v>
      </c>
      <c r="C144" s="1072">
        <v>85.3</v>
      </c>
      <c r="D144" s="1071">
        <f t="shared" si="15"/>
        <v>25.803249999999998</v>
      </c>
      <c r="E144" s="1070">
        <f t="shared" si="18"/>
        <v>4140</v>
      </c>
      <c r="F144" s="1069">
        <f t="shared" si="16"/>
        <v>13685.950413223141</v>
      </c>
      <c r="G144" s="1069">
        <f t="shared" si="17"/>
        <v>353142</v>
      </c>
      <c r="H144" s="1068">
        <f>C599</f>
        <v>89.9</v>
      </c>
      <c r="I144" s="1040"/>
      <c r="J144" s="1040"/>
      <c r="K144" s="1023"/>
      <c r="L144" s="1023"/>
      <c r="M144" s="1023"/>
      <c r="N144" s="1023"/>
      <c r="O144" s="1023"/>
      <c r="P144" s="1023"/>
      <c r="Q144" s="1023"/>
      <c r="R144" s="1023"/>
      <c r="S144" s="1023"/>
      <c r="T144" s="934"/>
      <c r="U144" s="934"/>
      <c r="V144" s="934"/>
      <c r="W144" s="934"/>
      <c r="X144" s="934"/>
      <c r="Y144" s="934"/>
      <c r="Z144" s="934"/>
    </row>
    <row r="145" spans="1:26" ht="16.5" customHeight="1">
      <c r="A145" s="1073">
        <v>141</v>
      </c>
      <c r="B145" s="1073" t="s">
        <v>798</v>
      </c>
      <c r="C145" s="1072">
        <v>86.5</v>
      </c>
      <c r="D145" s="1071">
        <f t="shared" si="15"/>
        <v>26.166249999999998</v>
      </c>
      <c r="E145" s="1070">
        <f t="shared" si="18"/>
        <v>4140</v>
      </c>
      <c r="F145" s="1069">
        <f t="shared" si="16"/>
        <v>13685.950413223141</v>
      </c>
      <c r="G145" s="1069">
        <f t="shared" si="17"/>
        <v>358110</v>
      </c>
      <c r="H145" s="1068" t="e">
        <f>#REF!</f>
        <v>#REF!</v>
      </c>
      <c r="I145" s="1040"/>
      <c r="J145" s="1040"/>
      <c r="K145" s="1023"/>
      <c r="L145" s="1023"/>
      <c r="M145" s="1023"/>
      <c r="N145" s="1023"/>
      <c r="O145" s="1023"/>
      <c r="P145" s="1023"/>
      <c r="Q145" s="1023"/>
      <c r="R145" s="1023"/>
      <c r="S145" s="1023"/>
      <c r="T145" s="934"/>
      <c r="U145" s="934"/>
      <c r="V145" s="934"/>
      <c r="W145" s="934"/>
      <c r="X145" s="934"/>
      <c r="Y145" s="934"/>
      <c r="Z145" s="934"/>
    </row>
    <row r="146" spans="1:26" ht="16.5" customHeight="1">
      <c r="A146" s="1073">
        <v>142</v>
      </c>
      <c r="B146" s="1073" t="s">
        <v>799</v>
      </c>
      <c r="C146" s="1072">
        <v>88.8</v>
      </c>
      <c r="D146" s="1071">
        <f t="shared" si="15"/>
        <v>26.861999999999998</v>
      </c>
      <c r="E146" s="1070">
        <f t="shared" si="18"/>
        <v>4140</v>
      </c>
      <c r="F146" s="1069">
        <f t="shared" si="16"/>
        <v>13685.950413223141</v>
      </c>
      <c r="G146" s="1069">
        <f t="shared" si="17"/>
        <v>367632</v>
      </c>
      <c r="H146" s="1068" t="e">
        <f>#REF!</f>
        <v>#REF!</v>
      </c>
      <c r="I146" s="1040"/>
      <c r="J146" s="1040"/>
      <c r="K146" s="1023"/>
      <c r="L146" s="1023"/>
      <c r="M146" s="1023"/>
      <c r="N146" s="1023"/>
      <c r="O146" s="1023"/>
      <c r="P146" s="1023"/>
      <c r="Q146" s="1023"/>
      <c r="R146" s="1023"/>
      <c r="S146" s="1023"/>
      <c r="T146" s="934"/>
      <c r="U146" s="934"/>
      <c r="V146" s="934"/>
      <c r="W146" s="934"/>
      <c r="X146" s="934"/>
      <c r="Y146" s="934"/>
      <c r="Z146" s="934"/>
    </row>
    <row r="147" spans="1:26" ht="16.5" customHeight="1">
      <c r="A147" s="1073">
        <v>143</v>
      </c>
      <c r="B147" s="1073" t="s">
        <v>800</v>
      </c>
      <c r="C147" s="1072">
        <v>85.7</v>
      </c>
      <c r="D147" s="1071">
        <f t="shared" si="15"/>
        <v>25.924250000000001</v>
      </c>
      <c r="E147" s="1070">
        <f t="shared" si="18"/>
        <v>4140</v>
      </c>
      <c r="F147" s="1069">
        <f t="shared" si="16"/>
        <v>13685.950413223141</v>
      </c>
      <c r="G147" s="1069">
        <f t="shared" si="17"/>
        <v>354798</v>
      </c>
      <c r="H147" s="1068" t="e">
        <f>#REF!</f>
        <v>#REF!</v>
      </c>
      <c r="I147" s="1040"/>
      <c r="J147" s="1040"/>
      <c r="K147" s="1023"/>
      <c r="L147" s="1023"/>
      <c r="M147" s="1023"/>
      <c r="N147" s="1023"/>
      <c r="O147" s="1023"/>
      <c r="P147" s="1023"/>
      <c r="Q147" s="1023"/>
      <c r="R147" s="1023"/>
      <c r="S147" s="1023"/>
      <c r="T147" s="934"/>
      <c r="U147" s="934"/>
      <c r="V147" s="934"/>
      <c r="W147" s="934"/>
      <c r="X147" s="934"/>
      <c r="Y147" s="934"/>
      <c r="Z147" s="934"/>
    </row>
    <row r="148" spans="1:26" ht="16.5" customHeight="1">
      <c r="A148" s="1073">
        <v>144</v>
      </c>
      <c r="B148" s="1073" t="s">
        <v>801</v>
      </c>
      <c r="C148" s="1072">
        <v>89.3</v>
      </c>
      <c r="D148" s="1071">
        <f t="shared" si="15"/>
        <v>27.013249999999999</v>
      </c>
      <c r="E148" s="1070">
        <f t="shared" si="18"/>
        <v>4140</v>
      </c>
      <c r="F148" s="1069">
        <f t="shared" si="16"/>
        <v>13685.950413223141</v>
      </c>
      <c r="G148" s="1069">
        <f t="shared" si="17"/>
        <v>369702</v>
      </c>
      <c r="H148" s="1068" t="e">
        <f>#REF!</f>
        <v>#REF!</v>
      </c>
      <c r="I148" s="1040"/>
      <c r="J148" s="1040"/>
      <c r="K148" s="1023"/>
      <c r="L148" s="1023"/>
      <c r="M148" s="1023"/>
      <c r="N148" s="1023"/>
      <c r="O148" s="1023"/>
      <c r="P148" s="1023"/>
      <c r="Q148" s="1023"/>
      <c r="R148" s="1023"/>
      <c r="S148" s="1023"/>
      <c r="T148" s="934"/>
      <c r="U148" s="934"/>
      <c r="V148" s="934"/>
      <c r="W148" s="934"/>
      <c r="X148" s="934"/>
      <c r="Y148" s="934"/>
      <c r="Z148" s="934"/>
    </row>
    <row r="149" spans="1:26" ht="16.5" customHeight="1">
      <c r="A149" s="1073">
        <v>145</v>
      </c>
      <c r="B149" s="1073" t="s">
        <v>802</v>
      </c>
      <c r="C149" s="1072">
        <v>86.9</v>
      </c>
      <c r="D149" s="1071">
        <f t="shared" si="15"/>
        <v>26.28725</v>
      </c>
      <c r="E149" s="1070">
        <f t="shared" si="18"/>
        <v>4140</v>
      </c>
      <c r="F149" s="1069">
        <f t="shared" si="16"/>
        <v>13685.950413223141</v>
      </c>
      <c r="G149" s="1069">
        <f t="shared" si="17"/>
        <v>359766</v>
      </c>
      <c r="H149" s="1068" t="e">
        <f>#REF!</f>
        <v>#REF!</v>
      </c>
      <c r="I149" s="1040"/>
      <c r="J149" s="1040"/>
      <c r="K149" s="1023"/>
      <c r="L149" s="1023"/>
      <c r="M149" s="1023"/>
      <c r="N149" s="1023"/>
      <c r="O149" s="1023"/>
      <c r="P149" s="1023"/>
      <c r="Q149" s="1023"/>
      <c r="R149" s="1023"/>
      <c r="S149" s="1023"/>
      <c r="T149" s="934"/>
      <c r="U149" s="934"/>
      <c r="V149" s="934"/>
      <c r="W149" s="934"/>
      <c r="X149" s="934"/>
      <c r="Y149" s="934"/>
      <c r="Z149" s="934"/>
    </row>
    <row r="150" spans="1:26" ht="16.5" customHeight="1">
      <c r="A150" s="1073">
        <v>146</v>
      </c>
      <c r="B150" s="1073" t="s">
        <v>803</v>
      </c>
      <c r="C150" s="1072">
        <v>87.3</v>
      </c>
      <c r="D150" s="1071">
        <f t="shared" si="15"/>
        <v>26.408249999999999</v>
      </c>
      <c r="E150" s="1070">
        <f>(6909000*1.25)/1000</f>
        <v>8636.25</v>
      </c>
      <c r="F150" s="1069">
        <f t="shared" si="16"/>
        <v>28549.586776859505</v>
      </c>
      <c r="G150" s="1069">
        <f t="shared" si="17"/>
        <v>753944.625</v>
      </c>
      <c r="H150" s="1068" t="e">
        <f>#REF!</f>
        <v>#REF!</v>
      </c>
      <c r="I150" s="1040"/>
      <c r="J150" s="1040"/>
      <c r="K150" s="1023"/>
      <c r="L150" s="1023"/>
      <c r="M150" s="1023"/>
      <c r="N150" s="1023"/>
      <c r="O150" s="1023"/>
      <c r="P150" s="1023"/>
      <c r="Q150" s="1023"/>
      <c r="R150" s="1023"/>
      <c r="S150" s="1023"/>
      <c r="T150" s="934"/>
      <c r="U150" s="934"/>
      <c r="V150" s="934"/>
      <c r="W150" s="934"/>
      <c r="X150" s="934"/>
      <c r="Y150" s="934"/>
      <c r="Z150" s="934"/>
    </row>
    <row r="151" spans="1:26" ht="16.5" customHeight="1">
      <c r="A151" s="1073">
        <v>147</v>
      </c>
      <c r="B151" s="1073" t="s">
        <v>804</v>
      </c>
      <c r="C151" s="1072">
        <v>85.4</v>
      </c>
      <c r="D151" s="1071">
        <f t="shared" si="15"/>
        <v>25.833500000000001</v>
      </c>
      <c r="E151" s="1070">
        <f>(6909000*1.25)/1000</f>
        <v>8636.25</v>
      </c>
      <c r="F151" s="1069">
        <f t="shared" si="16"/>
        <v>28549.586776859505</v>
      </c>
      <c r="G151" s="1069">
        <f t="shared" si="17"/>
        <v>737535.75</v>
      </c>
      <c r="H151" s="1068" t="e">
        <f>#REF!</f>
        <v>#REF!</v>
      </c>
      <c r="I151" s="1040"/>
      <c r="J151" s="1040"/>
      <c r="K151" s="1023"/>
      <c r="L151" s="1023"/>
      <c r="M151" s="1023"/>
      <c r="N151" s="1023"/>
      <c r="O151" s="1023"/>
      <c r="P151" s="1023"/>
      <c r="Q151" s="1023"/>
      <c r="R151" s="1023"/>
      <c r="S151" s="1023"/>
      <c r="T151" s="934"/>
      <c r="U151" s="934"/>
      <c r="V151" s="934"/>
      <c r="W151" s="934"/>
      <c r="X151" s="934"/>
      <c r="Y151" s="934"/>
      <c r="Z151" s="934"/>
    </row>
    <row r="152" spans="1:26" ht="16.5" customHeight="1">
      <c r="A152" s="1073">
        <v>148</v>
      </c>
      <c r="B152" s="1073" t="s">
        <v>805</v>
      </c>
      <c r="C152" s="1072">
        <v>86.1</v>
      </c>
      <c r="D152" s="1071">
        <f t="shared" si="15"/>
        <v>26.045249999999996</v>
      </c>
      <c r="E152" s="1070">
        <f>(7350000*1.25)/1000</f>
        <v>9187.5</v>
      </c>
      <c r="F152" s="1069">
        <f t="shared" si="16"/>
        <v>30371.900826446283</v>
      </c>
      <c r="G152" s="1069">
        <f t="shared" si="17"/>
        <v>791043.75</v>
      </c>
      <c r="H152" s="1068" t="e">
        <f>#REF!</f>
        <v>#REF!</v>
      </c>
      <c r="I152" s="1040"/>
      <c r="J152" s="1040"/>
      <c r="K152" s="1023"/>
      <c r="L152" s="1023"/>
      <c r="M152" s="1023"/>
      <c r="N152" s="1023"/>
      <c r="O152" s="1023"/>
      <c r="P152" s="1023"/>
      <c r="Q152" s="1023"/>
      <c r="R152" s="1023"/>
      <c r="S152" s="1023"/>
      <c r="T152" s="934"/>
      <c r="U152" s="934"/>
      <c r="V152" s="934"/>
      <c r="W152" s="934"/>
      <c r="X152" s="934"/>
      <c r="Y152" s="934"/>
      <c r="Z152" s="934"/>
    </row>
    <row r="153" spans="1:26" ht="16.5" customHeight="1">
      <c r="A153" s="1073">
        <v>149</v>
      </c>
      <c r="B153" s="1073" t="s">
        <v>806</v>
      </c>
      <c r="C153" s="1072">
        <v>89.5</v>
      </c>
      <c r="D153" s="1071">
        <f t="shared" si="15"/>
        <v>27.07375</v>
      </c>
      <c r="E153" s="1070">
        <f>(4180000*1.25)/1000</f>
        <v>5225</v>
      </c>
      <c r="F153" s="1069">
        <f t="shared" si="16"/>
        <v>17272.727272727272</v>
      </c>
      <c r="G153" s="1069">
        <f t="shared" si="17"/>
        <v>467637.5</v>
      </c>
      <c r="H153" s="1068" t="e">
        <f>#REF!</f>
        <v>#REF!</v>
      </c>
      <c r="I153" s="1040"/>
      <c r="J153" s="1040"/>
      <c r="K153" s="1023"/>
      <c r="L153" s="1023"/>
      <c r="M153" s="1023"/>
      <c r="N153" s="1023"/>
      <c r="O153" s="1023"/>
      <c r="P153" s="1023"/>
      <c r="Q153" s="1023"/>
      <c r="R153" s="1023"/>
      <c r="S153" s="1023"/>
      <c r="T153" s="934"/>
      <c r="U153" s="934"/>
      <c r="V153" s="934"/>
      <c r="W153" s="934"/>
      <c r="X153" s="934"/>
      <c r="Y153" s="934"/>
      <c r="Z153" s="934"/>
    </row>
    <row r="154" spans="1:26" ht="16.5" customHeight="1">
      <c r="A154" s="1073">
        <v>150</v>
      </c>
      <c r="B154" s="1073" t="s">
        <v>807</v>
      </c>
      <c r="C154" s="1072">
        <v>87.7</v>
      </c>
      <c r="D154" s="1071">
        <f t="shared" si="15"/>
        <v>26.529250000000001</v>
      </c>
      <c r="E154" s="1070">
        <f t="shared" ref="E154:E167" si="19">(3800000*1.25)/1000</f>
        <v>4750</v>
      </c>
      <c r="F154" s="1069">
        <f t="shared" si="16"/>
        <v>15702.479338842975</v>
      </c>
      <c r="G154" s="1069">
        <f t="shared" si="17"/>
        <v>416575</v>
      </c>
      <c r="H154" s="1068" t="e">
        <f>#REF!</f>
        <v>#REF!</v>
      </c>
      <c r="I154" s="1040"/>
      <c r="J154" s="1040"/>
      <c r="K154" s="1023"/>
      <c r="L154" s="1023"/>
      <c r="M154" s="1023"/>
      <c r="N154" s="1023"/>
      <c r="O154" s="1023"/>
      <c r="P154" s="1023"/>
      <c r="Q154" s="1023"/>
      <c r="R154" s="1023"/>
      <c r="S154" s="1023"/>
      <c r="T154" s="934"/>
      <c r="U154" s="934"/>
      <c r="V154" s="934"/>
      <c r="W154" s="934"/>
      <c r="X154" s="934"/>
      <c r="Y154" s="934"/>
      <c r="Z154" s="934"/>
    </row>
    <row r="155" spans="1:26" ht="16.5" customHeight="1">
      <c r="A155" s="1073">
        <v>151</v>
      </c>
      <c r="B155" s="1073" t="s">
        <v>808</v>
      </c>
      <c r="C155" s="1072">
        <v>91.4</v>
      </c>
      <c r="D155" s="1071">
        <f t="shared" si="15"/>
        <v>27.648500000000002</v>
      </c>
      <c r="E155" s="1070">
        <f t="shared" si="19"/>
        <v>4750</v>
      </c>
      <c r="F155" s="1069">
        <f t="shared" si="16"/>
        <v>15702.479338842975</v>
      </c>
      <c r="G155" s="1069">
        <f t="shared" si="17"/>
        <v>434150</v>
      </c>
      <c r="H155" s="1068" t="e">
        <f>#REF!</f>
        <v>#REF!</v>
      </c>
      <c r="I155" s="1040"/>
      <c r="J155" s="1040"/>
      <c r="K155" s="1023"/>
      <c r="L155" s="1023"/>
      <c r="M155" s="1023"/>
      <c r="N155" s="1023"/>
      <c r="O155" s="1023"/>
      <c r="P155" s="1023"/>
      <c r="Q155" s="1023"/>
      <c r="R155" s="1023"/>
      <c r="S155" s="1023"/>
      <c r="T155" s="934"/>
      <c r="U155" s="934"/>
      <c r="V155" s="934"/>
      <c r="W155" s="934"/>
      <c r="X155" s="934"/>
      <c r="Y155" s="934"/>
      <c r="Z155" s="934"/>
    </row>
    <row r="156" spans="1:26" ht="16.5" customHeight="1">
      <c r="A156" s="1073">
        <v>152</v>
      </c>
      <c r="B156" s="1073" t="s">
        <v>809</v>
      </c>
      <c r="C156" s="1072">
        <v>87.3</v>
      </c>
      <c r="D156" s="1071">
        <f t="shared" si="15"/>
        <v>26.408249999999999</v>
      </c>
      <c r="E156" s="1070">
        <f t="shared" si="19"/>
        <v>4750</v>
      </c>
      <c r="F156" s="1069">
        <f t="shared" si="16"/>
        <v>15702.479338842975</v>
      </c>
      <c r="G156" s="1069">
        <f t="shared" si="17"/>
        <v>414675</v>
      </c>
      <c r="H156" s="1068" t="e">
        <f>#REF!</f>
        <v>#REF!</v>
      </c>
      <c r="I156" s="1040"/>
      <c r="J156" s="1040"/>
      <c r="K156" s="1023"/>
      <c r="L156" s="1023"/>
      <c r="M156" s="1023"/>
      <c r="N156" s="1023"/>
      <c r="O156" s="1023"/>
      <c r="P156" s="1023"/>
      <c r="Q156" s="1023"/>
      <c r="R156" s="1023"/>
      <c r="S156" s="1023"/>
      <c r="T156" s="934"/>
      <c r="U156" s="934"/>
      <c r="V156" s="934"/>
      <c r="W156" s="934"/>
      <c r="X156" s="934"/>
      <c r="Y156" s="934"/>
      <c r="Z156" s="934"/>
    </row>
    <row r="157" spans="1:26" ht="16.5" customHeight="1">
      <c r="A157" s="1073">
        <v>153</v>
      </c>
      <c r="B157" s="1073" t="s">
        <v>810</v>
      </c>
      <c r="C157" s="1072">
        <v>91.2</v>
      </c>
      <c r="D157" s="1071">
        <f t="shared" si="15"/>
        <v>27.588000000000001</v>
      </c>
      <c r="E157" s="1070">
        <f t="shared" si="19"/>
        <v>4750</v>
      </c>
      <c r="F157" s="1069">
        <f t="shared" si="16"/>
        <v>15702.479338842975</v>
      </c>
      <c r="G157" s="1069">
        <f t="shared" si="17"/>
        <v>433200</v>
      </c>
      <c r="H157" s="1068" t="e">
        <f>#REF!</f>
        <v>#REF!</v>
      </c>
      <c r="I157" s="1040"/>
      <c r="J157" s="1040"/>
      <c r="K157" s="1023"/>
      <c r="L157" s="1023"/>
      <c r="M157" s="1023"/>
      <c r="N157" s="1023"/>
      <c r="O157" s="1023"/>
      <c r="P157" s="1023"/>
      <c r="Q157" s="1023"/>
      <c r="R157" s="1023"/>
      <c r="S157" s="1023"/>
      <c r="T157" s="934"/>
      <c r="U157" s="934"/>
      <c r="V157" s="934"/>
      <c r="W157" s="934"/>
      <c r="X157" s="934"/>
      <c r="Y157" s="934"/>
      <c r="Z157" s="934"/>
    </row>
    <row r="158" spans="1:26" ht="16.5" customHeight="1">
      <c r="A158" s="1073">
        <v>154</v>
      </c>
      <c r="B158" s="1073" t="s">
        <v>811</v>
      </c>
      <c r="C158" s="1072">
        <v>88.9</v>
      </c>
      <c r="D158" s="1071">
        <f t="shared" si="15"/>
        <v>26.892250000000001</v>
      </c>
      <c r="E158" s="1070">
        <f t="shared" si="19"/>
        <v>4750</v>
      </c>
      <c r="F158" s="1069">
        <f t="shared" si="16"/>
        <v>15702.479338842975</v>
      </c>
      <c r="G158" s="1069">
        <f t="shared" si="17"/>
        <v>422275</v>
      </c>
      <c r="H158" s="1068" t="e">
        <f>#REF!</f>
        <v>#REF!</v>
      </c>
      <c r="I158" s="1040"/>
      <c r="J158" s="1040"/>
      <c r="K158" s="1023"/>
      <c r="L158" s="1023"/>
      <c r="M158" s="1023"/>
      <c r="N158" s="1023"/>
      <c r="O158" s="1023"/>
      <c r="P158" s="1023"/>
      <c r="Q158" s="1023"/>
      <c r="R158" s="1023"/>
      <c r="S158" s="1023"/>
      <c r="T158" s="934"/>
      <c r="U158" s="934"/>
      <c r="V158" s="934"/>
      <c r="W158" s="934"/>
      <c r="X158" s="934"/>
      <c r="Y158" s="934"/>
      <c r="Z158" s="934"/>
    </row>
    <row r="159" spans="1:26" ht="16.5" customHeight="1">
      <c r="A159" s="1073">
        <v>155</v>
      </c>
      <c r="B159" s="1073" t="s">
        <v>812</v>
      </c>
      <c r="C159" s="1072">
        <v>88.7</v>
      </c>
      <c r="D159" s="1071">
        <f t="shared" si="15"/>
        <v>26.83175</v>
      </c>
      <c r="E159" s="1070">
        <f t="shared" si="19"/>
        <v>4750</v>
      </c>
      <c r="F159" s="1069">
        <f t="shared" si="16"/>
        <v>15702.479338842975</v>
      </c>
      <c r="G159" s="1069">
        <f t="shared" si="17"/>
        <v>421325</v>
      </c>
      <c r="H159" s="1068" t="e">
        <f>#REF!</f>
        <v>#REF!</v>
      </c>
      <c r="I159" s="1040"/>
      <c r="J159" s="1040"/>
      <c r="K159" s="1023"/>
      <c r="L159" s="1023"/>
      <c r="M159" s="1023"/>
      <c r="N159" s="1023"/>
      <c r="O159" s="1023"/>
      <c r="P159" s="1023"/>
      <c r="Q159" s="1023"/>
      <c r="R159" s="1023"/>
      <c r="S159" s="1023"/>
      <c r="T159" s="934"/>
      <c r="U159" s="934"/>
      <c r="V159" s="934"/>
      <c r="W159" s="934"/>
      <c r="X159" s="934"/>
      <c r="Y159" s="934"/>
      <c r="Z159" s="934"/>
    </row>
    <row r="160" spans="1:26" ht="16.5" customHeight="1">
      <c r="A160" s="1073">
        <v>156</v>
      </c>
      <c r="B160" s="1073" t="s">
        <v>813</v>
      </c>
      <c r="C160" s="1072">
        <v>92</v>
      </c>
      <c r="D160" s="1071">
        <f t="shared" si="15"/>
        <v>27.83</v>
      </c>
      <c r="E160" s="1070">
        <f t="shared" si="19"/>
        <v>4750</v>
      </c>
      <c r="F160" s="1069">
        <f t="shared" si="16"/>
        <v>15702.479338842975</v>
      </c>
      <c r="G160" s="1069">
        <f t="shared" si="17"/>
        <v>437000</v>
      </c>
      <c r="H160" s="1068">
        <f>C603</f>
        <v>88</v>
      </c>
      <c r="I160" s="1040"/>
      <c r="J160" s="1040"/>
      <c r="K160" s="1023"/>
      <c r="L160" s="1023"/>
      <c r="M160" s="1023"/>
      <c r="N160" s="1023"/>
      <c r="O160" s="1023"/>
      <c r="P160" s="1023"/>
      <c r="Q160" s="1023"/>
      <c r="R160" s="1023"/>
      <c r="S160" s="1023"/>
      <c r="T160" s="934"/>
      <c r="U160" s="934"/>
      <c r="V160" s="934"/>
      <c r="W160" s="934"/>
      <c r="X160" s="934"/>
      <c r="Y160" s="934"/>
      <c r="Z160" s="934"/>
    </row>
    <row r="161" spans="1:26" ht="16.5" customHeight="1">
      <c r="A161" s="1073">
        <v>157</v>
      </c>
      <c r="B161" s="1073" t="s">
        <v>814</v>
      </c>
      <c r="C161" s="1072">
        <v>90.5</v>
      </c>
      <c r="D161" s="1071">
        <f t="shared" si="15"/>
        <v>27.376249999999999</v>
      </c>
      <c r="E161" s="1070">
        <f t="shared" si="19"/>
        <v>4750</v>
      </c>
      <c r="F161" s="1069">
        <f t="shared" si="16"/>
        <v>15702.479338842975</v>
      </c>
      <c r="G161" s="1069">
        <f t="shared" si="17"/>
        <v>429875</v>
      </c>
      <c r="H161" s="1068">
        <f>C604</f>
        <v>91.2</v>
      </c>
      <c r="I161" s="1040"/>
      <c r="J161" s="1040"/>
      <c r="K161" s="1023"/>
      <c r="L161" s="1023"/>
      <c r="M161" s="1023"/>
      <c r="N161" s="1023"/>
      <c r="O161" s="1023"/>
      <c r="P161" s="1023"/>
      <c r="Q161" s="1023"/>
      <c r="R161" s="1023"/>
      <c r="S161" s="1023"/>
      <c r="T161" s="934"/>
      <c r="U161" s="934"/>
      <c r="V161" s="934"/>
      <c r="W161" s="934"/>
      <c r="X161" s="934"/>
      <c r="Y161" s="934"/>
      <c r="Z161" s="934"/>
    </row>
    <row r="162" spans="1:26" ht="16.5" customHeight="1">
      <c r="A162" s="1073">
        <v>158</v>
      </c>
      <c r="B162" s="1073" t="s">
        <v>815</v>
      </c>
      <c r="C162" s="1072">
        <v>90.9</v>
      </c>
      <c r="D162" s="1071">
        <f t="shared" si="15"/>
        <v>27.497250000000001</v>
      </c>
      <c r="E162" s="1070">
        <f t="shared" si="19"/>
        <v>4750</v>
      </c>
      <c r="F162" s="1069">
        <f t="shared" si="16"/>
        <v>15702.479338842975</v>
      </c>
      <c r="G162" s="1069">
        <f t="shared" si="17"/>
        <v>431775</v>
      </c>
      <c r="H162" s="1068">
        <f>C605</f>
        <v>84.7</v>
      </c>
      <c r="I162" s="1040"/>
      <c r="J162" s="1040"/>
      <c r="K162" s="1023"/>
      <c r="L162" s="1023"/>
      <c r="M162" s="1023"/>
      <c r="N162" s="1023"/>
      <c r="O162" s="1023"/>
      <c r="P162" s="1023"/>
      <c r="Q162" s="1023"/>
      <c r="R162" s="1023"/>
      <c r="S162" s="1023"/>
      <c r="T162" s="934"/>
      <c r="U162" s="934"/>
      <c r="V162" s="934"/>
      <c r="W162" s="934"/>
      <c r="X162" s="934"/>
      <c r="Y162" s="934"/>
      <c r="Z162" s="934"/>
    </row>
    <row r="163" spans="1:26" ht="16.5" customHeight="1">
      <c r="A163" s="1073">
        <v>159</v>
      </c>
      <c r="B163" s="1073" t="s">
        <v>816</v>
      </c>
      <c r="C163" s="1072">
        <v>90.1</v>
      </c>
      <c r="D163" s="1071">
        <f t="shared" si="15"/>
        <v>27.255249999999997</v>
      </c>
      <c r="E163" s="1070">
        <f t="shared" si="19"/>
        <v>4750</v>
      </c>
      <c r="F163" s="1069">
        <f t="shared" si="16"/>
        <v>15702.479338842975</v>
      </c>
      <c r="G163" s="1069">
        <f t="shared" si="17"/>
        <v>427975</v>
      </c>
      <c r="H163" s="1068">
        <f>C606</f>
        <v>91.9</v>
      </c>
      <c r="I163" s="1040"/>
      <c r="J163" s="1040"/>
      <c r="K163" s="1023"/>
      <c r="L163" s="1023"/>
      <c r="M163" s="1023"/>
      <c r="N163" s="1023"/>
      <c r="O163" s="1023"/>
      <c r="P163" s="1023"/>
      <c r="Q163" s="1023"/>
      <c r="R163" s="1023"/>
      <c r="S163" s="1023"/>
      <c r="T163" s="934"/>
      <c r="U163" s="934"/>
      <c r="V163" s="934"/>
      <c r="W163" s="934"/>
      <c r="X163" s="934"/>
      <c r="Y163" s="934"/>
      <c r="Z163" s="934"/>
    </row>
    <row r="164" spans="1:26" ht="16.5" customHeight="1">
      <c r="A164" s="1073">
        <v>160</v>
      </c>
      <c r="B164" s="1073" t="s">
        <v>817</v>
      </c>
      <c r="C164" s="1072">
        <v>88.7</v>
      </c>
      <c r="D164" s="1071">
        <f t="shared" si="15"/>
        <v>26.83175</v>
      </c>
      <c r="E164" s="1070">
        <f t="shared" si="19"/>
        <v>4750</v>
      </c>
      <c r="F164" s="1069">
        <f t="shared" si="16"/>
        <v>15702.479338842975</v>
      </c>
      <c r="G164" s="1069">
        <f t="shared" si="17"/>
        <v>421325</v>
      </c>
      <c r="H164" s="1068" t="e">
        <f>#REF!</f>
        <v>#REF!</v>
      </c>
      <c r="I164" s="1040"/>
      <c r="J164" s="1040"/>
      <c r="K164" s="1023"/>
      <c r="L164" s="1023"/>
      <c r="M164" s="1023"/>
      <c r="N164" s="1023"/>
      <c r="O164" s="1023"/>
      <c r="P164" s="1023"/>
      <c r="Q164" s="1023"/>
      <c r="R164" s="1023"/>
      <c r="S164" s="1023"/>
      <c r="T164" s="934"/>
      <c r="U164" s="934"/>
      <c r="V164" s="934"/>
      <c r="W164" s="934"/>
      <c r="X164" s="934"/>
      <c r="Y164" s="934"/>
      <c r="Z164" s="934"/>
    </row>
    <row r="165" spans="1:26" ht="16.5" customHeight="1">
      <c r="A165" s="1073">
        <v>161</v>
      </c>
      <c r="B165" s="1073" t="s">
        <v>818</v>
      </c>
      <c r="C165" s="1072">
        <v>91.4</v>
      </c>
      <c r="D165" s="1071">
        <f t="shared" si="15"/>
        <v>27.648500000000002</v>
      </c>
      <c r="E165" s="1070">
        <f t="shared" si="19"/>
        <v>4750</v>
      </c>
      <c r="F165" s="1069">
        <f t="shared" si="16"/>
        <v>15702.479338842975</v>
      </c>
      <c r="G165" s="1069">
        <f t="shared" si="17"/>
        <v>434150</v>
      </c>
      <c r="H165" s="1068">
        <f>C608</f>
        <v>91.6</v>
      </c>
      <c r="I165" s="1040"/>
      <c r="J165" s="1040"/>
      <c r="K165" s="1023"/>
      <c r="L165" s="1023"/>
      <c r="M165" s="1023"/>
      <c r="N165" s="1023"/>
      <c r="O165" s="1023"/>
      <c r="P165" s="1023"/>
      <c r="Q165" s="1023"/>
      <c r="R165" s="1023"/>
      <c r="S165" s="1023"/>
      <c r="T165" s="934"/>
      <c r="U165" s="934"/>
      <c r="V165" s="934"/>
      <c r="W165" s="934"/>
      <c r="X165" s="934"/>
      <c r="Y165" s="934"/>
      <c r="Z165" s="934"/>
    </row>
    <row r="166" spans="1:26" ht="16.5" customHeight="1">
      <c r="A166" s="1073">
        <v>162</v>
      </c>
      <c r="B166" s="1073" t="s">
        <v>819</v>
      </c>
      <c r="C166" s="1072">
        <v>88.6</v>
      </c>
      <c r="D166" s="1071">
        <f t="shared" si="15"/>
        <v>26.801499999999997</v>
      </c>
      <c r="E166" s="1070">
        <f t="shared" si="19"/>
        <v>4750</v>
      </c>
      <c r="F166" s="1069">
        <f t="shared" si="16"/>
        <v>15702.479338842975</v>
      </c>
      <c r="G166" s="1069">
        <f t="shared" si="17"/>
        <v>420850</v>
      </c>
      <c r="H166" s="1068">
        <f>C609</f>
        <v>90.1</v>
      </c>
      <c r="I166" s="1040"/>
      <c r="J166" s="1040"/>
      <c r="K166" s="1023"/>
      <c r="L166" s="1023"/>
      <c r="M166" s="1023"/>
      <c r="N166" s="1023"/>
      <c r="O166" s="1023"/>
      <c r="P166" s="1023"/>
      <c r="Q166" s="1023"/>
      <c r="R166" s="1023"/>
      <c r="S166" s="1023"/>
      <c r="T166" s="934"/>
      <c r="U166" s="934"/>
      <c r="V166" s="934"/>
      <c r="W166" s="934"/>
      <c r="X166" s="934"/>
      <c r="Y166" s="934"/>
      <c r="Z166" s="934"/>
    </row>
    <row r="167" spans="1:26" ht="16.5" customHeight="1">
      <c r="A167" s="1073">
        <v>163</v>
      </c>
      <c r="B167" s="1073" t="s">
        <v>820</v>
      </c>
      <c r="C167" s="1072">
        <v>90.5</v>
      </c>
      <c r="D167" s="1071">
        <f t="shared" si="15"/>
        <v>27.376249999999999</v>
      </c>
      <c r="E167" s="1070">
        <f t="shared" si="19"/>
        <v>4750</v>
      </c>
      <c r="F167" s="1069">
        <f t="shared" si="16"/>
        <v>15702.479338842975</v>
      </c>
      <c r="G167" s="1069">
        <f t="shared" si="17"/>
        <v>429875</v>
      </c>
      <c r="H167" s="1068">
        <f>C610</f>
        <v>88.1</v>
      </c>
      <c r="I167" s="1040"/>
      <c r="J167" s="1040"/>
      <c r="K167" s="1023"/>
      <c r="L167" s="1023"/>
      <c r="M167" s="1023"/>
      <c r="N167" s="1023"/>
      <c r="O167" s="1023"/>
      <c r="P167" s="1023"/>
      <c r="Q167" s="1023"/>
      <c r="R167" s="1023"/>
      <c r="S167" s="1023"/>
      <c r="T167" s="934"/>
      <c r="U167" s="934"/>
      <c r="V167" s="934"/>
      <c r="W167" s="934"/>
      <c r="X167" s="934"/>
      <c r="Y167" s="934"/>
      <c r="Z167" s="934"/>
    </row>
    <row r="168" spans="1:26" ht="16.5" customHeight="1">
      <c r="A168" s="1073">
        <v>164</v>
      </c>
      <c r="B168" s="1073" t="s">
        <v>821</v>
      </c>
      <c r="C168" s="1072">
        <v>77.599999999999994</v>
      </c>
      <c r="D168" s="1071">
        <f t="shared" si="15"/>
        <v>23.473999999999997</v>
      </c>
      <c r="E168" s="1070">
        <f>(3712000*1.25)/1000</f>
        <v>4640</v>
      </c>
      <c r="F168" s="1069">
        <f t="shared" si="16"/>
        <v>15338.842975206611</v>
      </c>
      <c r="G168" s="1069">
        <f t="shared" si="17"/>
        <v>360064</v>
      </c>
      <c r="H168" s="1068">
        <f>C611</f>
        <v>89.7</v>
      </c>
      <c r="I168" s="1040"/>
      <c r="J168" s="1040"/>
      <c r="K168" s="1023"/>
      <c r="L168" s="1023"/>
      <c r="M168" s="1023"/>
      <c r="N168" s="1023"/>
      <c r="O168" s="1023"/>
      <c r="P168" s="1023"/>
      <c r="Q168" s="1023"/>
      <c r="R168" s="1023"/>
      <c r="S168" s="1023"/>
      <c r="T168" s="934"/>
      <c r="U168" s="934"/>
      <c r="V168" s="934"/>
      <c r="W168" s="934"/>
      <c r="X168" s="934"/>
      <c r="Y168" s="934"/>
      <c r="Z168" s="934"/>
    </row>
    <row r="169" spans="1:26" ht="16.5" customHeight="1">
      <c r="A169" s="1073">
        <v>165</v>
      </c>
      <c r="B169" s="1073" t="s">
        <v>822</v>
      </c>
      <c r="C169" s="1072">
        <v>89.8</v>
      </c>
      <c r="D169" s="1071">
        <f t="shared" si="15"/>
        <v>27.164499999999997</v>
      </c>
      <c r="E169" s="1070">
        <v>5813.75</v>
      </c>
      <c r="F169" s="1069">
        <f t="shared" si="16"/>
        <v>19219.008264462809</v>
      </c>
      <c r="G169" s="1069">
        <f t="shared" si="17"/>
        <v>522074.75</v>
      </c>
      <c r="H169" s="1068" t="e">
        <f>#REF!</f>
        <v>#REF!</v>
      </c>
      <c r="I169" s="1040"/>
      <c r="J169" s="1040"/>
      <c r="K169" s="1023"/>
      <c r="L169" s="1023"/>
      <c r="M169" s="1023"/>
      <c r="N169" s="1023"/>
      <c r="O169" s="1023"/>
      <c r="P169" s="1023"/>
      <c r="Q169" s="1023"/>
      <c r="R169" s="1023"/>
      <c r="S169" s="1023"/>
      <c r="T169" s="934"/>
      <c r="U169" s="934"/>
      <c r="V169" s="934"/>
      <c r="W169" s="934"/>
      <c r="X169" s="934"/>
      <c r="Y169" s="934"/>
      <c r="Z169" s="934"/>
    </row>
    <row r="170" spans="1:26" ht="16.5" customHeight="1">
      <c r="A170" s="1073">
        <v>166</v>
      </c>
      <c r="B170" s="1073" t="s">
        <v>823</v>
      </c>
      <c r="C170" s="1072">
        <v>85.1</v>
      </c>
      <c r="D170" s="1071">
        <f t="shared" si="15"/>
        <v>25.742749999999997</v>
      </c>
      <c r="E170" s="1070">
        <v>4512.5</v>
      </c>
      <c r="F170" s="1069">
        <f t="shared" si="16"/>
        <v>14917.355371900827</v>
      </c>
      <c r="G170" s="1069">
        <f t="shared" si="17"/>
        <v>384013.75</v>
      </c>
      <c r="H170" s="1068">
        <f>C613</f>
        <v>88.8</v>
      </c>
      <c r="I170" s="1040"/>
      <c r="J170" s="1040"/>
      <c r="K170" s="1023"/>
      <c r="L170" s="1023"/>
      <c r="M170" s="1023"/>
      <c r="N170" s="1023"/>
      <c r="O170" s="1023"/>
      <c r="P170" s="1023"/>
      <c r="Q170" s="1023"/>
      <c r="R170" s="1023"/>
      <c r="S170" s="1023"/>
      <c r="T170" s="934"/>
      <c r="U170" s="934"/>
      <c r="V170" s="934"/>
      <c r="W170" s="934"/>
      <c r="X170" s="934"/>
      <c r="Y170" s="934"/>
      <c r="Z170" s="934"/>
    </row>
    <row r="171" spans="1:26" ht="16.5" customHeight="1">
      <c r="A171" s="1073">
        <v>167</v>
      </c>
      <c r="B171" s="1073" t="s">
        <v>824</v>
      </c>
      <c r="C171" s="1072">
        <v>87.8</v>
      </c>
      <c r="D171" s="1071">
        <f t="shared" si="15"/>
        <v>26.5595</v>
      </c>
      <c r="E171" s="1070">
        <v>4512.5</v>
      </c>
      <c r="F171" s="1069">
        <f t="shared" si="16"/>
        <v>14917.355371900827</v>
      </c>
      <c r="G171" s="1069">
        <f t="shared" si="17"/>
        <v>396197.5</v>
      </c>
      <c r="H171" s="1068">
        <f>C614</f>
        <v>88.5</v>
      </c>
      <c r="I171" s="1040"/>
      <c r="J171" s="1040"/>
      <c r="K171" s="1023"/>
      <c r="L171" s="1023"/>
      <c r="M171" s="1023"/>
      <c r="N171" s="1023"/>
      <c r="O171" s="1023"/>
      <c r="P171" s="1023"/>
      <c r="Q171" s="1023"/>
      <c r="R171" s="1023"/>
      <c r="S171" s="1023"/>
      <c r="T171" s="934"/>
      <c r="U171" s="934"/>
      <c r="V171" s="934"/>
      <c r="W171" s="934"/>
      <c r="X171" s="934"/>
      <c r="Y171" s="934"/>
      <c r="Z171" s="934"/>
    </row>
    <row r="172" spans="1:26" ht="16.5" customHeight="1">
      <c r="A172" s="1073">
        <v>168</v>
      </c>
      <c r="B172" s="1073" t="s">
        <v>825</v>
      </c>
      <c r="C172" s="1072">
        <v>87.7</v>
      </c>
      <c r="D172" s="1071">
        <f t="shared" si="15"/>
        <v>26.529250000000001</v>
      </c>
      <c r="E172" s="1070">
        <v>4512.5</v>
      </c>
      <c r="F172" s="1069">
        <f t="shared" si="16"/>
        <v>14917.355371900827</v>
      </c>
      <c r="G172" s="1069">
        <f t="shared" si="17"/>
        <v>395746.25</v>
      </c>
      <c r="H172" s="1068">
        <f>C615</f>
        <v>90.1</v>
      </c>
      <c r="I172" s="1040"/>
      <c r="J172" s="1040"/>
      <c r="K172" s="1023"/>
      <c r="L172" s="1023"/>
      <c r="M172" s="1023"/>
      <c r="N172" s="1023"/>
      <c r="O172" s="1023"/>
      <c r="P172" s="1023"/>
      <c r="Q172" s="1023"/>
      <c r="R172" s="1023"/>
      <c r="S172" s="1023"/>
      <c r="T172" s="934"/>
      <c r="U172" s="934"/>
      <c r="V172" s="934"/>
      <c r="W172" s="934"/>
      <c r="X172" s="934"/>
      <c r="Y172" s="934"/>
      <c r="Z172" s="934"/>
    </row>
    <row r="173" spans="1:26" ht="16.5" customHeight="1">
      <c r="A173" s="1073">
        <v>169</v>
      </c>
      <c r="B173" s="1073" t="s">
        <v>826</v>
      </c>
      <c r="C173" s="1072">
        <v>87.9</v>
      </c>
      <c r="D173" s="1071">
        <f t="shared" si="15"/>
        <v>26.589750000000002</v>
      </c>
      <c r="E173" s="1070">
        <v>4512.5</v>
      </c>
      <c r="F173" s="1069">
        <f t="shared" si="16"/>
        <v>14917.355371900827</v>
      </c>
      <c r="G173" s="1069">
        <f t="shared" si="17"/>
        <v>396648.75</v>
      </c>
      <c r="H173" s="1068">
        <f>C616</f>
        <v>90</v>
      </c>
      <c r="I173" s="1040"/>
      <c r="J173" s="1040"/>
      <c r="K173" s="1023"/>
      <c r="L173" s="1023"/>
      <c r="M173" s="1023"/>
      <c r="N173" s="1023"/>
      <c r="O173" s="1023"/>
      <c r="P173" s="1023"/>
      <c r="Q173" s="1023"/>
      <c r="R173" s="1023"/>
      <c r="S173" s="1023"/>
      <c r="T173" s="934"/>
      <c r="U173" s="934"/>
      <c r="V173" s="934"/>
      <c r="W173" s="934"/>
      <c r="X173" s="934"/>
      <c r="Y173" s="934"/>
      <c r="Z173" s="934"/>
    </row>
    <row r="174" spans="1:26" ht="16.5" customHeight="1">
      <c r="A174" s="1073">
        <v>170</v>
      </c>
      <c r="B174" s="1073" t="s">
        <v>827</v>
      </c>
      <c r="C174" s="1072">
        <v>85.9</v>
      </c>
      <c r="D174" s="1071">
        <f t="shared" si="15"/>
        <v>25.984750000000002</v>
      </c>
      <c r="E174" s="1070">
        <v>4512.5</v>
      </c>
      <c r="F174" s="1069">
        <f t="shared" si="16"/>
        <v>14917.355371900827</v>
      </c>
      <c r="G174" s="1069">
        <f t="shared" si="17"/>
        <v>387623.75</v>
      </c>
      <c r="H174" s="1068">
        <f>C603</f>
        <v>88</v>
      </c>
      <c r="I174" s="1040"/>
      <c r="J174" s="1040"/>
      <c r="K174" s="1023"/>
      <c r="L174" s="1023"/>
      <c r="M174" s="1023"/>
      <c r="N174" s="1023"/>
      <c r="O174" s="1023"/>
      <c r="P174" s="1023"/>
      <c r="Q174" s="1023"/>
      <c r="R174" s="1023"/>
      <c r="S174" s="1023"/>
      <c r="T174" s="934"/>
      <c r="U174" s="934"/>
      <c r="V174" s="934"/>
      <c r="W174" s="934"/>
      <c r="X174" s="934"/>
      <c r="Y174" s="934"/>
      <c r="Z174" s="934"/>
    </row>
    <row r="175" spans="1:26" ht="16.5" customHeight="1">
      <c r="A175" s="1073">
        <v>171</v>
      </c>
      <c r="B175" s="1073" t="s">
        <v>828</v>
      </c>
      <c r="C175" s="1072">
        <v>86.8</v>
      </c>
      <c r="D175" s="1071">
        <f t="shared" si="15"/>
        <v>26.256999999999998</v>
      </c>
      <c r="E175" s="1070">
        <v>4512.5</v>
      </c>
      <c r="F175" s="1069">
        <f t="shared" si="16"/>
        <v>14917.355371900827</v>
      </c>
      <c r="G175" s="1069">
        <f t="shared" si="17"/>
        <v>391685</v>
      </c>
      <c r="H175" s="1068">
        <f>C618</f>
        <v>331.2</v>
      </c>
      <c r="I175" s="1040"/>
      <c r="J175" s="1040"/>
      <c r="K175" s="1023"/>
      <c r="L175" s="1023"/>
      <c r="M175" s="1023"/>
      <c r="N175" s="1023"/>
      <c r="O175" s="1023"/>
      <c r="P175" s="1023"/>
      <c r="Q175" s="1023"/>
      <c r="R175" s="1023"/>
      <c r="S175" s="1023"/>
      <c r="T175" s="934"/>
      <c r="U175" s="934"/>
      <c r="V175" s="934"/>
      <c r="W175" s="934"/>
      <c r="X175" s="934"/>
      <c r="Y175" s="934"/>
      <c r="Z175" s="934"/>
    </row>
    <row r="176" spans="1:26" ht="16.5" customHeight="1">
      <c r="A176" s="1073">
        <v>172</v>
      </c>
      <c r="B176" s="1073" t="s">
        <v>829</v>
      </c>
      <c r="C176" s="1072">
        <v>87.2</v>
      </c>
      <c r="D176" s="1071">
        <f t="shared" si="15"/>
        <v>26.378</v>
      </c>
      <c r="E176" s="1070">
        <v>4512.5</v>
      </c>
      <c r="F176" s="1069">
        <f t="shared" si="16"/>
        <v>14917.355371900827</v>
      </c>
      <c r="G176" s="1069">
        <f t="shared" si="17"/>
        <v>393490</v>
      </c>
      <c r="H176" s="1068" t="e">
        <f>#REF!</f>
        <v>#REF!</v>
      </c>
      <c r="I176" s="1040"/>
      <c r="J176" s="1040"/>
      <c r="K176" s="1023"/>
      <c r="L176" s="1023"/>
      <c r="M176" s="1023"/>
      <c r="N176" s="1023"/>
      <c r="O176" s="1023"/>
      <c r="P176" s="1023"/>
      <c r="Q176" s="1023"/>
      <c r="R176" s="1023"/>
      <c r="S176" s="1023"/>
      <c r="T176" s="934"/>
      <c r="U176" s="934"/>
      <c r="V176" s="934"/>
      <c r="W176" s="934"/>
      <c r="X176" s="934"/>
      <c r="Y176" s="934"/>
      <c r="Z176" s="934"/>
    </row>
    <row r="177" spans="1:26" ht="16.5" customHeight="1">
      <c r="A177" s="1073">
        <v>173</v>
      </c>
      <c r="B177" s="1073" t="s">
        <v>830</v>
      </c>
      <c r="C177" s="1072">
        <v>88.3</v>
      </c>
      <c r="D177" s="1071">
        <f t="shared" si="15"/>
        <v>26.710749999999997</v>
      </c>
      <c r="E177" s="1070">
        <v>4512.5</v>
      </c>
      <c r="F177" s="1069">
        <f t="shared" si="16"/>
        <v>14917.355371900827</v>
      </c>
      <c r="G177" s="1069">
        <f t="shared" si="17"/>
        <v>398453.75</v>
      </c>
      <c r="H177" s="1068" t="e">
        <f>#REF!</f>
        <v>#REF!</v>
      </c>
      <c r="I177" s="1040"/>
      <c r="J177" s="1040"/>
      <c r="K177" s="1023"/>
      <c r="L177" s="1023"/>
      <c r="M177" s="1023"/>
      <c r="N177" s="1023"/>
      <c r="O177" s="1023"/>
      <c r="P177" s="1023"/>
      <c r="Q177" s="1023"/>
      <c r="R177" s="1023"/>
      <c r="S177" s="1023"/>
      <c r="T177" s="934"/>
      <c r="U177" s="934"/>
      <c r="V177" s="934"/>
      <c r="W177" s="934"/>
      <c r="X177" s="934"/>
      <c r="Y177" s="934"/>
      <c r="Z177" s="934"/>
    </row>
    <row r="178" spans="1:26" ht="16.5" customHeight="1">
      <c r="A178" s="1073">
        <v>174</v>
      </c>
      <c r="B178" s="1073" t="s">
        <v>831</v>
      </c>
      <c r="C178" s="1072">
        <v>88.8</v>
      </c>
      <c r="D178" s="1071">
        <f t="shared" si="15"/>
        <v>26.861999999999998</v>
      </c>
      <c r="E178" s="1070">
        <v>4512.5</v>
      </c>
      <c r="F178" s="1069">
        <f t="shared" si="16"/>
        <v>14917.355371900827</v>
      </c>
      <c r="G178" s="1069">
        <f t="shared" si="17"/>
        <v>400710</v>
      </c>
      <c r="H178" s="1068" t="e">
        <f>#REF!</f>
        <v>#REF!</v>
      </c>
      <c r="I178" s="1040"/>
      <c r="J178" s="1040"/>
      <c r="K178" s="1023"/>
      <c r="L178" s="1023"/>
      <c r="M178" s="1023"/>
      <c r="N178" s="1023"/>
      <c r="O178" s="1023"/>
      <c r="P178" s="1023"/>
      <c r="Q178" s="1023"/>
      <c r="R178" s="1023"/>
      <c r="S178" s="1023"/>
      <c r="T178" s="934"/>
      <c r="U178" s="934"/>
      <c r="V178" s="934"/>
      <c r="W178" s="934"/>
      <c r="X178" s="934"/>
      <c r="Y178" s="934"/>
      <c r="Z178" s="934"/>
    </row>
    <row r="179" spans="1:26" ht="16.5" customHeight="1">
      <c r="A179" s="1073">
        <v>175</v>
      </c>
      <c r="B179" s="1073" t="s">
        <v>832</v>
      </c>
      <c r="C179" s="1072">
        <v>85.7</v>
      </c>
      <c r="D179" s="1071">
        <f t="shared" si="15"/>
        <v>25.924250000000001</v>
      </c>
      <c r="E179" s="1070">
        <v>4512.5</v>
      </c>
      <c r="F179" s="1069">
        <f t="shared" si="16"/>
        <v>14917.355371900827</v>
      </c>
      <c r="G179" s="1069">
        <f t="shared" si="17"/>
        <v>386721.25</v>
      </c>
      <c r="H179" s="1068">
        <f>C608</f>
        <v>91.6</v>
      </c>
      <c r="I179" s="1040"/>
      <c r="J179" s="1040"/>
      <c r="K179" s="1023"/>
      <c r="L179" s="1023"/>
      <c r="M179" s="1023"/>
      <c r="N179" s="1023"/>
      <c r="O179" s="1023"/>
      <c r="P179" s="1023"/>
      <c r="Q179" s="1023"/>
      <c r="R179" s="1023"/>
      <c r="S179" s="1023"/>
      <c r="T179" s="934"/>
      <c r="U179" s="934"/>
      <c r="V179" s="934"/>
      <c r="W179" s="934"/>
      <c r="X179" s="934"/>
      <c r="Y179" s="934"/>
      <c r="Z179" s="934"/>
    </row>
    <row r="180" spans="1:26" ht="16.5" customHeight="1">
      <c r="A180" s="1073">
        <v>176</v>
      </c>
      <c r="B180" s="1073" t="s">
        <v>833</v>
      </c>
      <c r="C180" s="1072">
        <v>89.4</v>
      </c>
      <c r="D180" s="1071">
        <f t="shared" si="15"/>
        <v>27.043500000000002</v>
      </c>
      <c r="E180" s="1070">
        <v>4512.5</v>
      </c>
      <c r="F180" s="1069">
        <f t="shared" si="16"/>
        <v>14917.355371900827</v>
      </c>
      <c r="G180" s="1069">
        <f t="shared" si="17"/>
        <v>403417.5</v>
      </c>
      <c r="H180" s="1068" t="e">
        <f>#REF!</f>
        <v>#REF!</v>
      </c>
      <c r="I180" s="1040"/>
      <c r="J180" s="1040"/>
      <c r="K180" s="1023"/>
      <c r="L180" s="1023"/>
      <c r="M180" s="1023"/>
      <c r="N180" s="1023"/>
      <c r="O180" s="1023"/>
      <c r="P180" s="1023"/>
      <c r="Q180" s="1023"/>
      <c r="R180" s="1023"/>
      <c r="S180" s="1023"/>
      <c r="T180" s="934"/>
      <c r="U180" s="934"/>
      <c r="V180" s="934"/>
      <c r="W180" s="934"/>
      <c r="X180" s="934"/>
      <c r="Y180" s="934"/>
      <c r="Z180" s="934"/>
    </row>
    <row r="181" spans="1:26" ht="16.5" customHeight="1">
      <c r="A181" s="1073">
        <v>177</v>
      </c>
      <c r="B181" s="1073" t="s">
        <v>834</v>
      </c>
      <c r="C181" s="1072">
        <v>87.4</v>
      </c>
      <c r="D181" s="1071">
        <f t="shared" si="15"/>
        <v>26.438500000000001</v>
      </c>
      <c r="E181" s="1070">
        <v>4512.5</v>
      </c>
      <c r="F181" s="1069">
        <f t="shared" si="16"/>
        <v>14917.355371900827</v>
      </c>
      <c r="G181" s="1069">
        <f t="shared" si="17"/>
        <v>394392.5</v>
      </c>
      <c r="H181" s="1068">
        <f>C619</f>
        <v>88.4</v>
      </c>
      <c r="I181" s="1040"/>
      <c r="J181" s="1040"/>
      <c r="K181" s="1023"/>
      <c r="L181" s="1023"/>
      <c r="M181" s="1023"/>
      <c r="N181" s="1023"/>
      <c r="O181" s="1023"/>
      <c r="P181" s="1023"/>
      <c r="Q181" s="1023"/>
      <c r="R181" s="1023"/>
      <c r="S181" s="1023"/>
      <c r="T181" s="934"/>
      <c r="U181" s="934"/>
      <c r="V181" s="934"/>
      <c r="W181" s="934"/>
      <c r="X181" s="934"/>
      <c r="Y181" s="934"/>
      <c r="Z181" s="934"/>
    </row>
    <row r="182" spans="1:26" ht="16.5" customHeight="1">
      <c r="A182" s="1073">
        <v>178</v>
      </c>
      <c r="B182" s="1073" t="s">
        <v>835</v>
      </c>
      <c r="C182" s="1072">
        <v>90.2</v>
      </c>
      <c r="D182" s="1071">
        <f t="shared" si="15"/>
        <v>27.285499999999999</v>
      </c>
      <c r="E182" s="1070">
        <v>4512.5</v>
      </c>
      <c r="F182" s="1069">
        <f t="shared" si="16"/>
        <v>14917.355371900827</v>
      </c>
      <c r="G182" s="1069">
        <f t="shared" si="17"/>
        <v>407027.5</v>
      </c>
      <c r="H182" s="1068">
        <f>C620</f>
        <v>88.2</v>
      </c>
      <c r="I182" s="1040"/>
      <c r="J182" s="1040"/>
      <c r="K182" s="1023"/>
      <c r="L182" s="1023"/>
      <c r="M182" s="1023"/>
      <c r="N182" s="1023"/>
      <c r="O182" s="1023"/>
      <c r="P182" s="1023"/>
      <c r="Q182" s="1023"/>
      <c r="R182" s="1023"/>
      <c r="S182" s="1023"/>
      <c r="T182" s="934"/>
      <c r="U182" s="934"/>
      <c r="V182" s="934"/>
      <c r="W182" s="934"/>
      <c r="X182" s="934"/>
      <c r="Y182" s="934"/>
      <c r="Z182" s="934"/>
    </row>
    <row r="183" spans="1:26" ht="16.5" customHeight="1">
      <c r="A183" s="1073">
        <v>179</v>
      </c>
      <c r="B183" s="1073" t="s">
        <v>836</v>
      </c>
      <c r="C183" s="1072">
        <v>85.1</v>
      </c>
      <c r="D183" s="1071">
        <f t="shared" si="15"/>
        <v>25.742749999999997</v>
      </c>
      <c r="E183" s="1070">
        <v>8275</v>
      </c>
      <c r="F183" s="1069">
        <f t="shared" si="16"/>
        <v>27355.371900826449</v>
      </c>
      <c r="G183" s="1069">
        <f t="shared" si="17"/>
        <v>704202.5</v>
      </c>
      <c r="H183" s="1068">
        <f>C621</f>
        <v>88.2</v>
      </c>
      <c r="I183" s="1040"/>
      <c r="J183" s="1040"/>
      <c r="K183" s="1023"/>
      <c r="L183" s="1023"/>
      <c r="M183" s="1023"/>
      <c r="N183" s="1023"/>
      <c r="O183" s="1023"/>
      <c r="P183" s="1023"/>
      <c r="Q183" s="1023"/>
      <c r="R183" s="1023"/>
      <c r="S183" s="1023"/>
      <c r="T183" s="934"/>
      <c r="U183" s="934"/>
      <c r="V183" s="934"/>
      <c r="W183" s="934"/>
      <c r="X183" s="934"/>
      <c r="Y183" s="934"/>
      <c r="Z183" s="934"/>
    </row>
    <row r="184" spans="1:26" ht="16.5" customHeight="1">
      <c r="A184" s="1073">
        <v>180</v>
      </c>
      <c r="B184" s="1073" t="s">
        <v>837</v>
      </c>
      <c r="C184" s="1072">
        <v>88.3</v>
      </c>
      <c r="D184" s="1071">
        <f t="shared" si="15"/>
        <v>26.710749999999997</v>
      </c>
      <c r="E184" s="1070">
        <v>8797.5</v>
      </c>
      <c r="F184" s="1069">
        <f t="shared" si="16"/>
        <v>29082.644628099173</v>
      </c>
      <c r="G184" s="1069">
        <f t="shared" si="17"/>
        <v>776819.25</v>
      </c>
      <c r="H184" s="1068">
        <f>C613</f>
        <v>88.8</v>
      </c>
      <c r="I184" s="1040"/>
      <c r="J184" s="1040"/>
      <c r="K184" s="1023"/>
      <c r="L184" s="1023"/>
      <c r="M184" s="1023"/>
      <c r="N184" s="1023"/>
      <c r="O184" s="1023"/>
      <c r="P184" s="1023"/>
      <c r="Q184" s="1023"/>
      <c r="R184" s="1023"/>
      <c r="S184" s="1023"/>
      <c r="T184" s="934"/>
      <c r="U184" s="934"/>
      <c r="V184" s="934"/>
      <c r="W184" s="934"/>
      <c r="X184" s="934"/>
      <c r="Y184" s="934"/>
      <c r="Z184" s="934"/>
    </row>
    <row r="185" spans="1:26" ht="16.5" customHeight="1">
      <c r="A185" s="1073">
        <v>181</v>
      </c>
      <c r="B185" s="1073" t="s">
        <v>838</v>
      </c>
      <c r="C185" s="1072">
        <v>84.7</v>
      </c>
      <c r="D185" s="1071">
        <f t="shared" si="15"/>
        <v>25.621749999999999</v>
      </c>
      <c r="E185" s="1070">
        <v>8625</v>
      </c>
      <c r="F185" s="1069">
        <f t="shared" si="16"/>
        <v>28512.396694214876</v>
      </c>
      <c r="G185" s="1069">
        <f t="shared" si="17"/>
        <v>730537.5</v>
      </c>
      <c r="H185" s="1068">
        <f>C623</f>
        <v>89.9</v>
      </c>
      <c r="I185" s="1040"/>
      <c r="J185" s="1040"/>
      <c r="K185" s="1023"/>
      <c r="L185" s="1023"/>
      <c r="M185" s="1023"/>
      <c r="N185" s="1023"/>
      <c r="O185" s="1023"/>
      <c r="P185" s="1023"/>
      <c r="Q185" s="1023"/>
      <c r="R185" s="1023"/>
      <c r="S185" s="1023"/>
      <c r="T185" s="934"/>
      <c r="U185" s="934"/>
      <c r="V185" s="934"/>
      <c r="W185" s="934"/>
      <c r="X185" s="934"/>
      <c r="Y185" s="934"/>
      <c r="Z185" s="934"/>
    </row>
    <row r="186" spans="1:26" ht="16.5" customHeight="1">
      <c r="A186" s="1073">
        <v>182</v>
      </c>
      <c r="B186" s="1073" t="s">
        <v>839</v>
      </c>
      <c r="C186" s="1072">
        <v>89.8</v>
      </c>
      <c r="D186" s="1071">
        <f t="shared" si="15"/>
        <v>27.164499999999997</v>
      </c>
      <c r="E186" s="1070">
        <v>8625</v>
      </c>
      <c r="F186" s="1069">
        <f t="shared" si="16"/>
        <v>28512.396694214876</v>
      </c>
      <c r="G186" s="1069">
        <f t="shared" si="17"/>
        <v>774525</v>
      </c>
      <c r="H186" s="1068">
        <f>C624</f>
        <v>92.6</v>
      </c>
      <c r="I186" s="1040"/>
      <c r="J186" s="1040"/>
      <c r="K186" s="1023"/>
      <c r="L186" s="1023"/>
      <c r="M186" s="1023"/>
      <c r="N186" s="1023"/>
      <c r="O186" s="1023"/>
      <c r="P186" s="1023"/>
      <c r="Q186" s="1023"/>
      <c r="R186" s="1023"/>
      <c r="S186" s="1023"/>
      <c r="T186" s="934"/>
      <c r="U186" s="934"/>
      <c r="V186" s="934"/>
      <c r="W186" s="934"/>
      <c r="X186" s="934"/>
      <c r="Y186" s="934"/>
      <c r="Z186" s="934"/>
    </row>
    <row r="187" spans="1:26" ht="16.5" customHeight="1">
      <c r="A187" s="1073">
        <v>183</v>
      </c>
      <c r="B187" s="1073" t="s">
        <v>840</v>
      </c>
      <c r="C187" s="1072">
        <v>92.1</v>
      </c>
      <c r="D187" s="1071">
        <f t="shared" si="15"/>
        <v>27.860249999999997</v>
      </c>
      <c r="E187" s="1070">
        <v>8625</v>
      </c>
      <c r="F187" s="1069">
        <f t="shared" si="16"/>
        <v>28512.396694214876</v>
      </c>
      <c r="G187" s="1069">
        <f t="shared" si="17"/>
        <v>794362.5</v>
      </c>
      <c r="H187" s="1068">
        <f>C625</f>
        <v>88</v>
      </c>
      <c r="I187" s="1040"/>
      <c r="J187" s="1040"/>
      <c r="K187" s="1023"/>
      <c r="L187" s="1023"/>
      <c r="M187" s="1023"/>
      <c r="N187" s="1023"/>
      <c r="O187" s="1023"/>
      <c r="P187" s="1023"/>
      <c r="Q187" s="1023"/>
      <c r="R187" s="1023"/>
      <c r="S187" s="1023"/>
      <c r="T187" s="934"/>
      <c r="U187" s="934"/>
      <c r="V187" s="934"/>
      <c r="W187" s="934"/>
      <c r="X187" s="934"/>
      <c r="Y187" s="934"/>
      <c r="Z187" s="934"/>
    </row>
    <row r="188" spans="1:26" ht="16.5" customHeight="1">
      <c r="A188" s="1073">
        <v>184</v>
      </c>
      <c r="B188" s="1073" t="s">
        <v>841</v>
      </c>
      <c r="C188" s="1072">
        <v>87.6</v>
      </c>
      <c r="D188" s="1071">
        <f t="shared" si="15"/>
        <v>26.498999999999999</v>
      </c>
      <c r="E188" s="1070">
        <v>8625</v>
      </c>
      <c r="F188" s="1069">
        <f t="shared" si="16"/>
        <v>28512.396694214876</v>
      </c>
      <c r="G188" s="1069">
        <f t="shared" si="17"/>
        <v>755550</v>
      </c>
      <c r="H188" s="1068">
        <f>C626</f>
        <v>90.6</v>
      </c>
      <c r="I188" s="1040"/>
      <c r="J188" s="1040"/>
      <c r="K188" s="1023"/>
      <c r="L188" s="1023"/>
      <c r="M188" s="1023"/>
      <c r="N188" s="1023"/>
      <c r="O188" s="1023"/>
      <c r="P188" s="1023"/>
      <c r="Q188" s="1023"/>
      <c r="R188" s="1023"/>
      <c r="S188" s="1023"/>
      <c r="T188" s="934"/>
      <c r="U188" s="934"/>
      <c r="V188" s="934"/>
      <c r="W188" s="934"/>
      <c r="X188" s="934"/>
      <c r="Y188" s="934"/>
      <c r="Z188" s="934"/>
    </row>
    <row r="189" spans="1:26" ht="16.5" customHeight="1">
      <c r="A189" s="1073">
        <v>185</v>
      </c>
      <c r="B189" s="1073" t="s">
        <v>842</v>
      </c>
      <c r="C189" s="1072">
        <v>92</v>
      </c>
      <c r="D189" s="1071">
        <f t="shared" si="15"/>
        <v>27.83</v>
      </c>
      <c r="E189" s="1070">
        <v>8625</v>
      </c>
      <c r="F189" s="1069">
        <f t="shared" si="16"/>
        <v>28512.396694214876</v>
      </c>
      <c r="G189" s="1069">
        <f t="shared" si="17"/>
        <v>793500</v>
      </c>
      <c r="H189" s="1068">
        <f>C618</f>
        <v>331.2</v>
      </c>
      <c r="I189" s="1040"/>
      <c r="J189" s="1040"/>
      <c r="K189" s="1023"/>
      <c r="L189" s="1023"/>
      <c r="M189" s="1023"/>
      <c r="N189" s="1023"/>
      <c r="O189" s="1023"/>
      <c r="P189" s="1023"/>
      <c r="Q189" s="1023"/>
      <c r="R189" s="1023"/>
      <c r="S189" s="1023"/>
      <c r="T189" s="934"/>
      <c r="U189" s="934"/>
      <c r="V189" s="934"/>
      <c r="W189" s="934"/>
      <c r="X189" s="934"/>
      <c r="Y189" s="934"/>
      <c r="Z189" s="934"/>
    </row>
    <row r="190" spans="1:26" ht="16.5" customHeight="1">
      <c r="A190" s="1073">
        <v>186</v>
      </c>
      <c r="B190" s="1073" t="s">
        <v>843</v>
      </c>
      <c r="C190" s="1072">
        <v>92.7</v>
      </c>
      <c r="D190" s="1071">
        <f t="shared" si="15"/>
        <v>28.04175</v>
      </c>
      <c r="E190" s="1070">
        <v>8625</v>
      </c>
      <c r="F190" s="1069">
        <f t="shared" si="16"/>
        <v>28512.396694214876</v>
      </c>
      <c r="G190" s="1069">
        <f t="shared" si="17"/>
        <v>799537.5</v>
      </c>
      <c r="H190" s="1068">
        <f>C628</f>
        <v>91.1</v>
      </c>
      <c r="I190" s="1040"/>
      <c r="J190" s="1040"/>
      <c r="K190" s="1023"/>
      <c r="L190" s="1023"/>
      <c r="M190" s="1023"/>
      <c r="N190" s="1023"/>
      <c r="O190" s="1023"/>
      <c r="P190" s="1023"/>
      <c r="Q190" s="1023"/>
      <c r="R190" s="1023"/>
      <c r="S190" s="1023"/>
      <c r="T190" s="934"/>
      <c r="U190" s="934"/>
      <c r="V190" s="934"/>
      <c r="W190" s="934"/>
      <c r="X190" s="934"/>
      <c r="Y190" s="934"/>
      <c r="Z190" s="934"/>
    </row>
    <row r="191" spans="1:26" ht="16.5" customHeight="1">
      <c r="A191" s="1073">
        <v>187</v>
      </c>
      <c r="B191" s="1073" t="s">
        <v>844</v>
      </c>
      <c r="C191" s="1072">
        <v>89.8</v>
      </c>
      <c r="D191" s="1071">
        <f t="shared" si="15"/>
        <v>27.164499999999997</v>
      </c>
      <c r="E191" s="1070">
        <v>8625</v>
      </c>
      <c r="F191" s="1069">
        <f t="shared" si="16"/>
        <v>28512.396694214876</v>
      </c>
      <c r="G191" s="1069">
        <f t="shared" si="17"/>
        <v>774525</v>
      </c>
      <c r="H191" s="1068">
        <f>C629</f>
        <v>94.7</v>
      </c>
      <c r="I191" s="1040"/>
      <c r="J191" s="1040"/>
      <c r="K191" s="1023"/>
      <c r="L191" s="1023"/>
      <c r="M191" s="1023"/>
      <c r="N191" s="1023"/>
      <c r="O191" s="1023"/>
      <c r="P191" s="1023"/>
      <c r="Q191" s="1023"/>
      <c r="R191" s="1023"/>
      <c r="S191" s="1023"/>
      <c r="T191" s="934"/>
      <c r="U191" s="934"/>
      <c r="V191" s="934"/>
      <c r="W191" s="934"/>
      <c r="X191" s="934"/>
      <c r="Y191" s="934"/>
      <c r="Z191" s="934"/>
    </row>
    <row r="192" spans="1:26" ht="16.5" customHeight="1">
      <c r="A192" s="1073">
        <v>188</v>
      </c>
      <c r="B192" s="1073" t="s">
        <v>845</v>
      </c>
      <c r="C192" s="1072">
        <v>90.1</v>
      </c>
      <c r="D192" s="1071">
        <f t="shared" si="15"/>
        <v>27.255249999999997</v>
      </c>
      <c r="E192" s="1070">
        <v>8625</v>
      </c>
      <c r="F192" s="1069">
        <f t="shared" si="16"/>
        <v>28512.396694214876</v>
      </c>
      <c r="G192" s="1069">
        <f t="shared" si="17"/>
        <v>777112.5</v>
      </c>
      <c r="H192" s="1068">
        <f>C630</f>
        <v>91.8</v>
      </c>
      <c r="I192" s="1040"/>
      <c r="J192" s="1040"/>
      <c r="K192" s="1023"/>
      <c r="L192" s="1023"/>
      <c r="M192" s="1023"/>
      <c r="N192" s="1023"/>
      <c r="O192" s="1023"/>
      <c r="P192" s="1023"/>
      <c r="Q192" s="1023"/>
      <c r="R192" s="1023"/>
      <c r="S192" s="1023"/>
      <c r="T192" s="934"/>
      <c r="U192" s="934"/>
      <c r="V192" s="934"/>
      <c r="W192" s="934"/>
      <c r="X192" s="934"/>
      <c r="Y192" s="934"/>
      <c r="Z192" s="934"/>
    </row>
    <row r="193" spans="1:26" ht="16.5" customHeight="1">
      <c r="A193" s="1073">
        <v>189</v>
      </c>
      <c r="B193" s="1073" t="s">
        <v>846</v>
      </c>
      <c r="C193" s="1072">
        <v>91.3</v>
      </c>
      <c r="D193" s="1071">
        <f t="shared" si="15"/>
        <v>27.61825</v>
      </c>
      <c r="E193" s="1070">
        <v>8625</v>
      </c>
      <c r="F193" s="1069">
        <f t="shared" si="16"/>
        <v>28512.396694214876</v>
      </c>
      <c r="G193" s="1069">
        <f t="shared" si="17"/>
        <v>787462.5</v>
      </c>
      <c r="H193" s="1068">
        <f>C631</f>
        <v>96.2</v>
      </c>
      <c r="I193" s="1040"/>
      <c r="J193" s="1040"/>
      <c r="K193" s="1023"/>
      <c r="L193" s="1023"/>
      <c r="M193" s="1023"/>
      <c r="N193" s="1023"/>
      <c r="O193" s="1023"/>
      <c r="P193" s="1023"/>
      <c r="Q193" s="1023"/>
      <c r="R193" s="1023"/>
      <c r="S193" s="1023"/>
      <c r="T193" s="934"/>
      <c r="U193" s="934"/>
      <c r="V193" s="934"/>
      <c r="W193" s="934"/>
      <c r="X193" s="934"/>
      <c r="Y193" s="934"/>
      <c r="Z193" s="934"/>
    </row>
    <row r="194" spans="1:26" ht="16.5" customHeight="1">
      <c r="A194" s="1073">
        <v>190</v>
      </c>
      <c r="B194" s="1073" t="s">
        <v>847</v>
      </c>
      <c r="C194" s="1072">
        <v>91.8</v>
      </c>
      <c r="D194" s="1071">
        <f t="shared" si="15"/>
        <v>27.769499999999997</v>
      </c>
      <c r="E194" s="1070">
        <v>8625</v>
      </c>
      <c r="F194" s="1069">
        <f t="shared" si="16"/>
        <v>28512.396694214876</v>
      </c>
      <c r="G194" s="1069">
        <f t="shared" si="17"/>
        <v>791775</v>
      </c>
      <c r="H194" s="1068" t="e">
        <f>#REF!</f>
        <v>#REF!</v>
      </c>
      <c r="I194" s="1040"/>
      <c r="J194" s="1040"/>
      <c r="K194" s="1023"/>
      <c r="L194" s="1023"/>
      <c r="M194" s="1023"/>
      <c r="N194" s="1023"/>
      <c r="O194" s="1023"/>
      <c r="P194" s="1023"/>
      <c r="Q194" s="1023"/>
      <c r="R194" s="1023"/>
      <c r="S194" s="1023"/>
      <c r="T194" s="934"/>
      <c r="U194" s="934"/>
      <c r="V194" s="934"/>
      <c r="W194" s="934"/>
      <c r="X194" s="934"/>
      <c r="Y194" s="934"/>
      <c r="Z194" s="934"/>
    </row>
    <row r="195" spans="1:26" ht="16.5" customHeight="1">
      <c r="A195" s="1073">
        <v>191</v>
      </c>
      <c r="B195" s="1073" t="s">
        <v>848</v>
      </c>
      <c r="C195" s="1072">
        <v>91.5</v>
      </c>
      <c r="D195" s="1071">
        <f t="shared" si="15"/>
        <v>27.678750000000001</v>
      </c>
      <c r="E195" s="1070">
        <v>8625</v>
      </c>
      <c r="F195" s="1069">
        <f t="shared" si="16"/>
        <v>28512.396694214876</v>
      </c>
      <c r="G195" s="1069">
        <f t="shared" si="17"/>
        <v>789187.5</v>
      </c>
      <c r="H195" s="1068">
        <f>C633</f>
        <v>89.8</v>
      </c>
      <c r="I195" s="1040"/>
      <c r="J195" s="1040"/>
      <c r="K195" s="1023"/>
      <c r="L195" s="1023"/>
      <c r="M195" s="1023"/>
      <c r="N195" s="1023"/>
      <c r="O195" s="1023"/>
      <c r="P195" s="1023"/>
      <c r="Q195" s="1023"/>
      <c r="R195" s="1023"/>
      <c r="S195" s="1023"/>
      <c r="T195" s="934"/>
      <c r="U195" s="934"/>
      <c r="V195" s="934"/>
      <c r="W195" s="934"/>
      <c r="X195" s="934"/>
      <c r="Y195" s="934"/>
      <c r="Z195" s="934"/>
    </row>
    <row r="196" spans="1:26" ht="16.5" customHeight="1">
      <c r="A196" s="1073">
        <v>192</v>
      </c>
      <c r="B196" s="1073" t="s">
        <v>849</v>
      </c>
      <c r="C196" s="1072">
        <v>92.2</v>
      </c>
      <c r="D196" s="1071">
        <f t="shared" si="15"/>
        <v>27.890499999999999</v>
      </c>
      <c r="E196" s="1070">
        <v>8625</v>
      </c>
      <c r="F196" s="1069">
        <f t="shared" si="16"/>
        <v>28512.396694214876</v>
      </c>
      <c r="G196" s="1069">
        <f t="shared" si="17"/>
        <v>795225</v>
      </c>
      <c r="H196" s="1068">
        <f>C634</f>
        <v>91.2</v>
      </c>
      <c r="I196" s="1040"/>
      <c r="J196" s="1040"/>
      <c r="K196" s="1023"/>
      <c r="L196" s="1023"/>
      <c r="M196" s="1023"/>
      <c r="N196" s="1023"/>
      <c r="O196" s="1023"/>
      <c r="P196" s="1023"/>
      <c r="Q196" s="1023"/>
      <c r="R196" s="1023"/>
      <c r="S196" s="1023"/>
      <c r="T196" s="934"/>
      <c r="U196" s="934"/>
      <c r="V196" s="934"/>
      <c r="W196" s="934"/>
      <c r="X196" s="934"/>
      <c r="Y196" s="934"/>
      <c r="Z196" s="934"/>
    </row>
    <row r="197" spans="1:26" ht="16.5" customHeight="1">
      <c r="A197" s="1073">
        <v>193</v>
      </c>
      <c r="B197" s="1073" t="s">
        <v>850</v>
      </c>
      <c r="C197" s="1072">
        <v>89.8</v>
      </c>
      <c r="D197" s="1071">
        <f t="shared" ref="D197:D260" si="20">C197*0.3025</f>
        <v>27.164499999999997</v>
      </c>
      <c r="E197" s="1070">
        <v>8625</v>
      </c>
      <c r="F197" s="1069">
        <f t="shared" ref="F197:F260" si="21">E197/0.3025</f>
        <v>28512.396694214876</v>
      </c>
      <c r="G197" s="1069">
        <f t="shared" ref="G197:G260" si="22">C197*E197</f>
        <v>774525</v>
      </c>
      <c r="H197" s="1068" t="e">
        <f>#REF!</f>
        <v>#REF!</v>
      </c>
      <c r="I197" s="1040"/>
      <c r="J197" s="1040"/>
      <c r="K197" s="1023"/>
      <c r="L197" s="1023"/>
      <c r="M197" s="1023"/>
      <c r="N197" s="1023"/>
      <c r="O197" s="1023"/>
      <c r="P197" s="1023"/>
      <c r="Q197" s="1023"/>
      <c r="R197" s="1023"/>
      <c r="S197" s="1023"/>
      <c r="T197" s="934"/>
      <c r="U197" s="934"/>
      <c r="V197" s="934"/>
      <c r="W197" s="934"/>
      <c r="X197" s="934"/>
      <c r="Y197" s="934"/>
      <c r="Z197" s="934"/>
    </row>
    <row r="198" spans="1:26" ht="16.5" customHeight="1">
      <c r="A198" s="1073">
        <v>194</v>
      </c>
      <c r="B198" s="1073" t="s">
        <v>851</v>
      </c>
      <c r="C198" s="1072">
        <v>94</v>
      </c>
      <c r="D198" s="1071">
        <f t="shared" si="20"/>
        <v>28.434999999999999</v>
      </c>
      <c r="E198" s="1070">
        <v>8797.5</v>
      </c>
      <c r="F198" s="1069">
        <f t="shared" si="21"/>
        <v>29082.644628099173</v>
      </c>
      <c r="G198" s="1069">
        <f t="shared" si="22"/>
        <v>826965</v>
      </c>
      <c r="H198" s="1068" t="e">
        <f>#REF!</f>
        <v>#REF!</v>
      </c>
      <c r="I198" s="1040"/>
      <c r="J198" s="1040"/>
      <c r="K198" s="1023"/>
      <c r="L198" s="1023"/>
      <c r="M198" s="1023"/>
      <c r="N198" s="1023"/>
      <c r="O198" s="1023"/>
      <c r="P198" s="1023"/>
      <c r="Q198" s="1023"/>
      <c r="R198" s="1023"/>
      <c r="S198" s="1023"/>
      <c r="T198" s="934"/>
      <c r="U198" s="934"/>
      <c r="V198" s="934"/>
      <c r="W198" s="934"/>
      <c r="X198" s="934"/>
      <c r="Y198" s="934"/>
      <c r="Z198" s="934"/>
    </row>
    <row r="199" spans="1:26" ht="16.5" customHeight="1">
      <c r="A199" s="1073">
        <v>195</v>
      </c>
      <c r="B199" s="1073" t="s">
        <v>852</v>
      </c>
      <c r="C199" s="1072">
        <v>87.4</v>
      </c>
      <c r="D199" s="1071">
        <f t="shared" si="20"/>
        <v>26.438500000000001</v>
      </c>
      <c r="E199" s="1070">
        <v>8275</v>
      </c>
      <c r="F199" s="1069">
        <f t="shared" si="21"/>
        <v>27355.371900826449</v>
      </c>
      <c r="G199" s="1069">
        <f t="shared" si="22"/>
        <v>723235</v>
      </c>
      <c r="H199" s="1068">
        <f>C623</f>
        <v>89.9</v>
      </c>
      <c r="I199" s="1040"/>
      <c r="J199" s="1040"/>
      <c r="K199" s="1023"/>
      <c r="L199" s="1023"/>
      <c r="M199" s="1023"/>
      <c r="N199" s="1023"/>
      <c r="O199" s="1023"/>
      <c r="P199" s="1023"/>
      <c r="Q199" s="1023"/>
      <c r="R199" s="1023"/>
      <c r="S199" s="1023"/>
      <c r="T199" s="934"/>
      <c r="U199" s="934"/>
      <c r="V199" s="934"/>
      <c r="W199" s="934"/>
      <c r="X199" s="934"/>
      <c r="Y199" s="934"/>
      <c r="Z199" s="934"/>
    </row>
    <row r="200" spans="1:26" ht="16.5" customHeight="1">
      <c r="A200" s="1073">
        <v>196</v>
      </c>
      <c r="B200" s="1073" t="s">
        <v>853</v>
      </c>
      <c r="C200" s="1072">
        <v>88.4</v>
      </c>
      <c r="D200" s="1071">
        <f t="shared" si="20"/>
        <v>26.741</v>
      </c>
      <c r="E200" s="1070">
        <v>4512.5</v>
      </c>
      <c r="F200" s="1069">
        <f t="shared" si="21"/>
        <v>14917.355371900827</v>
      </c>
      <c r="G200" s="1069">
        <f t="shared" si="22"/>
        <v>398905</v>
      </c>
      <c r="H200" s="1068" t="e">
        <f>#REF!</f>
        <v>#REF!</v>
      </c>
      <c r="I200" s="1040"/>
      <c r="J200" s="1040"/>
      <c r="K200" s="1023"/>
      <c r="L200" s="1023"/>
      <c r="M200" s="1023"/>
      <c r="N200" s="1023"/>
      <c r="O200" s="1023"/>
      <c r="P200" s="1023"/>
      <c r="Q200" s="1023"/>
      <c r="R200" s="1023"/>
      <c r="S200" s="1023"/>
      <c r="T200" s="934"/>
      <c r="U200" s="934"/>
      <c r="V200" s="934"/>
      <c r="W200" s="934"/>
      <c r="X200" s="934"/>
      <c r="Y200" s="934"/>
      <c r="Z200" s="934"/>
    </row>
    <row r="201" spans="1:26" ht="16.5" customHeight="1">
      <c r="A201" s="1073">
        <v>197</v>
      </c>
      <c r="B201" s="1073" t="s">
        <v>854</v>
      </c>
      <c r="C201" s="1072">
        <v>88.9</v>
      </c>
      <c r="D201" s="1071">
        <f t="shared" si="20"/>
        <v>26.892250000000001</v>
      </c>
      <c r="E201" s="1070">
        <v>4512.5</v>
      </c>
      <c r="F201" s="1069">
        <f t="shared" si="21"/>
        <v>14917.355371900827</v>
      </c>
      <c r="G201" s="1069">
        <f t="shared" si="22"/>
        <v>401161.25</v>
      </c>
      <c r="H201" s="1068" t="e">
        <f>#REF!</f>
        <v>#REF!</v>
      </c>
      <c r="I201" s="1040"/>
      <c r="J201" s="1040"/>
      <c r="K201" s="1023"/>
      <c r="L201" s="1023"/>
      <c r="M201" s="1023"/>
      <c r="N201" s="1023"/>
      <c r="O201" s="1023"/>
      <c r="P201" s="1023"/>
      <c r="Q201" s="1023"/>
      <c r="R201" s="1023"/>
      <c r="S201" s="1023"/>
      <c r="T201" s="934"/>
      <c r="U201" s="934"/>
      <c r="V201" s="934"/>
      <c r="W201" s="934"/>
      <c r="X201" s="934"/>
      <c r="Y201" s="934"/>
      <c r="Z201" s="934"/>
    </row>
    <row r="202" spans="1:26" ht="16.5" customHeight="1">
      <c r="A202" s="1073">
        <v>198</v>
      </c>
      <c r="B202" s="1073" t="s">
        <v>855</v>
      </c>
      <c r="C202" s="1072">
        <v>89.8</v>
      </c>
      <c r="D202" s="1071">
        <f t="shared" si="20"/>
        <v>27.164499999999997</v>
      </c>
      <c r="E202" s="1070">
        <v>4512.5</v>
      </c>
      <c r="F202" s="1069">
        <f t="shared" si="21"/>
        <v>14917.355371900827</v>
      </c>
      <c r="G202" s="1069">
        <f t="shared" si="22"/>
        <v>405222.5</v>
      </c>
      <c r="H202" s="1068">
        <f>C635</f>
        <v>495.6</v>
      </c>
      <c r="I202" s="1040"/>
      <c r="J202" s="1040"/>
      <c r="K202" s="1023"/>
      <c r="L202" s="1023"/>
      <c r="M202" s="1023"/>
      <c r="N202" s="1023"/>
      <c r="O202" s="1023"/>
      <c r="P202" s="1023"/>
      <c r="Q202" s="1023"/>
      <c r="R202" s="1023"/>
      <c r="S202" s="1023"/>
      <c r="T202" s="934"/>
      <c r="U202" s="934"/>
      <c r="V202" s="934"/>
      <c r="W202" s="934"/>
      <c r="X202" s="934"/>
      <c r="Y202" s="934"/>
      <c r="Z202" s="934"/>
    </row>
    <row r="203" spans="1:26" ht="16.5" customHeight="1">
      <c r="A203" s="1073">
        <v>199</v>
      </c>
      <c r="B203" s="1073" t="s">
        <v>856</v>
      </c>
      <c r="C203" s="1072">
        <v>87.2</v>
      </c>
      <c r="D203" s="1071">
        <f t="shared" si="20"/>
        <v>26.378</v>
      </c>
      <c r="E203" s="1070">
        <v>4512.5</v>
      </c>
      <c r="F203" s="1069">
        <f t="shared" si="21"/>
        <v>14917.355371900827</v>
      </c>
      <c r="G203" s="1069">
        <f t="shared" si="22"/>
        <v>393490</v>
      </c>
      <c r="H203" s="1068" t="e">
        <f>#REF!</f>
        <v>#REF!</v>
      </c>
      <c r="I203" s="1040"/>
      <c r="J203" s="1040"/>
      <c r="K203" s="1023"/>
      <c r="L203" s="1023"/>
      <c r="M203" s="1023"/>
      <c r="N203" s="1023"/>
      <c r="O203" s="1023"/>
      <c r="P203" s="1023"/>
      <c r="Q203" s="1023"/>
      <c r="R203" s="1023"/>
      <c r="S203" s="1023"/>
      <c r="T203" s="934"/>
      <c r="U203" s="934"/>
      <c r="V203" s="934"/>
      <c r="W203" s="934"/>
      <c r="X203" s="934"/>
      <c r="Y203" s="934"/>
      <c r="Z203" s="934"/>
    </row>
    <row r="204" spans="1:26" ht="16.5" customHeight="1">
      <c r="A204" s="1073">
        <v>200</v>
      </c>
      <c r="B204" s="1073" t="s">
        <v>857</v>
      </c>
      <c r="C204" s="1072">
        <v>87.5</v>
      </c>
      <c r="D204" s="1071">
        <f t="shared" si="20"/>
        <v>26.46875</v>
      </c>
      <c r="E204" s="1070">
        <v>4512.5</v>
      </c>
      <c r="F204" s="1069">
        <f t="shared" si="21"/>
        <v>14917.355371900827</v>
      </c>
      <c r="G204" s="1069">
        <f t="shared" si="22"/>
        <v>394843.75</v>
      </c>
      <c r="H204" s="1068">
        <f>C628</f>
        <v>91.1</v>
      </c>
      <c r="I204" s="1040"/>
      <c r="J204" s="1040"/>
      <c r="K204" s="1023"/>
      <c r="L204" s="1023"/>
      <c r="M204" s="1023"/>
      <c r="N204" s="1023"/>
      <c r="O204" s="1023"/>
      <c r="P204" s="1023"/>
      <c r="Q204" s="1023"/>
      <c r="R204" s="1023"/>
      <c r="S204" s="1023"/>
      <c r="T204" s="934"/>
      <c r="U204" s="934"/>
      <c r="V204" s="934"/>
      <c r="W204" s="934"/>
      <c r="X204" s="934"/>
      <c r="Y204" s="934"/>
      <c r="Z204" s="934"/>
    </row>
    <row r="205" spans="1:26" ht="16.5" customHeight="1">
      <c r="A205" s="1073">
        <v>201</v>
      </c>
      <c r="B205" s="1073" t="s">
        <v>858</v>
      </c>
      <c r="C205" s="1072">
        <v>89.9</v>
      </c>
      <c r="D205" s="1071">
        <f t="shared" si="20"/>
        <v>27.194750000000003</v>
      </c>
      <c r="E205" s="1070">
        <v>4512.5</v>
      </c>
      <c r="F205" s="1069">
        <f t="shared" si="21"/>
        <v>14917.355371900827</v>
      </c>
      <c r="G205" s="1069">
        <f t="shared" si="22"/>
        <v>405673.75</v>
      </c>
      <c r="H205" s="1068" t="e">
        <f>#REF!</f>
        <v>#REF!</v>
      </c>
      <c r="I205" s="1040"/>
      <c r="J205" s="1040"/>
      <c r="K205" s="1023"/>
      <c r="L205" s="1023"/>
      <c r="M205" s="1023"/>
      <c r="N205" s="1023"/>
      <c r="O205" s="1023"/>
      <c r="P205" s="1023"/>
      <c r="Q205" s="1023"/>
      <c r="R205" s="1023"/>
      <c r="S205" s="1023"/>
      <c r="T205" s="934"/>
      <c r="U205" s="934"/>
      <c r="V205" s="934"/>
      <c r="W205" s="934"/>
      <c r="X205" s="934"/>
      <c r="Y205" s="934"/>
      <c r="Z205" s="934"/>
    </row>
    <row r="206" spans="1:26" ht="16.5" customHeight="1">
      <c r="A206" s="1073">
        <v>202</v>
      </c>
      <c r="B206" s="1073" t="s">
        <v>859</v>
      </c>
      <c r="C206" s="1072">
        <v>87.5</v>
      </c>
      <c r="D206" s="1071">
        <f t="shared" si="20"/>
        <v>26.46875</v>
      </c>
      <c r="E206" s="1070">
        <v>4512.5</v>
      </c>
      <c r="F206" s="1069">
        <f t="shared" si="21"/>
        <v>14917.355371900827</v>
      </c>
      <c r="G206" s="1069">
        <f t="shared" si="22"/>
        <v>394843.75</v>
      </c>
      <c r="H206" s="1068" t="e">
        <f>#REF!</f>
        <v>#REF!</v>
      </c>
      <c r="I206" s="1040"/>
      <c r="J206" s="1040"/>
      <c r="K206" s="1023"/>
      <c r="L206" s="1023"/>
      <c r="M206" s="1023"/>
      <c r="N206" s="1023"/>
      <c r="O206" s="1023"/>
      <c r="P206" s="1023"/>
      <c r="Q206" s="1023"/>
      <c r="R206" s="1023"/>
      <c r="S206" s="1023"/>
      <c r="T206" s="934"/>
      <c r="U206" s="934"/>
      <c r="V206" s="934"/>
      <c r="W206" s="934"/>
      <c r="X206" s="934"/>
      <c r="Y206" s="934"/>
      <c r="Z206" s="934"/>
    </row>
    <row r="207" spans="1:26" ht="16.5" customHeight="1">
      <c r="A207" s="1073">
        <v>203</v>
      </c>
      <c r="B207" s="1073" t="s">
        <v>860</v>
      </c>
      <c r="C207" s="1072">
        <v>175.6</v>
      </c>
      <c r="D207" s="1071">
        <f t="shared" si="20"/>
        <v>53.119</v>
      </c>
      <c r="E207" s="1070">
        <v>4512.5</v>
      </c>
      <c r="F207" s="1069">
        <f t="shared" si="21"/>
        <v>14917.355371900827</v>
      </c>
      <c r="G207" s="1069">
        <f t="shared" si="22"/>
        <v>792395</v>
      </c>
      <c r="H207" s="1068" t="e">
        <f>#REF!</f>
        <v>#REF!</v>
      </c>
      <c r="I207" s="1040"/>
      <c r="J207" s="1040"/>
      <c r="K207" s="1023"/>
      <c r="L207" s="1023"/>
      <c r="M207" s="1023"/>
      <c r="N207" s="1023"/>
      <c r="O207" s="1023"/>
      <c r="P207" s="1023"/>
      <c r="Q207" s="1023"/>
      <c r="R207" s="1023"/>
      <c r="S207" s="1023"/>
      <c r="T207" s="934"/>
      <c r="U207" s="934"/>
      <c r="V207" s="934"/>
      <c r="W207" s="934"/>
      <c r="X207" s="934"/>
      <c r="Y207" s="934"/>
      <c r="Z207" s="934"/>
    </row>
    <row r="208" spans="1:26" ht="16.5" customHeight="1">
      <c r="A208" s="1073">
        <v>204</v>
      </c>
      <c r="B208" s="1073" t="s">
        <v>861</v>
      </c>
      <c r="C208" s="1072">
        <v>87.7</v>
      </c>
      <c r="D208" s="1071">
        <f t="shared" si="20"/>
        <v>26.529250000000001</v>
      </c>
      <c r="E208" s="1070">
        <v>4512.5</v>
      </c>
      <c r="F208" s="1069">
        <f t="shared" si="21"/>
        <v>14917.355371900827</v>
      </c>
      <c r="G208" s="1069">
        <f t="shared" si="22"/>
        <v>395746.25</v>
      </c>
      <c r="H208" s="1068">
        <f>C636</f>
        <v>87.7</v>
      </c>
      <c r="I208" s="1040"/>
      <c r="J208" s="1040"/>
      <c r="K208" s="1023"/>
      <c r="L208" s="1023"/>
      <c r="M208" s="1023"/>
      <c r="N208" s="1023"/>
      <c r="O208" s="1023"/>
      <c r="P208" s="1023"/>
      <c r="Q208" s="1023"/>
      <c r="R208" s="1023"/>
      <c r="S208" s="1023"/>
      <c r="T208" s="934"/>
      <c r="U208" s="934"/>
      <c r="V208" s="934"/>
      <c r="W208" s="934"/>
      <c r="X208" s="934"/>
      <c r="Y208" s="934"/>
      <c r="Z208" s="934"/>
    </row>
    <row r="209" spans="1:26" ht="16.5" customHeight="1">
      <c r="A209" s="1073">
        <v>205</v>
      </c>
      <c r="B209" s="1073" t="s">
        <v>862</v>
      </c>
      <c r="C209" s="1072">
        <v>88.3</v>
      </c>
      <c r="D209" s="1071">
        <f t="shared" si="20"/>
        <v>26.710749999999997</v>
      </c>
      <c r="E209" s="1070">
        <v>4512.5</v>
      </c>
      <c r="F209" s="1069">
        <f t="shared" si="21"/>
        <v>14917.355371900827</v>
      </c>
      <c r="G209" s="1069">
        <f t="shared" si="22"/>
        <v>398453.75</v>
      </c>
      <c r="H209" s="1068">
        <f>C633</f>
        <v>89.8</v>
      </c>
      <c r="I209" s="1040"/>
      <c r="J209" s="1040"/>
      <c r="K209" s="1023"/>
      <c r="L209" s="1023"/>
      <c r="M209" s="1023"/>
      <c r="N209" s="1023"/>
      <c r="O209" s="1023"/>
      <c r="P209" s="1023"/>
      <c r="Q209" s="1023"/>
      <c r="R209" s="1023"/>
      <c r="S209" s="1023"/>
      <c r="T209" s="934"/>
      <c r="U209" s="934"/>
      <c r="V209" s="934"/>
      <c r="W209" s="934"/>
      <c r="X209" s="934"/>
      <c r="Y209" s="934"/>
      <c r="Z209" s="934"/>
    </row>
    <row r="210" spans="1:26" ht="16.5" customHeight="1">
      <c r="A210" s="1073">
        <v>206</v>
      </c>
      <c r="B210" s="1073" t="s">
        <v>863</v>
      </c>
      <c r="C210" s="1072">
        <v>86.2</v>
      </c>
      <c r="D210" s="1071">
        <f t="shared" si="20"/>
        <v>26.075500000000002</v>
      </c>
      <c r="E210" s="1070">
        <v>4512.5</v>
      </c>
      <c r="F210" s="1069">
        <f t="shared" si="21"/>
        <v>14917.355371900827</v>
      </c>
      <c r="G210" s="1069">
        <f t="shared" si="22"/>
        <v>388977.5</v>
      </c>
      <c r="H210" s="1068">
        <f>C638</f>
        <v>89.5</v>
      </c>
      <c r="I210" s="1040"/>
      <c r="J210" s="1040"/>
      <c r="K210" s="1023"/>
      <c r="L210" s="1023"/>
      <c r="M210" s="1023"/>
      <c r="N210" s="1023"/>
      <c r="O210" s="1023"/>
      <c r="P210" s="1023"/>
      <c r="Q210" s="1023"/>
      <c r="R210" s="1023"/>
      <c r="S210" s="1023"/>
      <c r="T210" s="934"/>
      <c r="U210" s="934"/>
      <c r="V210" s="934"/>
      <c r="W210" s="934"/>
      <c r="X210" s="934"/>
      <c r="Y210" s="934"/>
      <c r="Z210" s="934"/>
    </row>
    <row r="211" spans="1:26" ht="16.5" customHeight="1">
      <c r="A211" s="1073">
        <v>207</v>
      </c>
      <c r="B211" s="1073" t="s">
        <v>864</v>
      </c>
      <c r="C211" s="1072">
        <v>85.1</v>
      </c>
      <c r="D211" s="1071">
        <f t="shared" si="20"/>
        <v>25.742749999999997</v>
      </c>
      <c r="E211" s="1070">
        <v>4512.5</v>
      </c>
      <c r="F211" s="1069">
        <f t="shared" si="21"/>
        <v>14917.355371900827</v>
      </c>
      <c r="G211" s="1069">
        <f t="shared" si="22"/>
        <v>384013.75</v>
      </c>
      <c r="H211" s="1068">
        <f>C639</f>
        <v>89.6</v>
      </c>
      <c r="I211" s="1040"/>
      <c r="J211" s="1040"/>
      <c r="K211" s="1023"/>
      <c r="L211" s="1023"/>
      <c r="M211" s="1023"/>
      <c r="N211" s="1023"/>
      <c r="O211" s="1023"/>
      <c r="P211" s="1023"/>
      <c r="Q211" s="1023"/>
      <c r="R211" s="1023"/>
      <c r="S211" s="1023"/>
      <c r="T211" s="934"/>
      <c r="U211" s="934"/>
      <c r="V211" s="934"/>
      <c r="W211" s="934"/>
      <c r="X211" s="934"/>
      <c r="Y211" s="934"/>
      <c r="Z211" s="934"/>
    </row>
    <row r="212" spans="1:26" ht="16.5" customHeight="1">
      <c r="A212" s="1073">
        <v>208</v>
      </c>
      <c r="B212" s="1073" t="s">
        <v>865</v>
      </c>
      <c r="C212" s="1072">
        <v>93.8</v>
      </c>
      <c r="D212" s="1071">
        <f t="shared" si="20"/>
        <v>28.374499999999998</v>
      </c>
      <c r="E212" s="1070">
        <v>8650</v>
      </c>
      <c r="F212" s="1069">
        <f t="shared" si="21"/>
        <v>28595.041322314049</v>
      </c>
      <c r="G212" s="1069">
        <f t="shared" si="22"/>
        <v>811370</v>
      </c>
      <c r="H212" s="1068">
        <f>C640</f>
        <v>88.9</v>
      </c>
      <c r="I212" s="1040"/>
      <c r="J212" s="1040"/>
      <c r="K212" s="1023"/>
      <c r="L212" s="1023"/>
      <c r="M212" s="1023"/>
      <c r="N212" s="1023"/>
      <c r="O212" s="1023"/>
      <c r="P212" s="1023"/>
      <c r="Q212" s="1023"/>
      <c r="R212" s="1023"/>
      <c r="S212" s="1023"/>
      <c r="T212" s="934"/>
      <c r="U212" s="934"/>
      <c r="V212" s="934"/>
      <c r="W212" s="934"/>
      <c r="X212" s="934"/>
      <c r="Y212" s="934"/>
      <c r="Z212" s="934"/>
    </row>
    <row r="213" spans="1:26" ht="16.5" customHeight="1">
      <c r="A213" s="1073">
        <v>209</v>
      </c>
      <c r="B213" s="1073" t="s">
        <v>866</v>
      </c>
      <c r="C213" s="1072">
        <v>93.5</v>
      </c>
      <c r="D213" s="1071">
        <f t="shared" si="20"/>
        <v>28.283749999999998</v>
      </c>
      <c r="E213" s="1070">
        <v>8650</v>
      </c>
      <c r="F213" s="1069">
        <f t="shared" si="21"/>
        <v>28595.041322314049</v>
      </c>
      <c r="G213" s="1069">
        <f t="shared" si="22"/>
        <v>808775</v>
      </c>
      <c r="H213" s="1068">
        <f>C641</f>
        <v>89.2</v>
      </c>
      <c r="I213" s="1040"/>
      <c r="J213" s="1040"/>
      <c r="K213" s="1023"/>
      <c r="L213" s="1023"/>
      <c r="M213" s="1023"/>
      <c r="N213" s="1023"/>
      <c r="O213" s="1023"/>
      <c r="P213" s="1023"/>
      <c r="Q213" s="1023"/>
      <c r="R213" s="1023"/>
      <c r="S213" s="1023"/>
      <c r="T213" s="934"/>
      <c r="U213" s="934"/>
      <c r="V213" s="934"/>
      <c r="W213" s="934"/>
      <c r="X213" s="934"/>
      <c r="Y213" s="934"/>
      <c r="Z213" s="934"/>
    </row>
    <row r="214" spans="1:26" ht="16.5" customHeight="1">
      <c r="A214" s="1073">
        <v>210</v>
      </c>
      <c r="B214" s="1073" t="s">
        <v>867</v>
      </c>
      <c r="C214" s="1072">
        <v>89.7</v>
      </c>
      <c r="D214" s="1071">
        <f t="shared" si="20"/>
        <v>27.134250000000002</v>
      </c>
      <c r="E214" s="1070">
        <v>8476.25</v>
      </c>
      <c r="F214" s="1069">
        <f t="shared" si="21"/>
        <v>28020.661157024795</v>
      </c>
      <c r="G214" s="1069">
        <f t="shared" si="22"/>
        <v>760319.625</v>
      </c>
      <c r="H214" s="1068" t="e">
        <f>#REF!</f>
        <v>#REF!</v>
      </c>
      <c r="I214" s="1040"/>
      <c r="J214" s="1040"/>
      <c r="K214" s="1023"/>
      <c r="L214" s="1023"/>
      <c r="M214" s="1023"/>
      <c r="N214" s="1023"/>
      <c r="O214" s="1023"/>
      <c r="P214" s="1023"/>
      <c r="Q214" s="1023"/>
      <c r="R214" s="1023"/>
      <c r="S214" s="1023"/>
      <c r="T214" s="934"/>
      <c r="U214" s="934"/>
      <c r="V214" s="934"/>
      <c r="W214" s="934"/>
      <c r="X214" s="934"/>
      <c r="Y214" s="934"/>
      <c r="Z214" s="934"/>
    </row>
    <row r="215" spans="1:26" ht="16.5" customHeight="1">
      <c r="A215" s="1073">
        <v>211</v>
      </c>
      <c r="B215" s="1073" t="s">
        <v>868</v>
      </c>
      <c r="C215" s="1072">
        <v>88.4</v>
      </c>
      <c r="D215" s="1071">
        <f t="shared" si="20"/>
        <v>26.741</v>
      </c>
      <c r="E215" s="1070">
        <v>8625</v>
      </c>
      <c r="F215" s="1069">
        <f t="shared" si="21"/>
        <v>28512.396694214876</v>
      </c>
      <c r="G215" s="1069">
        <f t="shared" si="22"/>
        <v>762450</v>
      </c>
      <c r="H215" s="1068">
        <f>C643</f>
        <v>86.5</v>
      </c>
      <c r="I215" s="1040"/>
      <c r="J215" s="1040"/>
      <c r="K215" s="1023"/>
      <c r="L215" s="1023"/>
      <c r="M215" s="1023"/>
      <c r="N215" s="1023"/>
      <c r="O215" s="1023"/>
      <c r="P215" s="1023"/>
      <c r="Q215" s="1023"/>
      <c r="R215" s="1023"/>
      <c r="S215" s="1023"/>
      <c r="T215" s="934"/>
      <c r="U215" s="934"/>
      <c r="V215" s="934"/>
      <c r="W215" s="934"/>
      <c r="X215" s="934"/>
      <c r="Y215" s="934"/>
      <c r="Z215" s="934"/>
    </row>
    <row r="216" spans="1:26" ht="16.5" customHeight="1">
      <c r="A216" s="1073">
        <v>212</v>
      </c>
      <c r="B216" s="1073" t="s">
        <v>869</v>
      </c>
      <c r="C216" s="1072">
        <v>89.7</v>
      </c>
      <c r="D216" s="1071">
        <f t="shared" si="20"/>
        <v>27.134250000000002</v>
      </c>
      <c r="E216" s="1070">
        <v>8625</v>
      </c>
      <c r="F216" s="1069">
        <f t="shared" si="21"/>
        <v>28512.396694214876</v>
      </c>
      <c r="G216" s="1069">
        <f t="shared" si="22"/>
        <v>773662.5</v>
      </c>
      <c r="H216" s="1068">
        <f>C644</f>
        <v>90.6</v>
      </c>
      <c r="I216" s="1040"/>
      <c r="J216" s="1040"/>
      <c r="K216" s="1023"/>
      <c r="L216" s="1023"/>
      <c r="M216" s="1023"/>
      <c r="N216" s="1023"/>
      <c r="O216" s="1023"/>
      <c r="P216" s="1023"/>
      <c r="Q216" s="1023"/>
      <c r="R216" s="1023"/>
      <c r="S216" s="1023"/>
      <c r="T216" s="934"/>
      <c r="U216" s="934"/>
      <c r="V216" s="934"/>
      <c r="W216" s="934"/>
      <c r="X216" s="934"/>
      <c r="Y216" s="934"/>
      <c r="Z216" s="934"/>
    </row>
    <row r="217" spans="1:26" ht="16.5" customHeight="1">
      <c r="A217" s="1073">
        <v>213</v>
      </c>
      <c r="B217" s="1073" t="s">
        <v>870</v>
      </c>
      <c r="C217" s="1072">
        <v>177.3</v>
      </c>
      <c r="D217" s="1071">
        <f t="shared" si="20"/>
        <v>53.633250000000004</v>
      </c>
      <c r="E217" s="1070">
        <v>9142.5</v>
      </c>
      <c r="F217" s="1069">
        <f t="shared" si="21"/>
        <v>30223.14049586777</v>
      </c>
      <c r="G217" s="1069">
        <f t="shared" si="22"/>
        <v>1620965.25</v>
      </c>
      <c r="H217" s="1068">
        <f>C645</f>
        <v>92.5</v>
      </c>
      <c r="I217" s="1040"/>
      <c r="J217" s="1040"/>
      <c r="K217" s="1023"/>
      <c r="L217" s="1023"/>
      <c r="M217" s="1023"/>
      <c r="N217" s="1023"/>
      <c r="O217" s="1023"/>
      <c r="P217" s="1023"/>
      <c r="Q217" s="1023"/>
      <c r="R217" s="1023"/>
      <c r="S217" s="1023"/>
      <c r="T217" s="934"/>
      <c r="U217" s="934"/>
      <c r="V217" s="934"/>
      <c r="W217" s="934"/>
      <c r="X217" s="934"/>
      <c r="Y217" s="934"/>
      <c r="Z217" s="934"/>
    </row>
    <row r="218" spans="1:26" ht="16.5" customHeight="1">
      <c r="A218" s="1073">
        <v>214</v>
      </c>
      <c r="B218" s="1073" t="s">
        <v>871</v>
      </c>
      <c r="C218" s="1072">
        <v>91.3</v>
      </c>
      <c r="D218" s="1071">
        <f t="shared" si="20"/>
        <v>27.61825</v>
      </c>
      <c r="E218" s="1070">
        <v>8625</v>
      </c>
      <c r="F218" s="1069">
        <f t="shared" si="21"/>
        <v>28512.396694214876</v>
      </c>
      <c r="G218" s="1069">
        <f t="shared" si="22"/>
        <v>787462.5</v>
      </c>
      <c r="H218" s="1068">
        <f>C646</f>
        <v>91.1</v>
      </c>
      <c r="I218" s="1040"/>
      <c r="J218" s="1040"/>
      <c r="K218" s="1023"/>
      <c r="L218" s="1023"/>
      <c r="M218" s="1023"/>
      <c r="N218" s="1023"/>
      <c r="O218" s="1023"/>
      <c r="P218" s="1023"/>
      <c r="Q218" s="1023"/>
      <c r="R218" s="1023"/>
      <c r="S218" s="1023"/>
      <c r="T218" s="934"/>
      <c r="U218" s="934"/>
      <c r="V218" s="934"/>
      <c r="W218" s="934"/>
      <c r="X218" s="934"/>
      <c r="Y218" s="934"/>
      <c r="Z218" s="934"/>
    </row>
    <row r="219" spans="1:26" ht="16.5" customHeight="1">
      <c r="A219" s="1073">
        <v>215</v>
      </c>
      <c r="B219" s="1073" t="s">
        <v>872</v>
      </c>
      <c r="C219" s="1072">
        <v>88</v>
      </c>
      <c r="D219" s="1071">
        <f t="shared" si="20"/>
        <v>26.619999999999997</v>
      </c>
      <c r="E219" s="1070">
        <v>8625</v>
      </c>
      <c r="F219" s="1069">
        <f t="shared" si="21"/>
        <v>28512.396694214876</v>
      </c>
      <c r="G219" s="1069">
        <f t="shared" si="22"/>
        <v>759000</v>
      </c>
      <c r="H219" s="1068" t="e">
        <f>#REF!</f>
        <v>#REF!</v>
      </c>
      <c r="I219" s="1040"/>
      <c r="J219" s="1040"/>
      <c r="K219" s="1023"/>
      <c r="L219" s="1023"/>
      <c r="M219" s="1023"/>
      <c r="N219" s="1023"/>
      <c r="O219" s="1023"/>
      <c r="P219" s="1023"/>
      <c r="Q219" s="1023"/>
      <c r="R219" s="1023"/>
      <c r="S219" s="1023"/>
      <c r="T219" s="934"/>
      <c r="U219" s="934"/>
      <c r="V219" s="934"/>
      <c r="W219" s="934"/>
      <c r="X219" s="934"/>
      <c r="Y219" s="934"/>
      <c r="Z219" s="934"/>
    </row>
    <row r="220" spans="1:26" ht="16.5" customHeight="1">
      <c r="A220" s="1073">
        <v>216</v>
      </c>
      <c r="B220" s="1073" t="s">
        <v>873</v>
      </c>
      <c r="C220" s="1072">
        <v>89.2</v>
      </c>
      <c r="D220" s="1071">
        <f t="shared" si="20"/>
        <v>26.983000000000001</v>
      </c>
      <c r="E220" s="1070">
        <v>8625</v>
      </c>
      <c r="F220" s="1069">
        <f t="shared" si="21"/>
        <v>28512.396694214876</v>
      </c>
      <c r="G220" s="1069">
        <f t="shared" si="22"/>
        <v>769350</v>
      </c>
      <c r="H220" s="1068">
        <f>C648</f>
        <v>92.1</v>
      </c>
      <c r="I220" s="1040"/>
      <c r="J220" s="1040"/>
      <c r="K220" s="1023"/>
      <c r="L220" s="1023"/>
      <c r="M220" s="1023"/>
      <c r="N220" s="1023"/>
      <c r="O220" s="1023"/>
      <c r="P220" s="1023"/>
      <c r="Q220" s="1023"/>
      <c r="R220" s="1023"/>
      <c r="S220" s="1023"/>
      <c r="T220" s="934"/>
      <c r="U220" s="934"/>
      <c r="V220" s="934"/>
      <c r="W220" s="934"/>
      <c r="X220" s="934"/>
      <c r="Y220" s="934"/>
      <c r="Z220" s="934"/>
    </row>
    <row r="221" spans="1:26" ht="16.5" customHeight="1">
      <c r="A221" s="1073">
        <v>217</v>
      </c>
      <c r="B221" s="1073" t="s">
        <v>874</v>
      </c>
      <c r="C221" s="1072">
        <v>86.8</v>
      </c>
      <c r="D221" s="1071">
        <f t="shared" si="20"/>
        <v>26.256999999999998</v>
      </c>
      <c r="E221" s="1070">
        <v>8625</v>
      </c>
      <c r="F221" s="1069">
        <f t="shared" si="21"/>
        <v>28512.396694214876</v>
      </c>
      <c r="G221" s="1069">
        <f t="shared" si="22"/>
        <v>748650</v>
      </c>
      <c r="H221" s="1068">
        <f>C649</f>
        <v>91.4</v>
      </c>
      <c r="I221" s="1040"/>
      <c r="J221" s="1040"/>
      <c r="K221" s="1023"/>
      <c r="L221" s="1023"/>
      <c r="M221" s="1023"/>
      <c r="N221" s="1023"/>
      <c r="O221" s="1023"/>
      <c r="P221" s="1023"/>
      <c r="Q221" s="1023"/>
      <c r="R221" s="1023"/>
      <c r="S221" s="1023"/>
      <c r="T221" s="934"/>
      <c r="U221" s="934"/>
      <c r="V221" s="934"/>
      <c r="W221" s="934"/>
      <c r="X221" s="934"/>
      <c r="Y221" s="934"/>
      <c r="Z221" s="934"/>
    </row>
    <row r="222" spans="1:26" ht="16.5" customHeight="1">
      <c r="A222" s="1073">
        <v>218</v>
      </c>
      <c r="B222" s="1073" t="s">
        <v>875</v>
      </c>
      <c r="C222" s="1072">
        <v>88.5</v>
      </c>
      <c r="D222" s="1071">
        <f t="shared" si="20"/>
        <v>26.771249999999998</v>
      </c>
      <c r="E222" s="1070">
        <v>8625</v>
      </c>
      <c r="F222" s="1069">
        <f t="shared" si="21"/>
        <v>28512.396694214876</v>
      </c>
      <c r="G222" s="1069">
        <f t="shared" si="22"/>
        <v>763312.5</v>
      </c>
      <c r="H222" s="1068">
        <f>C650</f>
        <v>92.9</v>
      </c>
      <c r="I222" s="1040"/>
      <c r="J222" s="1040"/>
      <c r="K222" s="1023"/>
      <c r="L222" s="1023"/>
      <c r="M222" s="1023"/>
      <c r="N222" s="1023"/>
      <c r="O222" s="1023"/>
      <c r="P222" s="1023"/>
      <c r="Q222" s="1023"/>
      <c r="R222" s="1023"/>
      <c r="S222" s="1023"/>
      <c r="T222" s="934"/>
      <c r="U222" s="934"/>
      <c r="V222" s="934"/>
      <c r="W222" s="934"/>
      <c r="X222" s="934"/>
      <c r="Y222" s="934"/>
      <c r="Z222" s="934"/>
    </row>
    <row r="223" spans="1:26" ht="16.5" customHeight="1">
      <c r="A223" s="1073">
        <v>219</v>
      </c>
      <c r="B223" s="1073" t="s">
        <v>876</v>
      </c>
      <c r="C223" s="1072">
        <v>88.1</v>
      </c>
      <c r="D223" s="1071">
        <f t="shared" si="20"/>
        <v>26.650249999999996</v>
      </c>
      <c r="E223" s="1070">
        <v>8625</v>
      </c>
      <c r="F223" s="1069">
        <f t="shared" si="21"/>
        <v>28512.396694214876</v>
      </c>
      <c r="G223" s="1069">
        <f t="shared" si="22"/>
        <v>759862.5</v>
      </c>
      <c r="H223" s="1068">
        <f>C651</f>
        <v>90</v>
      </c>
      <c r="I223" s="1040"/>
      <c r="J223" s="1040"/>
      <c r="K223" s="1023"/>
      <c r="L223" s="1023"/>
      <c r="M223" s="1023"/>
      <c r="N223" s="1023"/>
      <c r="O223" s="1023"/>
      <c r="P223" s="1023"/>
      <c r="Q223" s="1023"/>
      <c r="R223" s="1023"/>
      <c r="S223" s="1023"/>
      <c r="T223" s="934"/>
      <c r="U223" s="934"/>
      <c r="V223" s="934"/>
      <c r="W223" s="934"/>
      <c r="X223" s="934"/>
      <c r="Y223" s="934"/>
      <c r="Z223" s="934"/>
    </row>
    <row r="224" spans="1:26" ht="16.5" customHeight="1">
      <c r="A224" s="1073">
        <v>220</v>
      </c>
      <c r="B224" s="1073" t="s">
        <v>877</v>
      </c>
      <c r="C224" s="1072">
        <v>87.2</v>
      </c>
      <c r="D224" s="1071">
        <f t="shared" si="20"/>
        <v>26.378</v>
      </c>
      <c r="E224" s="1070">
        <v>8625</v>
      </c>
      <c r="F224" s="1069">
        <f t="shared" si="21"/>
        <v>28512.396694214876</v>
      </c>
      <c r="G224" s="1069">
        <f t="shared" si="22"/>
        <v>752100</v>
      </c>
      <c r="H224" s="1068">
        <f>C638</f>
        <v>89.5</v>
      </c>
      <c r="I224" s="1040"/>
      <c r="J224" s="1040"/>
      <c r="K224" s="1023"/>
      <c r="L224" s="1023"/>
      <c r="M224" s="1023"/>
      <c r="N224" s="1023"/>
      <c r="O224" s="1023"/>
      <c r="P224" s="1023"/>
      <c r="Q224" s="1023"/>
      <c r="R224" s="1023"/>
      <c r="S224" s="1023"/>
      <c r="T224" s="934"/>
      <c r="U224" s="934"/>
      <c r="V224" s="934"/>
      <c r="W224" s="934"/>
      <c r="X224" s="934"/>
      <c r="Y224" s="934"/>
      <c r="Z224" s="934"/>
    </row>
    <row r="225" spans="1:26" ht="16.5" customHeight="1">
      <c r="A225" s="1073">
        <v>221</v>
      </c>
      <c r="B225" s="1073" t="s">
        <v>878</v>
      </c>
      <c r="C225" s="1072">
        <v>89.3</v>
      </c>
      <c r="D225" s="1071">
        <f t="shared" si="20"/>
        <v>27.013249999999999</v>
      </c>
      <c r="E225" s="1070">
        <v>8625</v>
      </c>
      <c r="F225" s="1069">
        <f t="shared" si="21"/>
        <v>28512.396694214876</v>
      </c>
      <c r="G225" s="1069">
        <f t="shared" si="22"/>
        <v>770212.5</v>
      </c>
      <c r="H225" s="1068" t="e">
        <f>#REF!</f>
        <v>#REF!</v>
      </c>
      <c r="I225" s="1040"/>
      <c r="J225" s="1040"/>
      <c r="K225" s="1023"/>
      <c r="L225" s="1023"/>
      <c r="M225" s="1023"/>
      <c r="N225" s="1023"/>
      <c r="O225" s="1023"/>
      <c r="P225" s="1023"/>
      <c r="Q225" s="1023"/>
      <c r="R225" s="1023"/>
      <c r="S225" s="1023"/>
      <c r="T225" s="934"/>
      <c r="U225" s="934"/>
      <c r="V225" s="934"/>
      <c r="W225" s="934"/>
      <c r="X225" s="934"/>
      <c r="Y225" s="934"/>
      <c r="Z225" s="934"/>
    </row>
    <row r="226" spans="1:26" ht="16.5" customHeight="1">
      <c r="A226" s="1073">
        <v>222</v>
      </c>
      <c r="B226" s="1073" t="s">
        <v>879</v>
      </c>
      <c r="C226" s="1072">
        <v>83.5</v>
      </c>
      <c r="D226" s="1071">
        <f t="shared" si="20"/>
        <v>25.258749999999999</v>
      </c>
      <c r="E226" s="1070">
        <v>8797.5</v>
      </c>
      <c r="F226" s="1069">
        <f t="shared" si="21"/>
        <v>29082.644628099173</v>
      </c>
      <c r="G226" s="1069">
        <f t="shared" si="22"/>
        <v>734591.25</v>
      </c>
      <c r="H226" s="1068" t="e">
        <f>#REF!</f>
        <v>#REF!</v>
      </c>
      <c r="I226" s="1040"/>
      <c r="J226" s="1040"/>
      <c r="K226" s="1023"/>
      <c r="L226" s="1023"/>
      <c r="M226" s="1023"/>
      <c r="N226" s="1023"/>
      <c r="O226" s="1023"/>
      <c r="P226" s="1023"/>
      <c r="Q226" s="1023"/>
      <c r="R226" s="1023"/>
      <c r="S226" s="1023"/>
      <c r="T226" s="934"/>
      <c r="U226" s="934"/>
      <c r="V226" s="934"/>
      <c r="W226" s="934"/>
      <c r="X226" s="934"/>
      <c r="Y226" s="934"/>
      <c r="Z226" s="934"/>
    </row>
    <row r="227" spans="1:26" ht="16.5" customHeight="1">
      <c r="A227" s="1073">
        <v>223</v>
      </c>
      <c r="B227" s="1073" t="s">
        <v>880</v>
      </c>
      <c r="C227" s="1072">
        <v>89.5</v>
      </c>
      <c r="D227" s="1071">
        <f t="shared" si="20"/>
        <v>27.07375</v>
      </c>
      <c r="E227" s="1070">
        <v>8275</v>
      </c>
      <c r="F227" s="1069">
        <f t="shared" si="21"/>
        <v>27355.371900826449</v>
      </c>
      <c r="G227" s="1069">
        <f t="shared" si="22"/>
        <v>740612.5</v>
      </c>
      <c r="H227" s="1068" t="e">
        <f>#REF!</f>
        <v>#REF!</v>
      </c>
      <c r="I227" s="1040"/>
      <c r="J227" s="1040"/>
      <c r="K227" s="1023"/>
      <c r="L227" s="1023"/>
      <c r="M227" s="1023"/>
      <c r="N227" s="1023"/>
      <c r="O227" s="1023"/>
      <c r="P227" s="1023"/>
      <c r="Q227" s="1023"/>
      <c r="R227" s="1023"/>
      <c r="S227" s="1023"/>
      <c r="T227" s="934"/>
      <c r="U227" s="934"/>
      <c r="V227" s="934"/>
      <c r="W227" s="934"/>
      <c r="X227" s="934"/>
      <c r="Y227" s="934"/>
      <c r="Z227" s="934"/>
    </row>
    <row r="228" spans="1:26" ht="16.5" customHeight="1">
      <c r="A228" s="1073">
        <v>224</v>
      </c>
      <c r="B228" s="1073" t="s">
        <v>881</v>
      </c>
      <c r="C228" s="1072">
        <v>88.7</v>
      </c>
      <c r="D228" s="1071">
        <f t="shared" si="20"/>
        <v>26.83175</v>
      </c>
      <c r="E228" s="1070">
        <v>4512.5</v>
      </c>
      <c r="F228" s="1069">
        <f t="shared" si="21"/>
        <v>14917.355371900827</v>
      </c>
      <c r="G228" s="1069">
        <f t="shared" si="22"/>
        <v>400258.75</v>
      </c>
      <c r="H228" s="1068" t="e">
        <f>#REF!</f>
        <v>#REF!</v>
      </c>
      <c r="I228" s="1040"/>
      <c r="J228" s="1040"/>
      <c r="K228" s="1023"/>
      <c r="L228" s="1023"/>
      <c r="M228" s="1023"/>
      <c r="N228" s="1023"/>
      <c r="O228" s="1023"/>
      <c r="P228" s="1023"/>
      <c r="Q228" s="1023"/>
      <c r="R228" s="1023"/>
      <c r="S228" s="1023"/>
      <c r="T228" s="934"/>
      <c r="U228" s="934"/>
      <c r="V228" s="934"/>
      <c r="W228" s="934"/>
      <c r="X228" s="934"/>
      <c r="Y228" s="934"/>
      <c r="Z228" s="934"/>
    </row>
    <row r="229" spans="1:26" ht="16.5" customHeight="1">
      <c r="A229" s="1073">
        <v>225</v>
      </c>
      <c r="B229" s="1073" t="s">
        <v>882</v>
      </c>
      <c r="C229" s="1072">
        <v>89.8</v>
      </c>
      <c r="D229" s="1071">
        <f t="shared" si="20"/>
        <v>27.164499999999997</v>
      </c>
      <c r="E229" s="1070">
        <v>4512.5</v>
      </c>
      <c r="F229" s="1069">
        <f t="shared" si="21"/>
        <v>14917.355371900827</v>
      </c>
      <c r="G229" s="1069">
        <f t="shared" si="22"/>
        <v>405222.5</v>
      </c>
      <c r="H229" s="1068">
        <f>C643</f>
        <v>86.5</v>
      </c>
      <c r="I229" s="1040"/>
      <c r="J229" s="1040"/>
      <c r="K229" s="1023"/>
      <c r="L229" s="1023"/>
      <c r="M229" s="1023"/>
      <c r="N229" s="1023"/>
      <c r="O229" s="1023"/>
      <c r="P229" s="1023"/>
      <c r="Q229" s="1023"/>
      <c r="R229" s="1023"/>
      <c r="S229" s="1023"/>
      <c r="T229" s="934"/>
      <c r="U229" s="934"/>
      <c r="V229" s="934"/>
      <c r="W229" s="934"/>
      <c r="X229" s="934"/>
      <c r="Y229" s="934"/>
      <c r="Z229" s="934"/>
    </row>
    <row r="230" spans="1:26" ht="16.5" customHeight="1">
      <c r="A230" s="1073">
        <v>226</v>
      </c>
      <c r="B230" s="1073" t="s">
        <v>883</v>
      </c>
      <c r="C230" s="1072">
        <v>89.7</v>
      </c>
      <c r="D230" s="1071">
        <f t="shared" si="20"/>
        <v>27.134250000000002</v>
      </c>
      <c r="E230" s="1070">
        <v>4512.5</v>
      </c>
      <c r="F230" s="1069">
        <f t="shared" si="21"/>
        <v>14917.355371900827</v>
      </c>
      <c r="G230" s="1069">
        <f t="shared" si="22"/>
        <v>404771.25</v>
      </c>
      <c r="H230" s="1068" t="e">
        <f>#REF!</f>
        <v>#REF!</v>
      </c>
      <c r="I230" s="1040"/>
      <c r="J230" s="1040"/>
      <c r="K230" s="1023"/>
      <c r="L230" s="1023"/>
      <c r="M230" s="1023"/>
      <c r="N230" s="1023"/>
      <c r="O230" s="1023"/>
      <c r="P230" s="1023"/>
      <c r="Q230" s="1023"/>
      <c r="R230" s="1023"/>
      <c r="S230" s="1023"/>
      <c r="T230" s="934"/>
      <c r="U230" s="934"/>
      <c r="V230" s="934"/>
      <c r="W230" s="934"/>
      <c r="X230" s="934"/>
      <c r="Y230" s="934"/>
      <c r="Z230" s="934"/>
    </row>
    <row r="231" spans="1:26" ht="16.5" customHeight="1">
      <c r="A231" s="1073">
        <v>227</v>
      </c>
      <c r="B231" s="1073" t="s">
        <v>884</v>
      </c>
      <c r="C231" s="1072">
        <v>90.3</v>
      </c>
      <c r="D231" s="1071">
        <f t="shared" si="20"/>
        <v>27.315749999999998</v>
      </c>
      <c r="E231" s="1070">
        <v>4512.5</v>
      </c>
      <c r="F231" s="1069">
        <f t="shared" si="21"/>
        <v>14917.355371900827</v>
      </c>
      <c r="G231" s="1069">
        <f t="shared" si="22"/>
        <v>407478.75</v>
      </c>
      <c r="H231" s="1068" t="e">
        <f>#REF!</f>
        <v>#REF!</v>
      </c>
      <c r="I231" s="1040"/>
      <c r="J231" s="1040"/>
      <c r="K231" s="1023"/>
      <c r="L231" s="1023"/>
      <c r="M231" s="1023"/>
      <c r="N231" s="1023"/>
      <c r="O231" s="1023"/>
      <c r="P231" s="1023"/>
      <c r="Q231" s="1023"/>
      <c r="R231" s="1023"/>
      <c r="S231" s="1023"/>
      <c r="T231" s="934"/>
      <c r="U231" s="934"/>
      <c r="V231" s="934"/>
      <c r="W231" s="934"/>
      <c r="X231" s="934"/>
      <c r="Y231" s="934"/>
      <c r="Z231" s="934"/>
    </row>
    <row r="232" spans="1:26" ht="16.5" customHeight="1">
      <c r="A232" s="1073">
        <v>228</v>
      </c>
      <c r="B232" s="1073" t="s">
        <v>885</v>
      </c>
      <c r="C232" s="1072">
        <v>90.5</v>
      </c>
      <c r="D232" s="1071">
        <f t="shared" si="20"/>
        <v>27.376249999999999</v>
      </c>
      <c r="E232" s="1070">
        <v>4512.5</v>
      </c>
      <c r="F232" s="1069">
        <f t="shared" si="21"/>
        <v>14917.355371900827</v>
      </c>
      <c r="G232" s="1069">
        <f t="shared" si="22"/>
        <v>408381.25</v>
      </c>
      <c r="H232" s="1068" t="e">
        <f>#REF!</f>
        <v>#REF!</v>
      </c>
      <c r="I232" s="1040"/>
      <c r="J232" s="1040"/>
      <c r="K232" s="1023"/>
      <c r="L232" s="1023"/>
      <c r="M232" s="1023"/>
      <c r="N232" s="1023"/>
      <c r="O232" s="1023"/>
      <c r="P232" s="1023"/>
      <c r="Q232" s="1023"/>
      <c r="R232" s="1023"/>
      <c r="S232" s="1023"/>
      <c r="T232" s="934"/>
      <c r="U232" s="934"/>
      <c r="V232" s="934"/>
      <c r="W232" s="934"/>
      <c r="X232" s="934"/>
      <c r="Y232" s="934"/>
      <c r="Z232" s="934"/>
    </row>
    <row r="233" spans="1:26" ht="16.5" customHeight="1">
      <c r="A233" s="1073">
        <v>229</v>
      </c>
      <c r="B233" s="1073" t="s">
        <v>886</v>
      </c>
      <c r="C233" s="1072">
        <v>88.8</v>
      </c>
      <c r="D233" s="1071">
        <f t="shared" si="20"/>
        <v>26.861999999999998</v>
      </c>
      <c r="E233" s="1070">
        <v>4512.5</v>
      </c>
      <c r="F233" s="1069">
        <f t="shared" si="21"/>
        <v>14917.355371900827</v>
      </c>
      <c r="G233" s="1069">
        <f t="shared" si="22"/>
        <v>400710</v>
      </c>
      <c r="H233" s="1068" t="e">
        <f>#REF!</f>
        <v>#REF!</v>
      </c>
      <c r="I233" s="1040"/>
      <c r="J233" s="1040"/>
      <c r="K233" s="1023"/>
      <c r="L233" s="1023"/>
      <c r="M233" s="1023"/>
      <c r="N233" s="1023"/>
      <c r="O233" s="1023"/>
      <c r="P233" s="1023"/>
      <c r="Q233" s="1023"/>
      <c r="R233" s="1023"/>
      <c r="S233" s="1023"/>
      <c r="T233" s="934"/>
      <c r="U233" s="934"/>
      <c r="V233" s="934"/>
      <c r="W233" s="934"/>
      <c r="X233" s="934"/>
      <c r="Y233" s="934"/>
      <c r="Z233" s="934"/>
    </row>
    <row r="234" spans="1:26" ht="16.5" customHeight="1">
      <c r="A234" s="1073">
        <v>230</v>
      </c>
      <c r="B234" s="1073" t="s">
        <v>887</v>
      </c>
      <c r="C234" s="1072">
        <v>90.4</v>
      </c>
      <c r="D234" s="1071">
        <f t="shared" si="20"/>
        <v>27.346</v>
      </c>
      <c r="E234" s="1070">
        <v>4512.5</v>
      </c>
      <c r="F234" s="1069">
        <f t="shared" si="21"/>
        <v>14917.355371900827</v>
      </c>
      <c r="G234" s="1069">
        <f t="shared" si="22"/>
        <v>407930</v>
      </c>
      <c r="H234" s="1068">
        <f>C648</f>
        <v>92.1</v>
      </c>
      <c r="I234" s="1040"/>
      <c r="J234" s="1040"/>
      <c r="K234" s="1023"/>
      <c r="L234" s="1023"/>
      <c r="M234" s="1023"/>
      <c r="N234" s="1023"/>
      <c r="O234" s="1023"/>
      <c r="P234" s="1023"/>
      <c r="Q234" s="1023"/>
      <c r="R234" s="1023"/>
      <c r="S234" s="1023"/>
      <c r="T234" s="934"/>
      <c r="U234" s="934"/>
      <c r="V234" s="934"/>
      <c r="W234" s="934"/>
      <c r="X234" s="934"/>
      <c r="Y234" s="934"/>
      <c r="Z234" s="934"/>
    </row>
    <row r="235" spans="1:26" ht="16.5" customHeight="1">
      <c r="A235" s="1073">
        <v>231</v>
      </c>
      <c r="B235" s="1073" t="s">
        <v>888</v>
      </c>
      <c r="C235" s="1072">
        <v>90.2</v>
      </c>
      <c r="D235" s="1071">
        <f t="shared" si="20"/>
        <v>27.285499999999999</v>
      </c>
      <c r="E235" s="1070">
        <v>4512.5</v>
      </c>
      <c r="F235" s="1069">
        <f t="shared" si="21"/>
        <v>14917.355371900827</v>
      </c>
      <c r="G235" s="1069">
        <f t="shared" si="22"/>
        <v>407027.5</v>
      </c>
      <c r="H235" s="1068" t="e">
        <f>#REF!</f>
        <v>#REF!</v>
      </c>
      <c r="I235" s="1040"/>
      <c r="J235" s="1040"/>
      <c r="K235" s="1023"/>
      <c r="L235" s="1023"/>
      <c r="M235" s="1023"/>
      <c r="N235" s="1023"/>
      <c r="O235" s="1023"/>
      <c r="P235" s="1023"/>
      <c r="Q235" s="1023"/>
      <c r="R235" s="1023"/>
      <c r="S235" s="1023"/>
      <c r="T235" s="934"/>
      <c r="U235" s="934"/>
      <c r="V235" s="934"/>
      <c r="W235" s="934"/>
      <c r="X235" s="934"/>
      <c r="Y235" s="934"/>
      <c r="Z235" s="934"/>
    </row>
    <row r="236" spans="1:26" ht="16.5" customHeight="1">
      <c r="A236" s="1073">
        <v>232</v>
      </c>
      <c r="B236" s="1073" t="s">
        <v>889</v>
      </c>
      <c r="C236" s="1072">
        <v>89.2</v>
      </c>
      <c r="D236" s="1071">
        <f t="shared" si="20"/>
        <v>26.983000000000001</v>
      </c>
      <c r="E236" s="1070">
        <v>4512.5</v>
      </c>
      <c r="F236" s="1069">
        <f t="shared" si="21"/>
        <v>14917.355371900827</v>
      </c>
      <c r="G236" s="1069">
        <f t="shared" si="22"/>
        <v>402515</v>
      </c>
      <c r="H236" s="1068" t="e">
        <f>#REF!</f>
        <v>#REF!</v>
      </c>
      <c r="I236" s="1040"/>
      <c r="J236" s="1040"/>
      <c r="K236" s="1023"/>
      <c r="L236" s="1023"/>
      <c r="M236" s="1023"/>
      <c r="N236" s="1023"/>
      <c r="O236" s="1023"/>
      <c r="P236" s="1023"/>
      <c r="Q236" s="1023"/>
      <c r="R236" s="1023"/>
      <c r="S236" s="1023"/>
      <c r="T236" s="934"/>
      <c r="U236" s="934"/>
      <c r="V236" s="934"/>
      <c r="W236" s="934"/>
      <c r="X236" s="934"/>
      <c r="Y236" s="934"/>
      <c r="Z236" s="934"/>
    </row>
    <row r="237" spans="1:26" ht="16.5" customHeight="1">
      <c r="A237" s="1073">
        <v>233</v>
      </c>
      <c r="B237" s="1073" t="s">
        <v>890</v>
      </c>
      <c r="C237" s="1072">
        <v>88.9</v>
      </c>
      <c r="D237" s="1071">
        <f t="shared" si="20"/>
        <v>26.892250000000001</v>
      </c>
      <c r="E237" s="1070">
        <v>4512.5</v>
      </c>
      <c r="F237" s="1069">
        <f t="shared" si="21"/>
        <v>14917.355371900827</v>
      </c>
      <c r="G237" s="1069">
        <f t="shared" si="22"/>
        <v>401161.25</v>
      </c>
      <c r="H237" s="1068" t="e">
        <f>#REF!</f>
        <v>#REF!</v>
      </c>
      <c r="I237" s="1040"/>
      <c r="J237" s="1040"/>
      <c r="K237" s="1023"/>
      <c r="L237" s="1023"/>
      <c r="M237" s="1023"/>
      <c r="N237" s="1023"/>
      <c r="O237" s="1023"/>
      <c r="P237" s="1023"/>
      <c r="Q237" s="1023"/>
      <c r="R237" s="1023"/>
      <c r="S237" s="1023"/>
      <c r="T237" s="934"/>
      <c r="U237" s="934"/>
      <c r="V237" s="934"/>
      <c r="W237" s="934"/>
      <c r="X237" s="934"/>
      <c r="Y237" s="934"/>
      <c r="Z237" s="934"/>
    </row>
    <row r="238" spans="1:26" ht="16.5" customHeight="1">
      <c r="A238" s="1073">
        <v>234</v>
      </c>
      <c r="B238" s="1073" t="s">
        <v>891</v>
      </c>
      <c r="C238" s="1072">
        <v>87.1</v>
      </c>
      <c r="D238" s="1071">
        <f t="shared" si="20"/>
        <v>26.347749999999998</v>
      </c>
      <c r="E238" s="1070">
        <v>4512.5</v>
      </c>
      <c r="F238" s="1069">
        <f t="shared" si="21"/>
        <v>14917.355371900827</v>
      </c>
      <c r="G238" s="1069">
        <f t="shared" si="22"/>
        <v>393038.75</v>
      </c>
      <c r="H238" s="1068" t="e">
        <f>#REF!</f>
        <v>#REF!</v>
      </c>
      <c r="I238" s="1040"/>
      <c r="J238" s="1040"/>
      <c r="K238" s="1023"/>
      <c r="L238" s="1023"/>
      <c r="M238" s="1023"/>
      <c r="N238" s="1023"/>
      <c r="O238" s="1023"/>
      <c r="P238" s="1023"/>
      <c r="Q238" s="1023"/>
      <c r="R238" s="1023"/>
      <c r="S238" s="1023"/>
      <c r="T238" s="934"/>
      <c r="U238" s="934"/>
      <c r="V238" s="934"/>
      <c r="W238" s="934"/>
      <c r="X238" s="934"/>
      <c r="Y238" s="934"/>
      <c r="Z238" s="934"/>
    </row>
    <row r="239" spans="1:26" ht="16.5" customHeight="1">
      <c r="A239" s="1073">
        <v>235</v>
      </c>
      <c r="B239" s="1073" t="s">
        <v>892</v>
      </c>
      <c r="C239" s="1072">
        <v>89.9</v>
      </c>
      <c r="D239" s="1071">
        <f t="shared" si="20"/>
        <v>27.194750000000003</v>
      </c>
      <c r="E239" s="1070">
        <v>4512.5</v>
      </c>
      <c r="F239" s="1069">
        <f t="shared" si="21"/>
        <v>14917.355371900827</v>
      </c>
      <c r="G239" s="1069">
        <f t="shared" si="22"/>
        <v>405673.75</v>
      </c>
      <c r="H239" s="1068" t="e">
        <f>#REF!</f>
        <v>#REF!</v>
      </c>
      <c r="I239" s="1040"/>
      <c r="J239" s="1040"/>
      <c r="K239" s="1023"/>
      <c r="L239" s="1023"/>
      <c r="M239" s="1023"/>
      <c r="N239" s="1023"/>
      <c r="O239" s="1023"/>
      <c r="P239" s="1023"/>
      <c r="Q239" s="1023"/>
      <c r="R239" s="1023"/>
      <c r="S239" s="1023"/>
      <c r="T239" s="934"/>
      <c r="U239" s="934"/>
      <c r="V239" s="934"/>
      <c r="W239" s="934"/>
      <c r="X239" s="934"/>
      <c r="Y239" s="934"/>
      <c r="Z239" s="934"/>
    </row>
    <row r="240" spans="1:26" ht="16.5" customHeight="1">
      <c r="A240" s="1073">
        <v>236</v>
      </c>
      <c r="B240" s="1073" t="s">
        <v>893</v>
      </c>
      <c r="C240" s="1072">
        <v>87.6</v>
      </c>
      <c r="D240" s="1071">
        <f t="shared" si="20"/>
        <v>26.498999999999999</v>
      </c>
      <c r="E240" s="1070">
        <v>4512.5</v>
      </c>
      <c r="F240" s="1069">
        <f t="shared" si="21"/>
        <v>14917.355371900827</v>
      </c>
      <c r="G240" s="1069">
        <f t="shared" si="22"/>
        <v>395295</v>
      </c>
      <c r="H240" s="1068" t="e">
        <f>#REF!</f>
        <v>#REF!</v>
      </c>
      <c r="I240" s="1040"/>
      <c r="J240" s="1040"/>
      <c r="K240" s="1023"/>
      <c r="L240" s="1023"/>
      <c r="M240" s="1023"/>
      <c r="N240" s="1023"/>
      <c r="O240" s="1023"/>
      <c r="P240" s="1023"/>
      <c r="Q240" s="1023"/>
      <c r="R240" s="1023"/>
      <c r="S240" s="1023"/>
      <c r="T240" s="934"/>
      <c r="U240" s="934"/>
      <c r="V240" s="934"/>
      <c r="W240" s="934"/>
      <c r="X240" s="934"/>
      <c r="Y240" s="934"/>
      <c r="Z240" s="934"/>
    </row>
    <row r="241" spans="1:26" ht="16.5" customHeight="1">
      <c r="A241" s="1073">
        <v>237</v>
      </c>
      <c r="B241" s="1073" t="s">
        <v>894</v>
      </c>
      <c r="C241" s="1072">
        <v>92.5</v>
      </c>
      <c r="D241" s="1071">
        <f t="shared" si="20"/>
        <v>27.981249999999999</v>
      </c>
      <c r="E241" s="1070">
        <v>8650</v>
      </c>
      <c r="F241" s="1069">
        <f t="shared" si="21"/>
        <v>28595.041322314049</v>
      </c>
      <c r="G241" s="1069">
        <f t="shared" si="22"/>
        <v>800125</v>
      </c>
      <c r="H241" s="1068" t="e">
        <f>#REF!</f>
        <v>#REF!</v>
      </c>
      <c r="I241" s="1040"/>
      <c r="J241" s="1040"/>
      <c r="K241" s="1023"/>
      <c r="L241" s="1023"/>
      <c r="M241" s="1023"/>
      <c r="N241" s="1023"/>
      <c r="O241" s="1023"/>
      <c r="P241" s="1023"/>
      <c r="Q241" s="1023"/>
      <c r="R241" s="1023"/>
      <c r="S241" s="1023"/>
      <c r="T241" s="934"/>
      <c r="U241" s="934"/>
      <c r="V241" s="934"/>
      <c r="W241" s="934"/>
      <c r="X241" s="934"/>
      <c r="Y241" s="934"/>
      <c r="Z241" s="934"/>
    </row>
    <row r="242" spans="1:26" ht="16.5" customHeight="1">
      <c r="A242" s="1073">
        <v>238</v>
      </c>
      <c r="B242" s="1073" t="s">
        <v>895</v>
      </c>
      <c r="C242" s="1072">
        <v>185</v>
      </c>
      <c r="D242" s="1071">
        <f t="shared" si="20"/>
        <v>55.962499999999999</v>
      </c>
      <c r="E242" s="1070">
        <v>8130</v>
      </c>
      <c r="F242" s="1069">
        <f t="shared" si="21"/>
        <v>26876.03305785124</v>
      </c>
      <c r="G242" s="1069">
        <f t="shared" si="22"/>
        <v>1504050</v>
      </c>
      <c r="H242" s="1068" t="e">
        <f>#REF!</f>
        <v>#REF!</v>
      </c>
      <c r="I242" s="1040"/>
      <c r="J242" s="1040"/>
      <c r="K242" s="1023"/>
      <c r="L242" s="1023"/>
      <c r="M242" s="1023"/>
      <c r="N242" s="1023"/>
      <c r="O242" s="1023"/>
      <c r="P242" s="1023"/>
      <c r="Q242" s="1023"/>
      <c r="R242" s="1023"/>
      <c r="S242" s="1023"/>
      <c r="T242" s="934"/>
      <c r="U242" s="934"/>
      <c r="V242" s="934"/>
      <c r="W242" s="934"/>
      <c r="X242" s="934"/>
      <c r="Y242" s="934"/>
      <c r="Z242" s="934"/>
    </row>
    <row r="243" spans="1:26" ht="16.5" customHeight="1">
      <c r="A243" s="1073">
        <v>239</v>
      </c>
      <c r="B243" s="1073" t="s">
        <v>896</v>
      </c>
      <c r="C243" s="1072">
        <v>92.2</v>
      </c>
      <c r="D243" s="1071">
        <f t="shared" si="20"/>
        <v>27.890499999999999</v>
      </c>
      <c r="E243" s="1070">
        <v>4421.25</v>
      </c>
      <c r="F243" s="1069">
        <f t="shared" si="21"/>
        <v>14615.702479338843</v>
      </c>
      <c r="G243" s="1069">
        <f t="shared" si="22"/>
        <v>407639.25</v>
      </c>
      <c r="H243" s="1068" t="e">
        <f>#REF!</f>
        <v>#REF!</v>
      </c>
      <c r="I243" s="1022"/>
      <c r="J243" s="1040"/>
      <c r="K243" s="1023"/>
      <c r="L243" s="1023"/>
      <c r="M243" s="1023"/>
      <c r="N243" s="1023"/>
      <c r="O243" s="1023"/>
      <c r="P243" s="1023"/>
      <c r="Q243" s="1023"/>
      <c r="R243" s="1023"/>
      <c r="S243" s="1023"/>
      <c r="T243" s="934"/>
      <c r="U243" s="934"/>
      <c r="V243" s="934"/>
      <c r="W243" s="934"/>
      <c r="X243" s="934"/>
      <c r="Y243" s="934"/>
      <c r="Z243" s="934"/>
    </row>
    <row r="244" spans="1:26" ht="16.5" customHeight="1">
      <c r="A244" s="1073">
        <v>240</v>
      </c>
      <c r="B244" s="1073" t="s">
        <v>897</v>
      </c>
      <c r="C244" s="1072">
        <v>87.2</v>
      </c>
      <c r="D244" s="1071">
        <f t="shared" si="20"/>
        <v>26.378</v>
      </c>
      <c r="E244" s="1070">
        <v>4421.25</v>
      </c>
      <c r="F244" s="1069">
        <f t="shared" si="21"/>
        <v>14615.702479338843</v>
      </c>
      <c r="G244" s="1069">
        <f t="shared" si="22"/>
        <v>385533</v>
      </c>
      <c r="H244" s="1068" t="e">
        <f>#REF!</f>
        <v>#REF!</v>
      </c>
      <c r="I244" s="1040"/>
      <c r="J244" s="1040"/>
      <c r="K244" s="1023"/>
      <c r="L244" s="1023"/>
      <c r="M244" s="1023"/>
      <c r="N244" s="1023"/>
      <c r="O244" s="1023"/>
      <c r="P244" s="1023"/>
      <c r="Q244" s="1023"/>
      <c r="R244" s="1023"/>
      <c r="S244" s="1023"/>
      <c r="T244" s="934"/>
      <c r="U244" s="934"/>
      <c r="V244" s="934"/>
      <c r="W244" s="934"/>
      <c r="X244" s="934"/>
      <c r="Y244" s="934"/>
      <c r="Z244" s="934"/>
    </row>
    <row r="245" spans="1:26" ht="16.5" customHeight="1">
      <c r="A245" s="1073">
        <v>241</v>
      </c>
      <c r="B245" s="1073" t="s">
        <v>898</v>
      </c>
      <c r="C245" s="1072">
        <v>89.6</v>
      </c>
      <c r="D245" s="1071">
        <f t="shared" si="20"/>
        <v>27.103999999999999</v>
      </c>
      <c r="E245" s="1070">
        <v>4421.25</v>
      </c>
      <c r="F245" s="1069">
        <f t="shared" si="21"/>
        <v>14615.702479338843</v>
      </c>
      <c r="G245" s="1069">
        <f t="shared" si="22"/>
        <v>396144</v>
      </c>
      <c r="H245" s="1068" t="e">
        <f>#REF!</f>
        <v>#REF!</v>
      </c>
      <c r="I245" s="1040"/>
      <c r="J245" s="1040"/>
      <c r="K245" s="1023"/>
      <c r="L245" s="1023"/>
      <c r="M245" s="1023"/>
      <c r="N245" s="1023"/>
      <c r="O245" s="1023"/>
      <c r="P245" s="1023"/>
      <c r="Q245" s="1023"/>
      <c r="R245" s="1023"/>
      <c r="S245" s="1023"/>
      <c r="T245" s="934"/>
      <c r="U245" s="934"/>
      <c r="V245" s="934"/>
      <c r="W245" s="934"/>
      <c r="X245" s="934"/>
      <c r="Y245" s="934"/>
      <c r="Z245" s="934"/>
    </row>
    <row r="246" spans="1:26" ht="16.5" customHeight="1">
      <c r="A246" s="1073">
        <v>242</v>
      </c>
      <c r="B246" s="1073" t="s">
        <v>899</v>
      </c>
      <c r="C246" s="1072">
        <v>89.8</v>
      </c>
      <c r="D246" s="1071">
        <f t="shared" si="20"/>
        <v>27.164499999999997</v>
      </c>
      <c r="E246" s="1070">
        <v>4421.25</v>
      </c>
      <c r="F246" s="1069">
        <f t="shared" si="21"/>
        <v>14615.702479338843</v>
      </c>
      <c r="G246" s="1069">
        <f t="shared" si="22"/>
        <v>397028.25</v>
      </c>
      <c r="H246" s="1068" t="e">
        <f>#REF!</f>
        <v>#REF!</v>
      </c>
      <c r="I246" s="1040"/>
      <c r="J246" s="1040"/>
      <c r="K246" s="1023"/>
      <c r="L246" s="1023"/>
      <c r="M246" s="1023"/>
      <c r="N246" s="1023"/>
      <c r="O246" s="1023"/>
      <c r="P246" s="1023"/>
      <c r="Q246" s="1023"/>
      <c r="R246" s="1023"/>
      <c r="S246" s="1023"/>
      <c r="T246" s="934"/>
      <c r="U246" s="934"/>
      <c r="V246" s="934"/>
      <c r="W246" s="934"/>
      <c r="X246" s="934"/>
      <c r="Y246" s="934"/>
      <c r="Z246" s="934"/>
    </row>
    <row r="247" spans="1:26" ht="16.5" customHeight="1">
      <c r="A247" s="1073">
        <v>243</v>
      </c>
      <c r="B247" s="1073" t="s">
        <v>900</v>
      </c>
      <c r="C247" s="1072">
        <v>92.5</v>
      </c>
      <c r="D247" s="1071">
        <f t="shared" si="20"/>
        <v>27.981249999999999</v>
      </c>
      <c r="E247" s="1070">
        <v>4421.25</v>
      </c>
      <c r="F247" s="1069">
        <f t="shared" si="21"/>
        <v>14615.702479338843</v>
      </c>
      <c r="G247" s="1069">
        <f t="shared" si="22"/>
        <v>408965.625</v>
      </c>
      <c r="H247" s="1068" t="e">
        <f>#REF!</f>
        <v>#REF!</v>
      </c>
      <c r="I247" s="1040"/>
      <c r="J247" s="1040"/>
      <c r="K247" s="1023"/>
      <c r="L247" s="1023"/>
      <c r="M247" s="1023"/>
      <c r="N247" s="1023"/>
      <c r="O247" s="1023"/>
      <c r="P247" s="1023"/>
      <c r="Q247" s="1023"/>
      <c r="R247" s="1023"/>
      <c r="S247" s="1023"/>
      <c r="T247" s="934"/>
      <c r="U247" s="934"/>
      <c r="V247" s="934"/>
      <c r="W247" s="934"/>
      <c r="X247" s="934"/>
      <c r="Y247" s="934"/>
      <c r="Z247" s="934"/>
    </row>
    <row r="248" spans="1:26" ht="16.5" customHeight="1">
      <c r="A248" s="1073">
        <v>244</v>
      </c>
      <c r="B248" s="1073" t="s">
        <v>901</v>
      </c>
      <c r="C248" s="1072">
        <v>92.2</v>
      </c>
      <c r="D248" s="1071">
        <f t="shared" si="20"/>
        <v>27.890499999999999</v>
      </c>
      <c r="E248" s="1070">
        <v>4421.25</v>
      </c>
      <c r="F248" s="1069">
        <f t="shared" si="21"/>
        <v>14615.702479338843</v>
      </c>
      <c r="G248" s="1069">
        <f t="shared" si="22"/>
        <v>407639.25</v>
      </c>
      <c r="H248" s="1068" t="e">
        <f>#REF!</f>
        <v>#REF!</v>
      </c>
      <c r="I248" s="1040"/>
      <c r="J248" s="1040"/>
      <c r="K248" s="1023"/>
      <c r="L248" s="1023"/>
      <c r="M248" s="1023"/>
      <c r="N248" s="1023"/>
      <c r="O248" s="1023"/>
      <c r="P248" s="1023"/>
      <c r="Q248" s="1023"/>
      <c r="R248" s="1023"/>
      <c r="S248" s="1023"/>
      <c r="T248" s="934"/>
      <c r="U248" s="934"/>
      <c r="V248" s="934"/>
      <c r="W248" s="934"/>
      <c r="X248" s="934"/>
      <c r="Y248" s="934"/>
      <c r="Z248" s="934"/>
    </row>
    <row r="249" spans="1:26" ht="16.5" customHeight="1">
      <c r="A249" s="1073">
        <v>245</v>
      </c>
      <c r="B249" s="1073" t="s">
        <v>902</v>
      </c>
      <c r="C249" s="1072">
        <v>88.4</v>
      </c>
      <c r="D249" s="1071">
        <f t="shared" si="20"/>
        <v>26.741</v>
      </c>
      <c r="E249" s="1070">
        <v>4421.25</v>
      </c>
      <c r="F249" s="1069">
        <f t="shared" si="21"/>
        <v>14615.702479338843</v>
      </c>
      <c r="G249" s="1069">
        <f t="shared" si="22"/>
        <v>390838.5</v>
      </c>
      <c r="H249" s="1068" t="e">
        <f>#REF!</f>
        <v>#REF!</v>
      </c>
      <c r="I249" s="1040"/>
      <c r="J249" s="1040"/>
      <c r="K249" s="1023"/>
      <c r="L249" s="1023"/>
      <c r="M249" s="1023"/>
      <c r="N249" s="1023"/>
      <c r="O249" s="1023"/>
      <c r="P249" s="1023"/>
      <c r="Q249" s="1023"/>
      <c r="R249" s="1023"/>
      <c r="S249" s="1023"/>
      <c r="T249" s="934"/>
      <c r="U249" s="934"/>
      <c r="V249" s="934"/>
      <c r="W249" s="934"/>
      <c r="X249" s="934"/>
      <c r="Y249" s="934"/>
      <c r="Z249" s="934"/>
    </row>
    <row r="250" spans="1:26" ht="16.5" customHeight="1">
      <c r="A250" s="1073">
        <v>246</v>
      </c>
      <c r="B250" s="1073" t="s">
        <v>903</v>
      </c>
      <c r="C250" s="1072">
        <v>93</v>
      </c>
      <c r="D250" s="1071">
        <f t="shared" si="20"/>
        <v>28.1325</v>
      </c>
      <c r="E250" s="1070">
        <v>4421.25</v>
      </c>
      <c r="F250" s="1069">
        <f t="shared" si="21"/>
        <v>14615.702479338843</v>
      </c>
      <c r="G250" s="1069">
        <f t="shared" si="22"/>
        <v>411176.25</v>
      </c>
      <c r="H250" s="1068" t="e">
        <f>#REF!</f>
        <v>#REF!</v>
      </c>
      <c r="I250" s="1040"/>
      <c r="J250" s="1040"/>
      <c r="K250" s="1023"/>
      <c r="L250" s="1023"/>
      <c r="M250" s="1023"/>
      <c r="N250" s="1023"/>
      <c r="O250" s="1023"/>
      <c r="P250" s="1023"/>
      <c r="Q250" s="1023"/>
      <c r="R250" s="1023"/>
      <c r="S250" s="1023"/>
      <c r="T250" s="934"/>
      <c r="U250" s="934"/>
      <c r="V250" s="934"/>
      <c r="W250" s="934"/>
      <c r="X250" s="934"/>
      <c r="Y250" s="934"/>
      <c r="Z250" s="934"/>
    </row>
    <row r="251" spans="1:26" ht="16.5" customHeight="1">
      <c r="A251" s="1073">
        <v>247</v>
      </c>
      <c r="B251" s="1073" t="s">
        <v>904</v>
      </c>
      <c r="C251" s="1072">
        <v>89.7</v>
      </c>
      <c r="D251" s="1071">
        <f t="shared" si="20"/>
        <v>27.134250000000002</v>
      </c>
      <c r="E251" s="1070">
        <v>4421.25</v>
      </c>
      <c r="F251" s="1069">
        <f t="shared" si="21"/>
        <v>14615.702479338843</v>
      </c>
      <c r="G251" s="1069">
        <f t="shared" si="22"/>
        <v>396586.125</v>
      </c>
      <c r="H251" s="1068" t="e">
        <f>#REF!</f>
        <v>#REF!</v>
      </c>
      <c r="I251" s="1040"/>
      <c r="J251" s="1040"/>
      <c r="K251" s="1023"/>
      <c r="L251" s="1023"/>
      <c r="M251" s="1023"/>
      <c r="N251" s="1023"/>
      <c r="O251" s="1023"/>
      <c r="P251" s="1023"/>
      <c r="Q251" s="1023"/>
      <c r="R251" s="1023"/>
      <c r="S251" s="1023"/>
      <c r="T251" s="934"/>
      <c r="U251" s="934"/>
      <c r="V251" s="934"/>
      <c r="W251" s="934"/>
      <c r="X251" s="934"/>
      <c r="Y251" s="934"/>
      <c r="Z251" s="934"/>
    </row>
    <row r="252" spans="1:26" ht="16.5" customHeight="1">
      <c r="A252" s="1073">
        <v>248</v>
      </c>
      <c r="B252" s="1073" t="s">
        <v>905</v>
      </c>
      <c r="C252" s="1072">
        <v>90.7</v>
      </c>
      <c r="D252" s="1071">
        <f t="shared" si="20"/>
        <v>27.43675</v>
      </c>
      <c r="E252" s="1070">
        <v>4421.25</v>
      </c>
      <c r="F252" s="1069">
        <f t="shared" si="21"/>
        <v>14615.702479338843</v>
      </c>
      <c r="G252" s="1069">
        <f t="shared" si="22"/>
        <v>401007.375</v>
      </c>
      <c r="H252" s="1068" t="e">
        <f>#REF!</f>
        <v>#REF!</v>
      </c>
      <c r="I252" s="1040"/>
      <c r="J252" s="1040"/>
      <c r="K252" s="1023"/>
      <c r="L252" s="1023"/>
      <c r="M252" s="1023"/>
      <c r="N252" s="1023"/>
      <c r="O252" s="1023"/>
      <c r="P252" s="1023"/>
      <c r="Q252" s="1023"/>
      <c r="R252" s="1023"/>
      <c r="S252" s="1023"/>
      <c r="T252" s="934"/>
      <c r="U252" s="934"/>
      <c r="V252" s="934"/>
      <c r="W252" s="934"/>
      <c r="X252" s="934"/>
      <c r="Y252" s="934"/>
      <c r="Z252" s="934"/>
    </row>
    <row r="253" spans="1:26" ht="16.5" customHeight="1">
      <c r="A253" s="1073">
        <v>249</v>
      </c>
      <c r="B253" s="1073" t="s">
        <v>906</v>
      </c>
      <c r="C253" s="1072">
        <v>89.4</v>
      </c>
      <c r="D253" s="1071">
        <f t="shared" si="20"/>
        <v>27.043500000000002</v>
      </c>
      <c r="E253" s="1070">
        <v>4421.25</v>
      </c>
      <c r="F253" s="1069">
        <f t="shared" si="21"/>
        <v>14615.702479338843</v>
      </c>
      <c r="G253" s="1069">
        <f t="shared" si="22"/>
        <v>395259.75</v>
      </c>
      <c r="H253" s="1068" t="e">
        <f>#REF!</f>
        <v>#REF!</v>
      </c>
      <c r="I253" s="1040"/>
      <c r="J253" s="1040"/>
      <c r="K253" s="1023"/>
      <c r="L253" s="1023"/>
      <c r="M253" s="1023"/>
      <c r="N253" s="1023"/>
      <c r="O253" s="1023"/>
      <c r="P253" s="1023"/>
      <c r="Q253" s="1023"/>
      <c r="R253" s="1023"/>
      <c r="S253" s="1023"/>
      <c r="T253" s="934"/>
      <c r="U253" s="934"/>
      <c r="V253" s="934"/>
      <c r="W253" s="934"/>
      <c r="X253" s="934"/>
      <c r="Y253" s="934"/>
      <c r="Z253" s="934"/>
    </row>
    <row r="254" spans="1:26" ht="16.5" customHeight="1">
      <c r="A254" s="1073">
        <v>250</v>
      </c>
      <c r="B254" s="1073" t="s">
        <v>907</v>
      </c>
      <c r="C254" s="1072">
        <v>90</v>
      </c>
      <c r="D254" s="1071">
        <f t="shared" si="20"/>
        <v>27.224999999999998</v>
      </c>
      <c r="E254" s="1070">
        <v>4421.25</v>
      </c>
      <c r="F254" s="1069">
        <f t="shared" si="21"/>
        <v>14615.702479338843</v>
      </c>
      <c r="G254" s="1069">
        <f t="shared" si="22"/>
        <v>397912.5</v>
      </c>
      <c r="H254" s="1068" t="e">
        <f>#REF!</f>
        <v>#REF!</v>
      </c>
      <c r="I254" s="1040"/>
      <c r="J254" s="1040"/>
      <c r="K254" s="1023"/>
      <c r="L254" s="1023"/>
      <c r="M254" s="1023"/>
      <c r="N254" s="1023"/>
      <c r="O254" s="1023"/>
      <c r="P254" s="1023"/>
      <c r="Q254" s="1023"/>
      <c r="R254" s="1023"/>
      <c r="S254" s="1023"/>
      <c r="T254" s="934"/>
      <c r="U254" s="934"/>
      <c r="V254" s="934"/>
      <c r="W254" s="934"/>
      <c r="X254" s="934"/>
      <c r="Y254" s="934"/>
      <c r="Z254" s="934"/>
    </row>
    <row r="255" spans="1:26" ht="16.5" customHeight="1">
      <c r="A255" s="1073">
        <v>251</v>
      </c>
      <c r="B255" s="1073" t="s">
        <v>908</v>
      </c>
      <c r="C255" s="1072">
        <v>88.8</v>
      </c>
      <c r="D255" s="1071">
        <f t="shared" si="20"/>
        <v>26.861999999999998</v>
      </c>
      <c r="E255" s="1070">
        <v>8275</v>
      </c>
      <c r="F255" s="1069">
        <f t="shared" si="21"/>
        <v>27355.371900826449</v>
      </c>
      <c r="G255" s="1069">
        <f t="shared" si="22"/>
        <v>734820</v>
      </c>
      <c r="H255" s="1068" t="e">
        <f>#REF!</f>
        <v>#REF!</v>
      </c>
      <c r="I255" s="1040"/>
      <c r="J255" s="1040"/>
      <c r="K255" s="1023"/>
      <c r="L255" s="1023"/>
      <c r="M255" s="1023"/>
      <c r="N255" s="1023"/>
      <c r="O255" s="1023"/>
      <c r="P255" s="1023"/>
      <c r="Q255" s="1023"/>
      <c r="R255" s="1023"/>
      <c r="S255" s="1023"/>
      <c r="T255" s="934"/>
      <c r="U255" s="934"/>
      <c r="V255" s="934"/>
      <c r="W255" s="934"/>
      <c r="X255" s="934"/>
      <c r="Y255" s="934"/>
      <c r="Z255" s="934"/>
    </row>
    <row r="256" spans="1:26" ht="16.5" customHeight="1">
      <c r="A256" s="1073">
        <v>252</v>
      </c>
      <c r="B256" s="1073" t="s">
        <v>909</v>
      </c>
      <c r="C256" s="1072">
        <v>497.2</v>
      </c>
      <c r="D256" s="1071">
        <f t="shared" si="20"/>
        <v>150.40299999999999</v>
      </c>
      <c r="E256" s="1070">
        <v>1488.75</v>
      </c>
      <c r="F256" s="1069">
        <f t="shared" si="21"/>
        <v>4921.4876033057853</v>
      </c>
      <c r="G256" s="1069">
        <f t="shared" si="22"/>
        <v>740206.5</v>
      </c>
      <c r="H256" s="1068" t="e">
        <f>#REF!</f>
        <v>#REF!</v>
      </c>
      <c r="I256" s="1040"/>
      <c r="J256" s="1040"/>
      <c r="K256" s="1023"/>
      <c r="L256" s="1023"/>
      <c r="M256" s="1023"/>
      <c r="N256" s="1023"/>
      <c r="O256" s="1023"/>
      <c r="P256" s="1023"/>
      <c r="Q256" s="1023"/>
      <c r="R256" s="1023"/>
      <c r="S256" s="1023"/>
      <c r="T256" s="934"/>
      <c r="U256" s="934"/>
      <c r="V256" s="934"/>
      <c r="W256" s="934"/>
      <c r="X256" s="934"/>
      <c r="Y256" s="934"/>
      <c r="Z256" s="934"/>
    </row>
    <row r="257" spans="1:26" ht="16.5" customHeight="1">
      <c r="A257" s="1073">
        <v>253</v>
      </c>
      <c r="B257" s="1073" t="s">
        <v>910</v>
      </c>
      <c r="C257" s="1072">
        <v>88.1</v>
      </c>
      <c r="D257" s="1071">
        <f t="shared" si="20"/>
        <v>26.650249999999996</v>
      </c>
      <c r="E257" s="1070">
        <v>4887.5</v>
      </c>
      <c r="F257" s="1069">
        <f t="shared" si="21"/>
        <v>16157.024793388431</v>
      </c>
      <c r="G257" s="1069">
        <f t="shared" si="22"/>
        <v>430588.75</v>
      </c>
      <c r="H257" s="1068" t="e">
        <f>#REF!</f>
        <v>#REF!</v>
      </c>
      <c r="I257" s="1040"/>
      <c r="J257" s="1040"/>
      <c r="K257" s="1023"/>
      <c r="L257" s="1023"/>
      <c r="M257" s="1023"/>
      <c r="N257" s="1023"/>
      <c r="O257" s="1023"/>
      <c r="P257" s="1023"/>
      <c r="Q257" s="1023"/>
      <c r="R257" s="1023"/>
      <c r="S257" s="1023"/>
      <c r="T257" s="934"/>
      <c r="U257" s="934"/>
      <c r="V257" s="934"/>
      <c r="W257" s="934"/>
      <c r="X257" s="934"/>
      <c r="Y257" s="934"/>
      <c r="Z257" s="934"/>
    </row>
    <row r="258" spans="1:26" ht="16.5" customHeight="1">
      <c r="A258" s="1073">
        <v>254</v>
      </c>
      <c r="B258" s="1073" t="s">
        <v>911</v>
      </c>
      <c r="C258" s="1072">
        <v>89</v>
      </c>
      <c r="D258" s="1071">
        <f t="shared" si="20"/>
        <v>26.922499999999999</v>
      </c>
      <c r="E258" s="1070">
        <v>4512.5</v>
      </c>
      <c r="F258" s="1069">
        <f t="shared" si="21"/>
        <v>14917.355371900827</v>
      </c>
      <c r="G258" s="1069">
        <f t="shared" si="22"/>
        <v>401612.5</v>
      </c>
      <c r="H258" s="1068" t="e">
        <f>#REF!</f>
        <v>#REF!</v>
      </c>
      <c r="I258" s="1040"/>
      <c r="J258" s="1040"/>
      <c r="K258" s="1023"/>
      <c r="L258" s="1023"/>
      <c r="M258" s="1023"/>
      <c r="N258" s="1023"/>
      <c r="O258" s="1023"/>
      <c r="P258" s="1023"/>
      <c r="Q258" s="1023"/>
      <c r="R258" s="1023"/>
      <c r="S258" s="1023"/>
      <c r="T258" s="934"/>
      <c r="U258" s="934"/>
      <c r="V258" s="934"/>
      <c r="W258" s="934"/>
      <c r="X258" s="934"/>
      <c r="Y258" s="934"/>
      <c r="Z258" s="934"/>
    </row>
    <row r="259" spans="1:26" ht="16.5" customHeight="1">
      <c r="A259" s="1073">
        <v>255</v>
      </c>
      <c r="B259" s="1073" t="s">
        <v>912</v>
      </c>
      <c r="C259" s="1072">
        <v>88.7</v>
      </c>
      <c r="D259" s="1071">
        <f t="shared" si="20"/>
        <v>26.83175</v>
      </c>
      <c r="E259" s="1070">
        <v>4512.5</v>
      </c>
      <c r="F259" s="1069">
        <f t="shared" si="21"/>
        <v>14917.355371900827</v>
      </c>
      <c r="G259" s="1069">
        <f t="shared" si="22"/>
        <v>400258.75</v>
      </c>
      <c r="H259" s="1068" t="e">
        <f>#REF!</f>
        <v>#REF!</v>
      </c>
      <c r="I259" s="1040"/>
      <c r="J259" s="1040"/>
      <c r="K259" s="1023"/>
      <c r="L259" s="1023"/>
      <c r="M259" s="1023"/>
      <c r="N259" s="1023"/>
      <c r="O259" s="1023"/>
      <c r="P259" s="1023"/>
      <c r="Q259" s="1023"/>
      <c r="R259" s="1023"/>
      <c r="S259" s="1023"/>
      <c r="T259" s="934"/>
      <c r="U259" s="934"/>
      <c r="V259" s="934"/>
      <c r="W259" s="934"/>
      <c r="X259" s="934"/>
      <c r="Y259" s="934"/>
      <c r="Z259" s="934"/>
    </row>
    <row r="260" spans="1:26" ht="16.5" customHeight="1">
      <c r="A260" s="1073">
        <v>256</v>
      </c>
      <c r="B260" s="1073" t="s">
        <v>913</v>
      </c>
      <c r="C260" s="1072">
        <v>87.9</v>
      </c>
      <c r="D260" s="1071">
        <f t="shared" si="20"/>
        <v>26.589750000000002</v>
      </c>
      <c r="E260" s="1070">
        <v>4512.5</v>
      </c>
      <c r="F260" s="1069">
        <f t="shared" si="21"/>
        <v>14917.355371900827</v>
      </c>
      <c r="G260" s="1069">
        <f t="shared" si="22"/>
        <v>396648.75</v>
      </c>
      <c r="H260" s="1068" t="e">
        <f>#REF!</f>
        <v>#REF!</v>
      </c>
      <c r="I260" s="1040"/>
      <c r="J260" s="1040"/>
      <c r="K260" s="1023"/>
      <c r="L260" s="1023"/>
      <c r="M260" s="1023"/>
      <c r="N260" s="1023"/>
      <c r="O260" s="1023"/>
      <c r="P260" s="1023"/>
      <c r="Q260" s="1023"/>
      <c r="R260" s="1023"/>
      <c r="S260" s="1023"/>
      <c r="T260" s="934"/>
      <c r="U260" s="934"/>
      <c r="V260" s="934"/>
      <c r="W260" s="934"/>
      <c r="X260" s="934"/>
      <c r="Y260" s="934"/>
      <c r="Z260" s="934"/>
    </row>
    <row r="261" spans="1:26" ht="16.5" customHeight="1">
      <c r="A261" s="1073">
        <v>257</v>
      </c>
      <c r="B261" s="1073" t="s">
        <v>914</v>
      </c>
      <c r="C261" s="1072">
        <v>86.6</v>
      </c>
      <c r="D261" s="1071">
        <f t="shared" ref="D261:D324" si="23">C261*0.3025</f>
        <v>26.196499999999997</v>
      </c>
      <c r="E261" s="1070">
        <v>4512.5</v>
      </c>
      <c r="F261" s="1069">
        <f t="shared" ref="F261:F324" si="24">E261/0.3025</f>
        <v>14917.355371900827</v>
      </c>
      <c r="G261" s="1069">
        <f t="shared" ref="G261:G324" si="25">C261*E261</f>
        <v>390782.5</v>
      </c>
      <c r="H261" s="1068" t="e">
        <f>#REF!</f>
        <v>#REF!</v>
      </c>
      <c r="I261" s="1040"/>
      <c r="J261" s="1040"/>
      <c r="K261" s="1023"/>
      <c r="L261" s="1023"/>
      <c r="M261" s="1023"/>
      <c r="N261" s="1023"/>
      <c r="O261" s="1023"/>
      <c r="P261" s="1023"/>
      <c r="Q261" s="1023"/>
      <c r="R261" s="1023"/>
      <c r="S261" s="1023"/>
      <c r="T261" s="934"/>
      <c r="U261" s="934"/>
      <c r="V261" s="934"/>
      <c r="W261" s="934"/>
      <c r="X261" s="934"/>
      <c r="Y261" s="934"/>
      <c r="Z261" s="934"/>
    </row>
    <row r="262" spans="1:26" ht="16.5" customHeight="1">
      <c r="A262" s="1073">
        <v>258</v>
      </c>
      <c r="B262" s="1073" t="s">
        <v>915</v>
      </c>
      <c r="C262" s="1072">
        <v>87.4</v>
      </c>
      <c r="D262" s="1071">
        <f t="shared" si="23"/>
        <v>26.438500000000001</v>
      </c>
      <c r="E262" s="1070">
        <v>4512.5</v>
      </c>
      <c r="F262" s="1069">
        <f t="shared" si="24"/>
        <v>14917.355371900827</v>
      </c>
      <c r="G262" s="1069">
        <f t="shared" si="25"/>
        <v>394392.5</v>
      </c>
      <c r="H262" s="1068" t="e">
        <f>#REF!</f>
        <v>#REF!</v>
      </c>
      <c r="I262" s="1040"/>
      <c r="J262" s="1040"/>
      <c r="K262" s="1023"/>
      <c r="L262" s="1023"/>
      <c r="M262" s="1023"/>
      <c r="N262" s="1023"/>
      <c r="O262" s="1023"/>
      <c r="P262" s="1023"/>
      <c r="Q262" s="1023"/>
      <c r="R262" s="1023"/>
      <c r="S262" s="1023"/>
      <c r="T262" s="934"/>
      <c r="U262" s="934"/>
      <c r="V262" s="934"/>
      <c r="W262" s="934"/>
      <c r="X262" s="934"/>
      <c r="Y262" s="934"/>
      <c r="Z262" s="934"/>
    </row>
    <row r="263" spans="1:26" ht="16.5" customHeight="1">
      <c r="A263" s="1073">
        <v>259</v>
      </c>
      <c r="B263" s="1073" t="s">
        <v>916</v>
      </c>
      <c r="C263" s="1072">
        <v>90</v>
      </c>
      <c r="D263" s="1071">
        <f t="shared" si="23"/>
        <v>27.224999999999998</v>
      </c>
      <c r="E263" s="1070">
        <v>4512.5</v>
      </c>
      <c r="F263" s="1069">
        <f t="shared" si="24"/>
        <v>14917.355371900827</v>
      </c>
      <c r="G263" s="1069">
        <f t="shared" si="25"/>
        <v>406125</v>
      </c>
      <c r="H263" s="1068" t="e">
        <f>#REF!</f>
        <v>#REF!</v>
      </c>
      <c r="I263" s="1040"/>
      <c r="J263" s="1040"/>
      <c r="K263" s="1023"/>
      <c r="L263" s="1023"/>
      <c r="M263" s="1023"/>
      <c r="N263" s="1023"/>
      <c r="O263" s="1023"/>
      <c r="P263" s="1023"/>
      <c r="Q263" s="1023"/>
      <c r="R263" s="1023"/>
      <c r="S263" s="1023"/>
      <c r="T263" s="934"/>
      <c r="U263" s="934"/>
      <c r="V263" s="934"/>
      <c r="W263" s="934"/>
      <c r="X263" s="934"/>
      <c r="Y263" s="934"/>
      <c r="Z263" s="934"/>
    </row>
    <row r="264" spans="1:26" ht="16.5" customHeight="1">
      <c r="A264" s="1073">
        <v>260</v>
      </c>
      <c r="B264" s="1073" t="s">
        <v>917</v>
      </c>
      <c r="C264" s="1072">
        <v>88.8</v>
      </c>
      <c r="D264" s="1071">
        <f t="shared" si="23"/>
        <v>26.861999999999998</v>
      </c>
      <c r="E264" s="1070">
        <v>4512.5</v>
      </c>
      <c r="F264" s="1069">
        <f t="shared" si="24"/>
        <v>14917.355371900827</v>
      </c>
      <c r="G264" s="1069">
        <f t="shared" si="25"/>
        <v>400710</v>
      </c>
      <c r="H264" s="1068" t="e">
        <f>#REF!</f>
        <v>#REF!</v>
      </c>
      <c r="I264" s="1040"/>
      <c r="J264" s="1040"/>
      <c r="K264" s="1023"/>
      <c r="L264" s="1023"/>
      <c r="M264" s="1023"/>
      <c r="N264" s="1023"/>
      <c r="O264" s="1023"/>
      <c r="P264" s="1023"/>
      <c r="Q264" s="1023"/>
      <c r="R264" s="1023"/>
      <c r="S264" s="1023"/>
      <c r="T264" s="934"/>
      <c r="U264" s="934"/>
      <c r="V264" s="934"/>
      <c r="W264" s="934"/>
      <c r="X264" s="934"/>
      <c r="Y264" s="934"/>
      <c r="Z264" s="934"/>
    </row>
    <row r="265" spans="1:26" ht="16.5" customHeight="1">
      <c r="A265" s="1073">
        <v>261</v>
      </c>
      <c r="B265" s="1073" t="s">
        <v>918</v>
      </c>
      <c r="C265" s="1072">
        <v>86.5</v>
      </c>
      <c r="D265" s="1071">
        <f t="shared" si="23"/>
        <v>26.166249999999998</v>
      </c>
      <c r="E265" s="1070">
        <v>4512.5</v>
      </c>
      <c r="F265" s="1069">
        <f t="shared" si="24"/>
        <v>14917.355371900827</v>
      </c>
      <c r="G265" s="1069">
        <f t="shared" si="25"/>
        <v>390331.25</v>
      </c>
      <c r="H265" s="1068" t="e">
        <f>#REF!</f>
        <v>#REF!</v>
      </c>
      <c r="I265" s="1040"/>
      <c r="J265" s="1040"/>
      <c r="K265" s="1023"/>
      <c r="L265" s="1023"/>
      <c r="M265" s="1023"/>
      <c r="N265" s="1023"/>
      <c r="O265" s="1023"/>
      <c r="P265" s="1023"/>
      <c r="Q265" s="1023"/>
      <c r="R265" s="1023"/>
      <c r="S265" s="1023"/>
      <c r="T265" s="934"/>
      <c r="U265" s="934"/>
      <c r="V265" s="934"/>
      <c r="W265" s="934"/>
      <c r="X265" s="934"/>
      <c r="Y265" s="934"/>
      <c r="Z265" s="934"/>
    </row>
    <row r="266" spans="1:26" ht="16.5" customHeight="1">
      <c r="A266" s="1073">
        <v>262</v>
      </c>
      <c r="B266" s="1073" t="s">
        <v>919</v>
      </c>
      <c r="C266" s="1072">
        <v>89</v>
      </c>
      <c r="D266" s="1071">
        <f t="shared" si="23"/>
        <v>26.922499999999999</v>
      </c>
      <c r="E266" s="1070">
        <v>4512.5</v>
      </c>
      <c r="F266" s="1069">
        <f t="shared" si="24"/>
        <v>14917.355371900827</v>
      </c>
      <c r="G266" s="1069">
        <f t="shared" si="25"/>
        <v>401612.5</v>
      </c>
      <c r="H266" s="1068" t="e">
        <f>#REF!</f>
        <v>#REF!</v>
      </c>
      <c r="I266" s="1040"/>
      <c r="J266" s="1040"/>
      <c r="K266" s="1023"/>
      <c r="L266" s="1023"/>
      <c r="M266" s="1023"/>
      <c r="N266" s="1023"/>
      <c r="O266" s="1023"/>
      <c r="P266" s="1023"/>
      <c r="Q266" s="1023"/>
      <c r="R266" s="1023"/>
      <c r="S266" s="1023"/>
      <c r="T266" s="934"/>
      <c r="U266" s="934"/>
      <c r="V266" s="934"/>
      <c r="W266" s="934"/>
      <c r="X266" s="934"/>
      <c r="Y266" s="934"/>
      <c r="Z266" s="934"/>
    </row>
    <row r="267" spans="1:26" ht="16.5" customHeight="1">
      <c r="A267" s="1073">
        <v>263</v>
      </c>
      <c r="B267" s="1073" t="s">
        <v>920</v>
      </c>
      <c r="C267" s="1072">
        <v>88.6</v>
      </c>
      <c r="D267" s="1071">
        <f t="shared" si="23"/>
        <v>26.801499999999997</v>
      </c>
      <c r="E267" s="1070">
        <v>4512.5</v>
      </c>
      <c r="F267" s="1069">
        <f t="shared" si="24"/>
        <v>14917.355371900827</v>
      </c>
      <c r="G267" s="1069">
        <f t="shared" si="25"/>
        <v>399807.5</v>
      </c>
      <c r="H267" s="1068" t="e">
        <f>#REF!</f>
        <v>#REF!</v>
      </c>
      <c r="I267" s="1040"/>
      <c r="J267" s="1040"/>
      <c r="K267" s="1023"/>
      <c r="L267" s="1023"/>
      <c r="M267" s="1023"/>
      <c r="N267" s="1023"/>
      <c r="O267" s="1023"/>
      <c r="P267" s="1023"/>
      <c r="Q267" s="1023"/>
      <c r="R267" s="1023"/>
      <c r="S267" s="1023"/>
      <c r="T267" s="934"/>
      <c r="U267" s="934"/>
      <c r="V267" s="934"/>
      <c r="W267" s="934"/>
      <c r="X267" s="934"/>
      <c r="Y267" s="934"/>
      <c r="Z267" s="934"/>
    </row>
    <row r="268" spans="1:26" ht="16.5" customHeight="1">
      <c r="A268" s="1073">
        <v>264</v>
      </c>
      <c r="B268" s="1073" t="s">
        <v>921</v>
      </c>
      <c r="C268" s="1072">
        <v>87.5</v>
      </c>
      <c r="D268" s="1071">
        <f t="shared" si="23"/>
        <v>26.46875</v>
      </c>
      <c r="E268" s="1070">
        <v>4512.5</v>
      </c>
      <c r="F268" s="1069">
        <f t="shared" si="24"/>
        <v>14917.355371900827</v>
      </c>
      <c r="G268" s="1069">
        <f t="shared" si="25"/>
        <v>394843.75</v>
      </c>
      <c r="H268" s="1068" t="e">
        <f>#REF!</f>
        <v>#REF!</v>
      </c>
      <c r="I268" s="1040"/>
      <c r="J268" s="1040"/>
      <c r="K268" s="1023"/>
      <c r="L268" s="1023"/>
      <c r="M268" s="1023"/>
      <c r="N268" s="1023"/>
      <c r="O268" s="1023"/>
      <c r="P268" s="1023"/>
      <c r="Q268" s="1023"/>
      <c r="R268" s="1023"/>
      <c r="S268" s="1023"/>
      <c r="T268" s="934"/>
      <c r="U268" s="934"/>
      <c r="V268" s="934"/>
      <c r="W268" s="934"/>
      <c r="X268" s="934"/>
      <c r="Y268" s="934"/>
      <c r="Z268" s="934"/>
    </row>
    <row r="269" spans="1:26" ht="16.5" customHeight="1">
      <c r="A269" s="1073">
        <v>265</v>
      </c>
      <c r="B269" s="1073" t="s">
        <v>922</v>
      </c>
      <c r="C269" s="1072">
        <v>90.9</v>
      </c>
      <c r="D269" s="1071">
        <f t="shared" si="23"/>
        <v>27.497250000000001</v>
      </c>
      <c r="E269" s="1070">
        <v>4512.5</v>
      </c>
      <c r="F269" s="1069">
        <f t="shared" si="24"/>
        <v>14917.355371900827</v>
      </c>
      <c r="G269" s="1069">
        <f t="shared" si="25"/>
        <v>410186.25</v>
      </c>
      <c r="H269" s="1068" t="e">
        <f>#REF!</f>
        <v>#REF!</v>
      </c>
      <c r="I269" s="1040"/>
      <c r="J269" s="1040"/>
      <c r="K269" s="1023"/>
      <c r="L269" s="1023"/>
      <c r="M269" s="1023"/>
      <c r="N269" s="1023"/>
      <c r="O269" s="1023"/>
      <c r="P269" s="1023"/>
      <c r="Q269" s="1023"/>
      <c r="R269" s="1023"/>
      <c r="S269" s="1023"/>
      <c r="T269" s="934"/>
      <c r="U269" s="934"/>
      <c r="V269" s="934"/>
      <c r="W269" s="934"/>
      <c r="X269" s="934"/>
      <c r="Y269" s="934"/>
      <c r="Z269" s="934"/>
    </row>
    <row r="270" spans="1:26" ht="16.5" customHeight="1">
      <c r="A270" s="1073">
        <v>266</v>
      </c>
      <c r="B270" s="1073" t="s">
        <v>923</v>
      </c>
      <c r="C270" s="1072">
        <v>89.9</v>
      </c>
      <c r="D270" s="1071">
        <f t="shared" si="23"/>
        <v>27.194750000000003</v>
      </c>
      <c r="E270" s="1070">
        <v>4512.5</v>
      </c>
      <c r="F270" s="1069">
        <f t="shared" si="24"/>
        <v>14917.355371900827</v>
      </c>
      <c r="G270" s="1069">
        <f t="shared" si="25"/>
        <v>405673.75</v>
      </c>
      <c r="H270" s="1068" t="e">
        <f>#REF!</f>
        <v>#REF!</v>
      </c>
      <c r="I270" s="1040"/>
      <c r="J270" s="1040"/>
      <c r="K270" s="1023"/>
      <c r="L270" s="1023"/>
      <c r="M270" s="1023"/>
      <c r="N270" s="1023"/>
      <c r="O270" s="1023"/>
      <c r="P270" s="1023"/>
      <c r="Q270" s="1023"/>
      <c r="R270" s="1023"/>
      <c r="S270" s="1023"/>
      <c r="T270" s="934"/>
      <c r="U270" s="934"/>
      <c r="V270" s="934"/>
      <c r="W270" s="934"/>
      <c r="X270" s="934"/>
      <c r="Y270" s="934"/>
      <c r="Z270" s="934"/>
    </row>
    <row r="271" spans="1:26" ht="16.5" customHeight="1">
      <c r="A271" s="1073">
        <v>267</v>
      </c>
      <c r="B271" s="1073" t="s">
        <v>924</v>
      </c>
      <c r="C271" s="1072">
        <v>87.9</v>
      </c>
      <c r="D271" s="1071">
        <f t="shared" si="23"/>
        <v>26.589750000000002</v>
      </c>
      <c r="E271" s="1070">
        <v>8275</v>
      </c>
      <c r="F271" s="1069">
        <f t="shared" si="24"/>
        <v>27355.371900826449</v>
      </c>
      <c r="G271" s="1069">
        <f t="shared" si="25"/>
        <v>727372.5</v>
      </c>
      <c r="H271" s="1068" t="e">
        <f>#REF!</f>
        <v>#REF!</v>
      </c>
      <c r="I271" s="1040"/>
      <c r="J271" s="1040"/>
      <c r="K271" s="1023"/>
      <c r="L271" s="1023"/>
      <c r="M271" s="1023"/>
      <c r="N271" s="1023"/>
      <c r="O271" s="1023"/>
      <c r="P271" s="1023"/>
      <c r="Q271" s="1023"/>
      <c r="R271" s="1023"/>
      <c r="S271" s="1023"/>
      <c r="T271" s="934"/>
      <c r="U271" s="934"/>
      <c r="V271" s="934"/>
      <c r="W271" s="934"/>
      <c r="X271" s="934"/>
      <c r="Y271" s="934"/>
      <c r="Z271" s="934"/>
    </row>
    <row r="272" spans="1:26" ht="16.5" customHeight="1">
      <c r="A272" s="1073">
        <v>268</v>
      </c>
      <c r="B272" s="1073" t="s">
        <v>925</v>
      </c>
      <c r="C272" s="1072">
        <v>86.6</v>
      </c>
      <c r="D272" s="1071">
        <f t="shared" si="23"/>
        <v>26.196499999999997</v>
      </c>
      <c r="E272" s="1070">
        <v>8275</v>
      </c>
      <c r="F272" s="1069">
        <f t="shared" si="24"/>
        <v>27355.371900826449</v>
      </c>
      <c r="G272" s="1069">
        <f t="shared" si="25"/>
        <v>716615</v>
      </c>
      <c r="H272" s="1068" t="e">
        <f>#REF!</f>
        <v>#REF!</v>
      </c>
      <c r="I272" s="1040"/>
      <c r="J272" s="1040"/>
      <c r="K272" s="1023"/>
      <c r="L272" s="1023"/>
      <c r="M272" s="1023"/>
      <c r="N272" s="1023"/>
      <c r="O272" s="1023"/>
      <c r="P272" s="1023"/>
      <c r="Q272" s="1023"/>
      <c r="R272" s="1023"/>
      <c r="S272" s="1023"/>
      <c r="T272" s="934"/>
      <c r="U272" s="934"/>
      <c r="V272" s="934"/>
      <c r="W272" s="934"/>
      <c r="X272" s="934"/>
      <c r="Y272" s="934"/>
      <c r="Z272" s="934"/>
    </row>
    <row r="273" spans="1:26" ht="16.5" customHeight="1">
      <c r="A273" s="1073">
        <v>269</v>
      </c>
      <c r="B273" s="1073" t="s">
        <v>926</v>
      </c>
      <c r="C273" s="1072">
        <v>88.7</v>
      </c>
      <c r="D273" s="1071">
        <f t="shared" si="23"/>
        <v>26.83175</v>
      </c>
      <c r="E273" s="1070">
        <v>4421.25</v>
      </c>
      <c r="F273" s="1069">
        <f t="shared" si="24"/>
        <v>14615.702479338843</v>
      </c>
      <c r="G273" s="1069">
        <f t="shared" si="25"/>
        <v>392164.875</v>
      </c>
      <c r="H273" s="1068" t="e">
        <f>#REF!</f>
        <v>#REF!</v>
      </c>
      <c r="I273" s="1040"/>
      <c r="J273" s="1040"/>
      <c r="K273" s="1023"/>
      <c r="L273" s="1023"/>
      <c r="M273" s="1023"/>
      <c r="N273" s="1023"/>
      <c r="O273" s="1023"/>
      <c r="P273" s="1023"/>
      <c r="Q273" s="1023"/>
      <c r="R273" s="1023"/>
      <c r="S273" s="1023"/>
      <c r="T273" s="934"/>
      <c r="U273" s="934"/>
      <c r="V273" s="934"/>
      <c r="W273" s="934"/>
      <c r="X273" s="934"/>
      <c r="Y273" s="934"/>
      <c r="Z273" s="934"/>
    </row>
    <row r="274" spans="1:26" ht="16.5" customHeight="1">
      <c r="A274" s="1073">
        <v>270</v>
      </c>
      <c r="B274" s="1073" t="s">
        <v>927</v>
      </c>
      <c r="C274" s="1072">
        <v>88.7</v>
      </c>
      <c r="D274" s="1071">
        <f t="shared" si="23"/>
        <v>26.83175</v>
      </c>
      <c r="E274" s="1070">
        <v>4421.25</v>
      </c>
      <c r="F274" s="1069">
        <f t="shared" si="24"/>
        <v>14615.702479338843</v>
      </c>
      <c r="G274" s="1069">
        <f t="shared" si="25"/>
        <v>392164.875</v>
      </c>
      <c r="H274" s="1068" t="e">
        <f>#REF!</f>
        <v>#REF!</v>
      </c>
      <c r="I274" s="1040"/>
      <c r="J274" s="1040"/>
      <c r="K274" s="1023"/>
      <c r="L274" s="1023"/>
      <c r="M274" s="1023"/>
      <c r="N274" s="1023"/>
      <c r="O274" s="1023"/>
      <c r="P274" s="1023"/>
      <c r="Q274" s="1023"/>
      <c r="R274" s="1023"/>
      <c r="S274" s="1023"/>
      <c r="T274" s="934"/>
      <c r="U274" s="934"/>
      <c r="V274" s="934"/>
      <c r="W274" s="934"/>
      <c r="X274" s="934"/>
      <c r="Y274" s="934"/>
      <c r="Z274" s="934"/>
    </row>
    <row r="275" spans="1:26" ht="16.5" customHeight="1">
      <c r="A275" s="1073">
        <v>271</v>
      </c>
      <c r="B275" s="1073" t="s">
        <v>928</v>
      </c>
      <c r="C275" s="1072">
        <v>85.9</v>
      </c>
      <c r="D275" s="1071">
        <f t="shared" si="23"/>
        <v>25.984750000000002</v>
      </c>
      <c r="E275" s="1070">
        <v>4421.25</v>
      </c>
      <c r="F275" s="1069">
        <f t="shared" si="24"/>
        <v>14615.702479338843</v>
      </c>
      <c r="G275" s="1069">
        <f t="shared" si="25"/>
        <v>379785.375</v>
      </c>
      <c r="H275" s="1068" t="e">
        <f>#REF!</f>
        <v>#REF!</v>
      </c>
      <c r="I275" s="1040"/>
      <c r="J275" s="1040"/>
      <c r="K275" s="1023"/>
      <c r="L275" s="1023"/>
      <c r="M275" s="1023"/>
      <c r="N275" s="1023"/>
      <c r="O275" s="1023"/>
      <c r="P275" s="1023"/>
      <c r="Q275" s="1023"/>
      <c r="R275" s="1023"/>
      <c r="S275" s="1023"/>
      <c r="T275" s="934"/>
      <c r="U275" s="934"/>
      <c r="V275" s="934"/>
      <c r="W275" s="934"/>
      <c r="X275" s="934"/>
      <c r="Y275" s="934"/>
      <c r="Z275" s="934"/>
    </row>
    <row r="276" spans="1:26" ht="16.5" customHeight="1">
      <c r="A276" s="1073">
        <v>272</v>
      </c>
      <c r="B276" s="1073" t="s">
        <v>929</v>
      </c>
      <c r="C276" s="1072">
        <v>87.9</v>
      </c>
      <c r="D276" s="1071">
        <f t="shared" si="23"/>
        <v>26.589750000000002</v>
      </c>
      <c r="E276" s="1070">
        <v>4421.25</v>
      </c>
      <c r="F276" s="1069">
        <f t="shared" si="24"/>
        <v>14615.702479338843</v>
      </c>
      <c r="G276" s="1069">
        <f t="shared" si="25"/>
        <v>388627.875</v>
      </c>
      <c r="H276" s="1068" t="e">
        <f>#REF!</f>
        <v>#REF!</v>
      </c>
      <c r="I276" s="1040"/>
      <c r="J276" s="1040"/>
      <c r="K276" s="1023"/>
      <c r="L276" s="1023"/>
      <c r="M276" s="1023"/>
      <c r="N276" s="1023"/>
      <c r="O276" s="1023"/>
      <c r="P276" s="1023"/>
      <c r="Q276" s="1023"/>
      <c r="R276" s="1023"/>
      <c r="S276" s="1023"/>
      <c r="T276" s="934"/>
      <c r="U276" s="934"/>
      <c r="V276" s="934"/>
      <c r="W276" s="934"/>
      <c r="X276" s="934"/>
      <c r="Y276" s="934"/>
      <c r="Z276" s="934"/>
    </row>
    <row r="277" spans="1:26" ht="16.5" customHeight="1">
      <c r="A277" s="1073">
        <v>273</v>
      </c>
      <c r="B277" s="1073" t="s">
        <v>930</v>
      </c>
      <c r="C277" s="1072">
        <v>88.6</v>
      </c>
      <c r="D277" s="1071">
        <f t="shared" si="23"/>
        <v>26.801499999999997</v>
      </c>
      <c r="E277" s="1070">
        <v>4421.25</v>
      </c>
      <c r="F277" s="1069">
        <f t="shared" si="24"/>
        <v>14615.702479338843</v>
      </c>
      <c r="G277" s="1069">
        <f t="shared" si="25"/>
        <v>391722.75</v>
      </c>
      <c r="H277" s="1068" t="e">
        <f>#REF!</f>
        <v>#REF!</v>
      </c>
      <c r="I277" s="1040"/>
      <c r="J277" s="1040"/>
      <c r="K277" s="1023"/>
      <c r="L277" s="1023"/>
      <c r="M277" s="1023"/>
      <c r="N277" s="1023"/>
      <c r="O277" s="1023"/>
      <c r="P277" s="1023"/>
      <c r="Q277" s="1023"/>
      <c r="R277" s="1023"/>
      <c r="S277" s="1023"/>
      <c r="T277" s="934"/>
      <c r="U277" s="934"/>
      <c r="V277" s="934"/>
      <c r="W277" s="934"/>
      <c r="X277" s="934"/>
      <c r="Y277" s="934"/>
      <c r="Z277" s="934"/>
    </row>
    <row r="278" spans="1:26" ht="16.5" customHeight="1">
      <c r="A278" s="1073">
        <v>274</v>
      </c>
      <c r="B278" s="1073" t="s">
        <v>931</v>
      </c>
      <c r="C278" s="1072">
        <v>86.7</v>
      </c>
      <c r="D278" s="1071">
        <f t="shared" si="23"/>
        <v>26.226749999999999</v>
      </c>
      <c r="E278" s="1070">
        <v>4421.25</v>
      </c>
      <c r="F278" s="1069">
        <f t="shared" si="24"/>
        <v>14615.702479338843</v>
      </c>
      <c r="G278" s="1069">
        <f t="shared" si="25"/>
        <v>383322.375</v>
      </c>
      <c r="H278" s="1068" t="e">
        <f>#REF!</f>
        <v>#REF!</v>
      </c>
      <c r="I278" s="1040"/>
      <c r="J278" s="1040"/>
      <c r="K278" s="1023"/>
      <c r="L278" s="1023"/>
      <c r="M278" s="1023"/>
      <c r="N278" s="1023"/>
      <c r="O278" s="1023"/>
      <c r="P278" s="1023"/>
      <c r="Q278" s="1023"/>
      <c r="R278" s="1023"/>
      <c r="S278" s="1023"/>
      <c r="T278" s="934"/>
      <c r="U278" s="934"/>
      <c r="V278" s="934"/>
      <c r="W278" s="934"/>
      <c r="X278" s="934"/>
      <c r="Y278" s="934"/>
      <c r="Z278" s="934"/>
    </row>
    <row r="279" spans="1:26" ht="16.5" customHeight="1">
      <c r="A279" s="1073">
        <v>275</v>
      </c>
      <c r="B279" s="1073" t="s">
        <v>932</v>
      </c>
      <c r="C279" s="1072">
        <v>88.4</v>
      </c>
      <c r="D279" s="1071">
        <f t="shared" si="23"/>
        <v>26.741</v>
      </c>
      <c r="E279" s="1070">
        <v>4421.25</v>
      </c>
      <c r="F279" s="1069">
        <f t="shared" si="24"/>
        <v>14615.702479338843</v>
      </c>
      <c r="G279" s="1069">
        <f t="shared" si="25"/>
        <v>390838.5</v>
      </c>
      <c r="H279" s="1068" t="e">
        <f>#REF!</f>
        <v>#REF!</v>
      </c>
      <c r="I279" s="1040"/>
      <c r="J279" s="1040"/>
      <c r="K279" s="1023"/>
      <c r="L279" s="1023"/>
      <c r="M279" s="1023"/>
      <c r="N279" s="1023"/>
      <c r="O279" s="1023"/>
      <c r="P279" s="1023"/>
      <c r="Q279" s="1023"/>
      <c r="R279" s="1023"/>
      <c r="S279" s="1023"/>
      <c r="T279" s="934"/>
      <c r="U279" s="934"/>
      <c r="V279" s="934"/>
      <c r="W279" s="934"/>
      <c r="X279" s="934"/>
      <c r="Y279" s="934"/>
      <c r="Z279" s="934"/>
    </row>
    <row r="280" spans="1:26" ht="16.5" customHeight="1">
      <c r="A280" s="1073">
        <v>276</v>
      </c>
      <c r="B280" s="1073" t="s">
        <v>933</v>
      </c>
      <c r="C280" s="1072">
        <v>89</v>
      </c>
      <c r="D280" s="1071">
        <f t="shared" si="23"/>
        <v>26.922499999999999</v>
      </c>
      <c r="E280" s="1070">
        <v>4421.25</v>
      </c>
      <c r="F280" s="1069">
        <f t="shared" si="24"/>
        <v>14615.702479338843</v>
      </c>
      <c r="G280" s="1069">
        <f t="shared" si="25"/>
        <v>393491.25</v>
      </c>
      <c r="H280" s="1068" t="e">
        <f>#REF!</f>
        <v>#REF!</v>
      </c>
      <c r="I280" s="1040"/>
      <c r="J280" s="1040"/>
      <c r="K280" s="1023"/>
      <c r="L280" s="1023"/>
      <c r="M280" s="1023"/>
      <c r="N280" s="1023"/>
      <c r="O280" s="1023"/>
      <c r="P280" s="1023"/>
      <c r="Q280" s="1023"/>
      <c r="R280" s="1023"/>
      <c r="S280" s="1023"/>
      <c r="T280" s="934"/>
      <c r="U280" s="934"/>
      <c r="V280" s="934"/>
      <c r="W280" s="934"/>
      <c r="X280" s="934"/>
      <c r="Y280" s="934"/>
      <c r="Z280" s="934"/>
    </row>
    <row r="281" spans="1:26" ht="16.5" customHeight="1">
      <c r="A281" s="1073">
        <v>277</v>
      </c>
      <c r="B281" s="1073" t="s">
        <v>934</v>
      </c>
      <c r="C281" s="1072">
        <v>87.1</v>
      </c>
      <c r="D281" s="1071">
        <f t="shared" si="23"/>
        <v>26.347749999999998</v>
      </c>
      <c r="E281" s="1070">
        <v>4421.25</v>
      </c>
      <c r="F281" s="1069">
        <f t="shared" si="24"/>
        <v>14615.702479338843</v>
      </c>
      <c r="G281" s="1069">
        <f t="shared" si="25"/>
        <v>385090.875</v>
      </c>
      <c r="H281" s="1068" t="e">
        <f>#REF!</f>
        <v>#REF!</v>
      </c>
      <c r="I281" s="1040"/>
      <c r="J281" s="1040"/>
      <c r="K281" s="1023"/>
      <c r="L281" s="1023"/>
      <c r="M281" s="1023"/>
      <c r="N281" s="1023"/>
      <c r="O281" s="1023"/>
      <c r="P281" s="1023"/>
      <c r="Q281" s="1023"/>
      <c r="R281" s="1023"/>
      <c r="S281" s="1023"/>
      <c r="T281" s="934"/>
      <c r="U281" s="934"/>
      <c r="V281" s="934"/>
      <c r="W281" s="934"/>
      <c r="X281" s="934"/>
      <c r="Y281" s="934"/>
      <c r="Z281" s="934"/>
    </row>
    <row r="282" spans="1:26" ht="16.5" customHeight="1">
      <c r="A282" s="1073">
        <v>278</v>
      </c>
      <c r="B282" s="1073" t="s">
        <v>935</v>
      </c>
      <c r="C282" s="1072">
        <v>85.9</v>
      </c>
      <c r="D282" s="1071">
        <f t="shared" si="23"/>
        <v>25.984750000000002</v>
      </c>
      <c r="E282" s="1070">
        <v>4421.25</v>
      </c>
      <c r="F282" s="1069">
        <f t="shared" si="24"/>
        <v>14615.702479338843</v>
      </c>
      <c r="G282" s="1069">
        <f t="shared" si="25"/>
        <v>379785.375</v>
      </c>
      <c r="H282" s="1068" t="e">
        <f>#REF!</f>
        <v>#REF!</v>
      </c>
      <c r="I282" s="1040"/>
      <c r="J282" s="1040"/>
      <c r="K282" s="1023"/>
      <c r="L282" s="1023"/>
      <c r="M282" s="1023"/>
      <c r="N282" s="1023"/>
      <c r="O282" s="1023"/>
      <c r="P282" s="1023"/>
      <c r="Q282" s="1023"/>
      <c r="R282" s="1023"/>
      <c r="S282" s="1023"/>
      <c r="T282" s="934"/>
      <c r="U282" s="934"/>
      <c r="V282" s="934"/>
      <c r="W282" s="934"/>
      <c r="X282" s="934"/>
      <c r="Y282" s="934"/>
      <c r="Z282" s="934"/>
    </row>
    <row r="283" spans="1:26" ht="16.5" customHeight="1">
      <c r="A283" s="1073">
        <v>279</v>
      </c>
      <c r="B283" s="1073" t="s">
        <v>936</v>
      </c>
      <c r="C283" s="1072">
        <v>88.7</v>
      </c>
      <c r="D283" s="1071">
        <f t="shared" si="23"/>
        <v>26.83175</v>
      </c>
      <c r="E283" s="1070">
        <v>4421.25</v>
      </c>
      <c r="F283" s="1069">
        <f t="shared" si="24"/>
        <v>14615.702479338843</v>
      </c>
      <c r="G283" s="1069">
        <f t="shared" si="25"/>
        <v>392164.875</v>
      </c>
      <c r="H283" s="1068" t="e">
        <f>#REF!</f>
        <v>#REF!</v>
      </c>
      <c r="I283" s="1040"/>
      <c r="J283" s="1040"/>
      <c r="K283" s="1023"/>
      <c r="L283" s="1023"/>
      <c r="M283" s="1023"/>
      <c r="N283" s="1023"/>
      <c r="O283" s="1023"/>
      <c r="P283" s="1023"/>
      <c r="Q283" s="1023"/>
      <c r="R283" s="1023"/>
      <c r="S283" s="1023"/>
      <c r="T283" s="934"/>
      <c r="U283" s="934"/>
      <c r="V283" s="934"/>
      <c r="W283" s="934"/>
      <c r="X283" s="934"/>
      <c r="Y283" s="934"/>
      <c r="Z283" s="934"/>
    </row>
    <row r="284" spans="1:26" ht="16.5" customHeight="1">
      <c r="A284" s="1073">
        <v>280</v>
      </c>
      <c r="B284" s="1073" t="s">
        <v>937</v>
      </c>
      <c r="C284" s="1072">
        <v>90.5</v>
      </c>
      <c r="D284" s="1071">
        <f t="shared" si="23"/>
        <v>27.376249999999999</v>
      </c>
      <c r="E284" s="1070">
        <v>4421.25</v>
      </c>
      <c r="F284" s="1069">
        <f t="shared" si="24"/>
        <v>14615.702479338843</v>
      </c>
      <c r="G284" s="1069">
        <f t="shared" si="25"/>
        <v>400123.125</v>
      </c>
      <c r="H284" s="1068" t="e">
        <f>#REF!</f>
        <v>#REF!</v>
      </c>
      <c r="I284" s="1040"/>
      <c r="J284" s="1040"/>
      <c r="K284" s="1023"/>
      <c r="L284" s="1023"/>
      <c r="M284" s="1023"/>
      <c r="N284" s="1023"/>
      <c r="O284" s="1023"/>
      <c r="P284" s="1023"/>
      <c r="Q284" s="1023"/>
      <c r="R284" s="1023"/>
      <c r="S284" s="1023"/>
      <c r="T284" s="934"/>
      <c r="U284" s="934"/>
      <c r="V284" s="934"/>
      <c r="W284" s="934"/>
      <c r="X284" s="934"/>
      <c r="Y284" s="934"/>
      <c r="Z284" s="934"/>
    </row>
    <row r="285" spans="1:26" ht="16.5" customHeight="1">
      <c r="A285" s="1073">
        <v>281</v>
      </c>
      <c r="B285" s="1073" t="s">
        <v>938</v>
      </c>
      <c r="C285" s="1072">
        <v>88.5</v>
      </c>
      <c r="D285" s="1071">
        <f t="shared" si="23"/>
        <v>26.771249999999998</v>
      </c>
      <c r="E285" s="1070">
        <v>4421.25</v>
      </c>
      <c r="F285" s="1069">
        <f t="shared" si="24"/>
        <v>14615.702479338843</v>
      </c>
      <c r="G285" s="1069">
        <f t="shared" si="25"/>
        <v>391280.625</v>
      </c>
      <c r="H285" s="1068" t="e">
        <f>#REF!</f>
        <v>#REF!</v>
      </c>
      <c r="I285" s="1040"/>
      <c r="J285" s="1040"/>
      <c r="K285" s="1023"/>
      <c r="L285" s="1023"/>
      <c r="M285" s="1023"/>
      <c r="N285" s="1023"/>
      <c r="O285" s="1023"/>
      <c r="P285" s="1023"/>
      <c r="Q285" s="1023"/>
      <c r="R285" s="1023"/>
      <c r="S285" s="1023"/>
      <c r="T285" s="934"/>
      <c r="U285" s="934"/>
      <c r="V285" s="934"/>
      <c r="W285" s="934"/>
      <c r="X285" s="934"/>
      <c r="Y285" s="934"/>
      <c r="Z285" s="934"/>
    </row>
    <row r="286" spans="1:26" ht="16.5" customHeight="1">
      <c r="A286" s="1073">
        <v>282</v>
      </c>
      <c r="B286" s="1073" t="s">
        <v>939</v>
      </c>
      <c r="C286" s="1072">
        <v>90.5</v>
      </c>
      <c r="D286" s="1071">
        <f t="shared" si="23"/>
        <v>27.376249999999999</v>
      </c>
      <c r="E286" s="1070">
        <v>5813.75</v>
      </c>
      <c r="F286" s="1069">
        <f t="shared" si="24"/>
        <v>19219.008264462809</v>
      </c>
      <c r="G286" s="1069">
        <f t="shared" si="25"/>
        <v>526144.375</v>
      </c>
      <c r="H286" s="1068" t="e">
        <f>#REF!</f>
        <v>#REF!</v>
      </c>
      <c r="I286" s="1040"/>
      <c r="J286" s="1040"/>
      <c r="K286" s="1023"/>
      <c r="L286" s="1023"/>
      <c r="M286" s="1023"/>
      <c r="N286" s="1023"/>
      <c r="O286" s="1023"/>
      <c r="P286" s="1023"/>
      <c r="Q286" s="1023"/>
      <c r="R286" s="1023"/>
      <c r="S286" s="1023"/>
      <c r="T286" s="934"/>
      <c r="U286" s="934"/>
      <c r="V286" s="934"/>
      <c r="W286" s="934"/>
      <c r="X286" s="934"/>
      <c r="Y286" s="934"/>
      <c r="Z286" s="934"/>
    </row>
    <row r="287" spans="1:26" ht="16.5" customHeight="1">
      <c r="A287" s="1073">
        <v>283</v>
      </c>
      <c r="B287" s="1073" t="s">
        <v>940</v>
      </c>
      <c r="C287" s="1072">
        <v>495.2</v>
      </c>
      <c r="D287" s="1071">
        <f t="shared" si="23"/>
        <v>149.798</v>
      </c>
      <c r="E287" s="1070">
        <v>1488.75</v>
      </c>
      <c r="F287" s="1069">
        <f t="shared" si="24"/>
        <v>4921.4876033057853</v>
      </c>
      <c r="G287" s="1069">
        <f t="shared" si="25"/>
        <v>737229</v>
      </c>
      <c r="H287" s="1068" t="e">
        <f>#REF!</f>
        <v>#REF!</v>
      </c>
      <c r="I287" s="1040"/>
      <c r="J287" s="1040"/>
      <c r="K287" s="1023"/>
      <c r="L287" s="1023"/>
      <c r="M287" s="1023"/>
      <c r="N287" s="1023"/>
      <c r="O287" s="1023"/>
      <c r="P287" s="1023"/>
      <c r="Q287" s="1023"/>
      <c r="R287" s="1023"/>
      <c r="S287" s="1023"/>
      <c r="T287" s="934"/>
      <c r="U287" s="934"/>
      <c r="V287" s="934"/>
      <c r="W287" s="934"/>
      <c r="X287" s="934"/>
      <c r="Y287" s="934"/>
      <c r="Z287" s="934"/>
    </row>
    <row r="288" spans="1:26" ht="16.5" customHeight="1">
      <c r="A288" s="1073">
        <v>284</v>
      </c>
      <c r="B288" s="1073" t="s">
        <v>941</v>
      </c>
      <c r="C288" s="1072">
        <v>89.2</v>
      </c>
      <c r="D288" s="1071">
        <f t="shared" si="23"/>
        <v>26.983000000000001</v>
      </c>
      <c r="E288" s="1070">
        <v>4887.5</v>
      </c>
      <c r="F288" s="1069">
        <f t="shared" si="24"/>
        <v>16157.024793388431</v>
      </c>
      <c r="G288" s="1069">
        <f t="shared" si="25"/>
        <v>435965</v>
      </c>
      <c r="H288" s="1068" t="e">
        <f>#REF!</f>
        <v>#REF!</v>
      </c>
      <c r="I288" s="1040"/>
      <c r="J288" s="1040"/>
      <c r="K288" s="1023"/>
      <c r="L288" s="1023"/>
      <c r="M288" s="1023"/>
      <c r="N288" s="1023"/>
      <c r="O288" s="1023"/>
      <c r="P288" s="1023"/>
      <c r="Q288" s="1023"/>
      <c r="R288" s="1023"/>
      <c r="S288" s="1023"/>
      <c r="T288" s="934"/>
      <c r="U288" s="934"/>
      <c r="V288" s="934"/>
      <c r="W288" s="934"/>
      <c r="X288" s="934"/>
      <c r="Y288" s="934"/>
      <c r="Z288" s="934"/>
    </row>
    <row r="289" spans="1:26" ht="16.5" customHeight="1">
      <c r="A289" s="1073">
        <v>285</v>
      </c>
      <c r="B289" s="1073" t="s">
        <v>942</v>
      </c>
      <c r="C289" s="1072">
        <v>88.1</v>
      </c>
      <c r="D289" s="1071">
        <f t="shared" si="23"/>
        <v>26.650249999999996</v>
      </c>
      <c r="E289" s="1070">
        <v>4857.5</v>
      </c>
      <c r="F289" s="1069">
        <f t="shared" si="24"/>
        <v>16057.851239669422</v>
      </c>
      <c r="G289" s="1069">
        <f t="shared" si="25"/>
        <v>427945.75</v>
      </c>
      <c r="H289" s="1068" t="e">
        <f>#REF!</f>
        <v>#REF!</v>
      </c>
      <c r="I289" s="1040"/>
      <c r="J289" s="1040"/>
      <c r="K289" s="1023"/>
      <c r="L289" s="1023"/>
      <c r="M289" s="1023"/>
      <c r="N289" s="1023"/>
      <c r="O289" s="1023"/>
      <c r="P289" s="1023"/>
      <c r="Q289" s="1023"/>
      <c r="R289" s="1023"/>
      <c r="S289" s="1023"/>
      <c r="T289" s="934"/>
      <c r="U289" s="934"/>
      <c r="V289" s="934"/>
      <c r="W289" s="934"/>
      <c r="X289" s="934"/>
      <c r="Y289" s="934"/>
      <c r="Z289" s="934"/>
    </row>
    <row r="290" spans="1:26" ht="16.5" customHeight="1">
      <c r="A290" s="1073">
        <v>286</v>
      </c>
      <c r="B290" s="1073" t="s">
        <v>943</v>
      </c>
      <c r="C290" s="1072">
        <v>87.6</v>
      </c>
      <c r="D290" s="1071">
        <f t="shared" si="23"/>
        <v>26.498999999999999</v>
      </c>
      <c r="E290" s="1070">
        <v>4857.5</v>
      </c>
      <c r="F290" s="1069">
        <f t="shared" si="24"/>
        <v>16057.851239669422</v>
      </c>
      <c r="G290" s="1069">
        <f t="shared" si="25"/>
        <v>425517</v>
      </c>
      <c r="H290" s="1068" t="e">
        <f>#REF!</f>
        <v>#REF!</v>
      </c>
      <c r="I290" s="1040"/>
      <c r="J290" s="1040"/>
      <c r="K290" s="1023"/>
      <c r="L290" s="1023"/>
      <c r="M290" s="1023"/>
      <c r="N290" s="1023"/>
      <c r="O290" s="1023"/>
      <c r="P290" s="1023"/>
      <c r="Q290" s="1023"/>
      <c r="R290" s="1023"/>
      <c r="S290" s="1023"/>
      <c r="T290" s="934"/>
      <c r="U290" s="934"/>
      <c r="V290" s="934"/>
      <c r="W290" s="934"/>
      <c r="X290" s="934"/>
      <c r="Y290" s="934"/>
      <c r="Z290" s="934"/>
    </row>
    <row r="291" spans="1:26" ht="16.5" customHeight="1">
      <c r="A291" s="1073">
        <v>287</v>
      </c>
      <c r="B291" s="1073" t="s">
        <v>944</v>
      </c>
      <c r="C291" s="1072">
        <v>88.5</v>
      </c>
      <c r="D291" s="1071">
        <f t="shared" si="23"/>
        <v>26.771249999999998</v>
      </c>
      <c r="E291" s="1070">
        <v>4857.5</v>
      </c>
      <c r="F291" s="1069">
        <f t="shared" si="24"/>
        <v>16057.851239669422</v>
      </c>
      <c r="G291" s="1069">
        <f t="shared" si="25"/>
        <v>429888.75</v>
      </c>
      <c r="H291" s="1068" t="e">
        <f>#REF!</f>
        <v>#REF!</v>
      </c>
      <c r="I291" s="1040"/>
      <c r="J291" s="1040"/>
      <c r="K291" s="1023"/>
      <c r="L291" s="1023"/>
      <c r="M291" s="1023"/>
      <c r="N291" s="1023"/>
      <c r="O291" s="1023"/>
      <c r="P291" s="1023"/>
      <c r="Q291" s="1023"/>
      <c r="R291" s="1023"/>
      <c r="S291" s="1023"/>
      <c r="T291" s="934"/>
      <c r="U291" s="934"/>
      <c r="V291" s="934"/>
      <c r="W291" s="934"/>
      <c r="X291" s="934"/>
      <c r="Y291" s="934"/>
      <c r="Z291" s="934"/>
    </row>
    <row r="292" spans="1:26" ht="16.5" customHeight="1">
      <c r="A292" s="1073">
        <v>288</v>
      </c>
      <c r="B292" s="1073" t="s">
        <v>945</v>
      </c>
      <c r="C292" s="1072">
        <v>88</v>
      </c>
      <c r="D292" s="1071">
        <f t="shared" si="23"/>
        <v>26.619999999999997</v>
      </c>
      <c r="E292" s="1070">
        <v>4857.5</v>
      </c>
      <c r="F292" s="1069">
        <f t="shared" si="24"/>
        <v>16057.851239669422</v>
      </c>
      <c r="G292" s="1069">
        <f t="shared" si="25"/>
        <v>427460</v>
      </c>
      <c r="H292" s="1068" t="e">
        <f>#REF!</f>
        <v>#REF!</v>
      </c>
      <c r="I292" s="1040"/>
      <c r="J292" s="1040"/>
      <c r="K292" s="1023"/>
      <c r="L292" s="1023"/>
      <c r="M292" s="1023"/>
      <c r="N292" s="1023"/>
      <c r="O292" s="1023"/>
      <c r="P292" s="1023"/>
      <c r="Q292" s="1023"/>
      <c r="R292" s="1023"/>
      <c r="S292" s="1023"/>
      <c r="T292" s="934"/>
      <c r="U292" s="934"/>
      <c r="V292" s="934"/>
      <c r="W292" s="934"/>
      <c r="X292" s="934"/>
      <c r="Y292" s="934"/>
      <c r="Z292" s="934"/>
    </row>
    <row r="293" spans="1:26" ht="16.5" customHeight="1">
      <c r="A293" s="1073">
        <v>289</v>
      </c>
      <c r="B293" s="1073" t="s">
        <v>946</v>
      </c>
      <c r="C293" s="1072">
        <v>86.7</v>
      </c>
      <c r="D293" s="1071">
        <f t="shared" si="23"/>
        <v>26.226749999999999</v>
      </c>
      <c r="E293" s="1070">
        <v>4857.5</v>
      </c>
      <c r="F293" s="1069">
        <f t="shared" si="24"/>
        <v>16057.851239669422</v>
      </c>
      <c r="G293" s="1069">
        <f t="shared" si="25"/>
        <v>421145.25</v>
      </c>
      <c r="H293" s="1068" t="e">
        <f>#REF!</f>
        <v>#REF!</v>
      </c>
      <c r="I293" s="1040"/>
      <c r="J293" s="1040"/>
      <c r="K293" s="1023"/>
      <c r="L293" s="1023"/>
      <c r="M293" s="1023"/>
      <c r="N293" s="1023"/>
      <c r="O293" s="1023"/>
      <c r="P293" s="1023"/>
      <c r="Q293" s="1023"/>
      <c r="R293" s="1023"/>
      <c r="S293" s="1023"/>
      <c r="T293" s="934"/>
      <c r="U293" s="934"/>
      <c r="V293" s="934"/>
      <c r="W293" s="934"/>
      <c r="X293" s="934"/>
      <c r="Y293" s="934"/>
      <c r="Z293" s="934"/>
    </row>
    <row r="294" spans="1:26" ht="16.5" customHeight="1">
      <c r="A294" s="1073">
        <v>290</v>
      </c>
      <c r="B294" s="1073" t="s">
        <v>947</v>
      </c>
      <c r="C294" s="1072">
        <v>88.6</v>
      </c>
      <c r="D294" s="1071">
        <f t="shared" si="23"/>
        <v>26.801499999999997</v>
      </c>
      <c r="E294" s="1070">
        <v>4857.5</v>
      </c>
      <c r="F294" s="1069">
        <f t="shared" si="24"/>
        <v>16057.851239669422</v>
      </c>
      <c r="G294" s="1069">
        <f t="shared" si="25"/>
        <v>430374.5</v>
      </c>
      <c r="H294" s="1068" t="e">
        <f>#REF!</f>
        <v>#REF!</v>
      </c>
      <c r="I294" s="1040"/>
      <c r="J294" s="1040"/>
      <c r="K294" s="1023"/>
      <c r="L294" s="1023"/>
      <c r="M294" s="1023"/>
      <c r="N294" s="1023"/>
      <c r="O294" s="1023"/>
      <c r="P294" s="1023"/>
      <c r="Q294" s="1023"/>
      <c r="R294" s="1023"/>
      <c r="S294" s="1023"/>
      <c r="T294" s="934"/>
      <c r="U294" s="934"/>
      <c r="V294" s="934"/>
      <c r="W294" s="934"/>
      <c r="X294" s="934"/>
      <c r="Y294" s="934"/>
      <c r="Z294" s="934"/>
    </row>
    <row r="295" spans="1:26" ht="16.5" customHeight="1">
      <c r="A295" s="1073">
        <v>291</v>
      </c>
      <c r="B295" s="1073" t="s">
        <v>948</v>
      </c>
      <c r="C295" s="1072">
        <v>86.9</v>
      </c>
      <c r="D295" s="1071">
        <f t="shared" si="23"/>
        <v>26.28725</v>
      </c>
      <c r="E295" s="1070">
        <v>4857.5</v>
      </c>
      <c r="F295" s="1069">
        <f t="shared" si="24"/>
        <v>16057.851239669422</v>
      </c>
      <c r="G295" s="1069">
        <f t="shared" si="25"/>
        <v>422116.75</v>
      </c>
      <c r="H295" s="1068" t="e">
        <f>#REF!</f>
        <v>#REF!</v>
      </c>
      <c r="I295" s="1040"/>
      <c r="J295" s="1040"/>
      <c r="K295" s="1023"/>
      <c r="L295" s="1023"/>
      <c r="M295" s="1023"/>
      <c r="N295" s="1023"/>
      <c r="O295" s="1023"/>
      <c r="P295" s="1023"/>
      <c r="Q295" s="1023"/>
      <c r="R295" s="1023"/>
      <c r="S295" s="1023"/>
      <c r="T295" s="934"/>
      <c r="U295" s="934"/>
      <c r="V295" s="934"/>
      <c r="W295" s="934"/>
      <c r="X295" s="934"/>
      <c r="Y295" s="934"/>
      <c r="Z295" s="934"/>
    </row>
    <row r="296" spans="1:26" ht="16.5" customHeight="1">
      <c r="A296" s="1073">
        <v>292</v>
      </c>
      <c r="B296" s="1073" t="s">
        <v>949</v>
      </c>
      <c r="C296" s="1072">
        <v>90.1</v>
      </c>
      <c r="D296" s="1071">
        <f t="shared" si="23"/>
        <v>27.255249999999997</v>
      </c>
      <c r="E296" s="1070">
        <v>4857.5</v>
      </c>
      <c r="F296" s="1069">
        <f t="shared" si="24"/>
        <v>16057.851239669422</v>
      </c>
      <c r="G296" s="1069">
        <f t="shared" si="25"/>
        <v>437660.75</v>
      </c>
      <c r="H296" s="1068" t="e">
        <f>#REF!</f>
        <v>#REF!</v>
      </c>
      <c r="I296" s="1040"/>
      <c r="J296" s="1040"/>
      <c r="K296" s="1023"/>
      <c r="L296" s="1023"/>
      <c r="M296" s="1023"/>
      <c r="N296" s="1023"/>
      <c r="O296" s="1023"/>
      <c r="P296" s="1023"/>
      <c r="Q296" s="1023"/>
      <c r="R296" s="1023"/>
      <c r="S296" s="1023"/>
      <c r="T296" s="934"/>
      <c r="U296" s="934"/>
      <c r="V296" s="934"/>
      <c r="W296" s="934"/>
      <c r="X296" s="934"/>
      <c r="Y296" s="934"/>
      <c r="Z296" s="934"/>
    </row>
    <row r="297" spans="1:26" ht="16.5" customHeight="1">
      <c r="A297" s="1073">
        <v>293</v>
      </c>
      <c r="B297" s="1073" t="s">
        <v>950</v>
      </c>
      <c r="C297" s="1072">
        <v>87.4</v>
      </c>
      <c r="D297" s="1071">
        <f t="shared" si="23"/>
        <v>26.438500000000001</v>
      </c>
      <c r="E297" s="1070">
        <v>4857.5</v>
      </c>
      <c r="F297" s="1069">
        <f t="shared" si="24"/>
        <v>16057.851239669422</v>
      </c>
      <c r="G297" s="1069">
        <f t="shared" si="25"/>
        <v>424545.5</v>
      </c>
      <c r="H297" s="1068" t="e">
        <f>#REF!</f>
        <v>#REF!</v>
      </c>
      <c r="I297" s="1040"/>
      <c r="J297" s="1040"/>
      <c r="K297" s="1023"/>
      <c r="L297" s="1023"/>
      <c r="M297" s="1023"/>
      <c r="N297" s="1023"/>
      <c r="O297" s="1023"/>
      <c r="P297" s="1023"/>
      <c r="Q297" s="1023"/>
      <c r="R297" s="1023"/>
      <c r="S297" s="1023"/>
      <c r="T297" s="934"/>
      <c r="U297" s="934"/>
      <c r="V297" s="934"/>
      <c r="W297" s="934"/>
      <c r="X297" s="934"/>
      <c r="Y297" s="934"/>
      <c r="Z297" s="934"/>
    </row>
    <row r="298" spans="1:26" ht="16.5" customHeight="1">
      <c r="A298" s="1073">
        <v>294</v>
      </c>
      <c r="B298" s="1073" t="s">
        <v>951</v>
      </c>
      <c r="C298" s="1072">
        <v>88.2</v>
      </c>
      <c r="D298" s="1071">
        <f t="shared" si="23"/>
        <v>26.680499999999999</v>
      </c>
      <c r="E298" s="1070">
        <v>4857.5</v>
      </c>
      <c r="F298" s="1069">
        <f t="shared" si="24"/>
        <v>16057.851239669422</v>
      </c>
      <c r="G298" s="1069">
        <f t="shared" si="25"/>
        <v>428431.5</v>
      </c>
      <c r="H298" s="1068" t="e">
        <f>#REF!</f>
        <v>#REF!</v>
      </c>
      <c r="I298" s="1040"/>
      <c r="J298" s="1040"/>
      <c r="K298" s="1023"/>
      <c r="L298" s="1023"/>
      <c r="M298" s="1023"/>
      <c r="N298" s="1023"/>
      <c r="O298" s="1023"/>
      <c r="P298" s="1023"/>
      <c r="Q298" s="1023"/>
      <c r="R298" s="1023"/>
      <c r="S298" s="1023"/>
      <c r="T298" s="934"/>
      <c r="U298" s="934"/>
      <c r="V298" s="934"/>
      <c r="W298" s="934"/>
      <c r="X298" s="934"/>
      <c r="Y298" s="934"/>
      <c r="Z298" s="934"/>
    </row>
    <row r="299" spans="1:26" ht="16.5" customHeight="1">
      <c r="A299" s="1073">
        <v>295</v>
      </c>
      <c r="B299" s="1073" t="s">
        <v>952</v>
      </c>
      <c r="C299" s="1072">
        <v>86.7</v>
      </c>
      <c r="D299" s="1071">
        <f t="shared" si="23"/>
        <v>26.226749999999999</v>
      </c>
      <c r="E299" s="1070">
        <v>4857.5</v>
      </c>
      <c r="F299" s="1069">
        <f t="shared" si="24"/>
        <v>16057.851239669422</v>
      </c>
      <c r="G299" s="1069">
        <f t="shared" si="25"/>
        <v>421145.25</v>
      </c>
      <c r="H299" s="1068" t="e">
        <f>#REF!</f>
        <v>#REF!</v>
      </c>
      <c r="I299" s="1040"/>
      <c r="J299" s="1040"/>
      <c r="K299" s="1023"/>
      <c r="L299" s="1023"/>
      <c r="M299" s="1023"/>
      <c r="N299" s="1023"/>
      <c r="O299" s="1023"/>
      <c r="P299" s="1023"/>
      <c r="Q299" s="1023"/>
      <c r="R299" s="1023"/>
      <c r="S299" s="1023"/>
      <c r="T299" s="934"/>
      <c r="U299" s="934"/>
      <c r="V299" s="934"/>
      <c r="W299" s="934"/>
      <c r="X299" s="934"/>
      <c r="Y299" s="934"/>
      <c r="Z299" s="934"/>
    </row>
    <row r="300" spans="1:26" ht="16.5" customHeight="1">
      <c r="A300" s="1073">
        <v>296</v>
      </c>
      <c r="B300" s="1073" t="s">
        <v>953</v>
      </c>
      <c r="C300" s="1072">
        <v>89.6</v>
      </c>
      <c r="D300" s="1071">
        <f t="shared" si="23"/>
        <v>27.103999999999999</v>
      </c>
      <c r="E300" s="1070">
        <v>4857.5</v>
      </c>
      <c r="F300" s="1069">
        <f t="shared" si="24"/>
        <v>16057.851239669422</v>
      </c>
      <c r="G300" s="1069">
        <f t="shared" si="25"/>
        <v>435232</v>
      </c>
      <c r="H300" s="1068" t="e">
        <f>#REF!</f>
        <v>#REF!</v>
      </c>
      <c r="I300" s="1040"/>
      <c r="J300" s="1040"/>
      <c r="K300" s="1023"/>
      <c r="L300" s="1023"/>
      <c r="M300" s="1023"/>
      <c r="N300" s="1023"/>
      <c r="O300" s="1023"/>
      <c r="P300" s="1023"/>
      <c r="Q300" s="1023"/>
      <c r="R300" s="1023"/>
      <c r="S300" s="1023"/>
      <c r="T300" s="934"/>
      <c r="U300" s="934"/>
      <c r="V300" s="934"/>
      <c r="W300" s="934"/>
      <c r="X300" s="934"/>
      <c r="Y300" s="934"/>
      <c r="Z300" s="934"/>
    </row>
    <row r="301" spans="1:26" ht="16.5" customHeight="1">
      <c r="A301" s="1073">
        <v>297</v>
      </c>
      <c r="B301" s="1073" t="s">
        <v>954</v>
      </c>
      <c r="C301" s="1072">
        <v>87.9</v>
      </c>
      <c r="D301" s="1071">
        <f t="shared" si="23"/>
        <v>26.589750000000002</v>
      </c>
      <c r="E301" s="1070">
        <v>4857.5</v>
      </c>
      <c r="F301" s="1069">
        <f t="shared" si="24"/>
        <v>16057.851239669422</v>
      </c>
      <c r="G301" s="1069">
        <f t="shared" si="25"/>
        <v>426974.25</v>
      </c>
      <c r="H301" s="1068" t="e">
        <f>#REF!</f>
        <v>#REF!</v>
      </c>
      <c r="I301" s="1040"/>
      <c r="J301" s="1040"/>
      <c r="K301" s="1023"/>
      <c r="L301" s="1023"/>
      <c r="M301" s="1023"/>
      <c r="N301" s="1023"/>
      <c r="O301" s="1023"/>
      <c r="P301" s="1023"/>
      <c r="Q301" s="1023"/>
      <c r="R301" s="1023"/>
      <c r="S301" s="1023"/>
      <c r="T301" s="934"/>
      <c r="U301" s="934"/>
      <c r="V301" s="934"/>
      <c r="W301" s="934"/>
      <c r="X301" s="934"/>
      <c r="Y301" s="934"/>
      <c r="Z301" s="934"/>
    </row>
    <row r="302" spans="1:26" ht="16.5" customHeight="1">
      <c r="A302" s="1073">
        <v>298</v>
      </c>
      <c r="B302" s="1073" t="s">
        <v>955</v>
      </c>
      <c r="C302" s="1072">
        <v>85.6</v>
      </c>
      <c r="D302" s="1071">
        <f t="shared" si="23"/>
        <v>25.893999999999998</v>
      </c>
      <c r="E302" s="1070">
        <v>4857.5</v>
      </c>
      <c r="F302" s="1069">
        <f t="shared" si="24"/>
        <v>16057.851239669422</v>
      </c>
      <c r="G302" s="1069">
        <f t="shared" si="25"/>
        <v>415802</v>
      </c>
      <c r="H302" s="1068" t="e">
        <f>#REF!</f>
        <v>#REF!</v>
      </c>
      <c r="I302" s="1040"/>
      <c r="J302" s="1040"/>
      <c r="K302" s="1023"/>
      <c r="L302" s="1023"/>
      <c r="M302" s="1023"/>
      <c r="N302" s="1023"/>
      <c r="O302" s="1023"/>
      <c r="P302" s="1023"/>
      <c r="Q302" s="1023"/>
      <c r="R302" s="1023"/>
      <c r="S302" s="1023"/>
      <c r="T302" s="934"/>
      <c r="U302" s="934"/>
      <c r="V302" s="934"/>
      <c r="W302" s="934"/>
      <c r="X302" s="934"/>
      <c r="Y302" s="934"/>
      <c r="Z302" s="934"/>
    </row>
    <row r="303" spans="1:26" ht="16.5" customHeight="1">
      <c r="A303" s="1073">
        <v>299</v>
      </c>
      <c r="B303" s="1073" t="s">
        <v>956</v>
      </c>
      <c r="C303" s="1072">
        <v>91.4</v>
      </c>
      <c r="D303" s="1071">
        <f t="shared" si="23"/>
        <v>27.648500000000002</v>
      </c>
      <c r="E303" s="1070">
        <v>7150</v>
      </c>
      <c r="F303" s="1069">
        <f t="shared" si="24"/>
        <v>23636.363636363636</v>
      </c>
      <c r="G303" s="1069">
        <f t="shared" si="25"/>
        <v>653510</v>
      </c>
      <c r="H303" s="1068" t="e">
        <f>#REF!</f>
        <v>#REF!</v>
      </c>
      <c r="I303" s="1040"/>
      <c r="J303" s="1040"/>
      <c r="K303" s="1023"/>
      <c r="L303" s="1023"/>
      <c r="M303" s="1023"/>
      <c r="N303" s="1023"/>
      <c r="O303" s="1023"/>
      <c r="P303" s="1023"/>
      <c r="Q303" s="1023"/>
      <c r="R303" s="1023"/>
      <c r="S303" s="1023"/>
      <c r="T303" s="934"/>
      <c r="U303" s="934"/>
      <c r="V303" s="934"/>
      <c r="W303" s="934"/>
      <c r="X303" s="934"/>
      <c r="Y303" s="934"/>
      <c r="Z303" s="934"/>
    </row>
    <row r="304" spans="1:26" ht="16.5" customHeight="1">
      <c r="A304" s="1073">
        <v>300</v>
      </c>
      <c r="B304" s="1073" t="s">
        <v>957</v>
      </c>
      <c r="C304" s="1072">
        <v>180.9</v>
      </c>
      <c r="D304" s="1071">
        <f t="shared" si="23"/>
        <v>54.722250000000003</v>
      </c>
      <c r="E304" s="1070">
        <v>4421.25</v>
      </c>
      <c r="F304" s="1069">
        <f t="shared" si="24"/>
        <v>14615.702479338843</v>
      </c>
      <c r="G304" s="1069">
        <f t="shared" si="25"/>
        <v>799804.125</v>
      </c>
      <c r="H304" s="1068" t="e">
        <f>#REF!</f>
        <v>#REF!</v>
      </c>
      <c r="I304" s="1040"/>
      <c r="J304" s="1040"/>
      <c r="K304" s="1023"/>
      <c r="L304" s="1023"/>
      <c r="M304" s="1023"/>
      <c r="N304" s="1023"/>
      <c r="O304" s="1023"/>
      <c r="P304" s="1023"/>
      <c r="Q304" s="1023"/>
      <c r="R304" s="1023"/>
      <c r="S304" s="1023"/>
      <c r="T304" s="934"/>
      <c r="U304" s="934"/>
      <c r="V304" s="934"/>
      <c r="W304" s="934"/>
      <c r="X304" s="934"/>
      <c r="Y304" s="934"/>
      <c r="Z304" s="934"/>
    </row>
    <row r="305" spans="1:26" ht="16.5" customHeight="1">
      <c r="A305" s="1073">
        <v>301</v>
      </c>
      <c r="B305" s="1073" t="s">
        <v>958</v>
      </c>
      <c r="C305" s="1072">
        <v>89.4</v>
      </c>
      <c r="D305" s="1071">
        <f t="shared" si="23"/>
        <v>27.043500000000002</v>
      </c>
      <c r="E305" s="1070">
        <v>4421.25</v>
      </c>
      <c r="F305" s="1069">
        <f t="shared" si="24"/>
        <v>14615.702479338843</v>
      </c>
      <c r="G305" s="1069">
        <f t="shared" si="25"/>
        <v>395259.75</v>
      </c>
      <c r="H305" s="1068" t="e">
        <f>#REF!</f>
        <v>#REF!</v>
      </c>
      <c r="I305" s="1040"/>
      <c r="J305" s="1040"/>
      <c r="K305" s="1023"/>
      <c r="L305" s="1023"/>
      <c r="M305" s="1023"/>
      <c r="N305" s="1023"/>
      <c r="O305" s="1023"/>
      <c r="P305" s="1023"/>
      <c r="Q305" s="1023"/>
      <c r="R305" s="1023"/>
      <c r="S305" s="1023"/>
      <c r="T305" s="934"/>
      <c r="U305" s="934"/>
      <c r="V305" s="934"/>
      <c r="W305" s="934"/>
      <c r="X305" s="934"/>
      <c r="Y305" s="934"/>
      <c r="Z305" s="934"/>
    </row>
    <row r="306" spans="1:26" ht="16.5" customHeight="1">
      <c r="A306" s="1073">
        <v>302</v>
      </c>
      <c r="B306" s="1073" t="s">
        <v>959</v>
      </c>
      <c r="C306" s="1072">
        <v>89.9</v>
      </c>
      <c r="D306" s="1071">
        <f t="shared" si="23"/>
        <v>27.194750000000003</v>
      </c>
      <c r="E306" s="1070">
        <v>4421.25</v>
      </c>
      <c r="F306" s="1069">
        <f t="shared" si="24"/>
        <v>14615.702479338843</v>
      </c>
      <c r="G306" s="1069">
        <f t="shared" si="25"/>
        <v>397470.375</v>
      </c>
      <c r="H306" s="1068" t="e">
        <f>#REF!</f>
        <v>#REF!</v>
      </c>
      <c r="I306" s="1040"/>
      <c r="J306" s="1040"/>
      <c r="K306" s="1023"/>
      <c r="L306" s="1023"/>
      <c r="M306" s="1023"/>
      <c r="N306" s="1023"/>
      <c r="O306" s="1023"/>
      <c r="P306" s="1023"/>
      <c r="Q306" s="1023"/>
      <c r="R306" s="1023"/>
      <c r="S306" s="1023"/>
      <c r="T306" s="934"/>
      <c r="U306" s="934"/>
      <c r="V306" s="934"/>
      <c r="W306" s="934"/>
      <c r="X306" s="934"/>
      <c r="Y306" s="934"/>
      <c r="Z306" s="934"/>
    </row>
    <row r="307" spans="1:26" ht="16.5" customHeight="1">
      <c r="A307" s="1073">
        <v>303</v>
      </c>
      <c r="B307" s="1073" t="s">
        <v>960</v>
      </c>
      <c r="C307" s="1072">
        <v>89.1</v>
      </c>
      <c r="D307" s="1071">
        <f t="shared" si="23"/>
        <v>26.952749999999998</v>
      </c>
      <c r="E307" s="1070">
        <v>4421.25</v>
      </c>
      <c r="F307" s="1069">
        <f t="shared" si="24"/>
        <v>14615.702479338843</v>
      </c>
      <c r="G307" s="1069">
        <f t="shared" si="25"/>
        <v>393933.375</v>
      </c>
      <c r="H307" s="1068" t="e">
        <f>#REF!</f>
        <v>#REF!</v>
      </c>
      <c r="I307" s="1040"/>
      <c r="J307" s="1040"/>
      <c r="K307" s="1023"/>
      <c r="L307" s="1023"/>
      <c r="M307" s="1023"/>
      <c r="N307" s="1023"/>
      <c r="O307" s="1023"/>
      <c r="P307" s="1023"/>
      <c r="Q307" s="1023"/>
      <c r="R307" s="1023"/>
      <c r="S307" s="1023"/>
      <c r="T307" s="934"/>
      <c r="U307" s="934"/>
      <c r="V307" s="934"/>
      <c r="W307" s="934"/>
      <c r="X307" s="934"/>
      <c r="Y307" s="934"/>
      <c r="Z307" s="934"/>
    </row>
    <row r="308" spans="1:26" ht="16.5" customHeight="1">
      <c r="A308" s="1073">
        <v>304</v>
      </c>
      <c r="B308" s="1073" t="s">
        <v>961</v>
      </c>
      <c r="C308" s="1072">
        <v>91.8</v>
      </c>
      <c r="D308" s="1071">
        <f t="shared" si="23"/>
        <v>27.769499999999997</v>
      </c>
      <c r="E308" s="1070">
        <v>4421.25</v>
      </c>
      <c r="F308" s="1069">
        <f t="shared" si="24"/>
        <v>14615.702479338843</v>
      </c>
      <c r="G308" s="1069">
        <f t="shared" si="25"/>
        <v>405870.75</v>
      </c>
      <c r="H308" s="1068" t="e">
        <f>#REF!</f>
        <v>#REF!</v>
      </c>
      <c r="I308" s="1040"/>
      <c r="J308" s="1040"/>
      <c r="K308" s="1023"/>
      <c r="L308" s="1023"/>
      <c r="M308" s="1023"/>
      <c r="N308" s="1023"/>
      <c r="O308" s="1023"/>
      <c r="P308" s="1023"/>
      <c r="Q308" s="1023"/>
      <c r="R308" s="1023"/>
      <c r="S308" s="1023"/>
      <c r="T308" s="934"/>
      <c r="U308" s="934"/>
      <c r="V308" s="934"/>
      <c r="W308" s="934"/>
      <c r="X308" s="934"/>
      <c r="Y308" s="934"/>
      <c r="Z308" s="934"/>
    </row>
    <row r="309" spans="1:26" ht="16.5" customHeight="1">
      <c r="A309" s="1073">
        <v>305</v>
      </c>
      <c r="B309" s="1073" t="s">
        <v>962</v>
      </c>
      <c r="C309" s="1072">
        <v>89.4</v>
      </c>
      <c r="D309" s="1071">
        <f t="shared" si="23"/>
        <v>27.043500000000002</v>
      </c>
      <c r="E309" s="1070">
        <v>4421.25</v>
      </c>
      <c r="F309" s="1069">
        <f t="shared" si="24"/>
        <v>14615.702479338843</v>
      </c>
      <c r="G309" s="1069">
        <f t="shared" si="25"/>
        <v>395259.75</v>
      </c>
      <c r="H309" s="1068" t="e">
        <f>#REF!</f>
        <v>#REF!</v>
      </c>
      <c r="I309" s="1040"/>
      <c r="J309" s="1040"/>
      <c r="K309" s="1023"/>
      <c r="L309" s="1023"/>
      <c r="M309" s="1023"/>
      <c r="N309" s="1023"/>
      <c r="O309" s="1023"/>
      <c r="P309" s="1023"/>
      <c r="Q309" s="1023"/>
      <c r="R309" s="1023"/>
      <c r="S309" s="1023"/>
      <c r="T309" s="934"/>
      <c r="U309" s="934"/>
      <c r="V309" s="934"/>
      <c r="W309" s="934"/>
      <c r="X309" s="934"/>
      <c r="Y309" s="934"/>
      <c r="Z309" s="934"/>
    </row>
    <row r="310" spans="1:26" ht="16.5" customHeight="1">
      <c r="A310" s="1073">
        <v>306</v>
      </c>
      <c r="B310" s="1073" t="s">
        <v>963</v>
      </c>
      <c r="C310" s="1072">
        <v>89.9</v>
      </c>
      <c r="D310" s="1071">
        <f t="shared" si="23"/>
        <v>27.194750000000003</v>
      </c>
      <c r="E310" s="1070">
        <v>4421.25</v>
      </c>
      <c r="F310" s="1069">
        <f t="shared" si="24"/>
        <v>14615.702479338843</v>
      </c>
      <c r="G310" s="1069">
        <f t="shared" si="25"/>
        <v>397470.375</v>
      </c>
      <c r="H310" s="1068" t="e">
        <f>#REF!</f>
        <v>#REF!</v>
      </c>
      <c r="I310" s="1040"/>
      <c r="J310" s="1040"/>
      <c r="K310" s="1023"/>
      <c r="L310" s="1023"/>
      <c r="M310" s="1023"/>
      <c r="N310" s="1023"/>
      <c r="O310" s="1023"/>
      <c r="P310" s="1023"/>
      <c r="Q310" s="1023"/>
      <c r="R310" s="1023"/>
      <c r="S310" s="1023"/>
      <c r="T310" s="934"/>
      <c r="U310" s="934"/>
      <c r="V310" s="934"/>
      <c r="W310" s="934"/>
      <c r="X310" s="934"/>
      <c r="Y310" s="934"/>
      <c r="Z310" s="934"/>
    </row>
    <row r="311" spans="1:26" ht="16.5" customHeight="1">
      <c r="A311" s="1073">
        <v>307</v>
      </c>
      <c r="B311" s="1073" t="s">
        <v>964</v>
      </c>
      <c r="C311" s="1072">
        <v>88.8</v>
      </c>
      <c r="D311" s="1071">
        <f t="shared" si="23"/>
        <v>26.861999999999998</v>
      </c>
      <c r="E311" s="1070">
        <v>4421.25</v>
      </c>
      <c r="F311" s="1069">
        <f t="shared" si="24"/>
        <v>14615.702479338843</v>
      </c>
      <c r="G311" s="1069">
        <f t="shared" si="25"/>
        <v>392607</v>
      </c>
      <c r="H311" s="1068" t="e">
        <f>#REF!</f>
        <v>#REF!</v>
      </c>
      <c r="I311" s="1040"/>
      <c r="J311" s="1040"/>
      <c r="K311" s="1023"/>
      <c r="L311" s="1023"/>
      <c r="M311" s="1023"/>
      <c r="N311" s="1023"/>
      <c r="O311" s="1023"/>
      <c r="P311" s="1023"/>
      <c r="Q311" s="1023"/>
      <c r="R311" s="1023"/>
      <c r="S311" s="1023"/>
      <c r="T311" s="934"/>
      <c r="U311" s="934"/>
      <c r="V311" s="934"/>
      <c r="W311" s="934"/>
      <c r="X311" s="934"/>
      <c r="Y311" s="934"/>
      <c r="Z311" s="934"/>
    </row>
    <row r="312" spans="1:26" ht="16.5" customHeight="1">
      <c r="A312" s="1073">
        <v>308</v>
      </c>
      <c r="B312" s="1073" t="s">
        <v>965</v>
      </c>
      <c r="C312" s="1072">
        <v>90.1</v>
      </c>
      <c r="D312" s="1071">
        <f t="shared" si="23"/>
        <v>27.255249999999997</v>
      </c>
      <c r="E312" s="1070">
        <v>4421.25</v>
      </c>
      <c r="F312" s="1069">
        <f t="shared" si="24"/>
        <v>14615.702479338843</v>
      </c>
      <c r="G312" s="1069">
        <f t="shared" si="25"/>
        <v>398354.625</v>
      </c>
      <c r="H312" s="1068" t="e">
        <f>#REF!</f>
        <v>#REF!</v>
      </c>
      <c r="I312" s="1040"/>
      <c r="J312" s="1040"/>
      <c r="K312" s="1023"/>
      <c r="L312" s="1023"/>
      <c r="M312" s="1023"/>
      <c r="N312" s="1023"/>
      <c r="O312" s="1023"/>
      <c r="P312" s="1023"/>
      <c r="Q312" s="1023"/>
      <c r="R312" s="1023"/>
      <c r="S312" s="1023"/>
      <c r="T312" s="934"/>
      <c r="U312" s="934"/>
      <c r="V312" s="934"/>
      <c r="W312" s="934"/>
      <c r="X312" s="934"/>
      <c r="Y312" s="934"/>
      <c r="Z312" s="934"/>
    </row>
    <row r="313" spans="1:26" ht="16.5" customHeight="1">
      <c r="A313" s="1073">
        <v>309</v>
      </c>
      <c r="B313" s="1073" t="s">
        <v>966</v>
      </c>
      <c r="C313" s="1072">
        <v>89.7</v>
      </c>
      <c r="D313" s="1071">
        <f t="shared" si="23"/>
        <v>27.134250000000002</v>
      </c>
      <c r="E313" s="1070">
        <v>4421.25</v>
      </c>
      <c r="F313" s="1069">
        <f t="shared" si="24"/>
        <v>14615.702479338843</v>
      </c>
      <c r="G313" s="1069">
        <f t="shared" si="25"/>
        <v>396586.125</v>
      </c>
      <c r="H313" s="1068" t="e">
        <f>#REF!</f>
        <v>#REF!</v>
      </c>
      <c r="I313" s="1040"/>
      <c r="J313" s="1040"/>
      <c r="K313" s="1023"/>
      <c r="L313" s="1023"/>
      <c r="M313" s="1023"/>
      <c r="N313" s="1023"/>
      <c r="O313" s="1023"/>
      <c r="P313" s="1023"/>
      <c r="Q313" s="1023"/>
      <c r="R313" s="1023"/>
      <c r="S313" s="1023"/>
      <c r="T313" s="934"/>
      <c r="U313" s="934"/>
      <c r="V313" s="934"/>
      <c r="W313" s="934"/>
      <c r="X313" s="934"/>
      <c r="Y313" s="934"/>
      <c r="Z313" s="934"/>
    </row>
    <row r="314" spans="1:26" ht="16.5" customHeight="1">
      <c r="A314" s="1073">
        <v>310</v>
      </c>
      <c r="B314" s="1073" t="s">
        <v>967</v>
      </c>
      <c r="C314" s="1072">
        <v>88.9</v>
      </c>
      <c r="D314" s="1071">
        <f t="shared" si="23"/>
        <v>26.892250000000001</v>
      </c>
      <c r="E314" s="1070">
        <v>4421.25</v>
      </c>
      <c r="F314" s="1069">
        <f t="shared" si="24"/>
        <v>14615.702479338843</v>
      </c>
      <c r="G314" s="1069">
        <f t="shared" si="25"/>
        <v>393049.125</v>
      </c>
      <c r="H314" s="1068" t="e">
        <f>#REF!</f>
        <v>#REF!</v>
      </c>
      <c r="I314" s="1040"/>
      <c r="J314" s="1040"/>
      <c r="K314" s="1023"/>
      <c r="L314" s="1023"/>
      <c r="M314" s="1023"/>
      <c r="N314" s="1023"/>
      <c r="O314" s="1023"/>
      <c r="P314" s="1023"/>
      <c r="Q314" s="1023"/>
      <c r="R314" s="1023"/>
      <c r="S314" s="1023"/>
      <c r="T314" s="934"/>
      <c r="U314" s="934"/>
      <c r="V314" s="934"/>
      <c r="W314" s="934"/>
      <c r="X314" s="934"/>
      <c r="Y314" s="934"/>
      <c r="Z314" s="934"/>
    </row>
    <row r="315" spans="1:26" ht="16.5" customHeight="1">
      <c r="A315" s="1073">
        <v>311</v>
      </c>
      <c r="B315" s="1073" t="s">
        <v>968</v>
      </c>
      <c r="C315" s="1072">
        <v>89</v>
      </c>
      <c r="D315" s="1071">
        <f t="shared" si="23"/>
        <v>26.922499999999999</v>
      </c>
      <c r="E315" s="1070">
        <v>4421.25</v>
      </c>
      <c r="F315" s="1069">
        <f t="shared" si="24"/>
        <v>14615.702479338843</v>
      </c>
      <c r="G315" s="1069">
        <f t="shared" si="25"/>
        <v>393491.25</v>
      </c>
      <c r="H315" s="1068" t="e">
        <f>#REF!</f>
        <v>#REF!</v>
      </c>
      <c r="I315" s="1040"/>
      <c r="J315" s="1040"/>
      <c r="K315" s="1023"/>
      <c r="L315" s="1023"/>
      <c r="M315" s="1023"/>
      <c r="N315" s="1023"/>
      <c r="O315" s="1023"/>
      <c r="P315" s="1023"/>
      <c r="Q315" s="1023"/>
      <c r="R315" s="1023"/>
      <c r="S315" s="1023"/>
      <c r="T315" s="934"/>
      <c r="U315" s="934"/>
      <c r="V315" s="934"/>
      <c r="W315" s="934"/>
      <c r="X315" s="934"/>
      <c r="Y315" s="934"/>
      <c r="Z315" s="934"/>
    </row>
    <row r="316" spans="1:26" ht="16.5" customHeight="1">
      <c r="A316" s="1073">
        <v>312</v>
      </c>
      <c r="B316" s="1073" t="s">
        <v>969</v>
      </c>
      <c r="C316" s="1072">
        <v>91.5</v>
      </c>
      <c r="D316" s="1071">
        <f t="shared" si="23"/>
        <v>27.678750000000001</v>
      </c>
      <c r="E316" s="1070">
        <v>4887.5</v>
      </c>
      <c r="F316" s="1069">
        <f t="shared" si="24"/>
        <v>16157.024793388431</v>
      </c>
      <c r="G316" s="1069">
        <f t="shared" si="25"/>
        <v>447206.25</v>
      </c>
      <c r="H316" s="1068" t="e">
        <f>#REF!</f>
        <v>#REF!</v>
      </c>
      <c r="I316" s="1040"/>
      <c r="J316" s="1040"/>
      <c r="K316" s="1023"/>
      <c r="L316" s="1023"/>
      <c r="M316" s="1023"/>
      <c r="N316" s="1023"/>
      <c r="O316" s="1023"/>
      <c r="P316" s="1023"/>
      <c r="Q316" s="1023"/>
      <c r="R316" s="1023"/>
      <c r="S316" s="1023"/>
      <c r="T316" s="934"/>
      <c r="U316" s="934"/>
      <c r="V316" s="934"/>
      <c r="W316" s="934"/>
      <c r="X316" s="934"/>
      <c r="Y316" s="934"/>
      <c r="Z316" s="934"/>
    </row>
    <row r="317" spans="1:26" ht="16.5" customHeight="1">
      <c r="A317" s="1073">
        <v>313</v>
      </c>
      <c r="B317" s="1073" t="s">
        <v>970</v>
      </c>
      <c r="C317" s="1072">
        <v>494.2</v>
      </c>
      <c r="D317" s="1071">
        <f t="shared" si="23"/>
        <v>149.49549999999999</v>
      </c>
      <c r="E317" s="1070">
        <v>1488.75</v>
      </c>
      <c r="F317" s="1069">
        <f t="shared" si="24"/>
        <v>4921.4876033057853</v>
      </c>
      <c r="G317" s="1069">
        <f t="shared" si="25"/>
        <v>735740.25</v>
      </c>
      <c r="H317" s="1068" t="e">
        <f>#REF!</f>
        <v>#REF!</v>
      </c>
      <c r="I317" s="1040"/>
      <c r="J317" s="1040"/>
      <c r="K317" s="1023"/>
      <c r="L317" s="1023"/>
      <c r="M317" s="1023"/>
      <c r="N317" s="1023"/>
      <c r="O317" s="1023"/>
      <c r="P317" s="1023"/>
      <c r="Q317" s="1023"/>
      <c r="R317" s="1023"/>
      <c r="S317" s="1023"/>
      <c r="T317" s="934"/>
      <c r="U317" s="934"/>
      <c r="V317" s="934"/>
      <c r="W317" s="934"/>
      <c r="X317" s="934"/>
      <c r="Y317" s="934"/>
      <c r="Z317" s="934"/>
    </row>
    <row r="318" spans="1:26" ht="16.5" customHeight="1">
      <c r="A318" s="1073">
        <v>314</v>
      </c>
      <c r="B318" s="1073" t="s">
        <v>971</v>
      </c>
      <c r="C318" s="1072">
        <v>85.5</v>
      </c>
      <c r="D318" s="1071">
        <f t="shared" si="23"/>
        <v>25.86375</v>
      </c>
      <c r="E318" s="1070">
        <v>7150</v>
      </c>
      <c r="F318" s="1069">
        <f t="shared" si="24"/>
        <v>23636.363636363636</v>
      </c>
      <c r="G318" s="1069">
        <f t="shared" si="25"/>
        <v>611325</v>
      </c>
      <c r="H318" s="1068" t="e">
        <f>#REF!</f>
        <v>#REF!</v>
      </c>
      <c r="I318" s="1040"/>
      <c r="J318" s="1040"/>
      <c r="K318" s="1023"/>
      <c r="L318" s="1023"/>
      <c r="M318" s="1023"/>
      <c r="N318" s="1023"/>
      <c r="O318" s="1023"/>
      <c r="P318" s="1023"/>
      <c r="Q318" s="1023"/>
      <c r="R318" s="1023"/>
      <c r="S318" s="1023"/>
      <c r="T318" s="934"/>
      <c r="U318" s="934"/>
      <c r="V318" s="934"/>
      <c r="W318" s="934"/>
      <c r="X318" s="934"/>
      <c r="Y318" s="934"/>
      <c r="Z318" s="934"/>
    </row>
    <row r="319" spans="1:26" ht="16.5" customHeight="1">
      <c r="A319" s="1073">
        <v>315</v>
      </c>
      <c r="B319" s="1073" t="s">
        <v>972</v>
      </c>
      <c r="C319" s="1072">
        <v>87.2</v>
      </c>
      <c r="D319" s="1071">
        <f t="shared" si="23"/>
        <v>26.378</v>
      </c>
      <c r="E319" s="1070">
        <v>4857.5</v>
      </c>
      <c r="F319" s="1069">
        <f t="shared" si="24"/>
        <v>16057.851239669422</v>
      </c>
      <c r="G319" s="1069">
        <f t="shared" si="25"/>
        <v>423574</v>
      </c>
      <c r="H319" s="1068" t="e">
        <f>#REF!</f>
        <v>#REF!</v>
      </c>
      <c r="I319" s="1040"/>
      <c r="J319" s="1040"/>
      <c r="K319" s="1023"/>
      <c r="L319" s="1023"/>
      <c r="M319" s="1023"/>
      <c r="N319" s="1023"/>
      <c r="O319" s="1023"/>
      <c r="P319" s="1023"/>
      <c r="Q319" s="1023"/>
      <c r="R319" s="1023"/>
      <c r="S319" s="1023"/>
      <c r="T319" s="934"/>
      <c r="U319" s="934"/>
      <c r="V319" s="934"/>
      <c r="W319" s="934"/>
      <c r="X319" s="934"/>
      <c r="Y319" s="934"/>
      <c r="Z319" s="934"/>
    </row>
    <row r="320" spans="1:26" ht="16.5" customHeight="1">
      <c r="A320" s="1073">
        <v>316</v>
      </c>
      <c r="B320" s="1073" t="s">
        <v>973</v>
      </c>
      <c r="C320" s="1072">
        <v>89</v>
      </c>
      <c r="D320" s="1071">
        <f t="shared" si="23"/>
        <v>26.922499999999999</v>
      </c>
      <c r="E320" s="1070">
        <v>4857.5</v>
      </c>
      <c r="F320" s="1069">
        <f t="shared" si="24"/>
        <v>16057.851239669422</v>
      </c>
      <c r="G320" s="1069">
        <f t="shared" si="25"/>
        <v>432317.5</v>
      </c>
      <c r="H320" s="1068" t="e">
        <f>#REF!</f>
        <v>#REF!</v>
      </c>
      <c r="I320" s="1040"/>
      <c r="J320" s="1040"/>
      <c r="K320" s="1023"/>
      <c r="L320" s="1023"/>
      <c r="M320" s="1023"/>
      <c r="N320" s="1023"/>
      <c r="O320" s="1023"/>
      <c r="P320" s="1023"/>
      <c r="Q320" s="1023"/>
      <c r="R320" s="1023"/>
      <c r="S320" s="1023"/>
      <c r="T320" s="934"/>
      <c r="U320" s="934"/>
      <c r="V320" s="934"/>
      <c r="W320" s="934"/>
      <c r="X320" s="934"/>
      <c r="Y320" s="934"/>
      <c r="Z320" s="934"/>
    </row>
    <row r="321" spans="1:26" ht="16.5" customHeight="1">
      <c r="A321" s="1073">
        <v>317</v>
      </c>
      <c r="B321" s="1073" t="s">
        <v>974</v>
      </c>
      <c r="C321" s="1072">
        <v>86.3</v>
      </c>
      <c r="D321" s="1071">
        <f t="shared" si="23"/>
        <v>26.105749999999997</v>
      </c>
      <c r="E321" s="1070">
        <v>4857.5</v>
      </c>
      <c r="F321" s="1069">
        <f t="shared" si="24"/>
        <v>16057.851239669422</v>
      </c>
      <c r="G321" s="1069">
        <f t="shared" si="25"/>
        <v>419202.25</v>
      </c>
      <c r="H321" s="1068" t="e">
        <f>#REF!</f>
        <v>#REF!</v>
      </c>
      <c r="I321" s="1040"/>
      <c r="J321" s="1040"/>
      <c r="K321" s="1023"/>
      <c r="L321" s="1023"/>
      <c r="M321" s="1023"/>
      <c r="N321" s="1023"/>
      <c r="O321" s="1023"/>
      <c r="P321" s="1023"/>
      <c r="Q321" s="1023"/>
      <c r="R321" s="1023"/>
      <c r="S321" s="1023"/>
      <c r="T321" s="934"/>
      <c r="U321" s="934"/>
      <c r="V321" s="934"/>
      <c r="W321" s="934"/>
      <c r="X321" s="934"/>
      <c r="Y321" s="934"/>
      <c r="Z321" s="934"/>
    </row>
    <row r="322" spans="1:26" ht="16.5" customHeight="1">
      <c r="A322" s="1073">
        <v>318</v>
      </c>
      <c r="B322" s="1073" t="s">
        <v>975</v>
      </c>
      <c r="C322" s="1072">
        <v>87.7</v>
      </c>
      <c r="D322" s="1071">
        <f t="shared" si="23"/>
        <v>26.529250000000001</v>
      </c>
      <c r="E322" s="1070">
        <v>4857.5</v>
      </c>
      <c r="F322" s="1069">
        <f t="shared" si="24"/>
        <v>16057.851239669422</v>
      </c>
      <c r="G322" s="1069">
        <f t="shared" si="25"/>
        <v>426002.75</v>
      </c>
      <c r="H322" s="1068" t="e">
        <f>#REF!</f>
        <v>#REF!</v>
      </c>
      <c r="I322" s="1040"/>
      <c r="J322" s="1040"/>
      <c r="K322" s="1023"/>
      <c r="L322" s="1023"/>
      <c r="M322" s="1023"/>
      <c r="N322" s="1023"/>
      <c r="O322" s="1023"/>
      <c r="P322" s="1023"/>
      <c r="Q322" s="1023"/>
      <c r="R322" s="1023"/>
      <c r="S322" s="1023"/>
      <c r="T322" s="934"/>
      <c r="U322" s="934"/>
      <c r="V322" s="934"/>
      <c r="W322" s="934"/>
      <c r="X322" s="934"/>
      <c r="Y322" s="934"/>
      <c r="Z322" s="934"/>
    </row>
    <row r="323" spans="1:26" ht="16.5" customHeight="1">
      <c r="A323" s="1073">
        <v>319</v>
      </c>
      <c r="B323" s="1073" t="s">
        <v>976</v>
      </c>
      <c r="C323" s="1072">
        <v>87.7</v>
      </c>
      <c r="D323" s="1071">
        <f t="shared" si="23"/>
        <v>26.529250000000001</v>
      </c>
      <c r="E323" s="1070">
        <v>4857.5</v>
      </c>
      <c r="F323" s="1069">
        <f t="shared" si="24"/>
        <v>16057.851239669422</v>
      </c>
      <c r="G323" s="1069">
        <f t="shared" si="25"/>
        <v>426002.75</v>
      </c>
      <c r="H323" s="1068" t="e">
        <f>#REF!</f>
        <v>#REF!</v>
      </c>
      <c r="I323" s="1040"/>
      <c r="J323" s="1040"/>
      <c r="K323" s="1023"/>
      <c r="L323" s="1023"/>
      <c r="M323" s="1023"/>
      <c r="N323" s="1023"/>
      <c r="O323" s="1023"/>
      <c r="P323" s="1023"/>
      <c r="Q323" s="1023"/>
      <c r="R323" s="1023"/>
      <c r="S323" s="1023"/>
      <c r="T323" s="934"/>
      <c r="U323" s="934"/>
      <c r="V323" s="934"/>
      <c r="W323" s="934"/>
      <c r="X323" s="934"/>
      <c r="Y323" s="934"/>
      <c r="Z323" s="934"/>
    </row>
    <row r="324" spans="1:26" ht="16.5" customHeight="1">
      <c r="A324" s="1073">
        <v>320</v>
      </c>
      <c r="B324" s="1073" t="s">
        <v>977</v>
      </c>
      <c r="C324" s="1072">
        <v>88.1</v>
      </c>
      <c r="D324" s="1071">
        <f t="shared" si="23"/>
        <v>26.650249999999996</v>
      </c>
      <c r="E324" s="1070">
        <v>4857.5</v>
      </c>
      <c r="F324" s="1069">
        <f t="shared" si="24"/>
        <v>16057.851239669422</v>
      </c>
      <c r="G324" s="1069">
        <f t="shared" si="25"/>
        <v>427945.75</v>
      </c>
      <c r="H324" s="1068" t="e">
        <f>#REF!</f>
        <v>#REF!</v>
      </c>
      <c r="I324" s="1040"/>
      <c r="J324" s="1040"/>
      <c r="K324" s="1023"/>
      <c r="L324" s="1023"/>
      <c r="M324" s="1023"/>
      <c r="N324" s="1023"/>
      <c r="O324" s="1023"/>
      <c r="P324" s="1023"/>
      <c r="Q324" s="1023"/>
      <c r="R324" s="1023"/>
      <c r="S324" s="1023"/>
      <c r="T324" s="934"/>
      <c r="U324" s="934"/>
      <c r="V324" s="934"/>
      <c r="W324" s="934"/>
      <c r="X324" s="934"/>
      <c r="Y324" s="934"/>
      <c r="Z324" s="934"/>
    </row>
    <row r="325" spans="1:26" ht="16.5" customHeight="1">
      <c r="A325" s="1073">
        <v>321</v>
      </c>
      <c r="B325" s="1073" t="s">
        <v>978</v>
      </c>
      <c r="C325" s="1072">
        <v>87.2</v>
      </c>
      <c r="D325" s="1071">
        <f t="shared" ref="D325:D388" si="26">C325*0.3025</f>
        <v>26.378</v>
      </c>
      <c r="E325" s="1070">
        <v>4857.5</v>
      </c>
      <c r="F325" s="1069">
        <f t="shared" ref="F325:F388" si="27">E325/0.3025</f>
        <v>16057.851239669422</v>
      </c>
      <c r="G325" s="1069">
        <f t="shared" ref="G325:G392" si="28">C325*E325</f>
        <v>423574</v>
      </c>
      <c r="H325" s="1068" t="e">
        <f>#REF!</f>
        <v>#REF!</v>
      </c>
      <c r="I325" s="1040"/>
      <c r="J325" s="1040"/>
      <c r="K325" s="1023"/>
      <c r="L325" s="1023"/>
      <c r="M325" s="1023"/>
      <c r="N325" s="1023"/>
      <c r="O325" s="1023"/>
      <c r="P325" s="1023"/>
      <c r="Q325" s="1023"/>
      <c r="R325" s="1023"/>
      <c r="S325" s="1023"/>
      <c r="T325" s="934"/>
      <c r="U325" s="934"/>
      <c r="V325" s="934"/>
      <c r="W325" s="934"/>
      <c r="X325" s="934"/>
      <c r="Y325" s="934"/>
      <c r="Z325" s="934"/>
    </row>
    <row r="326" spans="1:26" ht="16.5" customHeight="1">
      <c r="A326" s="1073">
        <v>322</v>
      </c>
      <c r="B326" s="1073" t="s">
        <v>979</v>
      </c>
      <c r="C326" s="1072">
        <v>88.7</v>
      </c>
      <c r="D326" s="1071">
        <f t="shared" si="26"/>
        <v>26.83175</v>
      </c>
      <c r="E326" s="1070">
        <v>4857.5</v>
      </c>
      <c r="F326" s="1069">
        <f t="shared" si="27"/>
        <v>16057.851239669422</v>
      </c>
      <c r="G326" s="1069">
        <f t="shared" si="28"/>
        <v>430860.25</v>
      </c>
      <c r="H326" s="1068">
        <f>C662</f>
        <v>0</v>
      </c>
      <c r="I326" s="1040"/>
      <c r="J326" s="1040"/>
      <c r="K326" s="1023"/>
      <c r="L326" s="1023"/>
      <c r="M326" s="1023"/>
      <c r="N326" s="1023"/>
      <c r="O326" s="1023"/>
      <c r="P326" s="1023"/>
      <c r="Q326" s="1023"/>
      <c r="R326" s="1023"/>
      <c r="S326" s="1023"/>
      <c r="T326" s="934"/>
      <c r="U326" s="934"/>
      <c r="V326" s="934"/>
      <c r="W326" s="934"/>
      <c r="X326" s="934"/>
      <c r="Y326" s="934"/>
      <c r="Z326" s="934"/>
    </row>
    <row r="327" spans="1:26" ht="16.5" customHeight="1">
      <c r="A327" s="1073">
        <v>323</v>
      </c>
      <c r="B327" s="1073" t="s">
        <v>980</v>
      </c>
      <c r="C327" s="1072">
        <v>88.5</v>
      </c>
      <c r="D327" s="1071">
        <f t="shared" si="26"/>
        <v>26.771249999999998</v>
      </c>
      <c r="E327" s="1070">
        <v>4857.5</v>
      </c>
      <c r="F327" s="1069">
        <f t="shared" si="27"/>
        <v>16057.851239669422</v>
      </c>
      <c r="G327" s="1069">
        <f t="shared" si="28"/>
        <v>429888.75</v>
      </c>
      <c r="H327" s="1068">
        <f>C663</f>
        <v>0</v>
      </c>
      <c r="I327" s="1040"/>
      <c r="J327" s="1040"/>
      <c r="K327" s="1023"/>
      <c r="L327" s="1023"/>
      <c r="M327" s="1023"/>
      <c r="N327" s="1023"/>
      <c r="O327" s="1023"/>
      <c r="P327" s="1023"/>
      <c r="Q327" s="1023"/>
      <c r="R327" s="1023"/>
      <c r="S327" s="1023"/>
      <c r="T327" s="934"/>
      <c r="U327" s="934"/>
      <c r="V327" s="934"/>
      <c r="W327" s="934"/>
      <c r="X327" s="934"/>
      <c r="Y327" s="934"/>
      <c r="Z327" s="934"/>
    </row>
    <row r="328" spans="1:26" ht="16.5" customHeight="1">
      <c r="A328" s="1073">
        <v>324</v>
      </c>
      <c r="B328" s="1073" t="s">
        <v>981</v>
      </c>
      <c r="C328" s="1072">
        <v>86.5</v>
      </c>
      <c r="D328" s="1071">
        <f t="shared" si="26"/>
        <v>26.166249999999998</v>
      </c>
      <c r="E328" s="1070">
        <v>4857.5</v>
      </c>
      <c r="F328" s="1069">
        <f t="shared" si="27"/>
        <v>16057.851239669422</v>
      </c>
      <c r="G328" s="1069">
        <f t="shared" si="28"/>
        <v>420173.75</v>
      </c>
      <c r="H328" s="1068">
        <f>C664</f>
        <v>0</v>
      </c>
      <c r="I328" s="1040"/>
      <c r="J328" s="1040"/>
      <c r="K328" s="1023"/>
      <c r="L328" s="1023"/>
      <c r="M328" s="1023"/>
      <c r="N328" s="1023"/>
      <c r="O328" s="1023"/>
      <c r="P328" s="1023"/>
      <c r="Q328" s="1023"/>
      <c r="R328" s="1023"/>
      <c r="S328" s="1023"/>
      <c r="T328" s="934"/>
      <c r="U328" s="934"/>
      <c r="V328" s="934"/>
      <c r="W328" s="934"/>
      <c r="X328" s="934"/>
      <c r="Y328" s="934"/>
      <c r="Z328" s="934"/>
    </row>
    <row r="329" spans="1:26" ht="16.5" customHeight="1">
      <c r="A329" s="1073">
        <v>325</v>
      </c>
      <c r="B329" s="1073" t="s">
        <v>982</v>
      </c>
      <c r="C329" s="1072">
        <v>88.9</v>
      </c>
      <c r="D329" s="1071">
        <f t="shared" si="26"/>
        <v>26.892250000000001</v>
      </c>
      <c r="E329" s="1070">
        <v>4857.5</v>
      </c>
      <c r="F329" s="1069">
        <f t="shared" si="27"/>
        <v>16057.851239669422</v>
      </c>
      <c r="G329" s="1069">
        <f t="shared" si="28"/>
        <v>431831.75</v>
      </c>
      <c r="H329" s="1068">
        <f>C665</f>
        <v>0</v>
      </c>
      <c r="I329" s="1040"/>
      <c r="J329" s="1040"/>
      <c r="K329" s="1023"/>
      <c r="L329" s="1023"/>
      <c r="M329" s="1023"/>
      <c r="N329" s="1023"/>
      <c r="O329" s="1023"/>
      <c r="P329" s="1023"/>
      <c r="Q329" s="1023"/>
      <c r="R329" s="1023"/>
      <c r="S329" s="1023"/>
      <c r="T329" s="934"/>
      <c r="U329" s="934"/>
      <c r="V329" s="934"/>
      <c r="W329" s="934"/>
      <c r="X329" s="934"/>
      <c r="Y329" s="934"/>
      <c r="Z329" s="934"/>
    </row>
    <row r="330" spans="1:26" ht="16.5" customHeight="1">
      <c r="A330" s="1073">
        <v>326</v>
      </c>
      <c r="B330" s="1073" t="s">
        <v>983</v>
      </c>
      <c r="C330" s="1072">
        <v>86.4</v>
      </c>
      <c r="D330" s="1071">
        <f t="shared" si="26"/>
        <v>26.135999999999999</v>
      </c>
      <c r="E330" s="1070">
        <v>4857.5</v>
      </c>
      <c r="F330" s="1069">
        <f t="shared" si="27"/>
        <v>16057.851239669422</v>
      </c>
      <c r="G330" s="1069">
        <f t="shared" si="28"/>
        <v>419688</v>
      </c>
      <c r="H330" s="1068" t="e">
        <f>#REF!</f>
        <v>#REF!</v>
      </c>
      <c r="I330" s="1040"/>
      <c r="J330" s="1040"/>
      <c r="K330" s="1023"/>
      <c r="L330" s="1023"/>
      <c r="M330" s="1023"/>
      <c r="N330" s="1023"/>
      <c r="O330" s="1023"/>
      <c r="P330" s="1023"/>
      <c r="Q330" s="1023"/>
      <c r="R330" s="1023"/>
      <c r="S330" s="1023"/>
      <c r="T330" s="934"/>
      <c r="U330" s="934"/>
      <c r="V330" s="934"/>
      <c r="W330" s="934"/>
      <c r="X330" s="934"/>
      <c r="Y330" s="934"/>
      <c r="Z330" s="934"/>
    </row>
    <row r="331" spans="1:26" ht="16.5" customHeight="1">
      <c r="A331" s="1073">
        <v>327</v>
      </c>
      <c r="B331" s="1073" t="s">
        <v>984</v>
      </c>
      <c r="C331" s="1072">
        <v>89</v>
      </c>
      <c r="D331" s="1071">
        <f t="shared" si="26"/>
        <v>26.922499999999999</v>
      </c>
      <c r="E331" s="1070">
        <v>4857.5</v>
      </c>
      <c r="F331" s="1069">
        <f t="shared" si="27"/>
        <v>16057.851239669422</v>
      </c>
      <c r="G331" s="1069">
        <f t="shared" si="28"/>
        <v>432317.5</v>
      </c>
      <c r="H331" s="1068">
        <f>C667</f>
        <v>0</v>
      </c>
      <c r="I331" s="1040"/>
      <c r="J331" s="1040"/>
      <c r="K331" s="1023"/>
      <c r="L331" s="1023"/>
      <c r="M331" s="1023"/>
      <c r="N331" s="1023"/>
      <c r="O331" s="1023"/>
      <c r="P331" s="1023"/>
      <c r="Q331" s="1023"/>
      <c r="R331" s="1023"/>
      <c r="S331" s="1023"/>
      <c r="T331" s="934"/>
      <c r="U331" s="934"/>
      <c r="V331" s="934"/>
      <c r="W331" s="934"/>
      <c r="X331" s="934"/>
      <c r="Y331" s="934"/>
      <c r="Z331" s="934"/>
    </row>
    <row r="332" spans="1:26" ht="16.5" customHeight="1">
      <c r="A332" s="1073">
        <v>328</v>
      </c>
      <c r="B332" s="1073" t="s">
        <v>985</v>
      </c>
      <c r="C332" s="1072">
        <v>90.5</v>
      </c>
      <c r="D332" s="1071">
        <f t="shared" si="26"/>
        <v>27.376249999999999</v>
      </c>
      <c r="E332" s="1070">
        <v>8650</v>
      </c>
      <c r="F332" s="1069">
        <f t="shared" si="27"/>
        <v>28595.041322314049</v>
      </c>
      <c r="G332" s="1069">
        <f t="shared" si="28"/>
        <v>782825</v>
      </c>
      <c r="H332" s="1068">
        <f>C668</f>
        <v>641414.28749999998</v>
      </c>
      <c r="I332" s="1040"/>
      <c r="J332" s="1040"/>
      <c r="K332" s="1023"/>
      <c r="L332" s="1023"/>
      <c r="M332" s="1023"/>
      <c r="N332" s="1023"/>
      <c r="O332" s="1023"/>
      <c r="P332" s="1023"/>
      <c r="Q332" s="1023"/>
      <c r="R332" s="1023"/>
      <c r="S332" s="1023"/>
      <c r="T332" s="934"/>
      <c r="U332" s="934"/>
      <c r="V332" s="934"/>
      <c r="W332" s="934"/>
      <c r="X332" s="934"/>
      <c r="Y332" s="934"/>
      <c r="Z332" s="934"/>
    </row>
    <row r="333" spans="1:26" ht="16.5" customHeight="1">
      <c r="A333" s="1073">
        <v>329</v>
      </c>
      <c r="B333" s="1073" t="s">
        <v>986</v>
      </c>
      <c r="C333" s="1072">
        <v>95.9</v>
      </c>
      <c r="D333" s="1071">
        <f t="shared" si="26"/>
        <v>29.00975</v>
      </c>
      <c r="E333" s="1070">
        <v>8650</v>
      </c>
      <c r="F333" s="1069">
        <f t="shared" si="27"/>
        <v>28595.041322314049</v>
      </c>
      <c r="G333" s="1069">
        <f t="shared" si="28"/>
        <v>829535</v>
      </c>
      <c r="H333" s="1068">
        <f>C669</f>
        <v>210</v>
      </c>
      <c r="I333" s="1040"/>
      <c r="J333" s="1040"/>
      <c r="K333" s="1023"/>
      <c r="L333" s="1023"/>
      <c r="M333" s="1023"/>
      <c r="N333" s="1023"/>
      <c r="O333" s="1023"/>
      <c r="P333" s="1023"/>
      <c r="Q333" s="1023"/>
      <c r="R333" s="1023"/>
      <c r="S333" s="1023"/>
      <c r="T333" s="934"/>
      <c r="U333" s="934"/>
      <c r="V333" s="934"/>
      <c r="W333" s="934"/>
      <c r="X333" s="934"/>
      <c r="Y333" s="934"/>
      <c r="Z333" s="934"/>
    </row>
    <row r="334" spans="1:26" ht="16.5" customHeight="1">
      <c r="A334" s="1073">
        <v>330</v>
      </c>
      <c r="B334" s="1073" t="s">
        <v>987</v>
      </c>
      <c r="C334" s="1072">
        <v>92.6</v>
      </c>
      <c r="D334" s="1071">
        <f t="shared" si="26"/>
        <v>28.011499999999998</v>
      </c>
      <c r="E334" s="1070">
        <v>4421.25</v>
      </c>
      <c r="F334" s="1069">
        <f t="shared" si="27"/>
        <v>14615.702479338843</v>
      </c>
      <c r="G334" s="1069">
        <f t="shared" si="28"/>
        <v>409407.75</v>
      </c>
      <c r="H334" s="1068">
        <f>C670</f>
        <v>50</v>
      </c>
      <c r="I334" s="1040"/>
      <c r="J334" s="1040"/>
      <c r="K334" s="1023"/>
      <c r="L334" s="1023"/>
      <c r="M334" s="1023"/>
      <c r="N334" s="1023"/>
      <c r="O334" s="1023"/>
      <c r="P334" s="1023"/>
      <c r="Q334" s="1023"/>
      <c r="R334" s="1023"/>
      <c r="S334" s="1023"/>
      <c r="T334" s="934"/>
      <c r="U334" s="934"/>
      <c r="V334" s="934"/>
      <c r="W334" s="934"/>
      <c r="X334" s="934"/>
      <c r="Y334" s="934"/>
      <c r="Z334" s="934"/>
    </row>
    <row r="335" spans="1:26" ht="16.5" customHeight="1">
      <c r="A335" s="1073">
        <v>331</v>
      </c>
      <c r="B335" s="1073" t="s">
        <v>988</v>
      </c>
      <c r="C335" s="1072">
        <v>90</v>
      </c>
      <c r="D335" s="1071">
        <f t="shared" si="26"/>
        <v>27.224999999999998</v>
      </c>
      <c r="E335" s="1070">
        <v>4421.25</v>
      </c>
      <c r="F335" s="1069">
        <f t="shared" si="27"/>
        <v>14615.702479338843</v>
      </c>
      <c r="G335" s="1069">
        <f t="shared" si="28"/>
        <v>397912.5</v>
      </c>
      <c r="H335" s="1068" t="e">
        <f>#REF!</f>
        <v>#REF!</v>
      </c>
      <c r="I335" s="1040"/>
      <c r="J335" s="1040"/>
      <c r="K335" s="1023"/>
      <c r="L335" s="1023"/>
      <c r="M335" s="1023"/>
      <c r="N335" s="1023"/>
      <c r="O335" s="1023"/>
      <c r="P335" s="1023"/>
      <c r="Q335" s="1023"/>
      <c r="R335" s="1023"/>
      <c r="S335" s="1023"/>
      <c r="T335" s="934"/>
      <c r="U335" s="934"/>
      <c r="V335" s="934"/>
      <c r="W335" s="934"/>
      <c r="X335" s="934"/>
      <c r="Y335" s="934"/>
      <c r="Z335" s="934"/>
    </row>
    <row r="336" spans="1:26" ht="16.5" customHeight="1">
      <c r="A336" s="1073">
        <v>332</v>
      </c>
      <c r="B336" s="1073" t="s">
        <v>989</v>
      </c>
      <c r="C336" s="1072">
        <v>93.4</v>
      </c>
      <c r="D336" s="1071">
        <f t="shared" si="26"/>
        <v>28.253500000000003</v>
      </c>
      <c r="E336" s="1070">
        <v>4421.25</v>
      </c>
      <c r="F336" s="1069">
        <f t="shared" si="27"/>
        <v>14615.702479338843</v>
      </c>
      <c r="G336" s="1069">
        <f t="shared" si="28"/>
        <v>412944.75</v>
      </c>
      <c r="H336" s="1068">
        <f>C672</f>
        <v>153.13142999999999</v>
      </c>
      <c r="I336" s="1040"/>
      <c r="J336" s="1040"/>
      <c r="K336" s="1023"/>
      <c r="L336" s="1023"/>
      <c r="M336" s="1023"/>
      <c r="N336" s="1023"/>
      <c r="O336" s="1023"/>
      <c r="P336" s="1023"/>
      <c r="Q336" s="1023"/>
      <c r="R336" s="1023"/>
      <c r="S336" s="1023"/>
      <c r="T336" s="934"/>
      <c r="U336" s="934"/>
      <c r="V336" s="934"/>
      <c r="W336" s="934"/>
      <c r="X336" s="934"/>
      <c r="Y336" s="934"/>
      <c r="Z336" s="934"/>
    </row>
    <row r="337" spans="1:26" ht="16.5" customHeight="1">
      <c r="A337" s="1073">
        <v>333</v>
      </c>
      <c r="B337" s="1073" t="s">
        <v>990</v>
      </c>
      <c r="C337" s="1072">
        <v>90.2</v>
      </c>
      <c r="D337" s="1071">
        <f t="shared" si="26"/>
        <v>27.285499999999999</v>
      </c>
      <c r="E337" s="1070">
        <v>4421.25</v>
      </c>
      <c r="F337" s="1069">
        <f t="shared" si="27"/>
        <v>14615.702479338843</v>
      </c>
      <c r="G337" s="1069">
        <f t="shared" si="28"/>
        <v>398796.75</v>
      </c>
      <c r="H337" s="1068">
        <f>C673</f>
        <v>0</v>
      </c>
      <c r="I337" s="1040"/>
      <c r="J337" s="1040"/>
      <c r="K337" s="1023"/>
      <c r="L337" s="1023"/>
      <c r="M337" s="1023"/>
      <c r="N337" s="1023"/>
      <c r="O337" s="1023"/>
      <c r="P337" s="1023"/>
      <c r="Q337" s="1023"/>
      <c r="R337" s="1023"/>
      <c r="S337" s="1023"/>
      <c r="T337" s="934"/>
      <c r="U337" s="934"/>
      <c r="V337" s="934"/>
      <c r="W337" s="934"/>
      <c r="X337" s="934"/>
      <c r="Y337" s="934"/>
      <c r="Z337" s="934"/>
    </row>
    <row r="338" spans="1:26" ht="16.5" customHeight="1">
      <c r="A338" s="1073">
        <v>334</v>
      </c>
      <c r="B338" s="1073" t="s">
        <v>991</v>
      </c>
      <c r="C338" s="1072">
        <v>91.1</v>
      </c>
      <c r="D338" s="1071">
        <f t="shared" si="26"/>
        <v>27.557749999999999</v>
      </c>
      <c r="E338" s="1070">
        <v>4421.25</v>
      </c>
      <c r="F338" s="1069">
        <f t="shared" si="27"/>
        <v>14615.702479338843</v>
      </c>
      <c r="G338" s="1069">
        <f t="shared" si="28"/>
        <v>402775.875</v>
      </c>
      <c r="H338" s="1068">
        <f>C674</f>
        <v>0</v>
      </c>
      <c r="I338" s="1040"/>
      <c r="J338" s="1040"/>
      <c r="K338" s="1023"/>
      <c r="L338" s="1023"/>
      <c r="M338" s="1023"/>
      <c r="N338" s="1023"/>
      <c r="O338" s="1023"/>
      <c r="P338" s="1023"/>
      <c r="Q338" s="1023"/>
      <c r="R338" s="1023"/>
      <c r="S338" s="1023"/>
      <c r="T338" s="934"/>
      <c r="U338" s="934"/>
      <c r="V338" s="934"/>
      <c r="W338" s="934"/>
      <c r="X338" s="934"/>
      <c r="Y338" s="934"/>
      <c r="Z338" s="934"/>
    </row>
    <row r="339" spans="1:26" ht="16.5" customHeight="1">
      <c r="A339" s="1073">
        <v>335</v>
      </c>
      <c r="B339" s="1073" t="s">
        <v>992</v>
      </c>
      <c r="C339" s="1072">
        <v>91.7</v>
      </c>
      <c r="D339" s="1071">
        <f t="shared" si="26"/>
        <v>27.739249999999998</v>
      </c>
      <c r="E339" s="1070">
        <v>4421.25</v>
      </c>
      <c r="F339" s="1069">
        <f t="shared" si="27"/>
        <v>14615.702479338843</v>
      </c>
      <c r="G339" s="1069">
        <f t="shared" si="28"/>
        <v>405428.625</v>
      </c>
      <c r="H339" s="1068">
        <f>C675</f>
        <v>0</v>
      </c>
      <c r="I339" s="1040"/>
      <c r="J339" s="1040"/>
      <c r="K339" s="1023"/>
      <c r="L339" s="1023"/>
      <c r="M339" s="1023"/>
      <c r="N339" s="1023"/>
      <c r="O339" s="1023"/>
      <c r="P339" s="1023"/>
      <c r="Q339" s="1023"/>
      <c r="R339" s="1023"/>
      <c r="S339" s="1023"/>
      <c r="T339" s="934"/>
      <c r="U339" s="934"/>
      <c r="V339" s="934"/>
      <c r="W339" s="934"/>
      <c r="X339" s="934"/>
      <c r="Y339" s="934"/>
      <c r="Z339" s="934"/>
    </row>
    <row r="340" spans="1:26" ht="16.5" customHeight="1">
      <c r="A340" s="1073">
        <v>336</v>
      </c>
      <c r="B340" s="1073" t="s">
        <v>993</v>
      </c>
      <c r="C340" s="1072">
        <v>91.1</v>
      </c>
      <c r="D340" s="1071">
        <f t="shared" si="26"/>
        <v>27.557749999999999</v>
      </c>
      <c r="E340" s="1070">
        <v>4421.25</v>
      </c>
      <c r="F340" s="1069">
        <f t="shared" si="27"/>
        <v>14615.702479338843</v>
      </c>
      <c r="G340" s="1069">
        <f t="shared" si="28"/>
        <v>402775.875</v>
      </c>
      <c r="H340" s="1068">
        <f>C662</f>
        <v>0</v>
      </c>
      <c r="I340" s="1040"/>
      <c r="J340" s="1040"/>
      <c r="K340" s="1023"/>
      <c r="L340" s="1023"/>
      <c r="M340" s="1023"/>
      <c r="N340" s="1023"/>
      <c r="O340" s="1023"/>
      <c r="P340" s="1023"/>
      <c r="Q340" s="1023"/>
      <c r="R340" s="1023"/>
      <c r="S340" s="1023"/>
      <c r="T340" s="934"/>
      <c r="U340" s="934"/>
      <c r="V340" s="934"/>
      <c r="W340" s="934"/>
      <c r="X340" s="934"/>
      <c r="Y340" s="934"/>
      <c r="Z340" s="934"/>
    </row>
    <row r="341" spans="1:26" ht="16.5" customHeight="1">
      <c r="A341" s="1073">
        <v>337</v>
      </c>
      <c r="B341" s="1073" t="s">
        <v>994</v>
      </c>
      <c r="C341" s="1072">
        <v>91</v>
      </c>
      <c r="D341" s="1071">
        <f t="shared" si="26"/>
        <v>27.5275</v>
      </c>
      <c r="E341" s="1070">
        <v>4421.25</v>
      </c>
      <c r="F341" s="1069">
        <f t="shared" si="27"/>
        <v>14615.702479338843</v>
      </c>
      <c r="G341" s="1069">
        <f t="shared" si="28"/>
        <v>402333.75</v>
      </c>
      <c r="H341" s="1068">
        <f>C677</f>
        <v>593</v>
      </c>
      <c r="I341" s="1040"/>
      <c r="J341" s="1040"/>
      <c r="K341" s="1023"/>
      <c r="L341" s="1023"/>
      <c r="M341" s="1023"/>
      <c r="N341" s="1023"/>
      <c r="O341" s="1023"/>
      <c r="P341" s="1023"/>
      <c r="Q341" s="1023"/>
      <c r="R341" s="1023"/>
      <c r="S341" s="1023"/>
      <c r="T341" s="934"/>
      <c r="U341" s="934"/>
      <c r="V341" s="934"/>
      <c r="W341" s="934"/>
      <c r="X341" s="934"/>
      <c r="Y341" s="934"/>
      <c r="Z341" s="934"/>
    </row>
    <row r="342" spans="1:26" ht="16.5" customHeight="1">
      <c r="A342" s="1073">
        <v>338</v>
      </c>
      <c r="B342" s="1073" t="s">
        <v>995</v>
      </c>
      <c r="C342" s="1072">
        <v>90.5</v>
      </c>
      <c r="D342" s="1071">
        <f t="shared" si="26"/>
        <v>27.376249999999999</v>
      </c>
      <c r="E342" s="1070">
        <v>4421.25</v>
      </c>
      <c r="F342" s="1069">
        <f t="shared" si="27"/>
        <v>14615.702479338843</v>
      </c>
      <c r="G342" s="1069">
        <f t="shared" si="28"/>
        <v>400123.125</v>
      </c>
      <c r="H342" s="1068">
        <f>C678</f>
        <v>150</v>
      </c>
      <c r="I342" s="1040"/>
      <c r="J342" s="1040"/>
      <c r="K342" s="1023"/>
      <c r="L342" s="1023"/>
      <c r="M342" s="1023"/>
      <c r="N342" s="1023"/>
      <c r="O342" s="1023"/>
      <c r="P342" s="1023"/>
      <c r="Q342" s="1023"/>
      <c r="R342" s="1023"/>
      <c r="S342" s="1023"/>
      <c r="T342" s="934"/>
      <c r="U342" s="934"/>
      <c r="V342" s="934"/>
      <c r="W342" s="934"/>
      <c r="X342" s="934"/>
      <c r="Y342" s="934"/>
      <c r="Z342" s="934"/>
    </row>
    <row r="343" spans="1:26" ht="16.5" customHeight="1">
      <c r="A343" s="1073">
        <v>339</v>
      </c>
      <c r="B343" s="1073" t="s">
        <v>996</v>
      </c>
      <c r="C343" s="1072">
        <v>90.8</v>
      </c>
      <c r="D343" s="1071">
        <f t="shared" si="26"/>
        <v>27.466999999999999</v>
      </c>
      <c r="E343" s="1070">
        <v>4421.25</v>
      </c>
      <c r="F343" s="1069">
        <f t="shared" si="27"/>
        <v>14615.702479338843</v>
      </c>
      <c r="G343" s="1069">
        <f t="shared" si="28"/>
        <v>401449.5</v>
      </c>
      <c r="H343" s="1068">
        <f>C679</f>
        <v>18</v>
      </c>
      <c r="I343" s="1040"/>
      <c r="J343" s="1040"/>
      <c r="K343" s="1023"/>
      <c r="L343" s="1023"/>
      <c r="M343" s="1023"/>
      <c r="N343" s="1023"/>
      <c r="O343" s="1023"/>
      <c r="P343" s="1023"/>
      <c r="Q343" s="1023"/>
      <c r="R343" s="1023"/>
      <c r="S343" s="1023"/>
      <c r="T343" s="934"/>
      <c r="U343" s="934"/>
      <c r="V343" s="934"/>
      <c r="W343" s="934"/>
      <c r="X343" s="934"/>
      <c r="Y343" s="934"/>
      <c r="Z343" s="934"/>
    </row>
    <row r="344" spans="1:26" ht="16.5" customHeight="1">
      <c r="A344" s="1073">
        <v>340</v>
      </c>
      <c r="B344" s="1073" t="s">
        <v>997</v>
      </c>
      <c r="C344" s="1072">
        <v>89.7</v>
      </c>
      <c r="D344" s="1071">
        <f t="shared" si="26"/>
        <v>27.134250000000002</v>
      </c>
      <c r="E344" s="1070">
        <v>4421.25</v>
      </c>
      <c r="F344" s="1069">
        <f t="shared" si="27"/>
        <v>14615.702479338843</v>
      </c>
      <c r="G344" s="1069">
        <f t="shared" si="28"/>
        <v>396586.125</v>
      </c>
      <c r="H344" s="1068">
        <f>C680</f>
        <v>761</v>
      </c>
      <c r="I344" s="1040"/>
      <c r="J344" s="1040"/>
      <c r="K344" s="1023"/>
      <c r="L344" s="1023"/>
      <c r="M344" s="1023"/>
      <c r="N344" s="1023"/>
      <c r="O344" s="1023"/>
      <c r="P344" s="1023"/>
      <c r="Q344" s="1023"/>
      <c r="R344" s="1023"/>
      <c r="S344" s="1023"/>
      <c r="T344" s="934"/>
      <c r="U344" s="934"/>
      <c r="V344" s="934"/>
      <c r="W344" s="934"/>
      <c r="X344" s="934"/>
      <c r="Y344" s="934"/>
      <c r="Z344" s="934"/>
    </row>
    <row r="345" spans="1:26" ht="16.5" customHeight="1">
      <c r="A345" s="1073">
        <v>341</v>
      </c>
      <c r="B345" s="1073" t="s">
        <v>998</v>
      </c>
      <c r="C345" s="1072">
        <v>91.2</v>
      </c>
      <c r="D345" s="1071">
        <f t="shared" si="26"/>
        <v>27.588000000000001</v>
      </c>
      <c r="E345" s="1070">
        <v>4421.25</v>
      </c>
      <c r="F345" s="1069">
        <f t="shared" si="27"/>
        <v>14615.702479338843</v>
      </c>
      <c r="G345" s="1069">
        <f t="shared" si="28"/>
        <v>403218</v>
      </c>
      <c r="H345" s="1068">
        <f>C667</f>
        <v>0</v>
      </c>
      <c r="I345" s="1040"/>
      <c r="J345" s="1040"/>
      <c r="K345" s="1023"/>
      <c r="L345" s="1023"/>
      <c r="M345" s="1023"/>
      <c r="N345" s="1023"/>
      <c r="O345" s="1023"/>
      <c r="P345" s="1023"/>
      <c r="Q345" s="1023"/>
      <c r="R345" s="1023"/>
      <c r="S345" s="1023"/>
      <c r="T345" s="934"/>
      <c r="U345" s="934"/>
      <c r="V345" s="934"/>
      <c r="W345" s="934"/>
      <c r="X345" s="934"/>
      <c r="Y345" s="934"/>
      <c r="Z345" s="934"/>
    </row>
    <row r="346" spans="1:26" ht="16.5" customHeight="1">
      <c r="A346" s="1073">
        <v>342</v>
      </c>
      <c r="B346" s="1073" t="s">
        <v>999</v>
      </c>
      <c r="C346" s="1072">
        <v>87</v>
      </c>
      <c r="D346" s="1071">
        <f t="shared" si="26"/>
        <v>26.317499999999999</v>
      </c>
      <c r="E346" s="1070">
        <v>4421.25</v>
      </c>
      <c r="F346" s="1069">
        <f t="shared" si="27"/>
        <v>14615.702479338843</v>
      </c>
      <c r="G346" s="1069">
        <f t="shared" si="28"/>
        <v>384648.75</v>
      </c>
      <c r="H346" s="1068">
        <f>C682</f>
        <v>0</v>
      </c>
      <c r="I346" s="1040"/>
      <c r="J346" s="1040"/>
      <c r="K346" s="1023"/>
      <c r="L346" s="1023"/>
      <c r="M346" s="1023"/>
      <c r="N346" s="1023"/>
      <c r="O346" s="1023"/>
      <c r="P346" s="1023"/>
      <c r="Q346" s="1023"/>
      <c r="R346" s="1023"/>
      <c r="S346" s="1023"/>
      <c r="T346" s="934"/>
      <c r="U346" s="934"/>
      <c r="V346" s="934"/>
      <c r="W346" s="934"/>
      <c r="X346" s="934"/>
      <c r="Y346" s="934"/>
      <c r="Z346" s="934"/>
    </row>
    <row r="347" spans="1:26" ht="16.5" customHeight="1">
      <c r="A347" s="1073">
        <v>343</v>
      </c>
      <c r="B347" s="1073" t="s">
        <v>1000</v>
      </c>
      <c r="C347" s="1072">
        <v>90.4</v>
      </c>
      <c r="D347" s="1071">
        <f t="shared" si="26"/>
        <v>27.346</v>
      </c>
      <c r="E347" s="1070">
        <v>7150</v>
      </c>
      <c r="F347" s="1069">
        <f t="shared" si="27"/>
        <v>23636.363636363636</v>
      </c>
      <c r="G347" s="1069">
        <f t="shared" si="28"/>
        <v>646360</v>
      </c>
      <c r="H347" s="1068">
        <f>C683</f>
        <v>219387853.125</v>
      </c>
      <c r="I347" s="1040"/>
      <c r="J347" s="1040"/>
      <c r="K347" s="1023"/>
      <c r="L347" s="1023"/>
      <c r="M347" s="1023"/>
      <c r="N347" s="1023"/>
      <c r="O347" s="1023"/>
      <c r="P347" s="1023"/>
      <c r="Q347" s="1023"/>
      <c r="R347" s="1023"/>
      <c r="S347" s="1023"/>
      <c r="T347" s="934"/>
      <c r="U347" s="934"/>
      <c r="V347" s="934"/>
      <c r="W347" s="934"/>
      <c r="X347" s="934"/>
      <c r="Y347" s="934"/>
      <c r="Z347" s="934"/>
    </row>
    <row r="348" spans="1:26" ht="16.5" customHeight="1">
      <c r="A348" s="1073">
        <v>344</v>
      </c>
      <c r="B348" s="1073" t="s">
        <v>1001</v>
      </c>
      <c r="C348" s="1072">
        <v>497.2</v>
      </c>
      <c r="D348" s="1071">
        <f t="shared" si="26"/>
        <v>150.40299999999999</v>
      </c>
      <c r="E348" s="1070">
        <v>1488.75</v>
      </c>
      <c r="F348" s="1069">
        <f t="shared" si="27"/>
        <v>4921.4876033057853</v>
      </c>
      <c r="G348" s="1069">
        <f t="shared" si="28"/>
        <v>740206.5</v>
      </c>
      <c r="H348" s="1068">
        <f>C684</f>
        <v>210</v>
      </c>
      <c r="I348" s="1040"/>
      <c r="J348" s="1040"/>
      <c r="K348" s="1023"/>
      <c r="L348" s="1023"/>
      <c r="M348" s="1023"/>
      <c r="N348" s="1023"/>
      <c r="O348" s="1023"/>
      <c r="P348" s="1023"/>
      <c r="Q348" s="1023"/>
      <c r="R348" s="1023"/>
      <c r="S348" s="1023"/>
      <c r="T348" s="934"/>
      <c r="U348" s="934"/>
      <c r="V348" s="934"/>
      <c r="W348" s="934"/>
      <c r="X348" s="934"/>
      <c r="Y348" s="934"/>
      <c r="Z348" s="934"/>
    </row>
    <row r="349" spans="1:26" ht="16.5" customHeight="1">
      <c r="A349" s="1073">
        <v>345</v>
      </c>
      <c r="B349" s="1073" t="s">
        <v>1002</v>
      </c>
      <c r="C349" s="1072">
        <v>83.6</v>
      </c>
      <c r="D349" s="1071">
        <f t="shared" si="26"/>
        <v>25.288999999999998</v>
      </c>
      <c r="E349" s="1070">
        <v>7150</v>
      </c>
      <c r="F349" s="1069">
        <f t="shared" si="27"/>
        <v>23636.363636363636</v>
      </c>
      <c r="G349" s="1069">
        <f t="shared" si="28"/>
        <v>597740</v>
      </c>
      <c r="H349" s="1068">
        <f>C685</f>
        <v>50</v>
      </c>
      <c r="I349" s="1040"/>
      <c r="J349" s="1040"/>
      <c r="K349" s="1023"/>
      <c r="L349" s="1023"/>
      <c r="M349" s="1023"/>
      <c r="N349" s="1023"/>
      <c r="O349" s="1023"/>
      <c r="P349" s="1023"/>
      <c r="Q349" s="1023"/>
      <c r="R349" s="1023"/>
      <c r="S349" s="1023"/>
      <c r="T349" s="934"/>
      <c r="U349" s="934"/>
      <c r="V349" s="934"/>
      <c r="W349" s="934"/>
      <c r="X349" s="934"/>
      <c r="Y349" s="934"/>
      <c r="Z349" s="934"/>
    </row>
    <row r="350" spans="1:26" ht="16.5" customHeight="1">
      <c r="A350" s="1073">
        <v>346</v>
      </c>
      <c r="B350" s="1073" t="s">
        <v>1003</v>
      </c>
      <c r="C350" s="1072">
        <v>87.4</v>
      </c>
      <c r="D350" s="1071">
        <f t="shared" si="26"/>
        <v>26.438500000000001</v>
      </c>
      <c r="E350" s="1070">
        <v>4563.75</v>
      </c>
      <c r="F350" s="1069">
        <f t="shared" si="27"/>
        <v>15086.776859504133</v>
      </c>
      <c r="G350" s="1069">
        <f t="shared" si="28"/>
        <v>398871.75</v>
      </c>
      <c r="H350" s="1068">
        <f>C672</f>
        <v>153.13142999999999</v>
      </c>
      <c r="I350" s="1040"/>
      <c r="J350" s="1040"/>
      <c r="K350" s="1023"/>
      <c r="L350" s="1023"/>
      <c r="M350" s="1023"/>
      <c r="N350" s="1023"/>
      <c r="O350" s="1023"/>
      <c r="P350" s="1023"/>
      <c r="Q350" s="1023"/>
      <c r="R350" s="1023"/>
      <c r="S350" s="1023"/>
      <c r="T350" s="934"/>
      <c r="U350" s="934"/>
      <c r="V350" s="934"/>
      <c r="W350" s="934"/>
      <c r="X350" s="934"/>
      <c r="Y350" s="934"/>
      <c r="Z350" s="934"/>
    </row>
    <row r="351" spans="1:26" ht="16.5" customHeight="1">
      <c r="A351" s="1073">
        <v>347</v>
      </c>
      <c r="B351" s="1073" t="s">
        <v>1004</v>
      </c>
      <c r="C351" s="1072">
        <v>89.7</v>
      </c>
      <c r="D351" s="1071">
        <f t="shared" si="26"/>
        <v>27.134250000000002</v>
      </c>
      <c r="E351" s="1070">
        <v>4563.75</v>
      </c>
      <c r="F351" s="1069">
        <f t="shared" si="27"/>
        <v>15086.776859504133</v>
      </c>
      <c r="G351" s="1069">
        <f t="shared" si="28"/>
        <v>409368.375</v>
      </c>
      <c r="H351" s="1068">
        <f>C687</f>
        <v>160</v>
      </c>
      <c r="I351" s="1040"/>
      <c r="J351" s="1040"/>
      <c r="K351" s="1023"/>
      <c r="L351" s="1023"/>
      <c r="M351" s="1023"/>
      <c r="N351" s="1023"/>
      <c r="O351" s="1023"/>
      <c r="P351" s="1023"/>
      <c r="Q351" s="1023"/>
      <c r="R351" s="1023"/>
      <c r="S351" s="1023"/>
      <c r="T351" s="934"/>
      <c r="U351" s="934"/>
      <c r="V351" s="934"/>
      <c r="W351" s="934"/>
      <c r="X351" s="934"/>
      <c r="Y351" s="934"/>
      <c r="Z351" s="934"/>
    </row>
    <row r="352" spans="1:26" ht="16.5" customHeight="1">
      <c r="A352" s="1073">
        <v>348</v>
      </c>
      <c r="B352" s="1073" t="s">
        <v>1005</v>
      </c>
      <c r="C352" s="1072">
        <v>88.1</v>
      </c>
      <c r="D352" s="1071">
        <f t="shared" si="26"/>
        <v>26.650249999999996</v>
      </c>
      <c r="E352" s="1070">
        <v>4563.75</v>
      </c>
      <c r="F352" s="1069">
        <f t="shared" si="27"/>
        <v>15086.776859504133</v>
      </c>
      <c r="G352" s="1069">
        <f t="shared" si="28"/>
        <v>402066.375</v>
      </c>
      <c r="H352" s="1068">
        <f>C688</f>
        <v>350</v>
      </c>
      <c r="I352" s="1040"/>
      <c r="J352" s="1040"/>
      <c r="K352" s="1023"/>
      <c r="L352" s="1023"/>
      <c r="M352" s="1023"/>
      <c r="N352" s="1023"/>
      <c r="O352" s="1023"/>
      <c r="P352" s="1023"/>
      <c r="Q352" s="1023"/>
      <c r="R352" s="1023"/>
      <c r="S352" s="1023"/>
      <c r="T352" s="934"/>
      <c r="U352" s="934"/>
      <c r="V352" s="934"/>
      <c r="W352" s="934"/>
      <c r="X352" s="934"/>
      <c r="Y352" s="934"/>
      <c r="Z352" s="934"/>
    </row>
    <row r="353" spans="1:26" ht="16.5" customHeight="1">
      <c r="A353" s="1073">
        <v>349</v>
      </c>
      <c r="B353" s="1073" t="s">
        <v>1006</v>
      </c>
      <c r="C353" s="1072">
        <v>86.8</v>
      </c>
      <c r="D353" s="1071">
        <f t="shared" si="26"/>
        <v>26.256999999999998</v>
      </c>
      <c r="E353" s="1070">
        <v>4563.75</v>
      </c>
      <c r="F353" s="1069">
        <f t="shared" si="27"/>
        <v>15086.776859504133</v>
      </c>
      <c r="G353" s="1069">
        <f t="shared" si="28"/>
        <v>396133.5</v>
      </c>
      <c r="H353" s="1068">
        <f>C689</f>
        <v>500</v>
      </c>
      <c r="I353" s="1040"/>
      <c r="J353" s="1040"/>
      <c r="K353" s="1023"/>
      <c r="L353" s="1023"/>
      <c r="M353" s="1023"/>
      <c r="N353" s="1023"/>
      <c r="O353" s="1023"/>
      <c r="P353" s="1023"/>
      <c r="Q353" s="1023"/>
      <c r="R353" s="1023"/>
      <c r="S353" s="1023"/>
      <c r="T353" s="934"/>
      <c r="U353" s="934"/>
      <c r="V353" s="934"/>
      <c r="W353" s="934"/>
      <c r="X353" s="934"/>
      <c r="Y353" s="934"/>
      <c r="Z353" s="934"/>
    </row>
    <row r="354" spans="1:26" ht="16.5" customHeight="1">
      <c r="A354" s="1073">
        <v>350</v>
      </c>
      <c r="B354" s="1073" t="s">
        <v>1007</v>
      </c>
      <c r="C354" s="1072">
        <v>88.5</v>
      </c>
      <c r="D354" s="1071">
        <f t="shared" si="26"/>
        <v>26.771249999999998</v>
      </c>
      <c r="E354" s="1070">
        <v>4563.75</v>
      </c>
      <c r="F354" s="1069">
        <f t="shared" si="27"/>
        <v>15086.776859504133</v>
      </c>
      <c r="G354" s="1069">
        <f t="shared" si="28"/>
        <v>403891.875</v>
      </c>
      <c r="H354" s="1068">
        <f>C690</f>
        <v>7200</v>
      </c>
      <c r="I354" s="1040"/>
      <c r="J354" s="1040"/>
      <c r="K354" s="1023"/>
      <c r="L354" s="1023"/>
      <c r="M354" s="1023"/>
      <c r="N354" s="1023"/>
      <c r="O354" s="1023"/>
      <c r="P354" s="1023"/>
      <c r="Q354" s="1023"/>
      <c r="R354" s="1023"/>
      <c r="S354" s="1023"/>
      <c r="T354" s="934"/>
      <c r="U354" s="934"/>
      <c r="V354" s="934"/>
      <c r="W354" s="934"/>
      <c r="X354" s="934"/>
      <c r="Y354" s="934"/>
      <c r="Z354" s="934"/>
    </row>
    <row r="355" spans="1:26" ht="16.5" customHeight="1">
      <c r="A355" s="1073">
        <v>351</v>
      </c>
      <c r="B355" s="1073" t="s">
        <v>1008</v>
      </c>
      <c r="C355" s="1072">
        <v>90</v>
      </c>
      <c r="D355" s="1071">
        <f t="shared" si="26"/>
        <v>27.224999999999998</v>
      </c>
      <c r="E355" s="1070">
        <v>4563.75</v>
      </c>
      <c r="F355" s="1069">
        <f t="shared" si="27"/>
        <v>15086.776859504133</v>
      </c>
      <c r="G355" s="1069">
        <f t="shared" si="28"/>
        <v>410737.5</v>
      </c>
      <c r="H355" s="1068">
        <f>C677</f>
        <v>593</v>
      </c>
      <c r="I355" s="1040"/>
      <c r="J355" s="1040"/>
      <c r="K355" s="1023"/>
      <c r="L355" s="1023"/>
      <c r="M355" s="1023"/>
      <c r="N355" s="1023"/>
      <c r="O355" s="1023"/>
      <c r="P355" s="1023"/>
      <c r="Q355" s="1023"/>
      <c r="R355" s="1023"/>
      <c r="S355" s="1023"/>
      <c r="T355" s="934"/>
      <c r="U355" s="934"/>
      <c r="V355" s="934"/>
      <c r="W355" s="934"/>
      <c r="X355" s="934"/>
      <c r="Y355" s="934"/>
      <c r="Z355" s="934"/>
    </row>
    <row r="356" spans="1:26" ht="16.5" customHeight="1">
      <c r="A356" s="1073">
        <v>352</v>
      </c>
      <c r="B356" s="1073" t="s">
        <v>1009</v>
      </c>
      <c r="C356" s="1072">
        <v>86.2</v>
      </c>
      <c r="D356" s="1071">
        <f t="shared" si="26"/>
        <v>26.075500000000002</v>
      </c>
      <c r="E356" s="1070">
        <v>4563.75</v>
      </c>
      <c r="F356" s="1069">
        <f t="shared" si="27"/>
        <v>15086.776859504133</v>
      </c>
      <c r="G356" s="1069">
        <f t="shared" si="28"/>
        <v>393395.25</v>
      </c>
      <c r="H356" s="1068">
        <f>C692</f>
        <v>28589</v>
      </c>
      <c r="I356" s="1040"/>
      <c r="J356" s="1040"/>
      <c r="K356" s="1023"/>
      <c r="L356" s="1023"/>
      <c r="M356" s="1023"/>
      <c r="N356" s="1023"/>
      <c r="O356" s="1023"/>
      <c r="P356" s="1023"/>
      <c r="Q356" s="1023"/>
      <c r="R356" s="1023"/>
      <c r="S356" s="1023"/>
      <c r="T356" s="934"/>
      <c r="U356" s="934"/>
      <c r="V356" s="934"/>
      <c r="W356" s="934"/>
      <c r="X356" s="934"/>
      <c r="Y356" s="934"/>
      <c r="Z356" s="934"/>
    </row>
    <row r="357" spans="1:26" ht="16.5" customHeight="1">
      <c r="A357" s="1073">
        <v>353</v>
      </c>
      <c r="B357" s="1073" t="s">
        <v>1010</v>
      </c>
      <c r="C357" s="1072">
        <v>90.2</v>
      </c>
      <c r="D357" s="1071">
        <f t="shared" si="26"/>
        <v>27.285499999999999</v>
      </c>
      <c r="E357" s="1070">
        <v>4563.75</v>
      </c>
      <c r="F357" s="1069">
        <f t="shared" si="27"/>
        <v>15086.776859504133</v>
      </c>
      <c r="G357" s="1069">
        <f t="shared" si="28"/>
        <v>411650.25</v>
      </c>
      <c r="H357" s="1068">
        <f>C693</f>
        <v>350</v>
      </c>
      <c r="I357" s="1040"/>
      <c r="J357" s="1040"/>
      <c r="K357" s="1023"/>
      <c r="L357" s="1023"/>
      <c r="M357" s="1023"/>
      <c r="N357" s="1023"/>
      <c r="O357" s="1023"/>
      <c r="P357" s="1023"/>
      <c r="Q357" s="1023"/>
      <c r="R357" s="1023"/>
      <c r="S357" s="1023"/>
      <c r="T357" s="934"/>
      <c r="U357" s="934"/>
      <c r="V357" s="934"/>
      <c r="W357" s="934"/>
      <c r="X357" s="934"/>
      <c r="Y357" s="934"/>
      <c r="Z357" s="934"/>
    </row>
    <row r="358" spans="1:26" ht="16.5" customHeight="1">
      <c r="A358" s="1073">
        <v>354</v>
      </c>
      <c r="B358" s="1073" t="s">
        <v>1011</v>
      </c>
      <c r="C358" s="1072">
        <v>87.8</v>
      </c>
      <c r="D358" s="1071">
        <f t="shared" si="26"/>
        <v>26.5595</v>
      </c>
      <c r="E358" s="1070">
        <v>4563.75</v>
      </c>
      <c r="F358" s="1069">
        <f t="shared" si="27"/>
        <v>15086.776859504133</v>
      </c>
      <c r="G358" s="1069">
        <f t="shared" si="28"/>
        <v>400697.25</v>
      </c>
      <c r="H358" s="1068">
        <f>C694</f>
        <v>18</v>
      </c>
      <c r="I358" s="1040"/>
      <c r="J358" s="1040"/>
      <c r="K358" s="1023"/>
      <c r="L358" s="1023"/>
      <c r="M358" s="1023"/>
      <c r="N358" s="1023"/>
      <c r="O358" s="1023"/>
      <c r="P358" s="1023"/>
      <c r="Q358" s="1023"/>
      <c r="R358" s="1023"/>
      <c r="S358" s="1023"/>
      <c r="T358" s="934"/>
      <c r="U358" s="934"/>
      <c r="V358" s="934"/>
      <c r="W358" s="934"/>
      <c r="X358" s="934"/>
      <c r="Y358" s="934"/>
      <c r="Z358" s="934"/>
    </row>
    <row r="359" spans="1:26" ht="16.5" customHeight="1">
      <c r="A359" s="1073">
        <v>355</v>
      </c>
      <c r="B359" s="1073" t="s">
        <v>1012</v>
      </c>
      <c r="C359" s="1072">
        <v>89.4</v>
      </c>
      <c r="D359" s="1071">
        <f t="shared" si="26"/>
        <v>27.043500000000002</v>
      </c>
      <c r="E359" s="1070">
        <v>4563.75</v>
      </c>
      <c r="F359" s="1069">
        <f t="shared" si="27"/>
        <v>15086.776859504133</v>
      </c>
      <c r="G359" s="1069">
        <f t="shared" si="28"/>
        <v>407999.25</v>
      </c>
      <c r="H359" s="1068">
        <f>C695</f>
        <v>28957</v>
      </c>
      <c r="I359" s="1040"/>
      <c r="J359" s="1040"/>
      <c r="K359" s="1023"/>
      <c r="L359" s="1023"/>
      <c r="M359" s="1023"/>
      <c r="N359" s="1023"/>
      <c r="O359" s="1023"/>
      <c r="P359" s="1023"/>
      <c r="Q359" s="1023"/>
      <c r="R359" s="1023"/>
      <c r="S359" s="1023"/>
      <c r="T359" s="934"/>
      <c r="U359" s="934"/>
      <c r="V359" s="934"/>
      <c r="W359" s="934"/>
      <c r="X359" s="934"/>
      <c r="Y359" s="934"/>
      <c r="Z359" s="934"/>
    </row>
    <row r="360" spans="1:26" ht="16.5" customHeight="1">
      <c r="A360" s="1073">
        <v>356</v>
      </c>
      <c r="B360" s="1073" t="s">
        <v>1013</v>
      </c>
      <c r="C360" s="1072">
        <v>89.2</v>
      </c>
      <c r="D360" s="1071">
        <f t="shared" si="26"/>
        <v>26.983000000000001</v>
      </c>
      <c r="E360" s="1070">
        <v>4563.75</v>
      </c>
      <c r="F360" s="1069">
        <f t="shared" si="27"/>
        <v>15086.776859504133</v>
      </c>
      <c r="G360" s="1069">
        <f t="shared" si="28"/>
        <v>407086.5</v>
      </c>
      <c r="H360" s="1068">
        <f>C682</f>
        <v>0</v>
      </c>
      <c r="I360" s="1040"/>
      <c r="J360" s="1040"/>
      <c r="K360" s="1023"/>
      <c r="L360" s="1023"/>
      <c r="M360" s="1023"/>
      <c r="N360" s="1023"/>
      <c r="O360" s="1023"/>
      <c r="P360" s="1023"/>
      <c r="Q360" s="1023"/>
      <c r="R360" s="1023"/>
      <c r="S360" s="1023"/>
      <c r="T360" s="934"/>
      <c r="U360" s="934"/>
      <c r="V360" s="934"/>
      <c r="W360" s="934"/>
      <c r="X360" s="934"/>
      <c r="Y360" s="934"/>
      <c r="Z360" s="934"/>
    </row>
    <row r="361" spans="1:26" ht="16.5" customHeight="1">
      <c r="A361" s="1073">
        <v>357</v>
      </c>
      <c r="B361" s="1073" t="s">
        <v>1014</v>
      </c>
      <c r="C361" s="1072">
        <v>89.9</v>
      </c>
      <c r="D361" s="1071">
        <f t="shared" si="26"/>
        <v>27.194750000000003</v>
      </c>
      <c r="E361" s="1070">
        <v>4563.75</v>
      </c>
      <c r="F361" s="1069">
        <f t="shared" si="27"/>
        <v>15086.776859504133</v>
      </c>
      <c r="G361" s="1069">
        <f t="shared" si="28"/>
        <v>410281.125</v>
      </c>
      <c r="H361" s="1068">
        <f>C697</f>
        <v>0</v>
      </c>
      <c r="I361" s="1040"/>
      <c r="J361" s="1040"/>
      <c r="K361" s="1023"/>
      <c r="L361" s="1023"/>
      <c r="M361" s="1023"/>
      <c r="N361" s="1023"/>
      <c r="O361" s="1023"/>
      <c r="P361" s="1023"/>
      <c r="Q361" s="1023"/>
      <c r="R361" s="1023"/>
      <c r="S361" s="1023"/>
      <c r="T361" s="934"/>
      <c r="U361" s="934"/>
      <c r="V361" s="934"/>
      <c r="W361" s="934"/>
      <c r="X361" s="934"/>
      <c r="Y361" s="934"/>
      <c r="Z361" s="934"/>
    </row>
    <row r="362" spans="1:26" ht="16.5" customHeight="1">
      <c r="A362" s="1073">
        <v>358</v>
      </c>
      <c r="B362" s="1073" t="s">
        <v>1015</v>
      </c>
      <c r="C362" s="1072">
        <v>182</v>
      </c>
      <c r="D362" s="1071">
        <f t="shared" si="26"/>
        <v>55.055</v>
      </c>
      <c r="E362" s="1070">
        <v>8130</v>
      </c>
      <c r="F362" s="1069">
        <f t="shared" si="27"/>
        <v>26876.03305785124</v>
      </c>
      <c r="G362" s="1069">
        <f t="shared" si="28"/>
        <v>1479660</v>
      </c>
      <c r="H362" s="1068" t="e">
        <f>C698</f>
        <v>#REF!</v>
      </c>
      <c r="I362" s="1040"/>
      <c r="J362" s="1040"/>
      <c r="K362" s="1023"/>
      <c r="L362" s="1023"/>
      <c r="M362" s="1023"/>
      <c r="N362" s="1023"/>
      <c r="O362" s="1023"/>
      <c r="P362" s="1023"/>
      <c r="Q362" s="1023"/>
      <c r="R362" s="1023"/>
      <c r="S362" s="1023"/>
      <c r="T362" s="934"/>
      <c r="U362" s="934"/>
      <c r="V362" s="934"/>
      <c r="W362" s="934"/>
      <c r="X362" s="934"/>
      <c r="Y362" s="934"/>
      <c r="Z362" s="934"/>
    </row>
    <row r="363" spans="1:26" ht="16.5" customHeight="1">
      <c r="A363" s="1073">
        <v>359</v>
      </c>
      <c r="B363" s="1073" t="s">
        <v>1016</v>
      </c>
      <c r="C363" s="1072">
        <v>93</v>
      </c>
      <c r="D363" s="1071">
        <f t="shared" si="26"/>
        <v>28.1325</v>
      </c>
      <c r="E363" s="1070">
        <v>8650</v>
      </c>
      <c r="F363" s="1069">
        <f t="shared" si="27"/>
        <v>28595.041322314049</v>
      </c>
      <c r="G363" s="1069">
        <f t="shared" si="28"/>
        <v>804450</v>
      </c>
      <c r="H363" s="1068">
        <f>C699</f>
        <v>210</v>
      </c>
      <c r="I363" s="1040"/>
      <c r="J363" s="1040"/>
      <c r="K363" s="1023"/>
      <c r="L363" s="1023"/>
      <c r="M363" s="1023"/>
      <c r="N363" s="1023"/>
      <c r="O363" s="1023"/>
      <c r="P363" s="1023"/>
      <c r="Q363" s="1023"/>
      <c r="R363" s="1023"/>
      <c r="S363" s="1023"/>
      <c r="T363" s="934"/>
      <c r="U363" s="934"/>
      <c r="V363" s="934"/>
      <c r="W363" s="934"/>
      <c r="X363" s="934"/>
      <c r="Y363" s="934"/>
      <c r="Z363" s="934"/>
    </row>
    <row r="364" spans="1:26" ht="16.5" customHeight="1">
      <c r="A364" s="1073">
        <v>360</v>
      </c>
      <c r="B364" s="1073" t="s">
        <v>1017</v>
      </c>
      <c r="C364" s="1072">
        <v>88.1</v>
      </c>
      <c r="D364" s="1071">
        <f t="shared" si="26"/>
        <v>26.650249999999996</v>
      </c>
      <c r="E364" s="1070">
        <v>4762.5</v>
      </c>
      <c r="F364" s="1069">
        <f t="shared" si="27"/>
        <v>15743.801652892562</v>
      </c>
      <c r="G364" s="1069">
        <f t="shared" si="28"/>
        <v>419576.25</v>
      </c>
      <c r="H364" s="1068" t="e">
        <f>C700</f>
        <v>#REF!</v>
      </c>
      <c r="I364" s="1040"/>
      <c r="J364" s="1040"/>
      <c r="K364" s="1023"/>
      <c r="L364" s="1023"/>
      <c r="M364" s="1023"/>
      <c r="N364" s="1023"/>
      <c r="O364" s="1023"/>
      <c r="P364" s="1023"/>
      <c r="Q364" s="1023"/>
      <c r="R364" s="1023"/>
      <c r="S364" s="1023"/>
      <c r="T364" s="934"/>
      <c r="U364" s="934"/>
      <c r="V364" s="934"/>
      <c r="W364" s="934"/>
      <c r="X364" s="934"/>
      <c r="Y364" s="934"/>
      <c r="Z364" s="934"/>
    </row>
    <row r="365" spans="1:26" ht="16.5" customHeight="1">
      <c r="A365" s="1073">
        <v>361</v>
      </c>
      <c r="B365" s="1073" t="s">
        <v>1018</v>
      </c>
      <c r="C365" s="1072">
        <v>92.2</v>
      </c>
      <c r="D365" s="1071">
        <f t="shared" si="26"/>
        <v>27.890499999999999</v>
      </c>
      <c r="E365" s="1070">
        <v>4762.5</v>
      </c>
      <c r="F365" s="1069">
        <f t="shared" si="27"/>
        <v>15743.801652892562</v>
      </c>
      <c r="G365" s="1069">
        <f t="shared" si="28"/>
        <v>439102.5</v>
      </c>
      <c r="H365" s="1068">
        <f>C687</f>
        <v>160</v>
      </c>
      <c r="I365" s="1040"/>
      <c r="J365" s="1040"/>
      <c r="K365" s="1023"/>
      <c r="L365" s="1023"/>
      <c r="M365" s="1023"/>
      <c r="N365" s="1023"/>
      <c r="O365" s="1023"/>
      <c r="P365" s="1023"/>
      <c r="Q365" s="1023"/>
      <c r="R365" s="1023"/>
      <c r="S365" s="1023"/>
      <c r="T365" s="934"/>
      <c r="U365" s="934"/>
      <c r="V365" s="934"/>
      <c r="W365" s="934"/>
      <c r="X365" s="934"/>
      <c r="Y365" s="934"/>
      <c r="Z365" s="934"/>
    </row>
    <row r="366" spans="1:26" ht="16.5" customHeight="1">
      <c r="A366" s="1073">
        <v>362</v>
      </c>
      <c r="B366" s="1073" t="s">
        <v>1019</v>
      </c>
      <c r="C366" s="1072">
        <v>89.5</v>
      </c>
      <c r="D366" s="1071">
        <f t="shared" si="26"/>
        <v>27.07375</v>
      </c>
      <c r="E366" s="1070">
        <v>4762.5</v>
      </c>
      <c r="F366" s="1069">
        <f t="shared" si="27"/>
        <v>15743.801652892562</v>
      </c>
      <c r="G366" s="1069">
        <f t="shared" si="28"/>
        <v>426243.75</v>
      </c>
      <c r="H366" s="1068" t="e">
        <f>C702</f>
        <v>#REF!</v>
      </c>
      <c r="I366" s="1040"/>
      <c r="J366" s="1040"/>
      <c r="K366" s="1023"/>
      <c r="L366" s="1023"/>
      <c r="M366" s="1023"/>
      <c r="N366" s="1023"/>
      <c r="O366" s="1023"/>
      <c r="P366" s="1023"/>
      <c r="Q366" s="1023"/>
      <c r="R366" s="1023"/>
      <c r="S366" s="1023"/>
      <c r="T366" s="934"/>
      <c r="U366" s="934"/>
      <c r="V366" s="934"/>
      <c r="W366" s="934"/>
      <c r="X366" s="934"/>
      <c r="Y366" s="934"/>
      <c r="Z366" s="934"/>
    </row>
    <row r="367" spans="1:26" ht="16.5" customHeight="1">
      <c r="A367" s="1073">
        <v>363</v>
      </c>
      <c r="B367" s="1073" t="s">
        <v>1020</v>
      </c>
      <c r="C367" s="1072">
        <v>90.9</v>
      </c>
      <c r="D367" s="1071">
        <f t="shared" si="26"/>
        <v>27.497250000000001</v>
      </c>
      <c r="E367" s="1070">
        <v>4762.5</v>
      </c>
      <c r="F367" s="1069">
        <f t="shared" si="27"/>
        <v>15743.801652892562</v>
      </c>
      <c r="G367" s="1069">
        <f t="shared" si="28"/>
        <v>432911.25</v>
      </c>
      <c r="H367" s="1068" t="e">
        <f>C703</f>
        <v>#REF!</v>
      </c>
      <c r="I367" s="1040"/>
      <c r="J367" s="1040"/>
      <c r="K367" s="1023"/>
      <c r="L367" s="1023"/>
      <c r="M367" s="1023"/>
      <c r="N367" s="1023"/>
      <c r="O367" s="1023"/>
      <c r="P367" s="1023"/>
      <c r="Q367" s="1023"/>
      <c r="R367" s="1023"/>
      <c r="S367" s="1023"/>
      <c r="T367" s="934"/>
      <c r="U367" s="934"/>
      <c r="V367" s="934"/>
      <c r="W367" s="934"/>
      <c r="X367" s="934"/>
      <c r="Y367" s="934"/>
      <c r="Z367" s="934"/>
    </row>
    <row r="368" spans="1:26" ht="16.5" customHeight="1">
      <c r="A368" s="1073">
        <v>364</v>
      </c>
      <c r="B368" s="1073" t="s">
        <v>1021</v>
      </c>
      <c r="C368" s="1072">
        <v>89.4</v>
      </c>
      <c r="D368" s="1071">
        <f t="shared" si="26"/>
        <v>27.043500000000002</v>
      </c>
      <c r="E368" s="1070">
        <v>4762.5</v>
      </c>
      <c r="F368" s="1069">
        <f t="shared" si="27"/>
        <v>15743.801652892562</v>
      </c>
      <c r="G368" s="1069">
        <f t="shared" si="28"/>
        <v>425767.5</v>
      </c>
      <c r="H368" s="1068" t="e">
        <f>C704</f>
        <v>#REF!</v>
      </c>
      <c r="I368" s="1040"/>
      <c r="J368" s="1040"/>
      <c r="K368" s="1023"/>
      <c r="L368" s="1023"/>
      <c r="M368" s="1023"/>
      <c r="N368" s="1023"/>
      <c r="O368" s="1023"/>
      <c r="P368" s="1023"/>
      <c r="Q368" s="1023"/>
      <c r="R368" s="1023"/>
      <c r="S368" s="1023"/>
      <c r="T368" s="934"/>
      <c r="U368" s="934"/>
      <c r="V368" s="934"/>
      <c r="W368" s="934"/>
      <c r="X368" s="934"/>
      <c r="Y368" s="934"/>
      <c r="Z368" s="934"/>
    </row>
    <row r="369" spans="1:26" ht="16.5" customHeight="1">
      <c r="A369" s="1073">
        <v>365</v>
      </c>
      <c r="B369" s="1073" t="s">
        <v>1022</v>
      </c>
      <c r="C369" s="1072">
        <v>92.5</v>
      </c>
      <c r="D369" s="1071">
        <f t="shared" si="26"/>
        <v>27.981249999999999</v>
      </c>
      <c r="E369" s="1070">
        <v>4762.5</v>
      </c>
      <c r="F369" s="1069">
        <f t="shared" si="27"/>
        <v>15743.801652892562</v>
      </c>
      <c r="G369" s="1069">
        <f t="shared" si="28"/>
        <v>440531.25</v>
      </c>
      <c r="H369" s="1068" t="e">
        <f>C705</f>
        <v>#REF!</v>
      </c>
      <c r="I369" s="1040"/>
      <c r="J369" s="1040"/>
      <c r="K369" s="1023"/>
      <c r="L369" s="1023"/>
      <c r="M369" s="1023"/>
      <c r="N369" s="1023"/>
      <c r="O369" s="1023"/>
      <c r="P369" s="1023"/>
      <c r="Q369" s="1023"/>
      <c r="R369" s="1023"/>
      <c r="S369" s="1023"/>
      <c r="T369" s="934"/>
      <c r="U369" s="934"/>
      <c r="V369" s="934"/>
      <c r="W369" s="934"/>
      <c r="X369" s="934"/>
      <c r="Y369" s="934"/>
      <c r="Z369" s="934"/>
    </row>
    <row r="370" spans="1:26" ht="16.5" customHeight="1">
      <c r="A370" s="1073">
        <v>366</v>
      </c>
      <c r="B370" s="1073" t="s">
        <v>1023</v>
      </c>
      <c r="C370" s="1072">
        <v>86.4</v>
      </c>
      <c r="D370" s="1071">
        <f t="shared" si="26"/>
        <v>26.135999999999999</v>
      </c>
      <c r="E370" s="1070">
        <v>4762.5</v>
      </c>
      <c r="F370" s="1069">
        <f t="shared" si="27"/>
        <v>15743.801652892562</v>
      </c>
      <c r="G370" s="1069">
        <f t="shared" si="28"/>
        <v>411480</v>
      </c>
      <c r="H370" s="1068">
        <f>C692</f>
        <v>28589</v>
      </c>
      <c r="I370" s="1040"/>
      <c r="J370" s="1040"/>
      <c r="K370" s="1023"/>
      <c r="L370" s="1023"/>
      <c r="M370" s="1023"/>
      <c r="N370" s="1023"/>
      <c r="O370" s="1023"/>
      <c r="P370" s="1023"/>
      <c r="Q370" s="1023"/>
      <c r="R370" s="1023"/>
      <c r="S370" s="1023"/>
      <c r="T370" s="934"/>
      <c r="U370" s="934"/>
      <c r="V370" s="934"/>
      <c r="W370" s="934"/>
      <c r="X370" s="934"/>
      <c r="Y370" s="934"/>
      <c r="Z370" s="934"/>
    </row>
    <row r="371" spans="1:26" ht="16.5" customHeight="1">
      <c r="A371" s="1073">
        <v>367</v>
      </c>
      <c r="B371" s="1073" t="s">
        <v>1024</v>
      </c>
      <c r="C371" s="1072">
        <v>91.3</v>
      </c>
      <c r="D371" s="1071">
        <f t="shared" si="26"/>
        <v>27.61825</v>
      </c>
      <c r="E371" s="1070">
        <v>4762.5</v>
      </c>
      <c r="F371" s="1069">
        <f t="shared" si="27"/>
        <v>15743.801652892562</v>
      </c>
      <c r="G371" s="1069">
        <f t="shared" si="28"/>
        <v>434816.25</v>
      </c>
      <c r="H371" s="1068" t="e">
        <f>C707</f>
        <v>#REF!</v>
      </c>
      <c r="I371" s="1040"/>
      <c r="J371" s="1040"/>
      <c r="K371" s="1023"/>
      <c r="L371" s="1023"/>
      <c r="M371" s="1023"/>
      <c r="N371" s="1023"/>
      <c r="O371" s="1023"/>
      <c r="P371" s="1023"/>
      <c r="Q371" s="1023"/>
      <c r="R371" s="1023"/>
      <c r="S371" s="1023"/>
      <c r="T371" s="934"/>
      <c r="U371" s="934"/>
      <c r="V371" s="934"/>
      <c r="W371" s="934"/>
      <c r="X371" s="934"/>
      <c r="Y371" s="934"/>
      <c r="Z371" s="934"/>
    </row>
    <row r="372" spans="1:26" ht="16.5" customHeight="1">
      <c r="A372" s="1073">
        <v>368</v>
      </c>
      <c r="B372" s="1073" t="s">
        <v>1025</v>
      </c>
      <c r="C372" s="1072">
        <v>90.5</v>
      </c>
      <c r="D372" s="1071">
        <f t="shared" si="26"/>
        <v>27.376249999999999</v>
      </c>
      <c r="E372" s="1070">
        <v>4762.5</v>
      </c>
      <c r="F372" s="1069">
        <f t="shared" si="27"/>
        <v>15743.801652892562</v>
      </c>
      <c r="G372" s="1069">
        <f t="shared" si="28"/>
        <v>431006.25</v>
      </c>
      <c r="H372" s="1068" t="e">
        <f>C708</f>
        <v>#REF!</v>
      </c>
      <c r="I372" s="1040"/>
      <c r="J372" s="1040"/>
      <c r="K372" s="1023"/>
      <c r="L372" s="1023"/>
      <c r="M372" s="1023"/>
      <c r="N372" s="1023"/>
      <c r="O372" s="1023"/>
      <c r="P372" s="1023"/>
      <c r="Q372" s="1023"/>
      <c r="R372" s="1023"/>
      <c r="S372" s="1023"/>
      <c r="T372" s="934"/>
      <c r="U372" s="934"/>
      <c r="V372" s="934"/>
      <c r="W372" s="934"/>
      <c r="X372" s="934"/>
      <c r="Y372" s="934"/>
      <c r="Z372" s="934"/>
    </row>
    <row r="373" spans="1:26" ht="16.5" customHeight="1">
      <c r="A373" s="1073">
        <v>369</v>
      </c>
      <c r="B373" s="1073" t="s">
        <v>1026</v>
      </c>
      <c r="C373" s="1072">
        <v>90.3</v>
      </c>
      <c r="D373" s="1071">
        <f t="shared" si="26"/>
        <v>27.315749999999998</v>
      </c>
      <c r="E373" s="1070">
        <v>4762.5</v>
      </c>
      <c r="F373" s="1069">
        <f t="shared" si="27"/>
        <v>15743.801652892562</v>
      </c>
      <c r="G373" s="1069">
        <f t="shared" si="28"/>
        <v>430053.75</v>
      </c>
      <c r="H373" s="1068">
        <f>C709</f>
        <v>18</v>
      </c>
      <c r="I373" s="1040"/>
      <c r="J373" s="1040"/>
      <c r="K373" s="1023"/>
      <c r="L373" s="1023"/>
      <c r="M373" s="1023"/>
      <c r="N373" s="1023"/>
      <c r="O373" s="1023"/>
      <c r="P373" s="1023"/>
      <c r="Q373" s="1023"/>
      <c r="R373" s="1023"/>
      <c r="S373" s="1023"/>
      <c r="T373" s="934"/>
      <c r="U373" s="934"/>
      <c r="V373" s="934"/>
      <c r="W373" s="934"/>
      <c r="X373" s="934"/>
      <c r="Y373" s="934"/>
      <c r="Z373" s="934"/>
    </row>
    <row r="374" spans="1:26" ht="16.5" customHeight="1">
      <c r="A374" s="1073">
        <v>370</v>
      </c>
      <c r="B374" s="1073" t="s">
        <v>1027</v>
      </c>
      <c r="C374" s="1072">
        <v>91.1</v>
      </c>
      <c r="D374" s="1071">
        <f t="shared" si="26"/>
        <v>27.557749999999999</v>
      </c>
      <c r="E374" s="1070">
        <v>4762.5</v>
      </c>
      <c r="F374" s="1069">
        <f t="shared" si="27"/>
        <v>15743.801652892562</v>
      </c>
      <c r="G374" s="1069">
        <f t="shared" si="28"/>
        <v>433863.75</v>
      </c>
      <c r="H374" s="1068" t="e">
        <f>C710</f>
        <v>#REF!</v>
      </c>
      <c r="I374" s="1040"/>
      <c r="J374" s="1040"/>
      <c r="K374" s="1023"/>
      <c r="L374" s="1023"/>
      <c r="M374" s="1023"/>
      <c r="N374" s="1023"/>
      <c r="O374" s="1023"/>
      <c r="P374" s="1023"/>
      <c r="Q374" s="1023"/>
      <c r="R374" s="1023"/>
      <c r="S374" s="1023"/>
      <c r="T374" s="934"/>
      <c r="U374" s="934"/>
      <c r="V374" s="934"/>
      <c r="W374" s="934"/>
      <c r="X374" s="934"/>
      <c r="Y374" s="934"/>
      <c r="Z374" s="934"/>
    </row>
    <row r="375" spans="1:26" ht="16.5" customHeight="1">
      <c r="A375" s="1073">
        <v>371</v>
      </c>
      <c r="B375" s="1073" t="s">
        <v>1028</v>
      </c>
      <c r="C375" s="1072">
        <v>181.5</v>
      </c>
      <c r="D375" s="1071">
        <f t="shared" si="26"/>
        <v>54.903749999999995</v>
      </c>
      <c r="E375" s="1070">
        <v>4762.5</v>
      </c>
      <c r="F375" s="1069">
        <f t="shared" si="27"/>
        <v>15743.801652892562</v>
      </c>
      <c r="G375" s="1069">
        <f t="shared" si="28"/>
        <v>864393.75</v>
      </c>
      <c r="H375" s="1068">
        <f>C697</f>
        <v>0</v>
      </c>
      <c r="I375" s="1040"/>
      <c r="J375" s="1040"/>
      <c r="K375" s="1023"/>
      <c r="L375" s="1023"/>
      <c r="M375" s="1023"/>
      <c r="N375" s="1023"/>
      <c r="O375" s="1023"/>
      <c r="P375" s="1023"/>
      <c r="Q375" s="1023"/>
      <c r="R375" s="1023"/>
      <c r="S375" s="1023"/>
      <c r="T375" s="934"/>
      <c r="U375" s="934"/>
      <c r="V375" s="934"/>
      <c r="W375" s="934"/>
      <c r="X375" s="934"/>
      <c r="Y375" s="934"/>
      <c r="Z375" s="934"/>
    </row>
    <row r="376" spans="1:26" ht="16.5" customHeight="1">
      <c r="A376" s="1073">
        <v>372</v>
      </c>
      <c r="B376" s="1073" t="s">
        <v>1029</v>
      </c>
      <c r="C376" s="1072">
        <v>86.5</v>
      </c>
      <c r="D376" s="1071">
        <f t="shared" si="26"/>
        <v>26.166249999999998</v>
      </c>
      <c r="E376" s="1070">
        <v>7150</v>
      </c>
      <c r="F376" s="1069">
        <f t="shared" si="27"/>
        <v>23636.363636363636</v>
      </c>
      <c r="G376" s="1069">
        <f t="shared" si="28"/>
        <v>618475</v>
      </c>
      <c r="H376" s="1068">
        <f>C712</f>
        <v>0</v>
      </c>
      <c r="I376" s="1040"/>
      <c r="J376" s="1040"/>
      <c r="K376" s="1023"/>
      <c r="L376" s="1023"/>
      <c r="M376" s="1023"/>
      <c r="N376" s="1023"/>
      <c r="O376" s="1023"/>
      <c r="P376" s="1023"/>
      <c r="Q376" s="1023"/>
      <c r="R376" s="1023"/>
      <c r="S376" s="1023"/>
      <c r="T376" s="934"/>
      <c r="U376" s="934"/>
      <c r="V376" s="934"/>
      <c r="W376" s="934"/>
      <c r="X376" s="934"/>
      <c r="Y376" s="934"/>
      <c r="Z376" s="934"/>
    </row>
    <row r="377" spans="1:26" ht="16.5" customHeight="1">
      <c r="A377" s="1073">
        <v>373</v>
      </c>
      <c r="B377" s="1073" t="s">
        <v>1030</v>
      </c>
      <c r="C377" s="1072">
        <v>89.2</v>
      </c>
      <c r="D377" s="1071">
        <f t="shared" si="26"/>
        <v>26.983000000000001</v>
      </c>
      <c r="E377" s="1070">
        <v>4887.5</v>
      </c>
      <c r="F377" s="1069">
        <f t="shared" si="27"/>
        <v>16157.024793388431</v>
      </c>
      <c r="G377" s="1069">
        <f t="shared" si="28"/>
        <v>435965</v>
      </c>
      <c r="H377" s="1068" t="e">
        <f>C713</f>
        <v>#REF!</v>
      </c>
      <c r="I377" s="1040"/>
      <c r="J377" s="1040"/>
      <c r="K377" s="1023"/>
      <c r="L377" s="1023"/>
      <c r="M377" s="1023"/>
      <c r="N377" s="1023"/>
      <c r="O377" s="1023"/>
      <c r="P377" s="1023"/>
      <c r="Q377" s="1023"/>
      <c r="R377" s="1023"/>
      <c r="S377" s="1023"/>
      <c r="T377" s="934"/>
      <c r="U377" s="934"/>
      <c r="V377" s="934"/>
      <c r="W377" s="934"/>
      <c r="X377" s="934"/>
      <c r="Y377" s="934"/>
      <c r="Z377" s="934"/>
    </row>
    <row r="378" spans="1:26" ht="16.5" customHeight="1">
      <c r="A378" s="1073">
        <v>374</v>
      </c>
      <c r="B378" s="1073" t="s">
        <v>1031</v>
      </c>
      <c r="C378" s="1072">
        <v>88.7</v>
      </c>
      <c r="D378" s="1071">
        <f t="shared" si="26"/>
        <v>26.83175</v>
      </c>
      <c r="E378" s="1070">
        <v>4640</v>
      </c>
      <c r="F378" s="1069">
        <f t="shared" si="27"/>
        <v>15338.842975206611</v>
      </c>
      <c r="G378" s="1069">
        <f t="shared" si="28"/>
        <v>411568</v>
      </c>
      <c r="H378" s="1068">
        <f>C714</f>
        <v>210</v>
      </c>
      <c r="I378" s="1040"/>
      <c r="J378" s="1040"/>
      <c r="K378" s="1023"/>
      <c r="L378" s="1023"/>
      <c r="M378" s="1023"/>
      <c r="N378" s="1023"/>
      <c r="O378" s="1023"/>
      <c r="P378" s="1023"/>
      <c r="Q378" s="1023"/>
      <c r="R378" s="1023"/>
      <c r="S378" s="1023"/>
      <c r="T378" s="934"/>
      <c r="U378" s="934"/>
      <c r="V378" s="934"/>
      <c r="W378" s="934"/>
      <c r="X378" s="934"/>
      <c r="Y378" s="934"/>
      <c r="Z378" s="934"/>
    </row>
    <row r="379" spans="1:26" ht="16.5" customHeight="1">
      <c r="A379" s="1073">
        <v>375</v>
      </c>
      <c r="B379" s="1073" t="s">
        <v>1032</v>
      </c>
      <c r="C379" s="1072">
        <v>90.2</v>
      </c>
      <c r="D379" s="1071">
        <f t="shared" si="26"/>
        <v>27.285499999999999</v>
      </c>
      <c r="E379" s="1070">
        <v>4640</v>
      </c>
      <c r="F379" s="1069">
        <f t="shared" si="27"/>
        <v>15338.842975206611</v>
      </c>
      <c r="G379" s="1069">
        <f t="shared" si="28"/>
        <v>418528</v>
      </c>
      <c r="H379" s="1068" t="e">
        <f>C715</f>
        <v>#REF!</v>
      </c>
      <c r="I379" s="1040"/>
      <c r="J379" s="1040"/>
      <c r="K379" s="1023"/>
      <c r="L379" s="1023"/>
      <c r="M379" s="1023"/>
      <c r="N379" s="1023"/>
      <c r="O379" s="1023"/>
      <c r="P379" s="1023"/>
      <c r="Q379" s="1023"/>
      <c r="R379" s="1023"/>
      <c r="S379" s="1023"/>
      <c r="T379" s="934"/>
      <c r="U379" s="934"/>
      <c r="V379" s="934"/>
      <c r="W379" s="934"/>
      <c r="X379" s="934"/>
      <c r="Y379" s="934"/>
      <c r="Z379" s="934"/>
    </row>
    <row r="380" spans="1:26" ht="16.5" customHeight="1">
      <c r="A380" s="1073">
        <v>376</v>
      </c>
      <c r="B380" s="1073" t="s">
        <v>1033</v>
      </c>
      <c r="C380" s="1072">
        <v>88.1</v>
      </c>
      <c r="D380" s="1071">
        <f t="shared" si="26"/>
        <v>26.650249999999996</v>
      </c>
      <c r="E380" s="1070">
        <v>4640</v>
      </c>
      <c r="F380" s="1069">
        <f t="shared" si="27"/>
        <v>15338.842975206611</v>
      </c>
      <c r="G380" s="1069">
        <f t="shared" si="28"/>
        <v>408784</v>
      </c>
      <c r="H380" s="1068" t="e">
        <f>C702</f>
        <v>#REF!</v>
      </c>
      <c r="I380" s="1040"/>
      <c r="J380" s="1040"/>
      <c r="K380" s="1023"/>
      <c r="L380" s="1023"/>
      <c r="M380" s="1023"/>
      <c r="N380" s="1023"/>
      <c r="O380" s="1023"/>
      <c r="P380" s="1023"/>
      <c r="Q380" s="1023"/>
      <c r="R380" s="1023"/>
      <c r="S380" s="1023"/>
      <c r="T380" s="934"/>
      <c r="U380" s="934"/>
      <c r="V380" s="934"/>
      <c r="W380" s="934"/>
      <c r="X380" s="934"/>
      <c r="Y380" s="934"/>
      <c r="Z380" s="934"/>
    </row>
    <row r="381" spans="1:26" ht="16.5" customHeight="1">
      <c r="A381" s="1073">
        <v>377</v>
      </c>
      <c r="B381" s="1073" t="s">
        <v>1034</v>
      </c>
      <c r="C381" s="1072">
        <v>87.5</v>
      </c>
      <c r="D381" s="1071">
        <f t="shared" si="26"/>
        <v>26.46875</v>
      </c>
      <c r="E381" s="1070">
        <v>4640</v>
      </c>
      <c r="F381" s="1069">
        <f t="shared" si="27"/>
        <v>15338.842975206611</v>
      </c>
      <c r="G381" s="1069">
        <f t="shared" si="28"/>
        <v>406000</v>
      </c>
      <c r="H381" s="1068" t="e">
        <f>C717</f>
        <v>#REF!</v>
      </c>
      <c r="I381" s="1040"/>
      <c r="J381" s="1040"/>
      <c r="K381" s="1023"/>
      <c r="L381" s="1023"/>
      <c r="M381" s="1023"/>
      <c r="N381" s="1023"/>
      <c r="O381" s="1023"/>
      <c r="P381" s="1023"/>
      <c r="Q381" s="1023"/>
      <c r="R381" s="1023"/>
      <c r="S381" s="1023"/>
      <c r="T381" s="934"/>
      <c r="U381" s="934"/>
      <c r="V381" s="934"/>
      <c r="W381" s="934"/>
      <c r="X381" s="934"/>
      <c r="Y381" s="934"/>
      <c r="Z381" s="934"/>
    </row>
    <row r="382" spans="1:26" ht="16.5" customHeight="1">
      <c r="A382" s="1073">
        <v>378</v>
      </c>
      <c r="B382" s="1073" t="s">
        <v>1035</v>
      </c>
      <c r="C382" s="1072">
        <v>88.3</v>
      </c>
      <c r="D382" s="1071">
        <f t="shared" si="26"/>
        <v>26.710749999999997</v>
      </c>
      <c r="E382" s="1070">
        <v>4640</v>
      </c>
      <c r="F382" s="1069">
        <f t="shared" si="27"/>
        <v>15338.842975206611</v>
      </c>
      <c r="G382" s="1069">
        <f t="shared" si="28"/>
        <v>409712</v>
      </c>
      <c r="H382" s="1068" t="e">
        <f>C718</f>
        <v>#REF!</v>
      </c>
      <c r="I382" s="1040"/>
      <c r="J382" s="1040"/>
      <c r="K382" s="1023"/>
      <c r="L382" s="1023"/>
      <c r="M382" s="1023"/>
      <c r="N382" s="1023"/>
      <c r="O382" s="1023"/>
      <c r="P382" s="1023"/>
      <c r="Q382" s="1023"/>
      <c r="R382" s="1023"/>
      <c r="S382" s="1023"/>
      <c r="T382" s="934"/>
      <c r="U382" s="934"/>
      <c r="V382" s="934"/>
      <c r="W382" s="934"/>
      <c r="X382" s="934"/>
      <c r="Y382" s="934"/>
      <c r="Z382" s="934"/>
    </row>
    <row r="383" spans="1:26" ht="16.5" customHeight="1">
      <c r="A383" s="1073">
        <v>379</v>
      </c>
      <c r="B383" s="1073" t="s">
        <v>1036</v>
      </c>
      <c r="C383" s="1072">
        <v>87.6</v>
      </c>
      <c r="D383" s="1071">
        <f t="shared" si="26"/>
        <v>26.498999999999999</v>
      </c>
      <c r="E383" s="1070">
        <v>4640</v>
      </c>
      <c r="F383" s="1069">
        <f t="shared" si="27"/>
        <v>15338.842975206611</v>
      </c>
      <c r="G383" s="1069">
        <f t="shared" si="28"/>
        <v>406464</v>
      </c>
      <c r="H383" s="1068" t="e">
        <f>C719</f>
        <v>#REF!</v>
      </c>
      <c r="I383" s="1040"/>
      <c r="J383" s="1040"/>
      <c r="K383" s="1023"/>
      <c r="L383" s="1023"/>
      <c r="M383" s="1023"/>
      <c r="N383" s="1023"/>
      <c r="O383" s="1023"/>
      <c r="P383" s="1023"/>
      <c r="Q383" s="1023"/>
      <c r="R383" s="1023"/>
      <c r="S383" s="1023"/>
      <c r="T383" s="934"/>
      <c r="U383" s="934"/>
      <c r="V383" s="934"/>
      <c r="W383" s="934"/>
      <c r="X383" s="934"/>
      <c r="Y383" s="934"/>
      <c r="Z383" s="934"/>
    </row>
    <row r="384" spans="1:26" ht="16.5" customHeight="1">
      <c r="A384" s="1073">
        <v>380</v>
      </c>
      <c r="B384" s="1073" t="s">
        <v>1037</v>
      </c>
      <c r="C384" s="1072">
        <v>88.7</v>
      </c>
      <c r="D384" s="1071">
        <f t="shared" si="26"/>
        <v>26.83175</v>
      </c>
      <c r="E384" s="1070">
        <v>4640</v>
      </c>
      <c r="F384" s="1069">
        <f t="shared" si="27"/>
        <v>15338.842975206611</v>
      </c>
      <c r="G384" s="1069">
        <f t="shared" si="28"/>
        <v>411568</v>
      </c>
      <c r="H384" s="1068" t="e">
        <f>C720</f>
        <v>#REF!</v>
      </c>
      <c r="I384" s="1040"/>
      <c r="J384" s="1040"/>
      <c r="K384" s="1023"/>
      <c r="L384" s="1023"/>
      <c r="M384" s="1023"/>
      <c r="N384" s="1023"/>
      <c r="O384" s="1023"/>
      <c r="P384" s="1023"/>
      <c r="Q384" s="1023"/>
      <c r="R384" s="1023"/>
      <c r="S384" s="1023"/>
      <c r="T384" s="934"/>
      <c r="U384" s="934"/>
      <c r="V384" s="934"/>
      <c r="W384" s="934"/>
      <c r="X384" s="934"/>
      <c r="Y384" s="934"/>
      <c r="Z384" s="934"/>
    </row>
    <row r="385" spans="1:26" ht="16.5" customHeight="1">
      <c r="A385" s="1073">
        <v>381</v>
      </c>
      <c r="B385" s="1073" t="s">
        <v>1038</v>
      </c>
      <c r="C385" s="1072">
        <v>87.3</v>
      </c>
      <c r="D385" s="1071">
        <f t="shared" si="26"/>
        <v>26.408249999999999</v>
      </c>
      <c r="E385" s="1070">
        <v>4640</v>
      </c>
      <c r="F385" s="1069">
        <f t="shared" si="27"/>
        <v>15338.842975206611</v>
      </c>
      <c r="G385" s="1069">
        <f t="shared" si="28"/>
        <v>405072</v>
      </c>
      <c r="H385" s="1068" t="e">
        <f>C707</f>
        <v>#REF!</v>
      </c>
      <c r="I385" s="1040"/>
      <c r="J385" s="1040"/>
      <c r="K385" s="1023"/>
      <c r="L385" s="1023"/>
      <c r="M385" s="1023"/>
      <c r="N385" s="1023"/>
      <c r="O385" s="1023"/>
      <c r="P385" s="1023"/>
      <c r="Q385" s="1023"/>
      <c r="R385" s="1023"/>
      <c r="S385" s="1023"/>
      <c r="T385" s="934"/>
      <c r="U385" s="934"/>
      <c r="V385" s="934"/>
      <c r="W385" s="934"/>
      <c r="X385" s="934"/>
      <c r="Y385" s="934"/>
      <c r="Z385" s="934"/>
    </row>
    <row r="386" spans="1:26" ht="16.5" customHeight="1">
      <c r="A386" s="1073">
        <v>382</v>
      </c>
      <c r="B386" s="1073" t="s">
        <v>1039</v>
      </c>
      <c r="C386" s="1072">
        <v>89.4</v>
      </c>
      <c r="D386" s="1071">
        <f t="shared" si="26"/>
        <v>27.043500000000002</v>
      </c>
      <c r="E386" s="1070">
        <v>4640</v>
      </c>
      <c r="F386" s="1069">
        <f t="shared" si="27"/>
        <v>15338.842975206611</v>
      </c>
      <c r="G386" s="1069">
        <f t="shared" si="28"/>
        <v>414816</v>
      </c>
      <c r="H386" s="1068" t="e">
        <f>C722</f>
        <v>#REF!</v>
      </c>
      <c r="I386" s="1040"/>
      <c r="J386" s="1040"/>
      <c r="K386" s="1023"/>
      <c r="L386" s="1023"/>
      <c r="M386" s="1023"/>
      <c r="N386" s="1023"/>
      <c r="O386" s="1023"/>
      <c r="P386" s="1023"/>
      <c r="Q386" s="1023"/>
      <c r="R386" s="1023"/>
      <c r="S386" s="1023"/>
      <c r="T386" s="934"/>
      <c r="U386" s="934"/>
      <c r="V386" s="934"/>
      <c r="W386" s="934"/>
      <c r="X386" s="934"/>
      <c r="Y386" s="934"/>
      <c r="Z386" s="934"/>
    </row>
    <row r="387" spans="1:26" ht="16.5" customHeight="1">
      <c r="A387" s="1073">
        <v>383</v>
      </c>
      <c r="B387" s="1073" t="s">
        <v>1040</v>
      </c>
      <c r="C387" s="1072">
        <v>86.7</v>
      </c>
      <c r="D387" s="1071">
        <f t="shared" si="26"/>
        <v>26.226749999999999</v>
      </c>
      <c r="E387" s="1070">
        <v>4640</v>
      </c>
      <c r="F387" s="1069">
        <f t="shared" si="27"/>
        <v>15338.842975206611</v>
      </c>
      <c r="G387" s="1069">
        <f t="shared" si="28"/>
        <v>402288</v>
      </c>
      <c r="H387" s="1068" t="e">
        <f>C723</f>
        <v>#REF!</v>
      </c>
      <c r="I387" s="1040"/>
      <c r="J387" s="1040"/>
      <c r="K387" s="1023"/>
      <c r="L387" s="1023"/>
      <c r="M387" s="1023"/>
      <c r="N387" s="1023"/>
      <c r="O387" s="1023"/>
      <c r="P387" s="1023"/>
      <c r="Q387" s="1023"/>
      <c r="R387" s="1023"/>
      <c r="S387" s="1023"/>
      <c r="T387" s="934"/>
      <c r="U387" s="934"/>
      <c r="V387" s="934"/>
      <c r="W387" s="934"/>
      <c r="X387" s="934"/>
      <c r="Y387" s="934"/>
      <c r="Z387" s="934"/>
    </row>
    <row r="388" spans="1:26" ht="16.5" customHeight="1">
      <c r="A388" s="1073">
        <v>384</v>
      </c>
      <c r="B388" s="1073" t="s">
        <v>1041</v>
      </c>
      <c r="C388" s="1072">
        <v>89.4</v>
      </c>
      <c r="D388" s="1071">
        <f t="shared" si="26"/>
        <v>27.043500000000002</v>
      </c>
      <c r="E388" s="1070">
        <v>4640</v>
      </c>
      <c r="F388" s="1069">
        <f t="shared" si="27"/>
        <v>15338.842975206611</v>
      </c>
      <c r="G388" s="1069">
        <f t="shared" si="28"/>
        <v>414816</v>
      </c>
      <c r="H388" s="1068">
        <f>C724</f>
        <v>18</v>
      </c>
      <c r="I388" s="1040"/>
      <c r="J388" s="1040"/>
      <c r="K388" s="1023"/>
      <c r="L388" s="1023"/>
      <c r="M388" s="1023"/>
      <c r="N388" s="1023"/>
      <c r="O388" s="1023"/>
      <c r="P388" s="1023"/>
      <c r="Q388" s="1023"/>
      <c r="R388" s="1023"/>
      <c r="S388" s="1023"/>
      <c r="T388" s="934"/>
      <c r="U388" s="934"/>
      <c r="V388" s="934"/>
      <c r="W388" s="934"/>
      <c r="X388" s="934"/>
      <c r="Y388" s="934"/>
      <c r="Z388" s="934"/>
    </row>
    <row r="389" spans="1:26" ht="16.5" customHeight="1">
      <c r="A389" s="1073">
        <v>385</v>
      </c>
      <c r="B389" s="1073" t="s">
        <v>1042</v>
      </c>
      <c r="C389" s="1072">
        <v>85.9</v>
      </c>
      <c r="D389" s="1071">
        <f t="shared" ref="D389:D452" si="29">C389*0.3025</f>
        <v>25.984750000000002</v>
      </c>
      <c r="E389" s="1070">
        <v>4640</v>
      </c>
      <c r="F389" s="1069">
        <f t="shared" ref="F389:F392" si="30">E389/0.3025</f>
        <v>15338.842975206611</v>
      </c>
      <c r="G389" s="1069">
        <f t="shared" si="28"/>
        <v>398576</v>
      </c>
      <c r="H389" s="1068" t="e">
        <f>C725</f>
        <v>#REF!</v>
      </c>
      <c r="I389" s="1040"/>
      <c r="J389" s="1040"/>
      <c r="K389" s="1023"/>
      <c r="L389" s="1023"/>
      <c r="M389" s="1023"/>
      <c r="N389" s="1023"/>
      <c r="O389" s="1023"/>
      <c r="P389" s="1023"/>
      <c r="Q389" s="1023"/>
      <c r="R389" s="1023"/>
      <c r="S389" s="1023"/>
      <c r="T389" s="934"/>
      <c r="U389" s="934"/>
      <c r="V389" s="934"/>
      <c r="W389" s="934"/>
      <c r="X389" s="934"/>
      <c r="Y389" s="934"/>
      <c r="Z389" s="934"/>
    </row>
    <row r="390" spans="1:26" ht="16.5" customHeight="1">
      <c r="A390" s="1073">
        <v>386</v>
      </c>
      <c r="B390" s="1073" t="s">
        <v>1043</v>
      </c>
      <c r="C390" s="1072">
        <v>88</v>
      </c>
      <c r="D390" s="1071">
        <f t="shared" si="29"/>
        <v>26.619999999999997</v>
      </c>
      <c r="E390" s="1070">
        <v>4640</v>
      </c>
      <c r="F390" s="1069">
        <f t="shared" si="30"/>
        <v>15338.842975206611</v>
      </c>
      <c r="G390" s="1069">
        <f t="shared" si="28"/>
        <v>408320</v>
      </c>
      <c r="H390" s="1068">
        <f>C712</f>
        <v>0</v>
      </c>
      <c r="I390" s="1040"/>
      <c r="J390" s="1040"/>
      <c r="K390" s="1023"/>
      <c r="L390" s="1023"/>
      <c r="M390" s="1023"/>
      <c r="N390" s="1023"/>
      <c r="O390" s="1023"/>
      <c r="P390" s="1023"/>
      <c r="Q390" s="1023"/>
      <c r="R390" s="1023"/>
      <c r="S390" s="1023"/>
      <c r="T390" s="934"/>
      <c r="U390" s="934"/>
      <c r="V390" s="934"/>
      <c r="W390" s="934"/>
      <c r="X390" s="934"/>
      <c r="Y390" s="934"/>
      <c r="Z390" s="934"/>
    </row>
    <row r="391" spans="1:26" ht="16.5" customHeight="1">
      <c r="A391" s="1073">
        <v>387</v>
      </c>
      <c r="B391" s="1073" t="s">
        <v>1044</v>
      </c>
      <c r="C391" s="1072">
        <v>85.8</v>
      </c>
      <c r="D391" s="1071">
        <f t="shared" si="29"/>
        <v>25.954499999999999</v>
      </c>
      <c r="E391" s="1070">
        <v>7150</v>
      </c>
      <c r="F391" s="1069">
        <f t="shared" si="30"/>
        <v>23636.363636363636</v>
      </c>
      <c r="G391" s="1069">
        <f t="shared" si="28"/>
        <v>613470</v>
      </c>
      <c r="H391" s="1068">
        <f>C727</f>
        <v>0</v>
      </c>
      <c r="I391" s="1040"/>
      <c r="J391" s="1040"/>
      <c r="K391" s="1023"/>
      <c r="L391" s="1023"/>
      <c r="M391" s="1023"/>
      <c r="N391" s="1023"/>
      <c r="O391" s="1023"/>
      <c r="P391" s="1023"/>
      <c r="Q391" s="1023"/>
      <c r="R391" s="1023"/>
      <c r="S391" s="1023"/>
      <c r="T391" s="934"/>
      <c r="U391" s="934"/>
      <c r="V391" s="934"/>
      <c r="W391" s="934"/>
      <c r="X391" s="934"/>
      <c r="Y391" s="934"/>
      <c r="Z391" s="934"/>
    </row>
    <row r="392" spans="1:26" ht="16.5" customHeight="1">
      <c r="A392" s="1073">
        <v>388</v>
      </c>
      <c r="B392" s="1073" t="s">
        <v>1045</v>
      </c>
      <c r="C392" s="1072">
        <v>85.6</v>
      </c>
      <c r="D392" s="1071">
        <f t="shared" si="29"/>
        <v>25.893999999999998</v>
      </c>
      <c r="E392" s="1070">
        <v>7150</v>
      </c>
      <c r="F392" s="1069">
        <f t="shared" si="30"/>
        <v>23636.363636363636</v>
      </c>
      <c r="G392" s="1069">
        <f t="shared" si="28"/>
        <v>612040</v>
      </c>
      <c r="H392" s="1068" t="e">
        <f>C728</f>
        <v>#REF!</v>
      </c>
      <c r="I392" s="1040"/>
      <c r="J392" s="1040"/>
      <c r="K392" s="1023"/>
      <c r="L392" s="1023"/>
      <c r="M392" s="1023"/>
      <c r="N392" s="1023"/>
      <c r="O392" s="1023"/>
      <c r="P392" s="1023"/>
      <c r="Q392" s="1023"/>
      <c r="R392" s="1023"/>
      <c r="S392" s="1023"/>
      <c r="T392" s="934"/>
      <c r="U392" s="934"/>
      <c r="V392" s="934"/>
      <c r="W392" s="934"/>
      <c r="X392" s="934"/>
      <c r="Y392" s="934"/>
      <c r="Z392" s="934"/>
    </row>
    <row r="393" spans="1:26" ht="16.5" customHeight="1">
      <c r="A393" s="1073">
        <v>389</v>
      </c>
      <c r="B393" s="1073" t="s">
        <v>1046</v>
      </c>
      <c r="C393" s="1072">
        <v>88.1</v>
      </c>
      <c r="D393" s="1071">
        <f t="shared" si="29"/>
        <v>26.650249999999996</v>
      </c>
      <c r="E393" s="1070">
        <v>4762.5</v>
      </c>
      <c r="F393" s="1069">
        <f>E392/0.3025</f>
        <v>23636.363636363636</v>
      </c>
      <c r="G393" s="1069">
        <f>C393*E392</f>
        <v>629915</v>
      </c>
      <c r="H393" s="1068">
        <f>C729</f>
        <v>210</v>
      </c>
      <c r="I393" s="1040"/>
      <c r="J393" s="1040"/>
      <c r="K393" s="1023"/>
      <c r="L393" s="1023"/>
      <c r="M393" s="1023"/>
      <c r="N393" s="1023"/>
      <c r="O393" s="1023"/>
      <c r="P393" s="1023"/>
      <c r="Q393" s="1023"/>
      <c r="R393" s="1023"/>
      <c r="S393" s="1023"/>
      <c r="T393" s="934"/>
      <c r="U393" s="934"/>
      <c r="V393" s="934"/>
      <c r="W393" s="934"/>
      <c r="X393" s="934"/>
      <c r="Y393" s="934"/>
      <c r="Z393" s="934"/>
    </row>
    <row r="394" spans="1:26" ht="16.5" customHeight="1">
      <c r="A394" s="1073">
        <v>390</v>
      </c>
      <c r="B394" s="1073" t="s">
        <v>1047</v>
      </c>
      <c r="C394" s="1072">
        <v>89</v>
      </c>
      <c r="D394" s="1071">
        <f t="shared" si="29"/>
        <v>26.922499999999999</v>
      </c>
      <c r="E394" s="1070">
        <v>4762.5</v>
      </c>
      <c r="F394" s="1069">
        <f t="shared" ref="F394:F438" si="31">E394/0.3025</f>
        <v>15743.801652892562</v>
      </c>
      <c r="G394" s="1069">
        <f t="shared" ref="G394:G438" si="32">C394*E394</f>
        <v>423862.5</v>
      </c>
      <c r="H394" s="1068" t="e">
        <f>C730</f>
        <v>#REF!</v>
      </c>
      <c r="I394" s="1040"/>
      <c r="J394" s="1040"/>
      <c r="K394" s="1023"/>
      <c r="L394" s="1023"/>
      <c r="M394" s="1023"/>
      <c r="N394" s="1023"/>
      <c r="O394" s="1023"/>
      <c r="P394" s="1023"/>
      <c r="Q394" s="1023"/>
      <c r="R394" s="1023"/>
      <c r="S394" s="1023"/>
      <c r="T394" s="934"/>
      <c r="U394" s="934"/>
      <c r="V394" s="934"/>
      <c r="W394" s="934"/>
      <c r="X394" s="934"/>
      <c r="Y394" s="934"/>
      <c r="Z394" s="934"/>
    </row>
    <row r="395" spans="1:26" ht="16.5" customHeight="1">
      <c r="A395" s="1073">
        <v>391</v>
      </c>
      <c r="B395" s="1073" t="s">
        <v>1048</v>
      </c>
      <c r="C395" s="1072">
        <v>91.5</v>
      </c>
      <c r="D395" s="1071">
        <f t="shared" si="29"/>
        <v>27.678750000000001</v>
      </c>
      <c r="E395" s="1070">
        <v>4762.5</v>
      </c>
      <c r="F395" s="1069">
        <f t="shared" si="31"/>
        <v>15743.801652892562</v>
      </c>
      <c r="G395" s="1069">
        <f t="shared" si="32"/>
        <v>435768.75</v>
      </c>
      <c r="H395" s="1068" t="e">
        <f>C717</f>
        <v>#REF!</v>
      </c>
      <c r="I395" s="1040"/>
      <c r="J395" s="1040"/>
      <c r="K395" s="1023"/>
      <c r="L395" s="1023"/>
      <c r="M395" s="1023"/>
      <c r="N395" s="1023"/>
      <c r="O395" s="1023"/>
      <c r="P395" s="1023"/>
      <c r="Q395" s="1023"/>
      <c r="R395" s="1023"/>
      <c r="S395" s="1023"/>
      <c r="T395" s="934"/>
      <c r="U395" s="934"/>
      <c r="V395" s="934"/>
      <c r="W395" s="934"/>
      <c r="X395" s="934"/>
      <c r="Y395" s="934"/>
      <c r="Z395" s="934"/>
    </row>
    <row r="396" spans="1:26" ht="16.5" customHeight="1">
      <c r="A396" s="1073">
        <v>392</v>
      </c>
      <c r="B396" s="1073" t="s">
        <v>1049</v>
      </c>
      <c r="C396" s="1072">
        <v>86.5</v>
      </c>
      <c r="D396" s="1071">
        <f t="shared" si="29"/>
        <v>26.166249999999998</v>
      </c>
      <c r="E396" s="1070">
        <v>4762.5</v>
      </c>
      <c r="F396" s="1069">
        <f t="shared" si="31"/>
        <v>15743.801652892562</v>
      </c>
      <c r="G396" s="1069">
        <f t="shared" si="32"/>
        <v>411956.25</v>
      </c>
      <c r="H396" s="1068" t="e">
        <f>C732</f>
        <v>#REF!</v>
      </c>
      <c r="I396" s="1040"/>
      <c r="J396" s="1040"/>
      <c r="K396" s="1023"/>
      <c r="L396" s="1023"/>
      <c r="M396" s="1023"/>
      <c r="N396" s="1023"/>
      <c r="O396" s="1023"/>
      <c r="P396" s="1023"/>
      <c r="Q396" s="1023"/>
      <c r="R396" s="1023"/>
      <c r="S396" s="1023"/>
      <c r="T396" s="934"/>
      <c r="U396" s="934"/>
      <c r="V396" s="934"/>
      <c r="W396" s="934"/>
      <c r="X396" s="934"/>
      <c r="Y396" s="934"/>
      <c r="Z396" s="934"/>
    </row>
    <row r="397" spans="1:26" ht="16.5" customHeight="1">
      <c r="A397" s="1073">
        <v>393</v>
      </c>
      <c r="B397" s="1073" t="s">
        <v>1050</v>
      </c>
      <c r="C397" s="1072">
        <v>90</v>
      </c>
      <c r="D397" s="1071">
        <f t="shared" si="29"/>
        <v>27.224999999999998</v>
      </c>
      <c r="E397" s="1070">
        <v>4762.5</v>
      </c>
      <c r="F397" s="1069">
        <f t="shared" si="31"/>
        <v>15743.801652892562</v>
      </c>
      <c r="G397" s="1069">
        <f t="shared" si="32"/>
        <v>428625</v>
      </c>
      <c r="H397" s="1068" t="e">
        <f>C733</f>
        <v>#REF!</v>
      </c>
      <c r="I397" s="1040"/>
      <c r="J397" s="1040"/>
      <c r="K397" s="1023"/>
      <c r="L397" s="1023"/>
      <c r="M397" s="1023"/>
      <c r="N397" s="1023"/>
      <c r="O397" s="1023"/>
      <c r="P397" s="1023"/>
      <c r="Q397" s="1023"/>
      <c r="R397" s="1023"/>
      <c r="S397" s="1023"/>
      <c r="T397" s="934"/>
      <c r="U397" s="934"/>
      <c r="V397" s="934"/>
      <c r="W397" s="934"/>
      <c r="X397" s="934"/>
      <c r="Y397" s="934"/>
      <c r="Z397" s="934"/>
    </row>
    <row r="398" spans="1:26" ht="16.5" customHeight="1">
      <c r="A398" s="1073">
        <v>394</v>
      </c>
      <c r="B398" s="1073" t="s">
        <v>1051</v>
      </c>
      <c r="C398" s="1072">
        <v>87.7</v>
      </c>
      <c r="D398" s="1071">
        <f t="shared" si="29"/>
        <v>26.529250000000001</v>
      </c>
      <c r="E398" s="1070">
        <v>4762.5</v>
      </c>
      <c r="F398" s="1069">
        <f t="shared" si="31"/>
        <v>15743.801652892562</v>
      </c>
      <c r="G398" s="1069">
        <f t="shared" si="32"/>
        <v>417671.25</v>
      </c>
      <c r="H398" s="1068" t="e">
        <f>C734</f>
        <v>#REF!</v>
      </c>
      <c r="I398" s="1040"/>
      <c r="J398" s="1040"/>
      <c r="K398" s="1023"/>
      <c r="L398" s="1023"/>
      <c r="M398" s="1023"/>
      <c r="N398" s="1023"/>
      <c r="O398" s="1023"/>
      <c r="P398" s="1023"/>
      <c r="Q398" s="1023"/>
      <c r="R398" s="1023"/>
      <c r="S398" s="1023"/>
      <c r="T398" s="934"/>
      <c r="U398" s="934"/>
      <c r="V398" s="934"/>
      <c r="W398" s="934"/>
      <c r="X398" s="934"/>
      <c r="Y398" s="934"/>
      <c r="Z398" s="934"/>
    </row>
    <row r="399" spans="1:26" ht="16.5" customHeight="1">
      <c r="A399" s="1073">
        <v>395</v>
      </c>
      <c r="B399" s="1073" t="s">
        <v>1052</v>
      </c>
      <c r="C399" s="1072">
        <v>89.2</v>
      </c>
      <c r="D399" s="1071">
        <f t="shared" si="29"/>
        <v>26.983000000000001</v>
      </c>
      <c r="E399" s="1070">
        <v>4762.5</v>
      </c>
      <c r="F399" s="1069">
        <f t="shared" si="31"/>
        <v>15743.801652892562</v>
      </c>
      <c r="G399" s="1069">
        <f t="shared" si="32"/>
        <v>424815</v>
      </c>
      <c r="H399" s="1068" t="e">
        <f>C735</f>
        <v>#REF!</v>
      </c>
      <c r="I399" s="1040"/>
      <c r="J399" s="1040"/>
      <c r="K399" s="1023"/>
      <c r="L399" s="1023"/>
      <c r="M399" s="1023"/>
      <c r="N399" s="1023"/>
      <c r="O399" s="1023"/>
      <c r="P399" s="1023"/>
      <c r="Q399" s="1023"/>
      <c r="R399" s="1023"/>
      <c r="S399" s="1023"/>
      <c r="T399" s="934"/>
      <c r="U399" s="934"/>
      <c r="V399" s="934"/>
      <c r="W399" s="934"/>
      <c r="X399" s="934"/>
      <c r="Y399" s="934"/>
      <c r="Z399" s="934"/>
    </row>
    <row r="400" spans="1:26" ht="16.5" customHeight="1">
      <c r="A400" s="1073">
        <v>396</v>
      </c>
      <c r="B400" s="1073" t="s">
        <v>1053</v>
      </c>
      <c r="C400" s="1072">
        <v>87.7</v>
      </c>
      <c r="D400" s="1071">
        <f t="shared" si="29"/>
        <v>26.529250000000001</v>
      </c>
      <c r="E400" s="1070">
        <v>4762.5</v>
      </c>
      <c r="F400" s="1069">
        <f t="shared" si="31"/>
        <v>15743.801652892562</v>
      </c>
      <c r="G400" s="1069">
        <f t="shared" si="32"/>
        <v>417671.25</v>
      </c>
      <c r="H400" s="1068" t="e">
        <f>C722</f>
        <v>#REF!</v>
      </c>
      <c r="I400" s="1040"/>
      <c r="J400" s="1040"/>
      <c r="K400" s="1023"/>
      <c r="L400" s="1023"/>
      <c r="M400" s="1023"/>
      <c r="N400" s="1023"/>
      <c r="O400" s="1023"/>
      <c r="P400" s="1023"/>
      <c r="Q400" s="1023"/>
      <c r="R400" s="1023"/>
      <c r="S400" s="1023"/>
      <c r="T400" s="934"/>
      <c r="U400" s="934"/>
      <c r="V400" s="934"/>
      <c r="W400" s="934"/>
      <c r="X400" s="934"/>
      <c r="Y400" s="934"/>
      <c r="Z400" s="934"/>
    </row>
    <row r="401" spans="1:26" ht="16.5" customHeight="1">
      <c r="A401" s="1073">
        <v>397</v>
      </c>
      <c r="B401" s="1073" t="s">
        <v>1054</v>
      </c>
      <c r="C401" s="1072">
        <v>87.4</v>
      </c>
      <c r="D401" s="1071">
        <f t="shared" si="29"/>
        <v>26.438500000000001</v>
      </c>
      <c r="E401" s="1070">
        <v>4762.5</v>
      </c>
      <c r="F401" s="1069">
        <f t="shared" si="31"/>
        <v>15743.801652892562</v>
      </c>
      <c r="G401" s="1069">
        <f t="shared" si="32"/>
        <v>416242.5</v>
      </c>
      <c r="H401" s="1068" t="e">
        <f>C737</f>
        <v>#REF!</v>
      </c>
      <c r="I401" s="1040"/>
      <c r="J401" s="1040"/>
      <c r="K401" s="1023"/>
      <c r="L401" s="1023"/>
      <c r="M401" s="1023"/>
      <c r="N401" s="1023"/>
      <c r="O401" s="1023"/>
      <c r="P401" s="1023"/>
      <c r="Q401" s="1023"/>
      <c r="R401" s="1023"/>
      <c r="S401" s="1023"/>
      <c r="T401" s="934"/>
      <c r="U401" s="934"/>
      <c r="V401" s="934"/>
      <c r="W401" s="934"/>
      <c r="X401" s="934"/>
      <c r="Y401" s="934"/>
      <c r="Z401" s="934"/>
    </row>
    <row r="402" spans="1:26" ht="16.5" customHeight="1">
      <c r="A402" s="1073">
        <v>398</v>
      </c>
      <c r="B402" s="1073" t="s">
        <v>1055</v>
      </c>
      <c r="C402" s="1072">
        <v>86.7</v>
      </c>
      <c r="D402" s="1071">
        <f t="shared" si="29"/>
        <v>26.226749999999999</v>
      </c>
      <c r="E402" s="1070">
        <v>4762.5</v>
      </c>
      <c r="F402" s="1069">
        <f t="shared" si="31"/>
        <v>15743.801652892562</v>
      </c>
      <c r="G402" s="1069">
        <f t="shared" si="32"/>
        <v>412908.75</v>
      </c>
      <c r="H402" s="1068" t="e">
        <f>C738</f>
        <v>#REF!</v>
      </c>
      <c r="I402" s="1040"/>
      <c r="J402" s="1040"/>
      <c r="K402" s="1023"/>
      <c r="L402" s="1023"/>
      <c r="M402" s="1023"/>
      <c r="N402" s="1023"/>
      <c r="O402" s="1023"/>
      <c r="P402" s="1023"/>
      <c r="Q402" s="1023"/>
      <c r="R402" s="1023"/>
      <c r="S402" s="1023"/>
      <c r="T402" s="934"/>
      <c r="U402" s="934"/>
      <c r="V402" s="934"/>
      <c r="W402" s="934"/>
      <c r="X402" s="934"/>
      <c r="Y402" s="934"/>
      <c r="Z402" s="934"/>
    </row>
    <row r="403" spans="1:26" ht="16.5" customHeight="1">
      <c r="A403" s="1073">
        <v>399</v>
      </c>
      <c r="B403" s="1073" t="s">
        <v>1056</v>
      </c>
      <c r="C403" s="1072">
        <v>87.5</v>
      </c>
      <c r="D403" s="1071">
        <f t="shared" si="29"/>
        <v>26.46875</v>
      </c>
      <c r="E403" s="1070">
        <v>4762.5</v>
      </c>
      <c r="F403" s="1069">
        <f t="shared" si="31"/>
        <v>15743.801652892562</v>
      </c>
      <c r="G403" s="1069">
        <f t="shared" si="32"/>
        <v>416718.75</v>
      </c>
      <c r="H403" s="1068">
        <f>C739</f>
        <v>18</v>
      </c>
      <c r="I403" s="1040"/>
      <c r="J403" s="1040"/>
      <c r="K403" s="1023"/>
      <c r="L403" s="1023"/>
      <c r="M403" s="1023"/>
      <c r="N403" s="1023"/>
      <c r="O403" s="1023"/>
      <c r="P403" s="1023"/>
      <c r="Q403" s="1023"/>
      <c r="R403" s="1023"/>
      <c r="S403" s="1023"/>
      <c r="T403" s="934"/>
      <c r="U403" s="934"/>
      <c r="V403" s="934"/>
      <c r="W403" s="934"/>
      <c r="X403" s="934"/>
      <c r="Y403" s="934"/>
      <c r="Z403" s="934"/>
    </row>
    <row r="404" spans="1:26" ht="16.5" customHeight="1">
      <c r="A404" s="1073">
        <v>400</v>
      </c>
      <c r="B404" s="1073" t="s">
        <v>1057</v>
      </c>
      <c r="C404" s="1072">
        <v>90.8</v>
      </c>
      <c r="D404" s="1071">
        <f t="shared" si="29"/>
        <v>27.466999999999999</v>
      </c>
      <c r="E404" s="1070">
        <v>4762.5</v>
      </c>
      <c r="F404" s="1069">
        <f t="shared" si="31"/>
        <v>15743.801652892562</v>
      </c>
      <c r="G404" s="1069">
        <f t="shared" si="32"/>
        <v>432435</v>
      </c>
      <c r="H404" s="1068" t="e">
        <f>C740</f>
        <v>#REF!</v>
      </c>
      <c r="I404" s="1040"/>
      <c r="J404" s="1040"/>
      <c r="K404" s="1023"/>
      <c r="L404" s="1023"/>
      <c r="M404" s="1023"/>
      <c r="N404" s="1023"/>
      <c r="O404" s="1023"/>
      <c r="P404" s="1023"/>
      <c r="Q404" s="1023"/>
      <c r="R404" s="1023"/>
      <c r="S404" s="1023"/>
      <c r="T404" s="934"/>
      <c r="U404" s="934"/>
      <c r="V404" s="934"/>
      <c r="W404" s="934"/>
      <c r="X404" s="934"/>
      <c r="Y404" s="934"/>
      <c r="Z404" s="934"/>
    </row>
    <row r="405" spans="1:26" ht="16.5" customHeight="1">
      <c r="A405" s="1073">
        <v>401</v>
      </c>
      <c r="B405" s="1073" t="s">
        <v>1058</v>
      </c>
      <c r="C405" s="1072">
        <v>86.2</v>
      </c>
      <c r="D405" s="1071">
        <f t="shared" si="29"/>
        <v>26.075500000000002</v>
      </c>
      <c r="E405" s="1070">
        <v>4762.5</v>
      </c>
      <c r="F405" s="1069">
        <f t="shared" si="31"/>
        <v>15743.801652892562</v>
      </c>
      <c r="G405" s="1069">
        <f t="shared" si="32"/>
        <v>410527.5</v>
      </c>
      <c r="H405" s="1068">
        <f>C727</f>
        <v>0</v>
      </c>
      <c r="I405" s="1040"/>
      <c r="J405" s="1040"/>
      <c r="K405" s="1023"/>
      <c r="L405" s="1023"/>
      <c r="M405" s="1023"/>
      <c r="N405" s="1023"/>
      <c r="O405" s="1023"/>
      <c r="P405" s="1023"/>
      <c r="Q405" s="1023"/>
      <c r="R405" s="1023"/>
      <c r="S405" s="1023"/>
      <c r="T405" s="934"/>
      <c r="U405" s="934"/>
      <c r="V405" s="934"/>
      <c r="W405" s="934"/>
      <c r="X405" s="934"/>
      <c r="Y405" s="934"/>
      <c r="Z405" s="934"/>
    </row>
    <row r="406" spans="1:26" ht="16.5" customHeight="1">
      <c r="A406" s="1073">
        <v>402</v>
      </c>
      <c r="B406" s="1073" t="s">
        <v>1059</v>
      </c>
      <c r="C406" s="1072">
        <v>87</v>
      </c>
      <c r="D406" s="1071">
        <f t="shared" si="29"/>
        <v>26.317499999999999</v>
      </c>
      <c r="E406" s="1070">
        <v>4887.5</v>
      </c>
      <c r="F406" s="1069">
        <f t="shared" si="31"/>
        <v>16157.024793388431</v>
      </c>
      <c r="G406" s="1069">
        <f t="shared" si="32"/>
        <v>425212.5</v>
      </c>
      <c r="H406" s="1068">
        <f>C742</f>
        <v>0</v>
      </c>
      <c r="I406" s="1040"/>
      <c r="J406" s="1040"/>
      <c r="K406" s="1023"/>
      <c r="L406" s="1023"/>
      <c r="M406" s="1023"/>
      <c r="N406" s="1023"/>
      <c r="O406" s="1023"/>
      <c r="P406" s="1023"/>
      <c r="Q406" s="1023"/>
      <c r="R406" s="1023"/>
      <c r="S406" s="1023"/>
      <c r="T406" s="934"/>
      <c r="U406" s="934"/>
      <c r="V406" s="934"/>
      <c r="W406" s="934"/>
      <c r="X406" s="934"/>
      <c r="Y406" s="934"/>
      <c r="Z406" s="934"/>
    </row>
    <row r="407" spans="1:26" ht="16.5" customHeight="1">
      <c r="A407" s="1073">
        <v>403</v>
      </c>
      <c r="B407" s="1073" t="s">
        <v>1060</v>
      </c>
      <c r="C407" s="1072">
        <v>95.3</v>
      </c>
      <c r="D407" s="1071">
        <f t="shared" si="29"/>
        <v>28.828249999999997</v>
      </c>
      <c r="E407" s="1070">
        <v>4887.5</v>
      </c>
      <c r="F407" s="1069">
        <f t="shared" si="31"/>
        <v>16157.024793388431</v>
      </c>
      <c r="G407" s="1069">
        <f t="shared" si="32"/>
        <v>465778.75</v>
      </c>
      <c r="H407" s="1068" t="e">
        <f>C743</f>
        <v>#REF!</v>
      </c>
      <c r="I407" s="1040"/>
      <c r="J407" s="1040"/>
      <c r="K407" s="1023"/>
      <c r="L407" s="1023"/>
      <c r="M407" s="1023"/>
      <c r="N407" s="1023"/>
      <c r="O407" s="1023"/>
      <c r="P407" s="1023"/>
      <c r="Q407" s="1023"/>
      <c r="R407" s="1023"/>
      <c r="S407" s="1023"/>
      <c r="T407" s="934"/>
      <c r="U407" s="934"/>
      <c r="V407" s="934"/>
      <c r="W407" s="934"/>
      <c r="X407" s="934"/>
      <c r="Y407" s="934"/>
      <c r="Z407" s="934"/>
    </row>
    <row r="408" spans="1:26" ht="16.5" customHeight="1">
      <c r="A408" s="1073">
        <v>404</v>
      </c>
      <c r="B408" s="1073" t="s">
        <v>1061</v>
      </c>
      <c r="C408" s="1072">
        <v>89.8</v>
      </c>
      <c r="D408" s="1071">
        <f t="shared" si="29"/>
        <v>27.164499999999997</v>
      </c>
      <c r="E408" s="1070">
        <v>4640</v>
      </c>
      <c r="F408" s="1069">
        <f t="shared" si="31"/>
        <v>15338.842975206611</v>
      </c>
      <c r="G408" s="1069">
        <f t="shared" si="32"/>
        <v>416672</v>
      </c>
      <c r="H408" s="1068">
        <f>C744</f>
        <v>210</v>
      </c>
      <c r="I408" s="1040"/>
      <c r="J408" s="1040"/>
      <c r="K408" s="1023"/>
      <c r="L408" s="1023"/>
      <c r="M408" s="1023"/>
      <c r="N408" s="1023"/>
      <c r="O408" s="1023"/>
      <c r="P408" s="1023"/>
      <c r="Q408" s="1023"/>
      <c r="R408" s="1023"/>
      <c r="S408" s="1023"/>
      <c r="T408" s="934"/>
      <c r="U408" s="934"/>
      <c r="V408" s="934"/>
      <c r="W408" s="934"/>
      <c r="X408" s="934"/>
      <c r="Y408" s="934"/>
      <c r="Z408" s="934"/>
    </row>
    <row r="409" spans="1:26" ht="16.5" customHeight="1">
      <c r="A409" s="1073">
        <v>405</v>
      </c>
      <c r="B409" s="1073" t="s">
        <v>1062</v>
      </c>
      <c r="C409" s="1072">
        <v>91.5</v>
      </c>
      <c r="D409" s="1071">
        <f t="shared" si="29"/>
        <v>27.678750000000001</v>
      </c>
      <c r="E409" s="1070">
        <v>4640</v>
      </c>
      <c r="F409" s="1069">
        <f t="shared" si="31"/>
        <v>15338.842975206611</v>
      </c>
      <c r="G409" s="1069">
        <f t="shared" si="32"/>
        <v>424560</v>
      </c>
      <c r="H409" s="1068" t="e">
        <f>C745</f>
        <v>#REF!</v>
      </c>
      <c r="I409" s="1040"/>
      <c r="J409" s="1040"/>
      <c r="K409" s="1023"/>
      <c r="L409" s="1023"/>
      <c r="M409" s="1023"/>
      <c r="N409" s="1023"/>
      <c r="O409" s="1023"/>
      <c r="P409" s="1023"/>
      <c r="Q409" s="1023"/>
      <c r="R409" s="1023"/>
      <c r="S409" s="1023"/>
      <c r="T409" s="934"/>
      <c r="U409" s="934"/>
      <c r="V409" s="934"/>
      <c r="W409" s="934"/>
      <c r="X409" s="934"/>
      <c r="Y409" s="934"/>
      <c r="Z409" s="934"/>
    </row>
    <row r="410" spans="1:26" ht="16.5" customHeight="1">
      <c r="A410" s="1073">
        <v>406</v>
      </c>
      <c r="B410" s="1073" t="s">
        <v>1063</v>
      </c>
      <c r="C410" s="1072">
        <v>89.2</v>
      </c>
      <c r="D410" s="1071">
        <f t="shared" si="29"/>
        <v>26.983000000000001</v>
      </c>
      <c r="E410" s="1070">
        <v>4640</v>
      </c>
      <c r="F410" s="1069">
        <f t="shared" si="31"/>
        <v>15338.842975206611</v>
      </c>
      <c r="G410" s="1069">
        <f t="shared" si="32"/>
        <v>413888</v>
      </c>
      <c r="H410" s="1068" t="e">
        <f>C732</f>
        <v>#REF!</v>
      </c>
      <c r="I410" s="1040"/>
      <c r="J410" s="1040"/>
      <c r="K410" s="1023"/>
      <c r="L410" s="1023"/>
      <c r="M410" s="1023"/>
      <c r="N410" s="1023"/>
      <c r="O410" s="1023"/>
      <c r="P410" s="1023"/>
      <c r="Q410" s="1023"/>
      <c r="R410" s="1023"/>
      <c r="S410" s="1023"/>
      <c r="T410" s="934"/>
      <c r="U410" s="934"/>
      <c r="V410" s="934"/>
      <c r="W410" s="934"/>
      <c r="X410" s="934"/>
      <c r="Y410" s="934"/>
      <c r="Z410" s="934"/>
    </row>
    <row r="411" spans="1:26" ht="16.5" customHeight="1">
      <c r="A411" s="1073">
        <v>407</v>
      </c>
      <c r="B411" s="1073" t="s">
        <v>1064</v>
      </c>
      <c r="C411" s="1072">
        <v>90.9</v>
      </c>
      <c r="D411" s="1071">
        <f t="shared" si="29"/>
        <v>27.497250000000001</v>
      </c>
      <c r="E411" s="1070">
        <v>4640</v>
      </c>
      <c r="F411" s="1069">
        <f t="shared" si="31"/>
        <v>15338.842975206611</v>
      </c>
      <c r="G411" s="1069">
        <f t="shared" si="32"/>
        <v>421776</v>
      </c>
      <c r="H411" s="1068" t="e">
        <f>C747</f>
        <v>#REF!</v>
      </c>
      <c r="I411" s="1040"/>
      <c r="J411" s="1040"/>
      <c r="K411" s="1023"/>
      <c r="L411" s="1023"/>
      <c r="M411" s="1023"/>
      <c r="N411" s="1023"/>
      <c r="O411" s="1023"/>
      <c r="P411" s="1023"/>
      <c r="Q411" s="1023"/>
      <c r="R411" s="1023"/>
      <c r="S411" s="1023"/>
      <c r="T411" s="934"/>
      <c r="U411" s="934"/>
      <c r="V411" s="934"/>
      <c r="W411" s="934"/>
      <c r="X411" s="934"/>
      <c r="Y411" s="934"/>
      <c r="Z411" s="934"/>
    </row>
    <row r="412" spans="1:26" ht="16.5" customHeight="1">
      <c r="A412" s="1073">
        <v>408</v>
      </c>
      <c r="B412" s="1073" t="s">
        <v>1065</v>
      </c>
      <c r="C412" s="1072">
        <v>89.2</v>
      </c>
      <c r="D412" s="1071">
        <f t="shared" si="29"/>
        <v>26.983000000000001</v>
      </c>
      <c r="E412" s="1070">
        <v>4640</v>
      </c>
      <c r="F412" s="1069">
        <f t="shared" si="31"/>
        <v>15338.842975206611</v>
      </c>
      <c r="G412" s="1069">
        <f t="shared" si="32"/>
        <v>413888</v>
      </c>
      <c r="H412" s="1068" t="e">
        <f>C748</f>
        <v>#REF!</v>
      </c>
      <c r="I412" s="1040"/>
      <c r="J412" s="1040"/>
      <c r="K412" s="1023"/>
      <c r="L412" s="1023"/>
      <c r="M412" s="1023"/>
      <c r="N412" s="1023"/>
      <c r="O412" s="1023"/>
      <c r="P412" s="1023"/>
      <c r="Q412" s="1023"/>
      <c r="R412" s="1023"/>
      <c r="S412" s="1023"/>
      <c r="T412" s="934"/>
      <c r="U412" s="934"/>
      <c r="V412" s="934"/>
      <c r="W412" s="934"/>
      <c r="X412" s="934"/>
      <c r="Y412" s="934"/>
      <c r="Z412" s="934"/>
    </row>
    <row r="413" spans="1:26" ht="16.5" customHeight="1">
      <c r="A413" s="1073">
        <v>409</v>
      </c>
      <c r="B413" s="1073" t="s">
        <v>1066</v>
      </c>
      <c r="C413" s="1072">
        <v>90.5</v>
      </c>
      <c r="D413" s="1071">
        <f t="shared" si="29"/>
        <v>27.376249999999999</v>
      </c>
      <c r="E413" s="1070">
        <v>4640</v>
      </c>
      <c r="F413" s="1069">
        <f t="shared" si="31"/>
        <v>15338.842975206611</v>
      </c>
      <c r="G413" s="1069">
        <f t="shared" si="32"/>
        <v>419920</v>
      </c>
      <c r="H413" s="1068" t="e">
        <f>C749</f>
        <v>#REF!</v>
      </c>
      <c r="I413" s="1040"/>
      <c r="J413" s="1040"/>
      <c r="K413" s="1023"/>
      <c r="L413" s="1023"/>
      <c r="M413" s="1023"/>
      <c r="N413" s="1023"/>
      <c r="O413" s="1023"/>
      <c r="P413" s="1023"/>
      <c r="Q413" s="1023"/>
      <c r="R413" s="1023"/>
      <c r="S413" s="1023"/>
      <c r="T413" s="934"/>
      <c r="U413" s="934"/>
      <c r="V413" s="934"/>
      <c r="W413" s="934"/>
      <c r="X413" s="934"/>
      <c r="Y413" s="934"/>
      <c r="Z413" s="934"/>
    </row>
    <row r="414" spans="1:26" ht="16.5" customHeight="1">
      <c r="A414" s="1073">
        <v>410</v>
      </c>
      <c r="B414" s="1073" t="s">
        <v>1067</v>
      </c>
      <c r="C414" s="1072">
        <v>89.7</v>
      </c>
      <c r="D414" s="1071">
        <f t="shared" si="29"/>
        <v>27.134250000000002</v>
      </c>
      <c r="E414" s="1070">
        <v>4640</v>
      </c>
      <c r="F414" s="1069">
        <f t="shared" si="31"/>
        <v>15338.842975206611</v>
      </c>
      <c r="G414" s="1069">
        <f t="shared" si="32"/>
        <v>416208</v>
      </c>
      <c r="H414" s="1068" t="e">
        <f>C750</f>
        <v>#REF!</v>
      </c>
      <c r="I414" s="1040"/>
      <c r="J414" s="1040"/>
      <c r="K414" s="1023"/>
      <c r="L414" s="1023"/>
      <c r="M414" s="1023"/>
      <c r="N414" s="1023"/>
      <c r="O414" s="1023"/>
      <c r="P414" s="1023"/>
      <c r="Q414" s="1023"/>
      <c r="R414" s="1023"/>
      <c r="S414" s="1023"/>
      <c r="T414" s="934"/>
      <c r="U414" s="934"/>
      <c r="V414" s="934"/>
      <c r="W414" s="934"/>
      <c r="X414" s="934"/>
      <c r="Y414" s="934"/>
      <c r="Z414" s="934"/>
    </row>
    <row r="415" spans="1:26" ht="16.5" customHeight="1">
      <c r="A415" s="1073">
        <v>411</v>
      </c>
      <c r="B415" s="1073" t="s">
        <v>1068</v>
      </c>
      <c r="C415" s="1072">
        <v>88.2</v>
      </c>
      <c r="D415" s="1071">
        <f t="shared" si="29"/>
        <v>26.680499999999999</v>
      </c>
      <c r="E415" s="1070">
        <v>4640</v>
      </c>
      <c r="F415" s="1069">
        <f t="shared" si="31"/>
        <v>15338.842975206611</v>
      </c>
      <c r="G415" s="1069">
        <f t="shared" si="32"/>
        <v>409248</v>
      </c>
      <c r="H415" s="1068" t="e">
        <f>C737</f>
        <v>#REF!</v>
      </c>
      <c r="I415" s="1040"/>
      <c r="J415" s="1040"/>
      <c r="K415" s="1023"/>
      <c r="L415" s="1023"/>
      <c r="M415" s="1023"/>
      <c r="N415" s="1023"/>
      <c r="O415" s="1023"/>
      <c r="P415" s="1023"/>
      <c r="Q415" s="1023"/>
      <c r="R415" s="1023"/>
      <c r="S415" s="1023"/>
      <c r="T415" s="934"/>
      <c r="U415" s="934"/>
      <c r="V415" s="934"/>
      <c r="W415" s="934"/>
      <c r="X415" s="934"/>
      <c r="Y415" s="934"/>
      <c r="Z415" s="934"/>
    </row>
    <row r="416" spans="1:26" ht="16.5" customHeight="1">
      <c r="A416" s="1073">
        <v>412</v>
      </c>
      <c r="B416" s="1073" t="s">
        <v>1069</v>
      </c>
      <c r="C416" s="1072">
        <v>90.3</v>
      </c>
      <c r="D416" s="1071">
        <f t="shared" si="29"/>
        <v>27.315749999999998</v>
      </c>
      <c r="E416" s="1070">
        <v>4640</v>
      </c>
      <c r="F416" s="1069">
        <f t="shared" si="31"/>
        <v>15338.842975206611</v>
      </c>
      <c r="G416" s="1069">
        <f t="shared" si="32"/>
        <v>418992</v>
      </c>
      <c r="H416" s="1068" t="e">
        <f>C752</f>
        <v>#REF!</v>
      </c>
      <c r="I416" s="1040"/>
      <c r="J416" s="1040"/>
      <c r="K416" s="1023"/>
      <c r="L416" s="1023"/>
      <c r="M416" s="1023"/>
      <c r="N416" s="1023"/>
      <c r="O416" s="1023"/>
      <c r="P416" s="1023"/>
      <c r="Q416" s="1023"/>
      <c r="R416" s="1023"/>
      <c r="S416" s="1023"/>
      <c r="T416" s="934"/>
      <c r="U416" s="934"/>
      <c r="V416" s="934"/>
      <c r="W416" s="934"/>
      <c r="X416" s="934"/>
      <c r="Y416" s="934"/>
      <c r="Z416" s="934"/>
    </row>
    <row r="417" spans="1:26" ht="16.5" customHeight="1">
      <c r="A417" s="1073">
        <v>413</v>
      </c>
      <c r="B417" s="1073" t="s">
        <v>1070</v>
      </c>
      <c r="C417" s="1072">
        <v>92.5</v>
      </c>
      <c r="D417" s="1071">
        <f t="shared" si="29"/>
        <v>27.981249999999999</v>
      </c>
      <c r="E417" s="1070">
        <v>4640</v>
      </c>
      <c r="F417" s="1069">
        <f t="shared" si="31"/>
        <v>15338.842975206611</v>
      </c>
      <c r="G417" s="1069">
        <f t="shared" si="32"/>
        <v>429200</v>
      </c>
      <c r="H417" s="1068" t="e">
        <f>C753</f>
        <v>#REF!</v>
      </c>
      <c r="I417" s="1040"/>
      <c r="J417" s="1040"/>
      <c r="K417" s="1023"/>
      <c r="L417" s="1023"/>
      <c r="M417" s="1023"/>
      <c r="N417" s="1023"/>
      <c r="O417" s="1023"/>
      <c r="P417" s="1023"/>
      <c r="Q417" s="1023"/>
      <c r="R417" s="1023"/>
      <c r="S417" s="1023"/>
      <c r="T417" s="934"/>
      <c r="U417" s="934"/>
      <c r="V417" s="934"/>
      <c r="W417" s="934"/>
      <c r="X417" s="934"/>
      <c r="Y417" s="934"/>
      <c r="Z417" s="934"/>
    </row>
    <row r="418" spans="1:26" ht="16.5" customHeight="1">
      <c r="A418" s="1073">
        <v>414</v>
      </c>
      <c r="B418" s="1073" t="s">
        <v>1071</v>
      </c>
      <c r="C418" s="1072">
        <v>88.1</v>
      </c>
      <c r="D418" s="1071">
        <f t="shared" si="29"/>
        <v>26.650249999999996</v>
      </c>
      <c r="E418" s="1070">
        <v>4640</v>
      </c>
      <c r="F418" s="1069">
        <f t="shared" si="31"/>
        <v>15338.842975206611</v>
      </c>
      <c r="G418" s="1069">
        <f t="shared" si="32"/>
        <v>408784</v>
      </c>
      <c r="H418" s="1068">
        <f>C754</f>
        <v>18</v>
      </c>
      <c r="I418" s="1040"/>
      <c r="J418" s="1040"/>
      <c r="K418" s="1023"/>
      <c r="L418" s="1023"/>
      <c r="M418" s="1023"/>
      <c r="N418" s="1023"/>
      <c r="O418" s="1023"/>
      <c r="P418" s="1023"/>
      <c r="Q418" s="1023"/>
      <c r="R418" s="1023"/>
      <c r="S418" s="1023"/>
      <c r="T418" s="934"/>
      <c r="U418" s="934"/>
      <c r="V418" s="934"/>
      <c r="W418" s="934"/>
      <c r="X418" s="934"/>
      <c r="Y418" s="934"/>
      <c r="Z418" s="934"/>
    </row>
    <row r="419" spans="1:26" ht="16.5" customHeight="1">
      <c r="A419" s="1073">
        <v>415</v>
      </c>
      <c r="B419" s="1073" t="s">
        <v>1072</v>
      </c>
      <c r="C419" s="1072">
        <v>88.3</v>
      </c>
      <c r="D419" s="1071">
        <f t="shared" si="29"/>
        <v>26.710749999999997</v>
      </c>
      <c r="E419" s="1070">
        <v>4640</v>
      </c>
      <c r="F419" s="1069">
        <f t="shared" si="31"/>
        <v>15338.842975206611</v>
      </c>
      <c r="G419" s="1069">
        <f t="shared" si="32"/>
        <v>409712</v>
      </c>
      <c r="H419" s="1068" t="e">
        <f>C755</f>
        <v>#REF!</v>
      </c>
      <c r="I419" s="1040"/>
      <c r="J419" s="1040"/>
      <c r="K419" s="1023"/>
      <c r="L419" s="1023"/>
      <c r="M419" s="1023"/>
      <c r="N419" s="1023"/>
      <c r="O419" s="1023"/>
      <c r="P419" s="1023"/>
      <c r="Q419" s="1023"/>
      <c r="R419" s="1023"/>
      <c r="S419" s="1023"/>
      <c r="T419" s="934"/>
      <c r="U419" s="934"/>
      <c r="V419" s="934"/>
      <c r="W419" s="934"/>
      <c r="X419" s="934"/>
      <c r="Y419" s="934"/>
      <c r="Z419" s="934"/>
    </row>
    <row r="420" spans="1:26" ht="16.5" customHeight="1">
      <c r="A420" s="1073">
        <v>416</v>
      </c>
      <c r="B420" s="1073" t="s">
        <v>1073</v>
      </c>
      <c r="C420" s="1072">
        <v>87.6</v>
      </c>
      <c r="D420" s="1071">
        <f t="shared" si="29"/>
        <v>26.498999999999999</v>
      </c>
      <c r="E420" s="1070">
        <v>4640</v>
      </c>
      <c r="F420" s="1069">
        <f t="shared" si="31"/>
        <v>15338.842975206611</v>
      </c>
      <c r="G420" s="1069">
        <f t="shared" si="32"/>
        <v>406464</v>
      </c>
      <c r="H420" s="1068">
        <f>C742</f>
        <v>0</v>
      </c>
      <c r="I420" s="1040"/>
      <c r="J420" s="1040"/>
      <c r="K420" s="1023"/>
      <c r="L420" s="1023"/>
      <c r="M420" s="1023"/>
      <c r="N420" s="1023"/>
      <c r="O420" s="1023"/>
      <c r="P420" s="1023"/>
      <c r="Q420" s="1023"/>
      <c r="R420" s="1023"/>
      <c r="S420" s="1023"/>
      <c r="T420" s="934"/>
      <c r="U420" s="934"/>
      <c r="V420" s="934"/>
      <c r="W420" s="934"/>
      <c r="X420" s="934"/>
      <c r="Y420" s="934"/>
      <c r="Z420" s="934"/>
    </row>
    <row r="421" spans="1:26" ht="16.5" customHeight="1">
      <c r="A421" s="1073">
        <v>417</v>
      </c>
      <c r="B421" s="1073" t="s">
        <v>1074</v>
      </c>
      <c r="C421" s="1072">
        <v>87.7</v>
      </c>
      <c r="D421" s="1071">
        <f t="shared" si="29"/>
        <v>26.529250000000001</v>
      </c>
      <c r="E421" s="1070">
        <v>7150</v>
      </c>
      <c r="F421" s="1069">
        <f t="shared" si="31"/>
        <v>23636.363636363636</v>
      </c>
      <c r="G421" s="1069">
        <f t="shared" si="32"/>
        <v>627055</v>
      </c>
      <c r="H421" s="1068">
        <f>C757</f>
        <v>0</v>
      </c>
      <c r="I421" s="1040"/>
      <c r="J421" s="1040"/>
      <c r="K421" s="1023"/>
      <c r="L421" s="1023"/>
      <c r="M421" s="1023"/>
      <c r="N421" s="1023"/>
      <c r="O421" s="1023"/>
      <c r="P421" s="1023"/>
      <c r="Q421" s="1023"/>
      <c r="R421" s="1023"/>
      <c r="S421" s="1023"/>
      <c r="T421" s="934"/>
      <c r="U421" s="934"/>
      <c r="V421" s="934"/>
      <c r="W421" s="934"/>
      <c r="X421" s="934"/>
      <c r="Y421" s="934"/>
      <c r="Z421" s="934"/>
    </row>
    <row r="422" spans="1:26" ht="16.5" customHeight="1">
      <c r="A422" s="1073">
        <v>418</v>
      </c>
      <c r="B422" s="1073" t="s">
        <v>1075</v>
      </c>
      <c r="C422" s="1072">
        <v>179.7</v>
      </c>
      <c r="D422" s="1071">
        <f t="shared" si="29"/>
        <v>54.359249999999996</v>
      </c>
      <c r="E422" s="1070">
        <v>6720</v>
      </c>
      <c r="F422" s="1069">
        <f t="shared" si="31"/>
        <v>22214.876033057852</v>
      </c>
      <c r="G422" s="1069">
        <f t="shared" si="32"/>
        <v>1207584</v>
      </c>
      <c r="H422" s="1068" t="e">
        <f>C758</f>
        <v>#REF!</v>
      </c>
      <c r="I422" s="1040"/>
      <c r="J422" s="1040"/>
      <c r="K422" s="1023"/>
      <c r="L422" s="1023"/>
      <c r="M422" s="1023"/>
      <c r="N422" s="1023"/>
      <c r="O422" s="1023"/>
      <c r="P422" s="1023"/>
      <c r="Q422" s="1023"/>
      <c r="R422" s="1023"/>
      <c r="S422" s="1023"/>
      <c r="T422" s="934"/>
      <c r="U422" s="934"/>
      <c r="V422" s="934"/>
      <c r="W422" s="934"/>
      <c r="X422" s="934"/>
      <c r="Y422" s="934"/>
      <c r="Z422" s="934"/>
    </row>
    <row r="423" spans="1:26" ht="16.5" customHeight="1">
      <c r="A423" s="1073">
        <v>419</v>
      </c>
      <c r="B423" s="1073" t="s">
        <v>1076</v>
      </c>
      <c r="C423" s="1072">
        <v>91.1</v>
      </c>
      <c r="D423" s="1071">
        <f t="shared" si="29"/>
        <v>27.557749999999999</v>
      </c>
      <c r="E423" s="1070">
        <v>4550</v>
      </c>
      <c r="F423" s="1069">
        <f t="shared" si="31"/>
        <v>15041.322314049587</v>
      </c>
      <c r="G423" s="1069">
        <f t="shared" si="32"/>
        <v>414505</v>
      </c>
      <c r="H423" s="1068">
        <f>C759</f>
        <v>210</v>
      </c>
      <c r="I423" s="1040"/>
      <c r="J423" s="1040"/>
      <c r="K423" s="1023"/>
      <c r="L423" s="1023"/>
      <c r="M423" s="1023"/>
      <c r="N423" s="1023"/>
      <c r="O423" s="1023"/>
      <c r="P423" s="1023"/>
      <c r="Q423" s="1023"/>
      <c r="R423" s="1023"/>
      <c r="S423" s="1023"/>
      <c r="T423" s="934"/>
      <c r="U423" s="934"/>
      <c r="V423" s="934"/>
      <c r="W423" s="934"/>
      <c r="X423" s="934"/>
      <c r="Y423" s="934"/>
      <c r="Z423" s="934"/>
    </row>
    <row r="424" spans="1:26" ht="16.5" customHeight="1">
      <c r="A424" s="1073">
        <v>420</v>
      </c>
      <c r="B424" s="1073" t="s">
        <v>1077</v>
      </c>
      <c r="C424" s="1072">
        <v>92.4</v>
      </c>
      <c r="D424" s="1071">
        <f t="shared" si="29"/>
        <v>27.951000000000001</v>
      </c>
      <c r="E424" s="1070">
        <v>4550</v>
      </c>
      <c r="F424" s="1069">
        <f t="shared" si="31"/>
        <v>15041.322314049587</v>
      </c>
      <c r="G424" s="1069">
        <f t="shared" si="32"/>
        <v>420420</v>
      </c>
      <c r="H424" s="1068" t="e">
        <f>C760</f>
        <v>#REF!</v>
      </c>
      <c r="I424" s="1040"/>
      <c r="J424" s="1040"/>
      <c r="K424" s="1023"/>
      <c r="L424" s="1023"/>
      <c r="M424" s="1023"/>
      <c r="N424" s="1023"/>
      <c r="O424" s="1023"/>
      <c r="P424" s="1023"/>
      <c r="Q424" s="1023"/>
      <c r="R424" s="1023"/>
      <c r="S424" s="1023"/>
      <c r="T424" s="934"/>
      <c r="U424" s="934"/>
      <c r="V424" s="934"/>
      <c r="W424" s="934"/>
      <c r="X424" s="934"/>
      <c r="Y424" s="934"/>
      <c r="Z424" s="934"/>
    </row>
    <row r="425" spans="1:26" ht="16.5" customHeight="1">
      <c r="A425" s="1073">
        <v>421</v>
      </c>
      <c r="B425" s="1073" t="s">
        <v>1078</v>
      </c>
      <c r="C425" s="1072">
        <v>91.5</v>
      </c>
      <c r="D425" s="1071">
        <f t="shared" si="29"/>
        <v>27.678750000000001</v>
      </c>
      <c r="E425" s="1070">
        <v>4550</v>
      </c>
      <c r="F425" s="1069">
        <f t="shared" si="31"/>
        <v>15041.322314049587</v>
      </c>
      <c r="G425" s="1069">
        <f t="shared" si="32"/>
        <v>416325</v>
      </c>
      <c r="H425" s="1068" t="e">
        <f>C747</f>
        <v>#REF!</v>
      </c>
      <c r="I425" s="1040"/>
      <c r="J425" s="1040"/>
      <c r="K425" s="1023"/>
      <c r="L425" s="1023"/>
      <c r="M425" s="1023"/>
      <c r="N425" s="1023"/>
      <c r="O425" s="1023"/>
      <c r="P425" s="1023"/>
      <c r="Q425" s="1023"/>
      <c r="R425" s="1023"/>
      <c r="S425" s="1023"/>
      <c r="T425" s="934"/>
      <c r="U425" s="934"/>
      <c r="V425" s="934"/>
      <c r="W425" s="934"/>
      <c r="X425" s="934"/>
      <c r="Y425" s="934"/>
      <c r="Z425" s="934"/>
    </row>
    <row r="426" spans="1:26" ht="16.5" customHeight="1">
      <c r="A426" s="1073">
        <v>422</v>
      </c>
      <c r="B426" s="1073" t="s">
        <v>1079</v>
      </c>
      <c r="C426" s="1072">
        <v>90.7</v>
      </c>
      <c r="D426" s="1071">
        <f t="shared" si="29"/>
        <v>27.43675</v>
      </c>
      <c r="E426" s="1070">
        <v>4550</v>
      </c>
      <c r="F426" s="1069">
        <f t="shared" si="31"/>
        <v>15041.322314049587</v>
      </c>
      <c r="G426" s="1069">
        <f t="shared" si="32"/>
        <v>412685</v>
      </c>
      <c r="H426" s="1068" t="e">
        <f>C762</f>
        <v>#REF!</v>
      </c>
      <c r="I426" s="1040"/>
      <c r="J426" s="1040"/>
      <c r="K426" s="1023"/>
      <c r="L426" s="1023"/>
      <c r="M426" s="1023"/>
      <c r="N426" s="1023"/>
      <c r="O426" s="1023"/>
      <c r="P426" s="1023"/>
      <c r="Q426" s="1023"/>
      <c r="R426" s="1023"/>
      <c r="S426" s="1023"/>
      <c r="T426" s="934"/>
      <c r="U426" s="934"/>
      <c r="V426" s="934"/>
      <c r="W426" s="934"/>
      <c r="X426" s="934"/>
      <c r="Y426" s="934"/>
      <c r="Z426" s="934"/>
    </row>
    <row r="427" spans="1:26" ht="16.5" customHeight="1">
      <c r="A427" s="1073">
        <v>423</v>
      </c>
      <c r="B427" s="1073" t="s">
        <v>1080</v>
      </c>
      <c r="C427" s="1072">
        <v>89</v>
      </c>
      <c r="D427" s="1071">
        <f t="shared" si="29"/>
        <v>26.922499999999999</v>
      </c>
      <c r="E427" s="1070">
        <v>4550</v>
      </c>
      <c r="F427" s="1069">
        <f t="shared" si="31"/>
        <v>15041.322314049587</v>
      </c>
      <c r="G427" s="1069">
        <f t="shared" si="32"/>
        <v>404950</v>
      </c>
      <c r="H427" s="1068" t="e">
        <f>C763</f>
        <v>#REF!</v>
      </c>
      <c r="I427" s="1040"/>
      <c r="J427" s="1040"/>
      <c r="K427" s="1023"/>
      <c r="L427" s="1023"/>
      <c r="M427" s="1023"/>
      <c r="N427" s="1023"/>
      <c r="O427" s="1023"/>
      <c r="P427" s="1023"/>
      <c r="Q427" s="1023"/>
      <c r="R427" s="1023"/>
      <c r="S427" s="1023"/>
      <c r="T427" s="934"/>
      <c r="U427" s="934"/>
      <c r="V427" s="934"/>
      <c r="W427" s="934"/>
      <c r="X427" s="934"/>
      <c r="Y427" s="934"/>
      <c r="Z427" s="934"/>
    </row>
    <row r="428" spans="1:26" ht="16.5" customHeight="1">
      <c r="A428" s="1073">
        <v>424</v>
      </c>
      <c r="B428" s="1073" t="s">
        <v>1081</v>
      </c>
      <c r="C428" s="1072">
        <v>89.4</v>
      </c>
      <c r="D428" s="1071">
        <f t="shared" si="29"/>
        <v>27.043500000000002</v>
      </c>
      <c r="E428" s="1070">
        <v>4550</v>
      </c>
      <c r="F428" s="1069">
        <f t="shared" si="31"/>
        <v>15041.322314049587</v>
      </c>
      <c r="G428" s="1069">
        <f t="shared" si="32"/>
        <v>406770</v>
      </c>
      <c r="H428" s="1068" t="e">
        <f>C764</f>
        <v>#REF!</v>
      </c>
      <c r="I428" s="1040"/>
      <c r="J428" s="1040"/>
      <c r="K428" s="1023"/>
      <c r="L428" s="1023"/>
      <c r="M428" s="1023"/>
      <c r="N428" s="1023"/>
      <c r="O428" s="1023"/>
      <c r="P428" s="1023"/>
      <c r="Q428" s="1023"/>
      <c r="R428" s="1023"/>
      <c r="S428" s="1023"/>
      <c r="T428" s="934"/>
      <c r="U428" s="934"/>
      <c r="V428" s="934"/>
      <c r="W428" s="934"/>
      <c r="X428" s="934"/>
      <c r="Y428" s="934"/>
      <c r="Z428" s="934"/>
    </row>
    <row r="429" spans="1:26" ht="16.5" customHeight="1">
      <c r="A429" s="1073">
        <v>425</v>
      </c>
      <c r="B429" s="1073" t="s">
        <v>1082</v>
      </c>
      <c r="C429" s="1072">
        <v>89.5</v>
      </c>
      <c r="D429" s="1071">
        <f t="shared" si="29"/>
        <v>27.07375</v>
      </c>
      <c r="E429" s="1070">
        <v>4550</v>
      </c>
      <c r="F429" s="1069">
        <f t="shared" si="31"/>
        <v>15041.322314049587</v>
      </c>
      <c r="G429" s="1069">
        <f t="shared" si="32"/>
        <v>407225</v>
      </c>
      <c r="H429" s="1068" t="e">
        <f>C765</f>
        <v>#REF!</v>
      </c>
      <c r="I429" s="1040"/>
      <c r="J429" s="1040"/>
      <c r="K429" s="1023"/>
      <c r="L429" s="1023"/>
      <c r="M429" s="1023"/>
      <c r="N429" s="1023"/>
      <c r="O429" s="1023"/>
      <c r="P429" s="1023"/>
      <c r="Q429" s="1023"/>
      <c r="R429" s="1023"/>
      <c r="S429" s="1023"/>
      <c r="T429" s="934"/>
      <c r="U429" s="934"/>
      <c r="V429" s="934"/>
      <c r="W429" s="934"/>
      <c r="X429" s="934"/>
      <c r="Y429" s="934"/>
      <c r="Z429" s="934"/>
    </row>
    <row r="430" spans="1:26" ht="16.5" customHeight="1">
      <c r="A430" s="1073">
        <v>426</v>
      </c>
      <c r="B430" s="1073" t="s">
        <v>1083</v>
      </c>
      <c r="C430" s="1072">
        <v>88</v>
      </c>
      <c r="D430" s="1071">
        <f t="shared" si="29"/>
        <v>26.619999999999997</v>
      </c>
      <c r="E430" s="1070">
        <v>4550</v>
      </c>
      <c r="F430" s="1069">
        <f t="shared" si="31"/>
        <v>15041.322314049587</v>
      </c>
      <c r="G430" s="1069">
        <f t="shared" si="32"/>
        <v>400400</v>
      </c>
      <c r="H430" s="1068" t="e">
        <f>C752</f>
        <v>#REF!</v>
      </c>
      <c r="I430" s="1040"/>
      <c r="J430" s="1040"/>
      <c r="K430" s="1023"/>
      <c r="L430" s="1023"/>
      <c r="M430" s="1023"/>
      <c r="N430" s="1023"/>
      <c r="O430" s="1023"/>
      <c r="P430" s="1023"/>
      <c r="Q430" s="1023"/>
      <c r="R430" s="1023"/>
      <c r="S430" s="1023"/>
      <c r="T430" s="934"/>
      <c r="U430" s="934"/>
      <c r="V430" s="934"/>
      <c r="W430" s="934"/>
      <c r="X430" s="934"/>
      <c r="Y430" s="934"/>
      <c r="Z430" s="934"/>
    </row>
    <row r="431" spans="1:26" ht="16.5" customHeight="1">
      <c r="A431" s="1073">
        <v>427</v>
      </c>
      <c r="B431" s="1073" t="s">
        <v>1084</v>
      </c>
      <c r="C431" s="1072">
        <v>90.1</v>
      </c>
      <c r="D431" s="1071">
        <f t="shared" si="29"/>
        <v>27.255249999999997</v>
      </c>
      <c r="E431" s="1070">
        <v>4550</v>
      </c>
      <c r="F431" s="1069">
        <f t="shared" si="31"/>
        <v>15041.322314049587</v>
      </c>
      <c r="G431" s="1069">
        <f t="shared" si="32"/>
        <v>409955</v>
      </c>
      <c r="H431" s="1068" t="e">
        <f>C767</f>
        <v>#REF!</v>
      </c>
      <c r="I431" s="1040"/>
      <c r="J431" s="1040"/>
      <c r="K431" s="1023"/>
      <c r="L431" s="1023"/>
      <c r="M431" s="1023"/>
      <c r="N431" s="1023"/>
      <c r="O431" s="1023"/>
      <c r="P431" s="1023"/>
      <c r="Q431" s="1023"/>
      <c r="R431" s="1023"/>
      <c r="S431" s="1023"/>
      <c r="T431" s="934"/>
      <c r="U431" s="934"/>
      <c r="V431" s="934"/>
      <c r="W431" s="934"/>
      <c r="X431" s="934"/>
      <c r="Y431" s="934"/>
      <c r="Z431" s="934"/>
    </row>
    <row r="432" spans="1:26" ht="16.5" customHeight="1">
      <c r="A432" s="1073">
        <v>428</v>
      </c>
      <c r="B432" s="1073" t="s">
        <v>1085</v>
      </c>
      <c r="C432" s="1072">
        <v>86</v>
      </c>
      <c r="D432" s="1071">
        <f t="shared" si="29"/>
        <v>26.015000000000001</v>
      </c>
      <c r="E432" s="1070">
        <v>4550</v>
      </c>
      <c r="F432" s="1069">
        <f t="shared" si="31"/>
        <v>15041.322314049587</v>
      </c>
      <c r="G432" s="1069">
        <f t="shared" si="32"/>
        <v>391300</v>
      </c>
      <c r="H432" s="1068" t="e">
        <f>C768</f>
        <v>#REF!</v>
      </c>
      <c r="I432" s="1040"/>
      <c r="J432" s="1040"/>
      <c r="K432" s="1023"/>
      <c r="L432" s="1023"/>
      <c r="M432" s="1023"/>
      <c r="N432" s="1023"/>
      <c r="O432" s="1023"/>
      <c r="P432" s="1023"/>
      <c r="Q432" s="1023"/>
      <c r="R432" s="1023"/>
      <c r="S432" s="1023"/>
      <c r="T432" s="934"/>
      <c r="U432" s="934"/>
      <c r="V432" s="934"/>
      <c r="W432" s="934"/>
      <c r="X432" s="934"/>
      <c r="Y432" s="934"/>
      <c r="Z432" s="934"/>
    </row>
    <row r="433" spans="1:26" ht="16.5" customHeight="1">
      <c r="A433" s="1073">
        <v>429</v>
      </c>
      <c r="B433" s="1073" t="s">
        <v>1086</v>
      </c>
      <c r="C433" s="1072">
        <v>87.6</v>
      </c>
      <c r="D433" s="1071">
        <f t="shared" si="29"/>
        <v>26.498999999999999</v>
      </c>
      <c r="E433" s="1070">
        <v>4550</v>
      </c>
      <c r="F433" s="1069">
        <f t="shared" si="31"/>
        <v>15041.322314049587</v>
      </c>
      <c r="G433" s="1069">
        <f t="shared" si="32"/>
        <v>398580</v>
      </c>
      <c r="H433" s="1068">
        <f>C769</f>
        <v>18</v>
      </c>
      <c r="I433" s="1040"/>
      <c r="J433" s="1040"/>
      <c r="K433" s="1023"/>
      <c r="L433" s="1023"/>
      <c r="M433" s="1023"/>
      <c r="N433" s="1023"/>
      <c r="O433" s="1023"/>
      <c r="P433" s="1023"/>
      <c r="Q433" s="1023"/>
      <c r="R433" s="1023"/>
      <c r="S433" s="1023"/>
      <c r="T433" s="934"/>
      <c r="U433" s="934"/>
      <c r="V433" s="934"/>
      <c r="W433" s="934"/>
      <c r="X433" s="934"/>
      <c r="Y433" s="934"/>
      <c r="Z433" s="934"/>
    </row>
    <row r="434" spans="1:26" ht="16.5" customHeight="1">
      <c r="A434" s="1073">
        <v>430</v>
      </c>
      <c r="B434" s="1073" t="s">
        <v>1087</v>
      </c>
      <c r="C434" s="1072">
        <v>86.1</v>
      </c>
      <c r="D434" s="1071">
        <f t="shared" si="29"/>
        <v>26.045249999999996</v>
      </c>
      <c r="E434" s="1070">
        <v>4550</v>
      </c>
      <c r="F434" s="1069">
        <f t="shared" si="31"/>
        <v>15041.322314049587</v>
      </c>
      <c r="G434" s="1069">
        <f t="shared" si="32"/>
        <v>391755</v>
      </c>
      <c r="H434" s="1068" t="e">
        <f>C770</f>
        <v>#REF!</v>
      </c>
      <c r="I434" s="1040"/>
      <c r="J434" s="1040"/>
      <c r="K434" s="1023"/>
      <c r="L434" s="1023"/>
      <c r="M434" s="1023"/>
      <c r="N434" s="1023"/>
      <c r="O434" s="1023"/>
      <c r="P434" s="1023"/>
      <c r="Q434" s="1023"/>
      <c r="R434" s="1023"/>
      <c r="S434" s="1023"/>
      <c r="T434" s="934"/>
      <c r="U434" s="934"/>
      <c r="V434" s="934"/>
      <c r="W434" s="934"/>
      <c r="X434" s="934"/>
      <c r="Y434" s="934"/>
      <c r="Z434" s="934"/>
    </row>
    <row r="435" spans="1:26" ht="16.5" customHeight="1">
      <c r="A435" s="1073">
        <v>431</v>
      </c>
      <c r="B435" s="1073" t="s">
        <v>1088</v>
      </c>
      <c r="C435" s="1072">
        <v>89.7</v>
      </c>
      <c r="D435" s="1071">
        <f t="shared" si="29"/>
        <v>27.134250000000002</v>
      </c>
      <c r="E435" s="1070">
        <v>4887.5</v>
      </c>
      <c r="F435" s="1069">
        <f t="shared" si="31"/>
        <v>16157.024793388431</v>
      </c>
      <c r="G435" s="1069">
        <f t="shared" si="32"/>
        <v>438408.75</v>
      </c>
      <c r="H435" s="1068">
        <f>C757</f>
        <v>0</v>
      </c>
      <c r="I435" s="1040"/>
      <c r="J435" s="1040"/>
      <c r="K435" s="1023"/>
      <c r="L435" s="1023"/>
      <c r="M435" s="1023"/>
      <c r="N435" s="1023"/>
      <c r="O435" s="1023"/>
      <c r="P435" s="1023"/>
      <c r="Q435" s="1023"/>
      <c r="R435" s="1023"/>
      <c r="S435" s="1023"/>
      <c r="T435" s="934"/>
      <c r="U435" s="934"/>
      <c r="V435" s="934"/>
      <c r="W435" s="934"/>
      <c r="X435" s="934"/>
      <c r="Y435" s="934"/>
      <c r="Z435" s="934"/>
    </row>
    <row r="436" spans="1:26" ht="16.5" customHeight="1">
      <c r="A436" s="1073">
        <v>432</v>
      </c>
      <c r="B436" s="1073" t="s">
        <v>1089</v>
      </c>
      <c r="C436" s="1072">
        <v>494.1</v>
      </c>
      <c r="D436" s="1071">
        <f t="shared" si="29"/>
        <v>149.46525</v>
      </c>
      <c r="E436" s="1070">
        <v>1501.25</v>
      </c>
      <c r="F436" s="1069">
        <f t="shared" si="31"/>
        <v>4962.8099173553719</v>
      </c>
      <c r="G436" s="1069">
        <f t="shared" si="32"/>
        <v>741767.625</v>
      </c>
      <c r="H436" s="1068">
        <f>C772</f>
        <v>0</v>
      </c>
      <c r="I436" s="1040"/>
      <c r="J436" s="1040"/>
      <c r="K436" s="1023"/>
      <c r="L436" s="1023"/>
      <c r="M436" s="1023"/>
      <c r="N436" s="1023"/>
      <c r="O436" s="1023"/>
      <c r="P436" s="1023"/>
      <c r="Q436" s="1023"/>
      <c r="R436" s="1023"/>
      <c r="S436" s="1023"/>
      <c r="T436" s="934"/>
      <c r="U436" s="934"/>
      <c r="V436" s="934"/>
      <c r="W436" s="934"/>
      <c r="X436" s="934"/>
      <c r="Y436" s="934"/>
      <c r="Z436" s="934"/>
    </row>
    <row r="437" spans="1:26" ht="16.5" customHeight="1">
      <c r="A437" s="1073">
        <v>433</v>
      </c>
      <c r="B437" s="1073" t="s">
        <v>1090</v>
      </c>
      <c r="C437" s="1072">
        <v>86.9</v>
      </c>
      <c r="D437" s="1071">
        <f t="shared" si="29"/>
        <v>26.28725</v>
      </c>
      <c r="E437" s="1070">
        <v>7150</v>
      </c>
      <c r="F437" s="1069">
        <f t="shared" si="31"/>
        <v>23636.363636363636</v>
      </c>
      <c r="G437" s="1069">
        <f t="shared" si="32"/>
        <v>621335</v>
      </c>
      <c r="H437" s="1068" t="e">
        <f>C773</f>
        <v>#REF!</v>
      </c>
      <c r="I437" s="1040"/>
      <c r="J437" s="1040"/>
      <c r="K437" s="1023"/>
      <c r="L437" s="1023"/>
      <c r="M437" s="1023"/>
      <c r="N437" s="1023"/>
      <c r="O437" s="1023"/>
      <c r="P437" s="1023"/>
      <c r="Q437" s="1023"/>
      <c r="R437" s="1023"/>
      <c r="S437" s="1023"/>
      <c r="T437" s="934"/>
      <c r="U437" s="934"/>
      <c r="V437" s="934"/>
      <c r="W437" s="934"/>
      <c r="X437" s="934"/>
      <c r="Y437" s="934"/>
      <c r="Z437" s="934"/>
    </row>
    <row r="438" spans="1:26" ht="16.5" customHeight="1">
      <c r="A438" s="1073">
        <v>434</v>
      </c>
      <c r="B438" s="1073" t="s">
        <v>1091</v>
      </c>
      <c r="C438" s="1072">
        <v>87.4</v>
      </c>
      <c r="D438" s="1071">
        <f t="shared" si="29"/>
        <v>26.438500000000001</v>
      </c>
      <c r="E438" s="1070">
        <v>4563.75</v>
      </c>
      <c r="F438" s="1069">
        <f t="shared" si="31"/>
        <v>15086.776859504133</v>
      </c>
      <c r="G438" s="1069">
        <f t="shared" si="32"/>
        <v>398871.75</v>
      </c>
      <c r="H438" s="1068">
        <f>C774</f>
        <v>210</v>
      </c>
      <c r="I438" s="1040"/>
      <c r="J438" s="1040"/>
      <c r="K438" s="1023"/>
      <c r="L438" s="1023"/>
      <c r="M438" s="1023"/>
      <c r="N438" s="1023"/>
      <c r="O438" s="1023"/>
      <c r="P438" s="1023"/>
      <c r="Q438" s="1023"/>
      <c r="R438" s="1023"/>
      <c r="S438" s="1023"/>
      <c r="T438" s="934"/>
      <c r="U438" s="934"/>
      <c r="V438" s="934"/>
      <c r="W438" s="934"/>
      <c r="X438" s="934"/>
      <c r="Y438" s="934"/>
      <c r="Z438" s="934"/>
    </row>
    <row r="439" spans="1:26" ht="16.5" customHeight="1">
      <c r="A439" s="1073">
        <v>435</v>
      </c>
      <c r="B439" s="1073" t="s">
        <v>1092</v>
      </c>
      <c r="C439" s="1072">
        <v>89.9</v>
      </c>
      <c r="D439" s="1071">
        <f t="shared" si="29"/>
        <v>27.194750000000003</v>
      </c>
      <c r="E439" s="1070">
        <v>4563.75</v>
      </c>
      <c r="F439" s="1069">
        <f>E438/0.3025</f>
        <v>15086.776859504133</v>
      </c>
      <c r="G439" s="1069">
        <f>C439*E438</f>
        <v>410281.125</v>
      </c>
      <c r="H439" s="1068" t="e">
        <f>C775</f>
        <v>#REF!</v>
      </c>
      <c r="I439" s="1040"/>
      <c r="J439" s="1040"/>
      <c r="K439" s="1023"/>
      <c r="L439" s="1023"/>
      <c r="M439" s="1023"/>
      <c r="N439" s="1023"/>
      <c r="O439" s="1023"/>
      <c r="P439" s="1023"/>
      <c r="Q439" s="1023"/>
      <c r="R439" s="1023"/>
      <c r="S439" s="1023"/>
      <c r="T439" s="934"/>
      <c r="U439" s="934"/>
      <c r="V439" s="934"/>
      <c r="W439" s="934"/>
      <c r="X439" s="934"/>
      <c r="Y439" s="934"/>
      <c r="Z439" s="934"/>
    </row>
    <row r="440" spans="1:26" ht="16.5" customHeight="1">
      <c r="A440" s="1073">
        <v>436</v>
      </c>
      <c r="B440" s="1073" t="s">
        <v>1093</v>
      </c>
      <c r="C440" s="1072">
        <v>87.3</v>
      </c>
      <c r="D440" s="1071">
        <f t="shared" si="29"/>
        <v>26.408249999999999</v>
      </c>
      <c r="E440" s="1070">
        <v>4563.75</v>
      </c>
      <c r="F440" s="1069">
        <f t="shared" ref="F440:F503" si="33">E440/0.3025</f>
        <v>15086.776859504133</v>
      </c>
      <c r="G440" s="1069">
        <f t="shared" ref="G440:G503" si="34">C440*E440</f>
        <v>398415.375</v>
      </c>
      <c r="H440" s="1068" t="e">
        <f>C762</f>
        <v>#REF!</v>
      </c>
      <c r="I440" s="1040"/>
      <c r="J440" s="1040"/>
      <c r="K440" s="1023"/>
      <c r="L440" s="1023"/>
      <c r="M440" s="1023"/>
      <c r="N440" s="1023"/>
      <c r="O440" s="1023"/>
      <c r="P440" s="1023"/>
      <c r="Q440" s="1023"/>
      <c r="R440" s="1023"/>
      <c r="S440" s="1023"/>
      <c r="T440" s="934"/>
      <c r="U440" s="934"/>
      <c r="V440" s="934"/>
      <c r="W440" s="934"/>
      <c r="X440" s="934"/>
      <c r="Y440" s="934"/>
      <c r="Z440" s="934"/>
    </row>
    <row r="441" spans="1:26" ht="16.5" customHeight="1">
      <c r="A441" s="1073">
        <v>437</v>
      </c>
      <c r="B441" s="1073" t="s">
        <v>1094</v>
      </c>
      <c r="C441" s="1072">
        <v>89.1</v>
      </c>
      <c r="D441" s="1071">
        <f t="shared" si="29"/>
        <v>26.952749999999998</v>
      </c>
      <c r="E441" s="1070">
        <v>4563.75</v>
      </c>
      <c r="F441" s="1069">
        <f t="shared" si="33"/>
        <v>15086.776859504133</v>
      </c>
      <c r="G441" s="1069">
        <f t="shared" si="34"/>
        <v>406630.125</v>
      </c>
      <c r="H441" s="1068" t="e">
        <f>C777</f>
        <v>#REF!</v>
      </c>
      <c r="I441" s="1040"/>
      <c r="J441" s="1040"/>
      <c r="K441" s="1023"/>
      <c r="L441" s="1023"/>
      <c r="M441" s="1023"/>
      <c r="N441" s="1023"/>
      <c r="O441" s="1023"/>
      <c r="P441" s="1023"/>
      <c r="Q441" s="1023"/>
      <c r="R441" s="1023"/>
      <c r="S441" s="1023"/>
      <c r="T441" s="934"/>
      <c r="U441" s="934"/>
      <c r="V441" s="934"/>
      <c r="W441" s="934"/>
      <c r="X441" s="934"/>
      <c r="Y441" s="934"/>
      <c r="Z441" s="934"/>
    </row>
    <row r="442" spans="1:26" ht="16.5" customHeight="1">
      <c r="A442" s="1073">
        <v>438</v>
      </c>
      <c r="B442" s="1073" t="s">
        <v>1095</v>
      </c>
      <c r="C442" s="1072">
        <v>89.1</v>
      </c>
      <c r="D442" s="1071">
        <f t="shared" si="29"/>
        <v>26.952749999999998</v>
      </c>
      <c r="E442" s="1070">
        <v>4563.75</v>
      </c>
      <c r="F442" s="1069">
        <f t="shared" si="33"/>
        <v>15086.776859504133</v>
      </c>
      <c r="G442" s="1069">
        <f t="shared" si="34"/>
        <v>406630.125</v>
      </c>
      <c r="H442" s="1068" t="e">
        <f>C778</f>
        <v>#REF!</v>
      </c>
      <c r="I442" s="1040"/>
      <c r="J442" s="1040"/>
      <c r="K442" s="1023"/>
      <c r="L442" s="1023"/>
      <c r="M442" s="1023"/>
      <c r="N442" s="1023"/>
      <c r="O442" s="1023"/>
      <c r="P442" s="1023"/>
      <c r="Q442" s="1023"/>
      <c r="R442" s="1023"/>
      <c r="S442" s="1023"/>
      <c r="T442" s="934"/>
      <c r="U442" s="934"/>
      <c r="V442" s="934"/>
      <c r="W442" s="934"/>
      <c r="X442" s="934"/>
      <c r="Y442" s="934"/>
      <c r="Z442" s="934"/>
    </row>
    <row r="443" spans="1:26" ht="16.5" customHeight="1">
      <c r="A443" s="1073">
        <v>439</v>
      </c>
      <c r="B443" s="1073" t="s">
        <v>1096</v>
      </c>
      <c r="C443" s="1072">
        <v>89.5</v>
      </c>
      <c r="D443" s="1071">
        <f t="shared" si="29"/>
        <v>27.07375</v>
      </c>
      <c r="E443" s="1070">
        <v>4563.75</v>
      </c>
      <c r="F443" s="1069">
        <f t="shared" si="33"/>
        <v>15086.776859504133</v>
      </c>
      <c r="G443" s="1069">
        <f t="shared" si="34"/>
        <v>408455.625</v>
      </c>
      <c r="H443" s="1068" t="e">
        <f>C779</f>
        <v>#REF!</v>
      </c>
      <c r="I443" s="1040"/>
      <c r="J443" s="1040"/>
      <c r="K443" s="1023"/>
      <c r="L443" s="1023"/>
      <c r="M443" s="1023"/>
      <c r="N443" s="1023"/>
      <c r="O443" s="1023"/>
      <c r="P443" s="1023"/>
      <c r="Q443" s="1023"/>
      <c r="R443" s="1023"/>
      <c r="S443" s="1023"/>
      <c r="T443" s="934"/>
      <c r="U443" s="934"/>
      <c r="V443" s="934"/>
      <c r="W443" s="934"/>
      <c r="X443" s="934"/>
      <c r="Y443" s="934"/>
      <c r="Z443" s="934"/>
    </row>
    <row r="444" spans="1:26" ht="16.5" customHeight="1">
      <c r="A444" s="1073">
        <v>440</v>
      </c>
      <c r="B444" s="1073" t="s">
        <v>1097</v>
      </c>
      <c r="C444" s="1072">
        <v>87.1</v>
      </c>
      <c r="D444" s="1071">
        <f t="shared" si="29"/>
        <v>26.347749999999998</v>
      </c>
      <c r="E444" s="1070">
        <v>4563.75</v>
      </c>
      <c r="F444" s="1069">
        <f t="shared" si="33"/>
        <v>15086.776859504133</v>
      </c>
      <c r="G444" s="1069">
        <f t="shared" si="34"/>
        <v>397502.625</v>
      </c>
      <c r="H444" s="1068" t="e">
        <f>C780</f>
        <v>#REF!</v>
      </c>
      <c r="I444" s="1040"/>
      <c r="J444" s="1040"/>
      <c r="K444" s="1023"/>
      <c r="L444" s="1023"/>
      <c r="M444" s="1023"/>
      <c r="N444" s="1023"/>
      <c r="O444" s="1023"/>
      <c r="P444" s="1023"/>
      <c r="Q444" s="1023"/>
      <c r="R444" s="1023"/>
      <c r="S444" s="1023"/>
      <c r="T444" s="934"/>
      <c r="U444" s="934"/>
      <c r="V444" s="934"/>
      <c r="W444" s="934"/>
      <c r="X444" s="934"/>
      <c r="Y444" s="934"/>
      <c r="Z444" s="934"/>
    </row>
    <row r="445" spans="1:26" ht="16.5" customHeight="1">
      <c r="A445" s="1073">
        <v>441</v>
      </c>
      <c r="B445" s="1073" t="s">
        <v>1098</v>
      </c>
      <c r="C445" s="1072">
        <v>88.9</v>
      </c>
      <c r="D445" s="1071">
        <f t="shared" si="29"/>
        <v>26.892250000000001</v>
      </c>
      <c r="E445" s="1070">
        <v>4563.75</v>
      </c>
      <c r="F445" s="1069">
        <f t="shared" si="33"/>
        <v>15086.776859504133</v>
      </c>
      <c r="G445" s="1069">
        <f t="shared" si="34"/>
        <v>405717.375</v>
      </c>
      <c r="H445" s="1068" t="e">
        <f>C767</f>
        <v>#REF!</v>
      </c>
      <c r="I445" s="1040"/>
      <c r="J445" s="1040"/>
      <c r="K445" s="1023"/>
      <c r="L445" s="1023"/>
      <c r="M445" s="1023"/>
      <c r="N445" s="1023"/>
      <c r="O445" s="1023"/>
      <c r="P445" s="1023"/>
      <c r="Q445" s="1023"/>
      <c r="R445" s="1023"/>
      <c r="S445" s="1023"/>
      <c r="T445" s="934"/>
      <c r="U445" s="934"/>
      <c r="V445" s="934"/>
      <c r="W445" s="934"/>
      <c r="X445" s="934"/>
      <c r="Y445" s="934"/>
      <c r="Z445" s="934"/>
    </row>
    <row r="446" spans="1:26" ht="16.5" customHeight="1">
      <c r="A446" s="1073">
        <v>442</v>
      </c>
      <c r="B446" s="1073" t="s">
        <v>1099</v>
      </c>
      <c r="C446" s="1072">
        <v>91</v>
      </c>
      <c r="D446" s="1071">
        <f t="shared" si="29"/>
        <v>27.5275</v>
      </c>
      <c r="E446" s="1070">
        <v>4563.75</v>
      </c>
      <c r="F446" s="1069">
        <f t="shared" si="33"/>
        <v>15086.776859504133</v>
      </c>
      <c r="G446" s="1069">
        <f t="shared" si="34"/>
        <v>415301.25</v>
      </c>
      <c r="H446" s="1068" t="e">
        <f>C782</f>
        <v>#REF!</v>
      </c>
      <c r="I446" s="1040"/>
      <c r="J446" s="1040"/>
      <c r="K446" s="1023"/>
      <c r="L446" s="1023"/>
      <c r="M446" s="1023"/>
      <c r="N446" s="1023"/>
      <c r="O446" s="1023"/>
      <c r="P446" s="1023"/>
      <c r="Q446" s="1023"/>
      <c r="R446" s="1023"/>
      <c r="S446" s="1023"/>
      <c r="T446" s="934"/>
      <c r="U446" s="934"/>
      <c r="V446" s="934"/>
      <c r="W446" s="934"/>
      <c r="X446" s="934"/>
      <c r="Y446" s="934"/>
      <c r="Z446" s="934"/>
    </row>
    <row r="447" spans="1:26" ht="16.5" customHeight="1">
      <c r="A447" s="1073">
        <v>443</v>
      </c>
      <c r="B447" s="1073" t="s">
        <v>1100</v>
      </c>
      <c r="C447" s="1072">
        <v>88.7</v>
      </c>
      <c r="D447" s="1071">
        <f t="shared" si="29"/>
        <v>26.83175</v>
      </c>
      <c r="E447" s="1070">
        <v>4563.75</v>
      </c>
      <c r="F447" s="1069">
        <f t="shared" si="33"/>
        <v>15086.776859504133</v>
      </c>
      <c r="G447" s="1069">
        <f t="shared" si="34"/>
        <v>404804.625</v>
      </c>
      <c r="H447" s="1068" t="e">
        <f>C783</f>
        <v>#REF!</v>
      </c>
      <c r="I447" s="1040"/>
      <c r="J447" s="1040"/>
      <c r="K447" s="1023"/>
      <c r="L447" s="1023"/>
      <c r="M447" s="1023"/>
      <c r="N447" s="1023"/>
      <c r="O447" s="1023"/>
      <c r="P447" s="1023"/>
      <c r="Q447" s="1023"/>
      <c r="R447" s="1023"/>
      <c r="S447" s="1023"/>
      <c r="T447" s="934"/>
      <c r="U447" s="934"/>
      <c r="V447" s="934"/>
      <c r="W447" s="934"/>
      <c r="X447" s="934"/>
      <c r="Y447" s="934"/>
      <c r="Z447" s="934"/>
    </row>
    <row r="448" spans="1:26" ht="16.5" customHeight="1">
      <c r="A448" s="1073">
        <v>444</v>
      </c>
      <c r="B448" s="1073" t="s">
        <v>1101</v>
      </c>
      <c r="C448" s="1072">
        <v>89.7</v>
      </c>
      <c r="D448" s="1071">
        <f t="shared" si="29"/>
        <v>27.134250000000002</v>
      </c>
      <c r="E448" s="1070">
        <v>4563.75</v>
      </c>
      <c r="F448" s="1069">
        <f t="shared" si="33"/>
        <v>15086.776859504133</v>
      </c>
      <c r="G448" s="1069">
        <f t="shared" si="34"/>
        <v>409368.375</v>
      </c>
      <c r="H448" s="1068">
        <f>C784</f>
        <v>18</v>
      </c>
      <c r="I448" s="1040"/>
      <c r="J448" s="1040"/>
      <c r="K448" s="1023"/>
      <c r="L448" s="1023"/>
      <c r="M448" s="1023"/>
      <c r="N448" s="1023"/>
      <c r="O448" s="1023"/>
      <c r="P448" s="1023"/>
      <c r="Q448" s="1023"/>
      <c r="R448" s="1023"/>
      <c r="S448" s="1023"/>
      <c r="T448" s="934"/>
      <c r="U448" s="934"/>
      <c r="V448" s="934"/>
      <c r="W448" s="934"/>
      <c r="X448" s="934"/>
      <c r="Y448" s="934"/>
      <c r="Z448" s="934"/>
    </row>
    <row r="449" spans="1:26" ht="16.5" customHeight="1">
      <c r="A449" s="1073">
        <v>445</v>
      </c>
      <c r="B449" s="1073" t="s">
        <v>1102</v>
      </c>
      <c r="C449" s="1072">
        <v>87.4</v>
      </c>
      <c r="D449" s="1071">
        <f t="shared" si="29"/>
        <v>26.438500000000001</v>
      </c>
      <c r="E449" s="1070">
        <v>4563.75</v>
      </c>
      <c r="F449" s="1069">
        <f t="shared" si="33"/>
        <v>15086.776859504133</v>
      </c>
      <c r="G449" s="1069">
        <f t="shared" si="34"/>
        <v>398871.75</v>
      </c>
      <c r="H449" s="1068" t="e">
        <f>C785</f>
        <v>#REF!</v>
      </c>
      <c r="I449" s="1040"/>
      <c r="J449" s="1040"/>
      <c r="K449" s="1023"/>
      <c r="L449" s="1023"/>
      <c r="M449" s="1023"/>
      <c r="N449" s="1023"/>
      <c r="O449" s="1023"/>
      <c r="P449" s="1023"/>
      <c r="Q449" s="1023"/>
      <c r="R449" s="1023"/>
      <c r="S449" s="1023"/>
      <c r="T449" s="934"/>
      <c r="U449" s="934"/>
      <c r="V449" s="934"/>
      <c r="W449" s="934"/>
      <c r="X449" s="934"/>
      <c r="Y449" s="934"/>
      <c r="Z449" s="934"/>
    </row>
    <row r="450" spans="1:26" ht="16.5" customHeight="1">
      <c r="A450" s="1073">
        <v>446</v>
      </c>
      <c r="B450" s="1073" t="s">
        <v>1103</v>
      </c>
      <c r="C450" s="1072">
        <v>92.3</v>
      </c>
      <c r="D450" s="1071">
        <f t="shared" si="29"/>
        <v>27.920749999999998</v>
      </c>
      <c r="E450" s="1070">
        <v>4563.75</v>
      </c>
      <c r="F450" s="1069">
        <f t="shared" si="33"/>
        <v>15086.776859504133</v>
      </c>
      <c r="G450" s="1069">
        <f t="shared" si="34"/>
        <v>421234.125</v>
      </c>
      <c r="H450" s="1068">
        <f>C772</f>
        <v>0</v>
      </c>
      <c r="I450" s="1040"/>
      <c r="J450" s="1040"/>
      <c r="K450" s="1023"/>
      <c r="L450" s="1023"/>
      <c r="M450" s="1023"/>
      <c r="N450" s="1023"/>
      <c r="O450" s="1023"/>
      <c r="P450" s="1023"/>
      <c r="Q450" s="1023"/>
      <c r="R450" s="1023"/>
      <c r="S450" s="1023"/>
      <c r="T450" s="934"/>
      <c r="U450" s="934"/>
      <c r="V450" s="934"/>
      <c r="W450" s="934"/>
      <c r="X450" s="934"/>
      <c r="Y450" s="934"/>
      <c r="Z450" s="934"/>
    </row>
    <row r="451" spans="1:26" ht="16.5" customHeight="1">
      <c r="A451" s="1073">
        <v>447</v>
      </c>
      <c r="B451" s="1073" t="s">
        <v>1104</v>
      </c>
      <c r="C451" s="1072">
        <v>89.3</v>
      </c>
      <c r="D451" s="1071">
        <f t="shared" si="29"/>
        <v>27.013249999999999</v>
      </c>
      <c r="E451" s="1070">
        <v>7560</v>
      </c>
      <c r="F451" s="1069">
        <f t="shared" si="33"/>
        <v>24991.735537190085</v>
      </c>
      <c r="G451" s="1069">
        <f t="shared" si="34"/>
        <v>675108</v>
      </c>
      <c r="H451" s="1068">
        <f>C787</f>
        <v>0</v>
      </c>
      <c r="I451" s="1040"/>
      <c r="J451" s="1040"/>
      <c r="K451" s="1023"/>
      <c r="L451" s="1023"/>
      <c r="M451" s="1023"/>
      <c r="N451" s="1023"/>
      <c r="O451" s="1023"/>
      <c r="P451" s="1023"/>
      <c r="Q451" s="1023"/>
      <c r="R451" s="1023"/>
      <c r="S451" s="1023"/>
      <c r="T451" s="934"/>
      <c r="U451" s="934"/>
      <c r="V451" s="934"/>
      <c r="W451" s="934"/>
      <c r="X451" s="934"/>
      <c r="Y451" s="934"/>
      <c r="Z451" s="934"/>
    </row>
    <row r="452" spans="1:26" ht="16.5" customHeight="1">
      <c r="A452" s="1073">
        <v>448</v>
      </c>
      <c r="B452" s="1073" t="s">
        <v>1105</v>
      </c>
      <c r="C452" s="1072">
        <v>89.5</v>
      </c>
      <c r="D452" s="1071">
        <f t="shared" si="29"/>
        <v>27.07375</v>
      </c>
      <c r="E452" s="1070">
        <v>7560</v>
      </c>
      <c r="F452" s="1069">
        <f t="shared" si="33"/>
        <v>24991.735537190085</v>
      </c>
      <c r="G452" s="1069">
        <f t="shared" si="34"/>
        <v>676620</v>
      </c>
      <c r="H452" s="1068" t="e">
        <f>C788</f>
        <v>#REF!</v>
      </c>
      <c r="I452" s="1040"/>
      <c r="J452" s="1040"/>
      <c r="K452" s="1023"/>
      <c r="L452" s="1023"/>
      <c r="M452" s="1023"/>
      <c r="N452" s="1023"/>
      <c r="O452" s="1023"/>
      <c r="P452" s="1023"/>
      <c r="Q452" s="1023"/>
      <c r="R452" s="1023"/>
      <c r="S452" s="1023"/>
      <c r="T452" s="934"/>
      <c r="U452" s="934"/>
      <c r="V452" s="934"/>
      <c r="W452" s="934"/>
      <c r="X452" s="934"/>
      <c r="Y452" s="934"/>
      <c r="Z452" s="934"/>
    </row>
    <row r="453" spans="1:26" ht="16.5" customHeight="1">
      <c r="A453" s="1073">
        <v>449</v>
      </c>
      <c r="B453" s="1073" t="s">
        <v>1106</v>
      </c>
      <c r="C453" s="1072">
        <v>92.5</v>
      </c>
      <c r="D453" s="1071">
        <f t="shared" ref="D453:D516" si="35">C453*0.3025</f>
        <v>27.981249999999999</v>
      </c>
      <c r="E453" s="1070">
        <v>4475</v>
      </c>
      <c r="F453" s="1069">
        <f t="shared" si="33"/>
        <v>14793.388429752067</v>
      </c>
      <c r="G453" s="1069">
        <f t="shared" si="34"/>
        <v>413937.5</v>
      </c>
      <c r="H453" s="1068">
        <f>C789</f>
        <v>210</v>
      </c>
      <c r="I453" s="1040"/>
      <c r="J453" s="1040"/>
      <c r="K453" s="1023"/>
      <c r="L453" s="1023"/>
      <c r="M453" s="1023"/>
      <c r="N453" s="1023"/>
      <c r="O453" s="1023"/>
      <c r="P453" s="1023"/>
      <c r="Q453" s="1023"/>
      <c r="R453" s="1023"/>
      <c r="S453" s="1023"/>
      <c r="T453" s="934"/>
      <c r="U453" s="934"/>
      <c r="V453" s="934"/>
      <c r="W453" s="934"/>
      <c r="X453" s="934"/>
      <c r="Y453" s="934"/>
      <c r="Z453" s="934"/>
    </row>
    <row r="454" spans="1:26" ht="16.5" customHeight="1">
      <c r="A454" s="1073">
        <v>450</v>
      </c>
      <c r="B454" s="1073" t="s">
        <v>1107</v>
      </c>
      <c r="C454" s="1072">
        <v>88.6</v>
      </c>
      <c r="D454" s="1071">
        <f t="shared" si="35"/>
        <v>26.801499999999997</v>
      </c>
      <c r="E454" s="1070">
        <v>4475</v>
      </c>
      <c r="F454" s="1069">
        <f t="shared" si="33"/>
        <v>14793.388429752067</v>
      </c>
      <c r="G454" s="1069">
        <f t="shared" si="34"/>
        <v>396485</v>
      </c>
      <c r="H454" s="1068" t="e">
        <f>C790</f>
        <v>#REF!</v>
      </c>
      <c r="I454" s="1040"/>
      <c r="J454" s="1040"/>
      <c r="K454" s="1023"/>
      <c r="L454" s="1023"/>
      <c r="M454" s="1023"/>
      <c r="N454" s="1023"/>
      <c r="O454" s="1023"/>
      <c r="P454" s="1023"/>
      <c r="Q454" s="1023"/>
      <c r="R454" s="1023"/>
      <c r="S454" s="1023"/>
      <c r="T454" s="934"/>
      <c r="U454" s="934"/>
      <c r="V454" s="934"/>
      <c r="W454" s="934"/>
      <c r="X454" s="934"/>
      <c r="Y454" s="934"/>
      <c r="Z454" s="934"/>
    </row>
    <row r="455" spans="1:26" ht="16.5" customHeight="1">
      <c r="A455" s="1073">
        <v>451</v>
      </c>
      <c r="B455" s="1073" t="s">
        <v>1108</v>
      </c>
      <c r="C455" s="1072">
        <v>89.7</v>
      </c>
      <c r="D455" s="1071">
        <f t="shared" si="35"/>
        <v>27.134250000000002</v>
      </c>
      <c r="E455" s="1070">
        <v>4475</v>
      </c>
      <c r="F455" s="1069">
        <f t="shared" si="33"/>
        <v>14793.388429752067</v>
      </c>
      <c r="G455" s="1069">
        <f t="shared" si="34"/>
        <v>401407.5</v>
      </c>
      <c r="H455" s="1068" t="e">
        <f>C777</f>
        <v>#REF!</v>
      </c>
      <c r="I455" s="1040"/>
      <c r="J455" s="1040"/>
      <c r="K455" s="1023"/>
      <c r="L455" s="1023"/>
      <c r="M455" s="1023"/>
      <c r="N455" s="1023"/>
      <c r="O455" s="1023"/>
      <c r="P455" s="1023"/>
      <c r="Q455" s="1023"/>
      <c r="R455" s="1023"/>
      <c r="S455" s="1023"/>
      <c r="T455" s="934"/>
      <c r="U455" s="934"/>
      <c r="V455" s="934"/>
      <c r="W455" s="934"/>
      <c r="X455" s="934"/>
      <c r="Y455" s="934"/>
      <c r="Z455" s="934"/>
    </row>
    <row r="456" spans="1:26" ht="16.5" customHeight="1">
      <c r="A456" s="1073">
        <v>452</v>
      </c>
      <c r="B456" s="1073" t="s">
        <v>1109</v>
      </c>
      <c r="C456" s="1072">
        <v>89.5</v>
      </c>
      <c r="D456" s="1071">
        <f t="shared" si="35"/>
        <v>27.07375</v>
      </c>
      <c r="E456" s="1070">
        <v>4475</v>
      </c>
      <c r="F456" s="1069">
        <f t="shared" si="33"/>
        <v>14793.388429752067</v>
      </c>
      <c r="G456" s="1069">
        <f t="shared" si="34"/>
        <v>400512.5</v>
      </c>
      <c r="H456" s="1068" t="e">
        <f>C792</f>
        <v>#REF!</v>
      </c>
      <c r="I456" s="1040"/>
      <c r="J456" s="1040"/>
      <c r="K456" s="1023"/>
      <c r="L456" s="1023"/>
      <c r="M456" s="1023"/>
      <c r="N456" s="1023"/>
      <c r="O456" s="1023"/>
      <c r="P456" s="1023"/>
      <c r="Q456" s="1023"/>
      <c r="R456" s="1023"/>
      <c r="S456" s="1023"/>
      <c r="T456" s="934"/>
      <c r="U456" s="934"/>
      <c r="V456" s="934"/>
      <c r="W456" s="934"/>
      <c r="X456" s="934"/>
      <c r="Y456" s="934"/>
      <c r="Z456" s="934"/>
    </row>
    <row r="457" spans="1:26" ht="16.5" customHeight="1">
      <c r="A457" s="1073">
        <v>453</v>
      </c>
      <c r="B457" s="1073" t="s">
        <v>1110</v>
      </c>
      <c r="C457" s="1072">
        <v>90.8</v>
      </c>
      <c r="D457" s="1071">
        <f t="shared" si="35"/>
        <v>27.466999999999999</v>
      </c>
      <c r="E457" s="1070">
        <v>4475</v>
      </c>
      <c r="F457" s="1069">
        <f t="shared" si="33"/>
        <v>14793.388429752067</v>
      </c>
      <c r="G457" s="1069">
        <f t="shared" si="34"/>
        <v>406330</v>
      </c>
      <c r="H457" s="1068" t="e">
        <f>C793</f>
        <v>#REF!</v>
      </c>
      <c r="I457" s="1040"/>
      <c r="J457" s="1040"/>
      <c r="K457" s="1023"/>
      <c r="L457" s="1023"/>
      <c r="M457" s="1023"/>
      <c r="N457" s="1023"/>
      <c r="O457" s="1023"/>
      <c r="P457" s="1023"/>
      <c r="Q457" s="1023"/>
      <c r="R457" s="1023"/>
      <c r="S457" s="1023"/>
      <c r="T457" s="934"/>
      <c r="U457" s="934"/>
      <c r="V457" s="934"/>
      <c r="W457" s="934"/>
      <c r="X457" s="934"/>
      <c r="Y457" s="934"/>
      <c r="Z457" s="934"/>
    </row>
    <row r="458" spans="1:26" ht="16.5" customHeight="1">
      <c r="A458" s="1073">
        <v>454</v>
      </c>
      <c r="B458" s="1073" t="s">
        <v>1111</v>
      </c>
      <c r="C458" s="1072">
        <v>90.4</v>
      </c>
      <c r="D458" s="1071">
        <f t="shared" si="35"/>
        <v>27.346</v>
      </c>
      <c r="E458" s="1070">
        <v>4475</v>
      </c>
      <c r="F458" s="1069">
        <f t="shared" si="33"/>
        <v>14793.388429752067</v>
      </c>
      <c r="G458" s="1069">
        <f t="shared" si="34"/>
        <v>404540</v>
      </c>
      <c r="H458" s="1068" t="e">
        <f>C794</f>
        <v>#REF!</v>
      </c>
      <c r="I458" s="1040"/>
      <c r="J458" s="1040"/>
      <c r="K458" s="1023"/>
      <c r="L458" s="1023"/>
      <c r="M458" s="1023"/>
      <c r="N458" s="1023"/>
      <c r="O458" s="1023"/>
      <c r="P458" s="1023"/>
      <c r="Q458" s="1023"/>
      <c r="R458" s="1023"/>
      <c r="S458" s="1023"/>
      <c r="T458" s="934"/>
      <c r="U458" s="934"/>
      <c r="V458" s="934"/>
      <c r="W458" s="934"/>
      <c r="X458" s="934"/>
      <c r="Y458" s="934"/>
      <c r="Z458" s="934"/>
    </row>
    <row r="459" spans="1:26" ht="16.5" customHeight="1">
      <c r="A459" s="1073">
        <v>455</v>
      </c>
      <c r="B459" s="1073" t="s">
        <v>1112</v>
      </c>
      <c r="C459" s="1072">
        <v>88.1</v>
      </c>
      <c r="D459" s="1071">
        <f t="shared" si="35"/>
        <v>26.650249999999996</v>
      </c>
      <c r="E459" s="1070">
        <v>4475</v>
      </c>
      <c r="F459" s="1069">
        <f t="shared" si="33"/>
        <v>14793.388429752067</v>
      </c>
      <c r="G459" s="1069">
        <f t="shared" si="34"/>
        <v>394247.5</v>
      </c>
      <c r="H459" s="1068" t="e">
        <f>C795</f>
        <v>#REF!</v>
      </c>
      <c r="I459" s="1040"/>
      <c r="J459" s="1040"/>
      <c r="K459" s="1023"/>
      <c r="L459" s="1023"/>
      <c r="M459" s="1023"/>
      <c r="N459" s="1023"/>
      <c r="O459" s="1023"/>
      <c r="P459" s="1023"/>
      <c r="Q459" s="1023"/>
      <c r="R459" s="1023"/>
      <c r="S459" s="1023"/>
      <c r="T459" s="934"/>
      <c r="U459" s="934"/>
      <c r="V459" s="934"/>
      <c r="W459" s="934"/>
      <c r="X459" s="934"/>
      <c r="Y459" s="934"/>
      <c r="Z459" s="934"/>
    </row>
    <row r="460" spans="1:26" ht="16.5" customHeight="1">
      <c r="A460" s="1073">
        <v>456</v>
      </c>
      <c r="B460" s="1073" t="s">
        <v>1113</v>
      </c>
      <c r="C460" s="1072">
        <v>90.1</v>
      </c>
      <c r="D460" s="1071">
        <f t="shared" si="35"/>
        <v>27.255249999999997</v>
      </c>
      <c r="E460" s="1070">
        <v>4475</v>
      </c>
      <c r="F460" s="1069">
        <f t="shared" si="33"/>
        <v>14793.388429752067</v>
      </c>
      <c r="G460" s="1069">
        <f t="shared" si="34"/>
        <v>403197.5</v>
      </c>
      <c r="H460" s="1068" t="e">
        <f>C782</f>
        <v>#REF!</v>
      </c>
      <c r="I460" s="1040"/>
      <c r="J460" s="1040"/>
      <c r="K460" s="1023"/>
      <c r="L460" s="1023"/>
      <c r="M460" s="1023"/>
      <c r="N460" s="1023"/>
      <c r="O460" s="1023"/>
      <c r="P460" s="1023"/>
      <c r="Q460" s="1023"/>
      <c r="R460" s="1023"/>
      <c r="S460" s="1023"/>
      <c r="T460" s="934"/>
      <c r="U460" s="934"/>
      <c r="V460" s="934"/>
      <c r="W460" s="934"/>
      <c r="X460" s="934"/>
      <c r="Y460" s="934"/>
      <c r="Z460" s="934"/>
    </row>
    <row r="461" spans="1:26" ht="16.5" customHeight="1">
      <c r="A461" s="1073">
        <v>457</v>
      </c>
      <c r="B461" s="1073" t="s">
        <v>1114</v>
      </c>
      <c r="C461" s="1072">
        <v>90.4</v>
      </c>
      <c r="D461" s="1071">
        <f t="shared" si="35"/>
        <v>27.346</v>
      </c>
      <c r="E461" s="1070">
        <v>4475</v>
      </c>
      <c r="F461" s="1069">
        <f t="shared" si="33"/>
        <v>14793.388429752067</v>
      </c>
      <c r="G461" s="1069">
        <f t="shared" si="34"/>
        <v>404540</v>
      </c>
      <c r="H461" s="1068" t="e">
        <f>C797</f>
        <v>#REF!</v>
      </c>
      <c r="I461" s="1040"/>
      <c r="J461" s="1040"/>
      <c r="K461" s="1023"/>
      <c r="L461" s="1023"/>
      <c r="M461" s="1023"/>
      <c r="N461" s="1023"/>
      <c r="O461" s="1023"/>
      <c r="P461" s="1023"/>
      <c r="Q461" s="1023"/>
      <c r="R461" s="1023"/>
      <c r="S461" s="1023"/>
      <c r="T461" s="934"/>
      <c r="U461" s="934"/>
      <c r="V461" s="934"/>
      <c r="W461" s="934"/>
      <c r="X461" s="934"/>
      <c r="Y461" s="934"/>
      <c r="Z461" s="934"/>
    </row>
    <row r="462" spans="1:26" ht="16.5" customHeight="1">
      <c r="A462" s="1073">
        <v>458</v>
      </c>
      <c r="B462" s="1073" t="s">
        <v>1115</v>
      </c>
      <c r="C462" s="1072">
        <v>90.4</v>
      </c>
      <c r="D462" s="1071">
        <f t="shared" si="35"/>
        <v>27.346</v>
      </c>
      <c r="E462" s="1070">
        <v>4475</v>
      </c>
      <c r="F462" s="1069">
        <f t="shared" si="33"/>
        <v>14793.388429752067</v>
      </c>
      <c r="G462" s="1069">
        <f t="shared" si="34"/>
        <v>404540</v>
      </c>
      <c r="H462" s="1068" t="e">
        <f>C798</f>
        <v>#REF!</v>
      </c>
      <c r="I462" s="1040"/>
      <c r="J462" s="1040"/>
      <c r="K462" s="1023"/>
      <c r="L462" s="1023"/>
      <c r="M462" s="1023"/>
      <c r="N462" s="1023"/>
      <c r="O462" s="1023"/>
      <c r="P462" s="1023"/>
      <c r="Q462" s="1023"/>
      <c r="R462" s="1023"/>
      <c r="S462" s="1023"/>
      <c r="T462" s="934"/>
      <c r="U462" s="934"/>
      <c r="V462" s="934"/>
      <c r="W462" s="934"/>
      <c r="X462" s="934"/>
      <c r="Y462" s="934"/>
      <c r="Z462" s="934"/>
    </row>
    <row r="463" spans="1:26" ht="16.5" customHeight="1">
      <c r="A463" s="1073">
        <v>459</v>
      </c>
      <c r="B463" s="1073" t="s">
        <v>1116</v>
      </c>
      <c r="C463" s="1072">
        <v>89.6</v>
      </c>
      <c r="D463" s="1071">
        <f t="shared" si="35"/>
        <v>27.103999999999999</v>
      </c>
      <c r="E463" s="1070">
        <v>4475</v>
      </c>
      <c r="F463" s="1069">
        <f t="shared" si="33"/>
        <v>14793.388429752067</v>
      </c>
      <c r="G463" s="1069">
        <f t="shared" si="34"/>
        <v>400960</v>
      </c>
      <c r="H463" s="1068">
        <f>C799</f>
        <v>18</v>
      </c>
      <c r="I463" s="1040"/>
      <c r="J463" s="1040"/>
      <c r="K463" s="1023"/>
      <c r="L463" s="1023"/>
      <c r="M463" s="1023"/>
      <c r="N463" s="1023"/>
      <c r="O463" s="1023"/>
      <c r="P463" s="1023"/>
      <c r="Q463" s="1023"/>
      <c r="R463" s="1023"/>
      <c r="S463" s="1023"/>
      <c r="T463" s="934"/>
      <c r="U463" s="934"/>
      <c r="V463" s="934"/>
      <c r="W463" s="934"/>
      <c r="X463" s="934"/>
      <c r="Y463" s="934"/>
      <c r="Z463" s="934"/>
    </row>
    <row r="464" spans="1:26" ht="16.5" customHeight="1">
      <c r="A464" s="1073">
        <v>460</v>
      </c>
      <c r="B464" s="1073" t="s">
        <v>1117</v>
      </c>
      <c r="C464" s="1072">
        <v>90.4</v>
      </c>
      <c r="D464" s="1071">
        <f t="shared" si="35"/>
        <v>27.346</v>
      </c>
      <c r="E464" s="1070">
        <v>4475</v>
      </c>
      <c r="F464" s="1069">
        <f t="shared" si="33"/>
        <v>14793.388429752067</v>
      </c>
      <c r="G464" s="1069">
        <f t="shared" si="34"/>
        <v>404540</v>
      </c>
      <c r="H464" s="1068" t="e">
        <f>C800</f>
        <v>#REF!</v>
      </c>
      <c r="I464" s="1040"/>
      <c r="J464" s="1040"/>
      <c r="K464" s="1023"/>
      <c r="L464" s="1023"/>
      <c r="M464" s="1023"/>
      <c r="N464" s="1023"/>
      <c r="O464" s="1023"/>
      <c r="P464" s="1023"/>
      <c r="Q464" s="1023"/>
      <c r="R464" s="1023"/>
      <c r="S464" s="1023"/>
      <c r="T464" s="934"/>
      <c r="U464" s="934"/>
      <c r="V464" s="934"/>
      <c r="W464" s="934"/>
      <c r="X464" s="934"/>
      <c r="Y464" s="934"/>
      <c r="Z464" s="934"/>
    </row>
    <row r="465" spans="1:26" ht="16.5" customHeight="1">
      <c r="A465" s="1073">
        <v>461</v>
      </c>
      <c r="B465" s="1073" t="s">
        <v>1118</v>
      </c>
      <c r="C465" s="1072">
        <v>90.6</v>
      </c>
      <c r="D465" s="1071">
        <f t="shared" si="35"/>
        <v>27.406499999999998</v>
      </c>
      <c r="E465" s="1070">
        <v>4475</v>
      </c>
      <c r="F465" s="1069">
        <f t="shared" si="33"/>
        <v>14793.388429752067</v>
      </c>
      <c r="G465" s="1069">
        <f t="shared" si="34"/>
        <v>405435</v>
      </c>
      <c r="H465" s="1068">
        <f>C787</f>
        <v>0</v>
      </c>
      <c r="I465" s="1040"/>
      <c r="J465" s="1040"/>
      <c r="K465" s="1023"/>
      <c r="L465" s="1023"/>
      <c r="M465" s="1023"/>
      <c r="N465" s="1023"/>
      <c r="O465" s="1023"/>
      <c r="P465" s="1023"/>
      <c r="Q465" s="1023"/>
      <c r="R465" s="1023"/>
      <c r="S465" s="1023"/>
      <c r="T465" s="934"/>
      <c r="U465" s="934"/>
      <c r="V465" s="934"/>
      <c r="W465" s="934"/>
      <c r="X465" s="934"/>
      <c r="Y465" s="934"/>
      <c r="Z465" s="934"/>
    </row>
    <row r="466" spans="1:26" ht="16.5" customHeight="1">
      <c r="A466" s="1073">
        <v>462</v>
      </c>
      <c r="B466" s="1073" t="s">
        <v>1119</v>
      </c>
      <c r="C466" s="1072">
        <v>88.3</v>
      </c>
      <c r="D466" s="1071">
        <f t="shared" si="35"/>
        <v>26.710749999999997</v>
      </c>
      <c r="E466" s="1070">
        <v>7150</v>
      </c>
      <c r="F466" s="1069">
        <f t="shared" si="33"/>
        <v>23636.363636363636</v>
      </c>
      <c r="G466" s="1069">
        <f t="shared" si="34"/>
        <v>631345</v>
      </c>
      <c r="H466" s="1068">
        <f>C802</f>
        <v>0</v>
      </c>
      <c r="I466" s="1040"/>
      <c r="J466" s="1040"/>
      <c r="K466" s="1023"/>
      <c r="L466" s="1023"/>
      <c r="M466" s="1023"/>
      <c r="N466" s="1023"/>
      <c r="O466" s="1023"/>
      <c r="P466" s="1023"/>
      <c r="Q466" s="1023"/>
      <c r="R466" s="1023"/>
      <c r="S466" s="1023"/>
      <c r="T466" s="934"/>
      <c r="U466" s="934"/>
      <c r="V466" s="934"/>
      <c r="W466" s="934"/>
      <c r="X466" s="934"/>
      <c r="Y466" s="934"/>
      <c r="Z466" s="934"/>
    </row>
    <row r="467" spans="1:26" ht="16.5" customHeight="1">
      <c r="A467" s="1073">
        <v>463</v>
      </c>
      <c r="B467" s="1073" t="s">
        <v>1120</v>
      </c>
      <c r="C467" s="1072">
        <v>498.2</v>
      </c>
      <c r="D467" s="1071">
        <f t="shared" si="35"/>
        <v>150.7055</v>
      </c>
      <c r="E467" s="1070">
        <v>1571.25</v>
      </c>
      <c r="F467" s="1069">
        <f t="shared" si="33"/>
        <v>5194.2148760330583</v>
      </c>
      <c r="G467" s="1069">
        <f t="shared" si="34"/>
        <v>782796.75</v>
      </c>
      <c r="H467" s="1068" t="e">
        <f>C803</f>
        <v>#REF!</v>
      </c>
      <c r="I467" s="1040"/>
      <c r="J467" s="1040"/>
      <c r="K467" s="1023"/>
      <c r="L467" s="1023"/>
      <c r="M467" s="1023"/>
      <c r="N467" s="1023"/>
      <c r="O467" s="1023"/>
      <c r="P467" s="1023"/>
      <c r="Q467" s="1023"/>
      <c r="R467" s="1023"/>
      <c r="S467" s="1023"/>
      <c r="T467" s="934"/>
      <c r="U467" s="934"/>
      <c r="V467" s="934"/>
      <c r="W467" s="934"/>
      <c r="X467" s="934"/>
      <c r="Y467" s="934"/>
      <c r="Z467" s="934"/>
    </row>
    <row r="468" spans="1:26" ht="16.5" customHeight="1">
      <c r="A468" s="1073">
        <v>464</v>
      </c>
      <c r="B468" s="1073" t="s">
        <v>1121</v>
      </c>
      <c r="C468" s="1072">
        <v>88.9</v>
      </c>
      <c r="D468" s="1071">
        <f t="shared" si="35"/>
        <v>26.892250000000001</v>
      </c>
      <c r="E468" s="1070">
        <v>7150</v>
      </c>
      <c r="F468" s="1069">
        <f t="shared" si="33"/>
        <v>23636.363636363636</v>
      </c>
      <c r="G468" s="1069">
        <f t="shared" si="34"/>
        <v>635635</v>
      </c>
      <c r="H468" s="1068">
        <f>C804</f>
        <v>210</v>
      </c>
      <c r="I468" s="1040"/>
      <c r="J468" s="1040"/>
      <c r="K468" s="1023"/>
      <c r="L468" s="1023"/>
      <c r="M468" s="1023"/>
      <c r="N468" s="1023"/>
      <c r="O468" s="1023"/>
      <c r="P468" s="1023"/>
      <c r="Q468" s="1023"/>
      <c r="R468" s="1023"/>
      <c r="S468" s="1023"/>
      <c r="T468" s="934"/>
      <c r="U468" s="934"/>
      <c r="V468" s="934"/>
      <c r="W468" s="934"/>
      <c r="X468" s="934"/>
      <c r="Y468" s="934"/>
      <c r="Z468" s="934"/>
    </row>
    <row r="469" spans="1:26" ht="16.5" customHeight="1">
      <c r="A469" s="1073">
        <v>465</v>
      </c>
      <c r="B469" s="1073" t="s">
        <v>1122</v>
      </c>
      <c r="C469" s="1072">
        <v>88.6</v>
      </c>
      <c r="D469" s="1071">
        <f t="shared" si="35"/>
        <v>26.801499999999997</v>
      </c>
      <c r="E469" s="1070">
        <v>4650</v>
      </c>
      <c r="F469" s="1069">
        <f t="shared" si="33"/>
        <v>15371.900826446281</v>
      </c>
      <c r="G469" s="1069">
        <f t="shared" si="34"/>
        <v>411990</v>
      </c>
      <c r="H469" s="1068" t="e">
        <f>C805</f>
        <v>#REF!</v>
      </c>
      <c r="I469" s="1040"/>
      <c r="J469" s="1040"/>
      <c r="K469" s="1023"/>
      <c r="L469" s="1023"/>
      <c r="M469" s="1023"/>
      <c r="N469" s="1023"/>
      <c r="O469" s="1023"/>
      <c r="P469" s="1023"/>
      <c r="Q469" s="1023"/>
      <c r="R469" s="1023"/>
      <c r="S469" s="1023"/>
      <c r="T469" s="934"/>
      <c r="U469" s="934"/>
      <c r="V469" s="934"/>
      <c r="W469" s="934"/>
      <c r="X469" s="934"/>
      <c r="Y469" s="934"/>
      <c r="Z469" s="934"/>
    </row>
    <row r="470" spans="1:26" ht="16.5" customHeight="1">
      <c r="A470" s="1073">
        <v>466</v>
      </c>
      <c r="B470" s="1073" t="s">
        <v>1123</v>
      </c>
      <c r="C470" s="1072">
        <v>90.4</v>
      </c>
      <c r="D470" s="1071">
        <f t="shared" si="35"/>
        <v>27.346</v>
      </c>
      <c r="E470" s="1070">
        <v>4650</v>
      </c>
      <c r="F470" s="1069">
        <f t="shared" si="33"/>
        <v>15371.900826446281</v>
      </c>
      <c r="G470" s="1069">
        <f t="shared" si="34"/>
        <v>420360</v>
      </c>
      <c r="H470" s="1068" t="e">
        <f>C792</f>
        <v>#REF!</v>
      </c>
      <c r="I470" s="1040"/>
      <c r="J470" s="1040"/>
      <c r="K470" s="1023"/>
      <c r="L470" s="1023"/>
      <c r="M470" s="1023"/>
      <c r="N470" s="1023"/>
      <c r="O470" s="1023"/>
      <c r="P470" s="1023"/>
      <c r="Q470" s="1023"/>
      <c r="R470" s="1023"/>
      <c r="S470" s="1023"/>
      <c r="T470" s="934"/>
      <c r="U470" s="934"/>
      <c r="V470" s="934"/>
      <c r="W470" s="934"/>
      <c r="X470" s="934"/>
      <c r="Y470" s="934"/>
      <c r="Z470" s="934"/>
    </row>
    <row r="471" spans="1:26" ht="16.5" customHeight="1">
      <c r="A471" s="1073">
        <v>467</v>
      </c>
      <c r="B471" s="1073" t="s">
        <v>1124</v>
      </c>
      <c r="C471" s="1072">
        <v>89.7</v>
      </c>
      <c r="D471" s="1071">
        <f t="shared" si="35"/>
        <v>27.134250000000002</v>
      </c>
      <c r="E471" s="1070">
        <v>4650</v>
      </c>
      <c r="F471" s="1069">
        <f t="shared" si="33"/>
        <v>15371.900826446281</v>
      </c>
      <c r="G471" s="1069">
        <f t="shared" si="34"/>
        <v>417105</v>
      </c>
      <c r="H471" s="1068" t="e">
        <f>C807</f>
        <v>#REF!</v>
      </c>
      <c r="I471" s="1040"/>
      <c r="J471" s="1040"/>
      <c r="K471" s="1023"/>
      <c r="L471" s="1023"/>
      <c r="M471" s="1023"/>
      <c r="N471" s="1023"/>
      <c r="O471" s="1023"/>
      <c r="P471" s="1023"/>
      <c r="Q471" s="1023"/>
      <c r="R471" s="1023"/>
      <c r="S471" s="1023"/>
      <c r="T471" s="934"/>
      <c r="U471" s="934"/>
      <c r="V471" s="934"/>
      <c r="W471" s="934"/>
      <c r="X471" s="934"/>
      <c r="Y471" s="934"/>
      <c r="Z471" s="934"/>
    </row>
    <row r="472" spans="1:26" ht="16.5" customHeight="1">
      <c r="A472" s="1073">
        <v>468</v>
      </c>
      <c r="B472" s="1073" t="s">
        <v>1125</v>
      </c>
      <c r="C472" s="1072">
        <v>90.6</v>
      </c>
      <c r="D472" s="1071">
        <f t="shared" si="35"/>
        <v>27.406499999999998</v>
      </c>
      <c r="E472" s="1070">
        <v>4650</v>
      </c>
      <c r="F472" s="1069">
        <f t="shared" si="33"/>
        <v>15371.900826446281</v>
      </c>
      <c r="G472" s="1069">
        <f t="shared" si="34"/>
        <v>421290</v>
      </c>
      <c r="H472" s="1068" t="e">
        <f>C808</f>
        <v>#REF!</v>
      </c>
      <c r="I472" s="1040"/>
      <c r="J472" s="1040"/>
      <c r="K472" s="1023"/>
      <c r="L472" s="1023"/>
      <c r="M472" s="1023"/>
      <c r="N472" s="1023"/>
      <c r="O472" s="1023"/>
      <c r="P472" s="1023"/>
      <c r="Q472" s="1023"/>
      <c r="R472" s="1023"/>
      <c r="S472" s="1023"/>
      <c r="T472" s="934"/>
      <c r="U472" s="934"/>
      <c r="V472" s="934"/>
      <c r="W472" s="934"/>
      <c r="X472" s="934"/>
      <c r="Y472" s="934"/>
      <c r="Z472" s="934"/>
    </row>
    <row r="473" spans="1:26" ht="16.5" customHeight="1">
      <c r="A473" s="1073">
        <v>469</v>
      </c>
      <c r="B473" s="1073" t="s">
        <v>1126</v>
      </c>
      <c r="C473" s="1072">
        <v>89.5</v>
      </c>
      <c r="D473" s="1071">
        <f t="shared" si="35"/>
        <v>27.07375</v>
      </c>
      <c r="E473" s="1070">
        <v>4650</v>
      </c>
      <c r="F473" s="1069">
        <f t="shared" si="33"/>
        <v>15371.900826446281</v>
      </c>
      <c r="G473" s="1069">
        <f t="shared" si="34"/>
        <v>416175</v>
      </c>
      <c r="H473" s="1068" t="e">
        <f>C809</f>
        <v>#REF!</v>
      </c>
      <c r="I473" s="1040"/>
      <c r="J473" s="1040"/>
      <c r="K473" s="1023"/>
      <c r="L473" s="1023"/>
      <c r="M473" s="1023"/>
      <c r="N473" s="1023"/>
      <c r="O473" s="1023"/>
      <c r="P473" s="1023"/>
      <c r="Q473" s="1023"/>
      <c r="R473" s="1023"/>
      <c r="S473" s="1023"/>
      <c r="T473" s="934"/>
      <c r="U473" s="934"/>
      <c r="V473" s="934"/>
      <c r="W473" s="934"/>
      <c r="X473" s="934"/>
      <c r="Y473" s="934"/>
      <c r="Z473" s="934"/>
    </row>
    <row r="474" spans="1:26" ht="16.5" customHeight="1">
      <c r="A474" s="1073">
        <v>470</v>
      </c>
      <c r="B474" s="1073" t="s">
        <v>1127</v>
      </c>
      <c r="C474" s="1072">
        <v>90.2</v>
      </c>
      <c r="D474" s="1071">
        <f t="shared" si="35"/>
        <v>27.285499999999999</v>
      </c>
      <c r="E474" s="1070">
        <v>4650</v>
      </c>
      <c r="F474" s="1069">
        <f t="shared" si="33"/>
        <v>15371.900826446281</v>
      </c>
      <c r="G474" s="1069">
        <f t="shared" si="34"/>
        <v>419430</v>
      </c>
      <c r="H474" s="1068" t="e">
        <f>C810</f>
        <v>#REF!</v>
      </c>
      <c r="I474" s="1040"/>
      <c r="J474" s="1040"/>
      <c r="K474" s="1023"/>
      <c r="L474" s="1023"/>
      <c r="M474" s="1023"/>
      <c r="N474" s="1023"/>
      <c r="O474" s="1023"/>
      <c r="P474" s="1023"/>
      <c r="Q474" s="1023"/>
      <c r="R474" s="1023"/>
      <c r="S474" s="1023"/>
      <c r="T474" s="934"/>
      <c r="U474" s="934"/>
      <c r="V474" s="934"/>
      <c r="W474" s="934"/>
      <c r="X474" s="934"/>
      <c r="Y474" s="934"/>
      <c r="Z474" s="934"/>
    </row>
    <row r="475" spans="1:26" ht="16.5" customHeight="1">
      <c r="A475" s="1073">
        <v>471</v>
      </c>
      <c r="B475" s="1073" t="s">
        <v>1128</v>
      </c>
      <c r="C475" s="1072">
        <v>91.8</v>
      </c>
      <c r="D475" s="1071">
        <f t="shared" si="35"/>
        <v>27.769499999999997</v>
      </c>
      <c r="E475" s="1070">
        <v>4650</v>
      </c>
      <c r="F475" s="1069">
        <f t="shared" si="33"/>
        <v>15371.900826446281</v>
      </c>
      <c r="G475" s="1069">
        <f t="shared" si="34"/>
        <v>426870</v>
      </c>
      <c r="H475" s="1068" t="e">
        <f>C797</f>
        <v>#REF!</v>
      </c>
      <c r="I475" s="1040"/>
      <c r="J475" s="1040"/>
      <c r="K475" s="1023"/>
      <c r="L475" s="1023"/>
      <c r="M475" s="1023"/>
      <c r="N475" s="1023"/>
      <c r="O475" s="1023"/>
      <c r="P475" s="1023"/>
      <c r="Q475" s="1023"/>
      <c r="R475" s="1023"/>
      <c r="S475" s="1023"/>
      <c r="T475" s="934"/>
      <c r="U475" s="934"/>
      <c r="V475" s="934"/>
      <c r="W475" s="934"/>
      <c r="X475" s="934"/>
      <c r="Y475" s="934"/>
      <c r="Z475" s="934"/>
    </row>
    <row r="476" spans="1:26" ht="16.5" customHeight="1">
      <c r="A476" s="1073">
        <v>472</v>
      </c>
      <c r="B476" s="1073" t="s">
        <v>1129</v>
      </c>
      <c r="C476" s="1072">
        <v>90.4</v>
      </c>
      <c r="D476" s="1071">
        <f t="shared" si="35"/>
        <v>27.346</v>
      </c>
      <c r="E476" s="1070">
        <v>4650</v>
      </c>
      <c r="F476" s="1069">
        <f t="shared" si="33"/>
        <v>15371.900826446281</v>
      </c>
      <c r="G476" s="1069">
        <f t="shared" si="34"/>
        <v>420360</v>
      </c>
      <c r="H476" s="1068" t="e">
        <f>C812</f>
        <v>#REF!</v>
      </c>
      <c r="I476" s="1040"/>
      <c r="J476" s="1040"/>
      <c r="K476" s="1023"/>
      <c r="L476" s="1023"/>
      <c r="M476" s="1023"/>
      <c r="N476" s="1023"/>
      <c r="O476" s="1023"/>
      <c r="P476" s="1023"/>
      <c r="Q476" s="1023"/>
      <c r="R476" s="1023"/>
      <c r="S476" s="1023"/>
      <c r="T476" s="934"/>
      <c r="U476" s="934"/>
      <c r="V476" s="934"/>
      <c r="W476" s="934"/>
      <c r="X476" s="934"/>
      <c r="Y476" s="934"/>
      <c r="Z476" s="934"/>
    </row>
    <row r="477" spans="1:26" ht="16.5" customHeight="1">
      <c r="A477" s="1073">
        <v>473</v>
      </c>
      <c r="B477" s="1073" t="s">
        <v>1130</v>
      </c>
      <c r="C477" s="1072">
        <v>90</v>
      </c>
      <c r="D477" s="1071">
        <f t="shared" si="35"/>
        <v>27.224999999999998</v>
      </c>
      <c r="E477" s="1070">
        <v>4650</v>
      </c>
      <c r="F477" s="1069">
        <f t="shared" si="33"/>
        <v>15371.900826446281</v>
      </c>
      <c r="G477" s="1069">
        <f t="shared" si="34"/>
        <v>418500</v>
      </c>
      <c r="H477" s="1068" t="e">
        <f>C813</f>
        <v>#REF!</v>
      </c>
      <c r="I477" s="1040"/>
      <c r="J477" s="1040"/>
      <c r="K477" s="1023"/>
      <c r="L477" s="1023"/>
      <c r="M477" s="1023"/>
      <c r="N477" s="1023"/>
      <c r="O477" s="1023"/>
      <c r="P477" s="1023"/>
      <c r="Q477" s="1023"/>
      <c r="R477" s="1023"/>
      <c r="S477" s="1023"/>
      <c r="T477" s="934"/>
      <c r="U477" s="934"/>
      <c r="V477" s="934"/>
      <c r="W477" s="934"/>
      <c r="X477" s="934"/>
      <c r="Y477" s="934"/>
      <c r="Z477" s="934"/>
    </row>
    <row r="478" spans="1:26" ht="16.5" customHeight="1">
      <c r="A478" s="1073">
        <v>474</v>
      </c>
      <c r="B478" s="1073" t="s">
        <v>1131</v>
      </c>
      <c r="C478" s="1072">
        <v>91</v>
      </c>
      <c r="D478" s="1071">
        <f t="shared" si="35"/>
        <v>27.5275</v>
      </c>
      <c r="E478" s="1070">
        <v>4650</v>
      </c>
      <c r="F478" s="1069">
        <f t="shared" si="33"/>
        <v>15371.900826446281</v>
      </c>
      <c r="G478" s="1069">
        <f t="shared" si="34"/>
        <v>423150</v>
      </c>
      <c r="H478" s="1068">
        <f>C814</f>
        <v>18</v>
      </c>
      <c r="I478" s="1040"/>
      <c r="J478" s="1040"/>
      <c r="K478" s="1023"/>
      <c r="L478" s="1023"/>
      <c r="M478" s="1023"/>
      <c r="N478" s="1023"/>
      <c r="O478" s="1023"/>
      <c r="P478" s="1023"/>
      <c r="Q478" s="1023"/>
      <c r="R478" s="1023"/>
      <c r="S478" s="1023"/>
      <c r="T478" s="934"/>
      <c r="U478" s="934"/>
      <c r="V478" s="934"/>
      <c r="W478" s="934"/>
      <c r="X478" s="934"/>
      <c r="Y478" s="934"/>
      <c r="Z478" s="934"/>
    </row>
    <row r="479" spans="1:26" ht="16.5" customHeight="1">
      <c r="A479" s="1073">
        <v>475</v>
      </c>
      <c r="B479" s="1073" t="s">
        <v>1132</v>
      </c>
      <c r="C479" s="1072">
        <v>91</v>
      </c>
      <c r="D479" s="1071">
        <f t="shared" si="35"/>
        <v>27.5275</v>
      </c>
      <c r="E479" s="1070">
        <v>4650</v>
      </c>
      <c r="F479" s="1069">
        <f t="shared" si="33"/>
        <v>15371.900826446281</v>
      </c>
      <c r="G479" s="1069">
        <f t="shared" si="34"/>
        <v>423150</v>
      </c>
      <c r="H479" s="1068" t="e">
        <f>C815</f>
        <v>#REF!</v>
      </c>
      <c r="I479" s="1040"/>
      <c r="J479" s="1040"/>
      <c r="K479" s="1023"/>
      <c r="L479" s="1023"/>
      <c r="M479" s="1023"/>
      <c r="N479" s="1023"/>
      <c r="O479" s="1023"/>
      <c r="P479" s="1023"/>
      <c r="Q479" s="1023"/>
      <c r="R479" s="1023"/>
      <c r="S479" s="1023"/>
      <c r="T479" s="934"/>
      <c r="U479" s="934"/>
      <c r="V479" s="934"/>
      <c r="W479" s="934"/>
      <c r="X479" s="934"/>
      <c r="Y479" s="934"/>
      <c r="Z479" s="934"/>
    </row>
    <row r="480" spans="1:26" ht="16.5" customHeight="1">
      <c r="A480" s="1073">
        <v>476</v>
      </c>
      <c r="B480" s="1073" t="s">
        <v>1133</v>
      </c>
      <c r="C480" s="1072">
        <v>90.1</v>
      </c>
      <c r="D480" s="1071">
        <f t="shared" si="35"/>
        <v>27.255249999999997</v>
      </c>
      <c r="E480" s="1070">
        <v>4650</v>
      </c>
      <c r="F480" s="1069">
        <f t="shared" si="33"/>
        <v>15371.900826446281</v>
      </c>
      <c r="G480" s="1069">
        <f t="shared" si="34"/>
        <v>418965</v>
      </c>
      <c r="H480" s="1068">
        <f>C802</f>
        <v>0</v>
      </c>
      <c r="I480" s="1040"/>
      <c r="J480" s="1040"/>
      <c r="K480" s="1023"/>
      <c r="L480" s="1023"/>
      <c r="M480" s="1023"/>
      <c r="N480" s="1023"/>
      <c r="O480" s="1023"/>
      <c r="P480" s="1023"/>
      <c r="Q480" s="1023"/>
      <c r="R480" s="1023"/>
      <c r="S480" s="1023"/>
      <c r="T480" s="934"/>
      <c r="U480" s="934"/>
      <c r="V480" s="934"/>
      <c r="W480" s="934"/>
      <c r="X480" s="934"/>
      <c r="Y480" s="934"/>
      <c r="Z480" s="934"/>
    </row>
    <row r="481" spans="1:26" ht="16.5" customHeight="1">
      <c r="A481" s="1073">
        <v>477</v>
      </c>
      <c r="B481" s="1073" t="s">
        <v>1134</v>
      </c>
      <c r="C481" s="1072">
        <v>91.6</v>
      </c>
      <c r="D481" s="1071">
        <f t="shared" si="35"/>
        <v>27.708999999999996</v>
      </c>
      <c r="E481" s="1070">
        <v>4650</v>
      </c>
      <c r="F481" s="1069">
        <f t="shared" si="33"/>
        <v>15371.900826446281</v>
      </c>
      <c r="G481" s="1069">
        <f t="shared" si="34"/>
        <v>425940</v>
      </c>
      <c r="H481" s="1068">
        <f>C817</f>
        <v>0</v>
      </c>
      <c r="I481" s="1040"/>
      <c r="J481" s="1040"/>
      <c r="K481" s="1023"/>
      <c r="L481" s="1023"/>
      <c r="M481" s="1023"/>
      <c r="N481" s="1023"/>
      <c r="O481" s="1023"/>
      <c r="P481" s="1023"/>
      <c r="Q481" s="1023"/>
      <c r="R481" s="1023"/>
      <c r="S481" s="1023"/>
      <c r="T481" s="934"/>
      <c r="U481" s="934"/>
      <c r="V481" s="934"/>
      <c r="W481" s="934"/>
      <c r="X481" s="934"/>
      <c r="Y481" s="934"/>
      <c r="Z481" s="934"/>
    </row>
    <row r="482" spans="1:26" ht="16.5" customHeight="1">
      <c r="A482" s="1073">
        <v>478</v>
      </c>
      <c r="B482" s="1073" t="s">
        <v>1135</v>
      </c>
      <c r="C482" s="1072">
        <v>86.5</v>
      </c>
      <c r="D482" s="1071">
        <f t="shared" si="35"/>
        <v>26.166249999999998</v>
      </c>
      <c r="E482" s="1070">
        <v>7560</v>
      </c>
      <c r="F482" s="1069">
        <f t="shared" si="33"/>
        <v>24991.735537190085</v>
      </c>
      <c r="G482" s="1069">
        <f t="shared" si="34"/>
        <v>653940</v>
      </c>
      <c r="H482" s="1068" t="e">
        <f>C818</f>
        <v>#REF!</v>
      </c>
      <c r="I482" s="1040"/>
      <c r="J482" s="1040"/>
      <c r="K482" s="1023"/>
      <c r="L482" s="1023"/>
      <c r="M482" s="1023"/>
      <c r="N482" s="1023"/>
      <c r="O482" s="1023"/>
      <c r="P482" s="1023"/>
      <c r="Q482" s="1023"/>
      <c r="R482" s="1023"/>
      <c r="S482" s="1023"/>
      <c r="T482" s="934"/>
      <c r="U482" s="934"/>
      <c r="V482" s="934"/>
      <c r="W482" s="934"/>
      <c r="X482" s="934"/>
      <c r="Y482" s="934"/>
      <c r="Z482" s="934"/>
    </row>
    <row r="483" spans="1:26" ht="16.5" customHeight="1">
      <c r="A483" s="1073">
        <v>479</v>
      </c>
      <c r="B483" s="1073" t="s">
        <v>1136</v>
      </c>
      <c r="C483" s="1072">
        <v>86.8</v>
      </c>
      <c r="D483" s="1071">
        <f t="shared" si="35"/>
        <v>26.256999999999998</v>
      </c>
      <c r="E483" s="1070">
        <v>7560</v>
      </c>
      <c r="F483" s="1069">
        <f t="shared" si="33"/>
        <v>24991.735537190085</v>
      </c>
      <c r="G483" s="1069">
        <f t="shared" si="34"/>
        <v>656208</v>
      </c>
      <c r="H483" s="1068">
        <f>C819</f>
        <v>210</v>
      </c>
      <c r="I483" s="1040"/>
      <c r="J483" s="1040"/>
      <c r="K483" s="1023"/>
      <c r="L483" s="1023"/>
      <c r="M483" s="1023"/>
      <c r="N483" s="1023"/>
      <c r="O483" s="1023"/>
      <c r="P483" s="1023"/>
      <c r="Q483" s="1023"/>
      <c r="R483" s="1023"/>
      <c r="S483" s="1023"/>
      <c r="T483" s="934"/>
      <c r="U483" s="934"/>
      <c r="V483" s="934"/>
      <c r="W483" s="934"/>
      <c r="X483" s="934"/>
      <c r="Y483" s="934"/>
      <c r="Z483" s="934"/>
    </row>
    <row r="484" spans="1:26" ht="16.5" customHeight="1">
      <c r="A484" s="1073">
        <v>480</v>
      </c>
      <c r="B484" s="1073" t="s">
        <v>1137</v>
      </c>
      <c r="C484" s="1072">
        <v>90.6</v>
      </c>
      <c r="D484" s="1071">
        <f t="shared" si="35"/>
        <v>27.406499999999998</v>
      </c>
      <c r="E484" s="1070">
        <v>4475</v>
      </c>
      <c r="F484" s="1069">
        <f t="shared" si="33"/>
        <v>14793.388429752067</v>
      </c>
      <c r="G484" s="1069">
        <f t="shared" si="34"/>
        <v>405435</v>
      </c>
      <c r="H484" s="1068" t="e">
        <f>C820</f>
        <v>#REF!</v>
      </c>
      <c r="I484" s="1040"/>
      <c r="J484" s="1040"/>
      <c r="K484" s="1023"/>
      <c r="L484" s="1023"/>
      <c r="M484" s="1023"/>
      <c r="N484" s="1023"/>
      <c r="O484" s="1023"/>
      <c r="P484" s="1023"/>
      <c r="Q484" s="1023"/>
      <c r="R484" s="1023"/>
      <c r="S484" s="1023"/>
      <c r="T484" s="934"/>
      <c r="U484" s="934"/>
      <c r="V484" s="934"/>
      <c r="W484" s="934"/>
      <c r="X484" s="934"/>
      <c r="Y484" s="934"/>
      <c r="Z484" s="934"/>
    </row>
    <row r="485" spans="1:26" ht="16.5" customHeight="1">
      <c r="A485" s="1073">
        <v>481</v>
      </c>
      <c r="B485" s="1073" t="s">
        <v>1138</v>
      </c>
      <c r="C485" s="1072">
        <v>90.5</v>
      </c>
      <c r="D485" s="1071">
        <f t="shared" si="35"/>
        <v>27.376249999999999</v>
      </c>
      <c r="E485" s="1070">
        <v>4475</v>
      </c>
      <c r="F485" s="1069">
        <f t="shared" si="33"/>
        <v>14793.388429752067</v>
      </c>
      <c r="G485" s="1069">
        <f t="shared" si="34"/>
        <v>404987.5</v>
      </c>
      <c r="H485" s="1068" t="e">
        <f>C807</f>
        <v>#REF!</v>
      </c>
      <c r="I485" s="1040"/>
      <c r="J485" s="1040"/>
      <c r="K485" s="1023"/>
      <c r="L485" s="1023"/>
      <c r="M485" s="1023"/>
      <c r="N485" s="1023"/>
      <c r="O485" s="1023"/>
      <c r="P485" s="1023"/>
      <c r="Q485" s="1023"/>
      <c r="R485" s="1023"/>
      <c r="S485" s="1023"/>
      <c r="T485" s="934"/>
      <c r="U485" s="934"/>
      <c r="V485" s="934"/>
      <c r="W485" s="934"/>
      <c r="X485" s="934"/>
      <c r="Y485" s="934"/>
      <c r="Z485" s="934"/>
    </row>
    <row r="486" spans="1:26" ht="16.5" customHeight="1">
      <c r="A486" s="1073">
        <v>482</v>
      </c>
      <c r="B486" s="1073" t="s">
        <v>1139</v>
      </c>
      <c r="C486" s="1072">
        <v>90.9</v>
      </c>
      <c r="D486" s="1071">
        <f t="shared" si="35"/>
        <v>27.497250000000001</v>
      </c>
      <c r="E486" s="1070">
        <v>4475</v>
      </c>
      <c r="F486" s="1069">
        <f t="shared" si="33"/>
        <v>14793.388429752067</v>
      </c>
      <c r="G486" s="1069">
        <f t="shared" si="34"/>
        <v>406777.5</v>
      </c>
      <c r="H486" s="1068" t="e">
        <f>C822</f>
        <v>#REF!</v>
      </c>
      <c r="I486" s="1040"/>
      <c r="J486" s="1040"/>
      <c r="K486" s="1023"/>
      <c r="L486" s="1023"/>
      <c r="M486" s="1023"/>
      <c r="N486" s="1023"/>
      <c r="O486" s="1023"/>
      <c r="P486" s="1023"/>
      <c r="Q486" s="1023"/>
      <c r="R486" s="1023"/>
      <c r="S486" s="1023"/>
      <c r="T486" s="934"/>
      <c r="U486" s="934"/>
      <c r="V486" s="934"/>
      <c r="W486" s="934"/>
      <c r="X486" s="934"/>
      <c r="Y486" s="934"/>
      <c r="Z486" s="934"/>
    </row>
    <row r="487" spans="1:26" ht="16.5" customHeight="1">
      <c r="A487" s="1073">
        <v>483</v>
      </c>
      <c r="B487" s="1073" t="s">
        <v>1140</v>
      </c>
      <c r="C487" s="1072">
        <v>91</v>
      </c>
      <c r="D487" s="1071">
        <f t="shared" si="35"/>
        <v>27.5275</v>
      </c>
      <c r="E487" s="1070">
        <v>4475</v>
      </c>
      <c r="F487" s="1069">
        <f t="shared" si="33"/>
        <v>14793.388429752067</v>
      </c>
      <c r="G487" s="1069">
        <f t="shared" si="34"/>
        <v>407225</v>
      </c>
      <c r="H487" s="1068" t="e">
        <f>C823</f>
        <v>#REF!</v>
      </c>
      <c r="I487" s="1040"/>
      <c r="J487" s="1040"/>
      <c r="K487" s="1023"/>
      <c r="L487" s="1023"/>
      <c r="M487" s="1023"/>
      <c r="N487" s="1023"/>
      <c r="O487" s="1023"/>
      <c r="P487" s="1023"/>
      <c r="Q487" s="1023"/>
      <c r="R487" s="1023"/>
      <c r="S487" s="1023"/>
      <c r="T487" s="934"/>
      <c r="U487" s="934"/>
      <c r="V487" s="934"/>
      <c r="W487" s="934"/>
      <c r="X487" s="934"/>
      <c r="Y487" s="934"/>
      <c r="Z487" s="934"/>
    </row>
    <row r="488" spans="1:26" ht="16.5" customHeight="1">
      <c r="A488" s="1073">
        <v>484</v>
      </c>
      <c r="B488" s="1073" t="s">
        <v>1141</v>
      </c>
      <c r="C488" s="1072">
        <v>89.5</v>
      </c>
      <c r="D488" s="1071">
        <f t="shared" si="35"/>
        <v>27.07375</v>
      </c>
      <c r="E488" s="1070">
        <v>4475</v>
      </c>
      <c r="F488" s="1069">
        <f t="shared" si="33"/>
        <v>14793.388429752067</v>
      </c>
      <c r="G488" s="1069">
        <f t="shared" si="34"/>
        <v>400512.5</v>
      </c>
      <c r="H488" s="1068" t="e">
        <f>C824</f>
        <v>#REF!</v>
      </c>
      <c r="I488" s="1040"/>
      <c r="J488" s="1040"/>
      <c r="K488" s="1023"/>
      <c r="L488" s="1023"/>
      <c r="M488" s="1023"/>
      <c r="N488" s="1023"/>
      <c r="O488" s="1023"/>
      <c r="P488" s="1023"/>
      <c r="Q488" s="1023"/>
      <c r="R488" s="1023"/>
      <c r="S488" s="1023"/>
      <c r="T488" s="934"/>
      <c r="U488" s="934"/>
      <c r="V488" s="934"/>
      <c r="W488" s="934"/>
      <c r="X488" s="934"/>
      <c r="Y488" s="934"/>
      <c r="Z488" s="934"/>
    </row>
    <row r="489" spans="1:26" ht="16.5" customHeight="1">
      <c r="A489" s="1073">
        <v>485</v>
      </c>
      <c r="B489" s="1073" t="s">
        <v>1142</v>
      </c>
      <c r="C489" s="1072">
        <v>91.3</v>
      </c>
      <c r="D489" s="1071">
        <f t="shared" si="35"/>
        <v>27.61825</v>
      </c>
      <c r="E489" s="1070">
        <v>4475</v>
      </c>
      <c r="F489" s="1069">
        <f t="shared" si="33"/>
        <v>14793.388429752067</v>
      </c>
      <c r="G489" s="1069">
        <f t="shared" si="34"/>
        <v>408567.5</v>
      </c>
      <c r="H489" s="1068" t="e">
        <f>C825</f>
        <v>#REF!</v>
      </c>
      <c r="I489" s="1040"/>
      <c r="J489" s="1040"/>
      <c r="K489" s="1023"/>
      <c r="L489" s="1023"/>
      <c r="M489" s="1023"/>
      <c r="N489" s="1023"/>
      <c r="O489" s="1023"/>
      <c r="P489" s="1023"/>
      <c r="Q489" s="1023"/>
      <c r="R489" s="1023"/>
      <c r="S489" s="1023"/>
      <c r="T489" s="934"/>
      <c r="U489" s="934"/>
      <c r="V489" s="934"/>
      <c r="W489" s="934"/>
      <c r="X489" s="934"/>
      <c r="Y489" s="934"/>
      <c r="Z489" s="934"/>
    </row>
    <row r="490" spans="1:26" ht="16.5" customHeight="1">
      <c r="A490" s="1073">
        <v>486</v>
      </c>
      <c r="B490" s="1073" t="s">
        <v>1143</v>
      </c>
      <c r="C490" s="1072">
        <v>92.3</v>
      </c>
      <c r="D490" s="1071">
        <f t="shared" si="35"/>
        <v>27.920749999999998</v>
      </c>
      <c r="E490" s="1070">
        <v>4475</v>
      </c>
      <c r="F490" s="1069">
        <f t="shared" si="33"/>
        <v>14793.388429752067</v>
      </c>
      <c r="G490" s="1069">
        <f t="shared" si="34"/>
        <v>413042.5</v>
      </c>
      <c r="H490" s="1068" t="e">
        <f>C812</f>
        <v>#REF!</v>
      </c>
      <c r="I490" s="1040"/>
      <c r="J490" s="1040"/>
      <c r="K490" s="1023"/>
      <c r="L490" s="1023"/>
      <c r="M490" s="1023"/>
      <c r="N490" s="1023"/>
      <c r="O490" s="1023"/>
      <c r="P490" s="1023"/>
      <c r="Q490" s="1023"/>
      <c r="R490" s="1023"/>
      <c r="S490" s="1023"/>
      <c r="T490" s="934"/>
      <c r="U490" s="934"/>
      <c r="V490" s="934"/>
      <c r="W490" s="934"/>
      <c r="X490" s="934"/>
      <c r="Y490" s="934"/>
      <c r="Z490" s="934"/>
    </row>
    <row r="491" spans="1:26" ht="16.5" customHeight="1">
      <c r="A491" s="1073">
        <v>487</v>
      </c>
      <c r="B491" s="1073" t="s">
        <v>1144</v>
      </c>
      <c r="C491" s="1072">
        <v>90.8</v>
      </c>
      <c r="D491" s="1071">
        <f t="shared" si="35"/>
        <v>27.466999999999999</v>
      </c>
      <c r="E491" s="1070">
        <v>4475</v>
      </c>
      <c r="F491" s="1069">
        <f t="shared" si="33"/>
        <v>14793.388429752067</v>
      </c>
      <c r="G491" s="1069">
        <f t="shared" si="34"/>
        <v>406330</v>
      </c>
      <c r="H491" s="1068" t="e">
        <f>C827</f>
        <v>#REF!</v>
      </c>
      <c r="I491" s="1040"/>
      <c r="J491" s="1040"/>
      <c r="K491" s="1023"/>
      <c r="L491" s="1023"/>
      <c r="M491" s="1023"/>
      <c r="N491" s="1023"/>
      <c r="O491" s="1023"/>
      <c r="P491" s="1023"/>
      <c r="Q491" s="1023"/>
      <c r="R491" s="1023"/>
      <c r="S491" s="1023"/>
      <c r="T491" s="934"/>
      <c r="U491" s="934"/>
      <c r="V491" s="934"/>
      <c r="W491" s="934"/>
      <c r="X491" s="934"/>
      <c r="Y491" s="934"/>
      <c r="Z491" s="934"/>
    </row>
    <row r="492" spans="1:26" ht="16.5" customHeight="1">
      <c r="A492" s="1073">
        <v>488</v>
      </c>
      <c r="B492" s="1073" t="s">
        <v>1145</v>
      </c>
      <c r="C492" s="1072">
        <v>90.8</v>
      </c>
      <c r="D492" s="1071">
        <f t="shared" si="35"/>
        <v>27.466999999999999</v>
      </c>
      <c r="E492" s="1070">
        <v>4475</v>
      </c>
      <c r="F492" s="1069">
        <f t="shared" si="33"/>
        <v>14793.388429752067</v>
      </c>
      <c r="G492" s="1069">
        <f t="shared" si="34"/>
        <v>406330</v>
      </c>
      <c r="H492" s="1068" t="e">
        <f>C828</f>
        <v>#REF!</v>
      </c>
      <c r="I492" s="1040"/>
      <c r="J492" s="1040"/>
      <c r="K492" s="1023"/>
      <c r="L492" s="1023"/>
      <c r="M492" s="1023"/>
      <c r="N492" s="1023"/>
      <c r="O492" s="1023"/>
      <c r="P492" s="1023"/>
      <c r="Q492" s="1023"/>
      <c r="R492" s="1023"/>
      <c r="S492" s="1023"/>
      <c r="T492" s="934"/>
      <c r="U492" s="934"/>
      <c r="V492" s="934"/>
      <c r="W492" s="934"/>
      <c r="X492" s="934"/>
      <c r="Y492" s="934"/>
      <c r="Z492" s="934"/>
    </row>
    <row r="493" spans="1:26" ht="16.5" customHeight="1">
      <c r="A493" s="1073">
        <v>489</v>
      </c>
      <c r="B493" s="1073" t="s">
        <v>1146</v>
      </c>
      <c r="C493" s="1072">
        <v>92.1</v>
      </c>
      <c r="D493" s="1071">
        <f t="shared" si="35"/>
        <v>27.860249999999997</v>
      </c>
      <c r="E493" s="1070">
        <v>4475</v>
      </c>
      <c r="F493" s="1069">
        <f t="shared" si="33"/>
        <v>14793.388429752067</v>
      </c>
      <c r="G493" s="1069">
        <f t="shared" si="34"/>
        <v>412147.5</v>
      </c>
      <c r="H493" s="1068">
        <f>C829</f>
        <v>18</v>
      </c>
      <c r="I493" s="1040"/>
      <c r="J493" s="1040"/>
      <c r="K493" s="1023"/>
      <c r="L493" s="1023"/>
      <c r="M493" s="1023"/>
      <c r="N493" s="1023"/>
      <c r="O493" s="1023"/>
      <c r="P493" s="1023"/>
      <c r="Q493" s="1023"/>
      <c r="R493" s="1023"/>
      <c r="S493" s="1023"/>
      <c r="T493" s="934"/>
      <c r="U493" s="934"/>
      <c r="V493" s="934"/>
      <c r="W493" s="934"/>
      <c r="X493" s="934"/>
      <c r="Y493" s="934"/>
      <c r="Z493" s="934"/>
    </row>
    <row r="494" spans="1:26" ht="16.5" customHeight="1">
      <c r="A494" s="1073">
        <v>490</v>
      </c>
      <c r="B494" s="1073" t="s">
        <v>1147</v>
      </c>
      <c r="C494" s="1072">
        <v>90.5</v>
      </c>
      <c r="D494" s="1071">
        <f t="shared" si="35"/>
        <v>27.376249999999999</v>
      </c>
      <c r="E494" s="1070">
        <v>4475</v>
      </c>
      <c r="F494" s="1069">
        <f t="shared" si="33"/>
        <v>14793.388429752067</v>
      </c>
      <c r="G494" s="1069">
        <f t="shared" si="34"/>
        <v>404987.5</v>
      </c>
      <c r="H494" s="1068" t="e">
        <f>C830</f>
        <v>#REF!</v>
      </c>
      <c r="I494" s="1040"/>
      <c r="J494" s="1040"/>
      <c r="K494" s="1023"/>
      <c r="L494" s="1023"/>
      <c r="M494" s="1023"/>
      <c r="N494" s="1023"/>
      <c r="O494" s="1023"/>
      <c r="P494" s="1023"/>
      <c r="Q494" s="1023"/>
      <c r="R494" s="1023"/>
      <c r="S494" s="1023"/>
      <c r="T494" s="934"/>
      <c r="U494" s="934"/>
      <c r="V494" s="934"/>
      <c r="W494" s="934"/>
      <c r="X494" s="934"/>
      <c r="Y494" s="934"/>
      <c r="Z494" s="934"/>
    </row>
    <row r="495" spans="1:26" ht="16.5" customHeight="1">
      <c r="A495" s="1073">
        <v>491</v>
      </c>
      <c r="B495" s="1073" t="s">
        <v>1148</v>
      </c>
      <c r="C495" s="1072">
        <v>92</v>
      </c>
      <c r="D495" s="1071">
        <f t="shared" si="35"/>
        <v>27.83</v>
      </c>
      <c r="E495" s="1070">
        <v>4475</v>
      </c>
      <c r="F495" s="1069">
        <f t="shared" si="33"/>
        <v>14793.388429752067</v>
      </c>
      <c r="G495" s="1069">
        <f t="shared" si="34"/>
        <v>411700</v>
      </c>
      <c r="H495" s="1068">
        <f>C817</f>
        <v>0</v>
      </c>
      <c r="I495" s="1040"/>
      <c r="J495" s="1040"/>
      <c r="K495" s="1023"/>
      <c r="L495" s="1023"/>
      <c r="M495" s="1023"/>
      <c r="N495" s="1023"/>
      <c r="O495" s="1023"/>
      <c r="P495" s="1023"/>
      <c r="Q495" s="1023"/>
      <c r="R495" s="1023"/>
      <c r="S495" s="1023"/>
      <c r="T495" s="934"/>
      <c r="U495" s="934"/>
      <c r="V495" s="934"/>
      <c r="W495" s="934"/>
      <c r="X495" s="934"/>
      <c r="Y495" s="934"/>
      <c r="Z495" s="934"/>
    </row>
    <row r="496" spans="1:26" ht="16.5" customHeight="1">
      <c r="A496" s="1073">
        <v>492</v>
      </c>
      <c r="B496" s="1073" t="s">
        <v>1149</v>
      </c>
      <c r="C496" s="1072">
        <v>89.7</v>
      </c>
      <c r="D496" s="1071">
        <f t="shared" si="35"/>
        <v>27.134250000000002</v>
      </c>
      <c r="E496" s="1070">
        <v>4475</v>
      </c>
      <c r="F496" s="1069">
        <f t="shared" si="33"/>
        <v>14793.388429752067</v>
      </c>
      <c r="G496" s="1069">
        <f t="shared" si="34"/>
        <v>401407.5</v>
      </c>
      <c r="H496" s="1068">
        <f>C832</f>
        <v>0</v>
      </c>
      <c r="I496" s="1040"/>
      <c r="J496" s="1040"/>
      <c r="K496" s="1023"/>
      <c r="L496" s="1023"/>
      <c r="M496" s="1023"/>
      <c r="N496" s="1023"/>
      <c r="O496" s="1023"/>
      <c r="P496" s="1023"/>
      <c r="Q496" s="1023"/>
      <c r="R496" s="1023"/>
      <c r="S496" s="1023"/>
      <c r="T496" s="934"/>
      <c r="U496" s="934"/>
      <c r="V496" s="934"/>
      <c r="W496" s="934"/>
      <c r="X496" s="934"/>
      <c r="Y496" s="934"/>
      <c r="Z496" s="934"/>
    </row>
    <row r="497" spans="1:26" ht="16.5" customHeight="1">
      <c r="A497" s="1073">
        <v>493</v>
      </c>
      <c r="B497" s="1073" t="s">
        <v>1150</v>
      </c>
      <c r="C497" s="1072">
        <v>92</v>
      </c>
      <c r="D497" s="1071">
        <f t="shared" si="35"/>
        <v>27.83</v>
      </c>
      <c r="E497" s="1070">
        <v>7150</v>
      </c>
      <c r="F497" s="1069">
        <f t="shared" si="33"/>
        <v>23636.363636363636</v>
      </c>
      <c r="G497" s="1069">
        <f t="shared" si="34"/>
        <v>657800</v>
      </c>
      <c r="H497" s="1068" t="e">
        <f>C833</f>
        <v>#REF!</v>
      </c>
      <c r="I497" s="1040"/>
      <c r="J497" s="1040"/>
      <c r="K497" s="1023"/>
      <c r="L497" s="1023"/>
      <c r="M497" s="1023"/>
      <c r="N497" s="1023"/>
      <c r="O497" s="1023"/>
      <c r="P497" s="1023"/>
      <c r="Q497" s="1023"/>
      <c r="R497" s="1023"/>
      <c r="S497" s="1023"/>
      <c r="T497" s="934"/>
      <c r="U497" s="934"/>
      <c r="V497" s="934"/>
      <c r="W497" s="934"/>
      <c r="X497" s="934"/>
      <c r="Y497" s="934"/>
      <c r="Z497" s="934"/>
    </row>
    <row r="498" spans="1:26" ht="16.5" customHeight="1">
      <c r="A498" s="1073">
        <v>494</v>
      </c>
      <c r="B498" s="1073" t="s">
        <v>1151</v>
      </c>
      <c r="C498" s="1072">
        <v>497.4</v>
      </c>
      <c r="D498" s="1071">
        <f t="shared" si="35"/>
        <v>150.46349999999998</v>
      </c>
      <c r="E498" s="1070">
        <v>1571.25</v>
      </c>
      <c r="F498" s="1069">
        <f t="shared" si="33"/>
        <v>5194.2148760330583</v>
      </c>
      <c r="G498" s="1069">
        <f t="shared" si="34"/>
        <v>781539.75</v>
      </c>
      <c r="H498" s="1068">
        <f>C834</f>
        <v>210</v>
      </c>
      <c r="I498" s="1040"/>
      <c r="J498" s="1040"/>
      <c r="K498" s="1023"/>
      <c r="L498" s="1023"/>
      <c r="M498" s="1023"/>
      <c r="N498" s="1023"/>
      <c r="O498" s="1023"/>
      <c r="P498" s="1023"/>
      <c r="Q498" s="1023"/>
      <c r="R498" s="1023"/>
      <c r="S498" s="1023"/>
      <c r="T498" s="934"/>
      <c r="U498" s="934"/>
      <c r="V498" s="934"/>
      <c r="W498" s="934"/>
      <c r="X498" s="934"/>
      <c r="Y498" s="934"/>
      <c r="Z498" s="934"/>
    </row>
    <row r="499" spans="1:26" ht="16.5" customHeight="1">
      <c r="A499" s="1073">
        <v>495</v>
      </c>
      <c r="B499" s="1073" t="s">
        <v>1152</v>
      </c>
      <c r="C499" s="1072">
        <v>133.30000000000001</v>
      </c>
      <c r="D499" s="1071">
        <f t="shared" si="35"/>
        <v>40.323250000000002</v>
      </c>
      <c r="E499" s="1070">
        <f>(3786000*1.25)/1000</f>
        <v>4732.5</v>
      </c>
      <c r="F499" s="1069">
        <f t="shared" si="33"/>
        <v>15644.628099173555</v>
      </c>
      <c r="G499" s="1069">
        <f t="shared" si="34"/>
        <v>630842.25</v>
      </c>
      <c r="H499" s="1068" t="e">
        <f>C835</f>
        <v>#REF!</v>
      </c>
      <c r="I499" s="1040"/>
      <c r="J499" s="1040"/>
      <c r="K499" s="1023"/>
      <c r="L499" s="1023"/>
      <c r="M499" s="1023"/>
      <c r="N499" s="1023"/>
      <c r="O499" s="1023"/>
      <c r="P499" s="1023"/>
      <c r="Q499" s="1023"/>
      <c r="R499" s="1023"/>
      <c r="S499" s="1023"/>
      <c r="T499" s="934"/>
      <c r="U499" s="934"/>
      <c r="V499" s="934"/>
      <c r="W499" s="934"/>
      <c r="X499" s="934"/>
      <c r="Y499" s="934"/>
      <c r="Z499" s="934"/>
    </row>
    <row r="500" spans="1:26" ht="16.5" customHeight="1">
      <c r="A500" s="1073">
        <v>496</v>
      </c>
      <c r="B500" s="1073" t="s">
        <v>1153</v>
      </c>
      <c r="C500" s="1072">
        <v>91.6</v>
      </c>
      <c r="D500" s="1071">
        <f t="shared" si="35"/>
        <v>27.708999999999996</v>
      </c>
      <c r="E500" s="1070">
        <f t="shared" ref="E500:E511" si="36">(3720000*1.25)/1000</f>
        <v>4650</v>
      </c>
      <c r="F500" s="1069">
        <f t="shared" si="33"/>
        <v>15371.900826446281</v>
      </c>
      <c r="G500" s="1069">
        <f t="shared" si="34"/>
        <v>425940</v>
      </c>
      <c r="H500" s="1068" t="e">
        <f>C822</f>
        <v>#REF!</v>
      </c>
      <c r="I500" s="1040"/>
      <c r="J500" s="1040"/>
      <c r="K500" s="1023"/>
      <c r="L500" s="1023"/>
      <c r="M500" s="1023"/>
      <c r="N500" s="1023"/>
      <c r="O500" s="1023"/>
      <c r="P500" s="1023"/>
      <c r="Q500" s="1023"/>
      <c r="R500" s="1023"/>
      <c r="S500" s="1023"/>
      <c r="T500" s="934"/>
      <c r="U500" s="934"/>
      <c r="V500" s="934"/>
      <c r="W500" s="934"/>
      <c r="X500" s="934"/>
      <c r="Y500" s="934"/>
      <c r="Z500" s="934"/>
    </row>
    <row r="501" spans="1:26" ht="16.5" customHeight="1">
      <c r="A501" s="1073">
        <v>497</v>
      </c>
      <c r="B501" s="1073" t="s">
        <v>1154</v>
      </c>
      <c r="C501" s="1072">
        <v>89.7</v>
      </c>
      <c r="D501" s="1071">
        <f t="shared" si="35"/>
        <v>27.134250000000002</v>
      </c>
      <c r="E501" s="1070">
        <f t="shared" si="36"/>
        <v>4650</v>
      </c>
      <c r="F501" s="1069">
        <f t="shared" si="33"/>
        <v>15371.900826446281</v>
      </c>
      <c r="G501" s="1069">
        <f t="shared" si="34"/>
        <v>417105</v>
      </c>
      <c r="H501" s="1068" t="e">
        <f>C837</f>
        <v>#REF!</v>
      </c>
      <c r="I501" s="1040"/>
      <c r="J501" s="1040"/>
      <c r="K501" s="1023"/>
      <c r="L501" s="1023"/>
      <c r="M501" s="1023"/>
      <c r="N501" s="1023"/>
      <c r="O501" s="1023"/>
      <c r="P501" s="1023"/>
      <c r="Q501" s="1023"/>
      <c r="R501" s="1023"/>
      <c r="S501" s="1023"/>
      <c r="T501" s="934"/>
      <c r="U501" s="934"/>
      <c r="V501" s="934"/>
      <c r="W501" s="934"/>
      <c r="X501" s="934"/>
      <c r="Y501" s="934"/>
      <c r="Z501" s="934"/>
    </row>
    <row r="502" spans="1:26" ht="16.5" customHeight="1">
      <c r="A502" s="1073">
        <v>498</v>
      </c>
      <c r="B502" s="1073" t="s">
        <v>1155</v>
      </c>
      <c r="C502" s="1072">
        <v>89.4</v>
      </c>
      <c r="D502" s="1071">
        <f t="shared" si="35"/>
        <v>27.043500000000002</v>
      </c>
      <c r="E502" s="1070">
        <f t="shared" si="36"/>
        <v>4650</v>
      </c>
      <c r="F502" s="1069">
        <f t="shared" si="33"/>
        <v>15371.900826446281</v>
      </c>
      <c r="G502" s="1069">
        <f t="shared" si="34"/>
        <v>415710</v>
      </c>
      <c r="H502" s="1068" t="e">
        <f>C838</f>
        <v>#REF!</v>
      </c>
      <c r="I502" s="1040"/>
      <c r="J502" s="1040"/>
      <c r="K502" s="1023"/>
      <c r="L502" s="1023"/>
      <c r="M502" s="1023"/>
      <c r="N502" s="1023"/>
      <c r="O502" s="1023"/>
      <c r="P502" s="1023"/>
      <c r="Q502" s="1023"/>
      <c r="R502" s="1023"/>
      <c r="S502" s="1023"/>
      <c r="T502" s="934"/>
      <c r="U502" s="934"/>
      <c r="V502" s="934"/>
      <c r="W502" s="934"/>
      <c r="X502" s="934"/>
      <c r="Y502" s="934"/>
      <c r="Z502" s="934"/>
    </row>
    <row r="503" spans="1:26" ht="16.5" customHeight="1">
      <c r="A503" s="1073">
        <v>499</v>
      </c>
      <c r="B503" s="1073" t="s">
        <v>1156</v>
      </c>
      <c r="C503" s="1072">
        <v>89.1</v>
      </c>
      <c r="D503" s="1071">
        <f t="shared" si="35"/>
        <v>26.952749999999998</v>
      </c>
      <c r="E503" s="1070">
        <f t="shared" si="36"/>
        <v>4650</v>
      </c>
      <c r="F503" s="1069">
        <f t="shared" si="33"/>
        <v>15371.900826446281</v>
      </c>
      <c r="G503" s="1069">
        <f t="shared" si="34"/>
        <v>414315</v>
      </c>
      <c r="H503" s="1068" t="e">
        <f>C839</f>
        <v>#REF!</v>
      </c>
      <c r="I503" s="1040"/>
      <c r="J503" s="1040"/>
      <c r="K503" s="1023"/>
      <c r="L503" s="1023"/>
      <c r="M503" s="1023"/>
      <c r="N503" s="1023"/>
      <c r="O503" s="1023"/>
      <c r="P503" s="1023"/>
      <c r="Q503" s="1023"/>
      <c r="R503" s="1023"/>
      <c r="S503" s="1023"/>
      <c r="T503" s="934"/>
      <c r="U503" s="934"/>
      <c r="V503" s="934"/>
      <c r="W503" s="934"/>
      <c r="X503" s="934"/>
      <c r="Y503" s="934"/>
      <c r="Z503" s="934"/>
    </row>
    <row r="504" spans="1:26" ht="16.5" customHeight="1">
      <c r="A504" s="1073">
        <v>500</v>
      </c>
      <c r="B504" s="1073" t="s">
        <v>1157</v>
      </c>
      <c r="C504" s="1072">
        <v>89.6</v>
      </c>
      <c r="D504" s="1071">
        <f t="shared" si="35"/>
        <v>27.103999999999999</v>
      </c>
      <c r="E504" s="1070">
        <f t="shared" si="36"/>
        <v>4650</v>
      </c>
      <c r="F504" s="1069">
        <f t="shared" ref="F504:F567" si="37">E504/0.3025</f>
        <v>15371.900826446281</v>
      </c>
      <c r="G504" s="1069">
        <f t="shared" ref="G504:G567" si="38">C504*E504</f>
        <v>416640</v>
      </c>
      <c r="H504" s="1068" t="e">
        <f>C840</f>
        <v>#REF!</v>
      </c>
      <c r="I504" s="1040"/>
      <c r="J504" s="1040"/>
      <c r="K504" s="1023"/>
      <c r="L504" s="1023"/>
      <c r="M504" s="1023"/>
      <c r="N504" s="1023"/>
      <c r="O504" s="1023"/>
      <c r="P504" s="1023"/>
      <c r="Q504" s="1023"/>
      <c r="R504" s="1023"/>
      <c r="S504" s="1023"/>
      <c r="T504" s="934"/>
      <c r="U504" s="934"/>
      <c r="V504" s="934"/>
      <c r="W504" s="934"/>
      <c r="X504" s="934"/>
      <c r="Y504" s="934"/>
      <c r="Z504" s="934"/>
    </row>
    <row r="505" spans="1:26" ht="16.5" customHeight="1">
      <c r="A505" s="1073">
        <v>501</v>
      </c>
      <c r="B505" s="1073" t="s">
        <v>1158</v>
      </c>
      <c r="C505" s="1072">
        <v>90.5</v>
      </c>
      <c r="D505" s="1071">
        <f t="shared" si="35"/>
        <v>27.376249999999999</v>
      </c>
      <c r="E505" s="1070">
        <f t="shared" si="36"/>
        <v>4650</v>
      </c>
      <c r="F505" s="1069">
        <f t="shared" si="37"/>
        <v>15371.900826446281</v>
      </c>
      <c r="G505" s="1069">
        <f t="shared" si="38"/>
        <v>420825</v>
      </c>
      <c r="H505" s="1068" t="e">
        <f>C827</f>
        <v>#REF!</v>
      </c>
      <c r="I505" s="1040"/>
      <c r="J505" s="1040"/>
      <c r="K505" s="1023"/>
      <c r="L505" s="1023"/>
      <c r="M505" s="1023"/>
      <c r="N505" s="1023"/>
      <c r="O505" s="1023"/>
      <c r="P505" s="1023"/>
      <c r="Q505" s="1023"/>
      <c r="R505" s="1023"/>
      <c r="S505" s="1023"/>
      <c r="T505" s="934"/>
      <c r="U505" s="934"/>
      <c r="V505" s="934"/>
      <c r="W505" s="934"/>
      <c r="X505" s="934"/>
      <c r="Y505" s="934"/>
      <c r="Z505" s="934"/>
    </row>
    <row r="506" spans="1:26" ht="16.5" customHeight="1">
      <c r="A506" s="1073">
        <v>502</v>
      </c>
      <c r="B506" s="1073" t="s">
        <v>1159</v>
      </c>
      <c r="C506" s="1072">
        <v>89.7</v>
      </c>
      <c r="D506" s="1071">
        <f t="shared" si="35"/>
        <v>27.134250000000002</v>
      </c>
      <c r="E506" s="1070">
        <f t="shared" si="36"/>
        <v>4650</v>
      </c>
      <c r="F506" s="1069">
        <f t="shared" si="37"/>
        <v>15371.900826446281</v>
      </c>
      <c r="G506" s="1069">
        <f t="shared" si="38"/>
        <v>417105</v>
      </c>
      <c r="H506" s="1068" t="e">
        <f>C842</f>
        <v>#REF!</v>
      </c>
      <c r="I506" s="1040"/>
      <c r="J506" s="1040"/>
      <c r="K506" s="1023"/>
      <c r="L506" s="1023"/>
      <c r="M506" s="1023"/>
      <c r="N506" s="1023"/>
      <c r="O506" s="1023"/>
      <c r="P506" s="1023"/>
      <c r="Q506" s="1023"/>
      <c r="R506" s="1023"/>
      <c r="S506" s="1023"/>
      <c r="T506" s="934"/>
      <c r="U506" s="934"/>
      <c r="V506" s="934"/>
      <c r="W506" s="934"/>
      <c r="X506" s="934"/>
      <c r="Y506" s="934"/>
      <c r="Z506" s="934"/>
    </row>
    <row r="507" spans="1:26" ht="16.5" customHeight="1">
      <c r="A507" s="1073">
        <v>503</v>
      </c>
      <c r="B507" s="1073" t="s">
        <v>1160</v>
      </c>
      <c r="C507" s="1072">
        <v>88.7</v>
      </c>
      <c r="D507" s="1071">
        <f t="shared" si="35"/>
        <v>26.83175</v>
      </c>
      <c r="E507" s="1070">
        <f t="shared" si="36"/>
        <v>4650</v>
      </c>
      <c r="F507" s="1069">
        <f t="shared" si="37"/>
        <v>15371.900826446281</v>
      </c>
      <c r="G507" s="1069">
        <f t="shared" si="38"/>
        <v>412455</v>
      </c>
      <c r="H507" s="1068" t="e">
        <f>C843</f>
        <v>#REF!</v>
      </c>
      <c r="I507" s="1040"/>
      <c r="J507" s="1040"/>
      <c r="K507" s="1023"/>
      <c r="L507" s="1023"/>
      <c r="M507" s="1023"/>
      <c r="N507" s="1023"/>
      <c r="O507" s="1023"/>
      <c r="P507" s="1023"/>
      <c r="Q507" s="1023"/>
      <c r="R507" s="1023"/>
      <c r="S507" s="1023"/>
      <c r="T507" s="934"/>
      <c r="U507" s="934"/>
      <c r="V507" s="934"/>
      <c r="W507" s="934"/>
      <c r="X507" s="934"/>
      <c r="Y507" s="934"/>
      <c r="Z507" s="934"/>
    </row>
    <row r="508" spans="1:26" ht="16.5" customHeight="1">
      <c r="A508" s="1073">
        <v>504</v>
      </c>
      <c r="B508" s="1073" t="s">
        <v>1161</v>
      </c>
      <c r="C508" s="1072">
        <v>90.6</v>
      </c>
      <c r="D508" s="1071">
        <f t="shared" si="35"/>
        <v>27.406499999999998</v>
      </c>
      <c r="E508" s="1070">
        <f t="shared" si="36"/>
        <v>4650</v>
      </c>
      <c r="F508" s="1069">
        <f t="shared" si="37"/>
        <v>15371.900826446281</v>
      </c>
      <c r="G508" s="1069">
        <f t="shared" si="38"/>
        <v>421290</v>
      </c>
      <c r="H508" s="1068">
        <f>C844</f>
        <v>18</v>
      </c>
      <c r="I508" s="1040"/>
      <c r="J508" s="1040"/>
      <c r="K508" s="1023"/>
      <c r="L508" s="1023"/>
      <c r="M508" s="1023"/>
      <c r="N508" s="1023"/>
      <c r="O508" s="1023"/>
      <c r="P508" s="1023"/>
      <c r="Q508" s="1023"/>
      <c r="R508" s="1023"/>
      <c r="S508" s="1023"/>
      <c r="T508" s="934"/>
      <c r="U508" s="934"/>
      <c r="V508" s="934"/>
      <c r="W508" s="934"/>
      <c r="X508" s="934"/>
      <c r="Y508" s="934"/>
      <c r="Z508" s="934"/>
    </row>
    <row r="509" spans="1:26" ht="16.5" customHeight="1">
      <c r="A509" s="1073">
        <v>505</v>
      </c>
      <c r="B509" s="1073" t="s">
        <v>1162</v>
      </c>
      <c r="C509" s="1072">
        <v>88.5</v>
      </c>
      <c r="D509" s="1071">
        <f t="shared" si="35"/>
        <v>26.771249999999998</v>
      </c>
      <c r="E509" s="1070">
        <f t="shared" si="36"/>
        <v>4650</v>
      </c>
      <c r="F509" s="1069">
        <f t="shared" si="37"/>
        <v>15371.900826446281</v>
      </c>
      <c r="G509" s="1069">
        <f t="shared" si="38"/>
        <v>411525</v>
      </c>
      <c r="H509" s="1068" t="e">
        <f>C845</f>
        <v>#REF!</v>
      </c>
      <c r="I509" s="1040"/>
      <c r="J509" s="1040"/>
      <c r="K509" s="1023"/>
      <c r="L509" s="1023"/>
      <c r="M509" s="1023"/>
      <c r="N509" s="1023"/>
      <c r="O509" s="1023"/>
      <c r="P509" s="1023"/>
      <c r="Q509" s="1023"/>
      <c r="R509" s="1023"/>
      <c r="S509" s="1023"/>
      <c r="T509" s="934"/>
      <c r="U509" s="934"/>
      <c r="V509" s="934"/>
      <c r="W509" s="934"/>
      <c r="X509" s="934"/>
      <c r="Y509" s="934"/>
      <c r="Z509" s="934"/>
    </row>
    <row r="510" spans="1:26" ht="16.5" customHeight="1">
      <c r="A510" s="1073">
        <v>506</v>
      </c>
      <c r="B510" s="1073" t="s">
        <v>1163</v>
      </c>
      <c r="C510" s="1072">
        <v>90.6</v>
      </c>
      <c r="D510" s="1071">
        <f t="shared" si="35"/>
        <v>27.406499999999998</v>
      </c>
      <c r="E510" s="1070">
        <f t="shared" si="36"/>
        <v>4650</v>
      </c>
      <c r="F510" s="1069">
        <f t="shared" si="37"/>
        <v>15371.900826446281</v>
      </c>
      <c r="G510" s="1069">
        <f t="shared" si="38"/>
        <v>421290</v>
      </c>
      <c r="H510" s="1068">
        <f>C832</f>
        <v>0</v>
      </c>
      <c r="I510" s="1040"/>
      <c r="J510" s="1040"/>
      <c r="K510" s="1023"/>
      <c r="L510" s="1023"/>
      <c r="M510" s="1023"/>
      <c r="N510" s="1023"/>
      <c r="O510" s="1023"/>
      <c r="P510" s="1023"/>
      <c r="Q510" s="1023"/>
      <c r="R510" s="1023"/>
      <c r="S510" s="1023"/>
      <c r="T510" s="934"/>
      <c r="U510" s="934"/>
      <c r="V510" s="934"/>
      <c r="W510" s="934"/>
      <c r="X510" s="934"/>
      <c r="Y510" s="934"/>
      <c r="Z510" s="934"/>
    </row>
    <row r="511" spans="1:26" ht="16.5" customHeight="1">
      <c r="A511" s="1073">
        <v>507</v>
      </c>
      <c r="B511" s="1073" t="s">
        <v>1164</v>
      </c>
      <c r="C511" s="1072">
        <v>86.8</v>
      </c>
      <c r="D511" s="1071">
        <f t="shared" si="35"/>
        <v>26.256999999999998</v>
      </c>
      <c r="E511" s="1070">
        <f t="shared" si="36"/>
        <v>4650</v>
      </c>
      <c r="F511" s="1069">
        <f t="shared" si="37"/>
        <v>15371.900826446281</v>
      </c>
      <c r="G511" s="1069">
        <f t="shared" si="38"/>
        <v>403620</v>
      </c>
      <c r="H511" s="1068">
        <f>C847</f>
        <v>0</v>
      </c>
      <c r="I511" s="1040"/>
      <c r="J511" s="1040"/>
      <c r="K511" s="1023"/>
      <c r="L511" s="1023"/>
      <c r="M511" s="1023"/>
      <c r="N511" s="1023"/>
      <c r="O511" s="1023"/>
      <c r="P511" s="1023"/>
      <c r="Q511" s="1023"/>
      <c r="R511" s="1023"/>
      <c r="S511" s="1023"/>
      <c r="T511" s="934"/>
      <c r="U511" s="934"/>
      <c r="V511" s="934"/>
      <c r="W511" s="934"/>
      <c r="X511" s="934"/>
      <c r="Y511" s="934"/>
      <c r="Z511" s="934"/>
    </row>
    <row r="512" spans="1:26" ht="16.5" customHeight="1">
      <c r="A512" s="1073">
        <v>508</v>
      </c>
      <c r="B512" s="1073" t="s">
        <v>1165</v>
      </c>
      <c r="C512" s="1072">
        <v>87.8</v>
      </c>
      <c r="D512" s="1071">
        <f t="shared" si="35"/>
        <v>26.5595</v>
      </c>
      <c r="E512" s="1070">
        <f>(5720000*1.25)/1000</f>
        <v>7150</v>
      </c>
      <c r="F512" s="1069">
        <f t="shared" si="37"/>
        <v>23636.363636363636</v>
      </c>
      <c r="G512" s="1069">
        <f t="shared" si="38"/>
        <v>627770</v>
      </c>
      <c r="H512" s="1068" t="e">
        <f>C848</f>
        <v>#REF!</v>
      </c>
      <c r="I512" s="1040"/>
      <c r="J512" s="1040"/>
      <c r="K512" s="1023"/>
      <c r="L512" s="1023"/>
      <c r="M512" s="1023"/>
      <c r="N512" s="1023"/>
      <c r="O512" s="1023"/>
      <c r="P512" s="1023"/>
      <c r="Q512" s="1023"/>
      <c r="R512" s="1023"/>
      <c r="S512" s="1023"/>
      <c r="T512" s="934"/>
      <c r="U512" s="934"/>
      <c r="V512" s="934"/>
      <c r="W512" s="934"/>
      <c r="X512" s="934"/>
      <c r="Y512" s="934"/>
      <c r="Z512" s="934"/>
    </row>
    <row r="513" spans="1:26" ht="16.5" customHeight="1">
      <c r="A513" s="1073">
        <v>509</v>
      </c>
      <c r="B513" s="1073" t="s">
        <v>1166</v>
      </c>
      <c r="C513" s="1072">
        <v>176.5</v>
      </c>
      <c r="D513" s="1071">
        <f t="shared" si="35"/>
        <v>53.391249999999999</v>
      </c>
      <c r="E513" s="1070">
        <f>(5376000*1.25)/1000</f>
        <v>6720</v>
      </c>
      <c r="F513" s="1069">
        <f t="shared" si="37"/>
        <v>22214.876033057852</v>
      </c>
      <c r="G513" s="1069">
        <f t="shared" si="38"/>
        <v>1186080</v>
      </c>
      <c r="H513" s="1068">
        <f>C849</f>
        <v>210</v>
      </c>
      <c r="I513" s="1040"/>
      <c r="J513" s="1040"/>
      <c r="K513" s="1023"/>
      <c r="L513" s="1023"/>
      <c r="M513" s="1023"/>
      <c r="N513" s="1023"/>
      <c r="O513" s="1023"/>
      <c r="P513" s="1023"/>
      <c r="Q513" s="1023"/>
      <c r="R513" s="1023"/>
      <c r="S513" s="1023"/>
      <c r="T513" s="934"/>
      <c r="U513" s="934"/>
      <c r="V513" s="934"/>
      <c r="W513" s="934"/>
      <c r="X513" s="934"/>
      <c r="Y513" s="934"/>
      <c r="Z513" s="934"/>
    </row>
    <row r="514" spans="1:26" ht="16.5" customHeight="1">
      <c r="A514" s="1073">
        <v>510</v>
      </c>
      <c r="B514" s="1073" t="s">
        <v>1167</v>
      </c>
      <c r="C514" s="1072">
        <v>89.3</v>
      </c>
      <c r="D514" s="1071">
        <f t="shared" si="35"/>
        <v>27.013249999999999</v>
      </c>
      <c r="E514" s="1070">
        <f t="shared" ref="E514:E525" si="39">(3640000*1.25)/1000</f>
        <v>4550</v>
      </c>
      <c r="F514" s="1069">
        <f t="shared" si="37"/>
        <v>15041.322314049587</v>
      </c>
      <c r="G514" s="1069">
        <f t="shared" si="38"/>
        <v>406315</v>
      </c>
      <c r="H514" s="1068" t="e">
        <f>C850</f>
        <v>#REF!</v>
      </c>
      <c r="I514" s="1040"/>
      <c r="J514" s="1040"/>
      <c r="K514" s="1023"/>
      <c r="L514" s="1023"/>
      <c r="M514" s="1023"/>
      <c r="N514" s="1023"/>
      <c r="O514" s="1023"/>
      <c r="P514" s="1023"/>
      <c r="Q514" s="1023"/>
      <c r="R514" s="1023"/>
      <c r="S514" s="1023"/>
      <c r="T514" s="934"/>
      <c r="U514" s="934"/>
      <c r="V514" s="934"/>
      <c r="W514" s="934"/>
      <c r="X514" s="934"/>
      <c r="Y514" s="934"/>
      <c r="Z514" s="934"/>
    </row>
    <row r="515" spans="1:26" ht="16.5" customHeight="1">
      <c r="A515" s="1073">
        <v>511</v>
      </c>
      <c r="B515" s="1073" t="s">
        <v>1168</v>
      </c>
      <c r="C515" s="1072">
        <v>87.1</v>
      </c>
      <c r="D515" s="1071">
        <f t="shared" si="35"/>
        <v>26.347749999999998</v>
      </c>
      <c r="E515" s="1070">
        <f t="shared" si="39"/>
        <v>4550</v>
      </c>
      <c r="F515" s="1069">
        <f t="shared" si="37"/>
        <v>15041.322314049587</v>
      </c>
      <c r="G515" s="1069">
        <f t="shared" si="38"/>
        <v>396305</v>
      </c>
      <c r="H515" s="1068" t="e">
        <f>C837</f>
        <v>#REF!</v>
      </c>
      <c r="I515" s="1040"/>
      <c r="J515" s="1040"/>
      <c r="K515" s="1023"/>
      <c r="L515" s="1023"/>
      <c r="M515" s="1023"/>
      <c r="N515" s="1023"/>
      <c r="O515" s="1023"/>
      <c r="P515" s="1023"/>
      <c r="Q515" s="1023"/>
      <c r="R515" s="1023"/>
      <c r="S515" s="1023"/>
      <c r="T515" s="934"/>
      <c r="U515" s="934"/>
      <c r="V515" s="934"/>
      <c r="W515" s="934"/>
      <c r="X515" s="934"/>
      <c r="Y515" s="934"/>
      <c r="Z515" s="934"/>
    </row>
    <row r="516" spans="1:26" ht="16.5" customHeight="1">
      <c r="A516" s="1073">
        <v>512</v>
      </c>
      <c r="B516" s="1073" t="s">
        <v>1169</v>
      </c>
      <c r="C516" s="1072">
        <v>89</v>
      </c>
      <c r="D516" s="1071">
        <f t="shared" si="35"/>
        <v>26.922499999999999</v>
      </c>
      <c r="E516" s="1070">
        <f t="shared" si="39"/>
        <v>4550</v>
      </c>
      <c r="F516" s="1069">
        <f t="shared" si="37"/>
        <v>15041.322314049587</v>
      </c>
      <c r="G516" s="1069">
        <f t="shared" si="38"/>
        <v>404950</v>
      </c>
      <c r="H516" s="1068" t="e">
        <f>C852</f>
        <v>#REF!</v>
      </c>
      <c r="I516" s="1040"/>
      <c r="J516" s="1040"/>
      <c r="K516" s="1023"/>
      <c r="L516" s="1023"/>
      <c r="M516" s="1023"/>
      <c r="N516" s="1023"/>
      <c r="O516" s="1023"/>
      <c r="P516" s="1023"/>
      <c r="Q516" s="1023"/>
      <c r="R516" s="1023"/>
      <c r="S516" s="1023"/>
      <c r="T516" s="934"/>
      <c r="U516" s="934"/>
      <c r="V516" s="934"/>
      <c r="W516" s="934"/>
      <c r="X516" s="934"/>
      <c r="Y516" s="934"/>
      <c r="Z516" s="934"/>
    </row>
    <row r="517" spans="1:26" ht="16.5" customHeight="1">
      <c r="A517" s="1073">
        <v>513</v>
      </c>
      <c r="B517" s="1073" t="s">
        <v>1170</v>
      </c>
      <c r="C517" s="1072">
        <v>87.9</v>
      </c>
      <c r="D517" s="1071">
        <f t="shared" ref="D517:D580" si="40">C517*0.3025</f>
        <v>26.589750000000002</v>
      </c>
      <c r="E517" s="1070">
        <f t="shared" si="39"/>
        <v>4550</v>
      </c>
      <c r="F517" s="1069">
        <f t="shared" si="37"/>
        <v>15041.322314049587</v>
      </c>
      <c r="G517" s="1069">
        <f t="shared" si="38"/>
        <v>399945</v>
      </c>
      <c r="H517" s="1068" t="e">
        <f>C853</f>
        <v>#REF!</v>
      </c>
      <c r="I517" s="1040"/>
      <c r="J517" s="1040"/>
      <c r="K517" s="1023"/>
      <c r="L517" s="1023"/>
      <c r="M517" s="1023"/>
      <c r="N517" s="1023"/>
      <c r="O517" s="1023"/>
      <c r="P517" s="1023"/>
      <c r="Q517" s="1023"/>
      <c r="R517" s="1023"/>
      <c r="S517" s="1023"/>
      <c r="T517" s="934"/>
      <c r="U517" s="934"/>
      <c r="V517" s="934"/>
      <c r="W517" s="934"/>
      <c r="X517" s="934"/>
      <c r="Y517" s="934"/>
      <c r="Z517" s="934"/>
    </row>
    <row r="518" spans="1:26" ht="16.5" customHeight="1">
      <c r="A518" s="1073">
        <v>514</v>
      </c>
      <c r="B518" s="1073" t="s">
        <v>1171</v>
      </c>
      <c r="C518" s="1072">
        <v>88.3</v>
      </c>
      <c r="D518" s="1071">
        <f t="shared" si="40"/>
        <v>26.710749999999997</v>
      </c>
      <c r="E518" s="1070">
        <f t="shared" si="39"/>
        <v>4550</v>
      </c>
      <c r="F518" s="1069">
        <f t="shared" si="37"/>
        <v>15041.322314049587</v>
      </c>
      <c r="G518" s="1069">
        <f t="shared" si="38"/>
        <v>401765</v>
      </c>
      <c r="H518" s="1068" t="e">
        <f>C854</f>
        <v>#REF!</v>
      </c>
      <c r="I518" s="1040"/>
      <c r="J518" s="1040"/>
      <c r="K518" s="1023"/>
      <c r="L518" s="1023"/>
      <c r="M518" s="1023"/>
      <c r="N518" s="1023"/>
      <c r="O518" s="1023"/>
      <c r="P518" s="1023"/>
      <c r="Q518" s="1023"/>
      <c r="R518" s="1023"/>
      <c r="S518" s="1023"/>
      <c r="T518" s="934"/>
      <c r="U518" s="934"/>
      <c r="V518" s="934"/>
      <c r="W518" s="934"/>
      <c r="X518" s="934"/>
      <c r="Y518" s="934"/>
      <c r="Z518" s="934"/>
    </row>
    <row r="519" spans="1:26" ht="16.5" customHeight="1">
      <c r="A519" s="1073">
        <v>515</v>
      </c>
      <c r="B519" s="1073" t="s">
        <v>1172</v>
      </c>
      <c r="C519" s="1072">
        <v>88.8</v>
      </c>
      <c r="D519" s="1071">
        <f t="shared" si="40"/>
        <v>26.861999999999998</v>
      </c>
      <c r="E519" s="1070">
        <f t="shared" si="39"/>
        <v>4550</v>
      </c>
      <c r="F519" s="1069">
        <f t="shared" si="37"/>
        <v>15041.322314049587</v>
      </c>
      <c r="G519" s="1069">
        <f t="shared" si="38"/>
        <v>404040</v>
      </c>
      <c r="H519" s="1068" t="e">
        <f>C855</f>
        <v>#REF!</v>
      </c>
      <c r="I519" s="1040"/>
      <c r="J519" s="1040"/>
      <c r="K519" s="1023"/>
      <c r="L519" s="1023"/>
      <c r="M519" s="1023"/>
      <c r="N519" s="1023"/>
      <c r="O519" s="1023"/>
      <c r="P519" s="1023"/>
      <c r="Q519" s="1023"/>
      <c r="R519" s="1023"/>
      <c r="S519" s="1023"/>
      <c r="T519" s="934"/>
      <c r="U519" s="934"/>
      <c r="V519" s="934"/>
      <c r="W519" s="934"/>
      <c r="X519" s="934"/>
      <c r="Y519" s="934"/>
      <c r="Z519" s="934"/>
    </row>
    <row r="520" spans="1:26" ht="16.5" customHeight="1">
      <c r="A520" s="1073">
        <v>516</v>
      </c>
      <c r="B520" s="1073" t="s">
        <v>1173</v>
      </c>
      <c r="C520" s="1072">
        <v>88.8</v>
      </c>
      <c r="D520" s="1071">
        <f t="shared" si="40"/>
        <v>26.861999999999998</v>
      </c>
      <c r="E520" s="1070">
        <f t="shared" si="39"/>
        <v>4550</v>
      </c>
      <c r="F520" s="1069">
        <f t="shared" si="37"/>
        <v>15041.322314049587</v>
      </c>
      <c r="G520" s="1069">
        <f t="shared" si="38"/>
        <v>404040</v>
      </c>
      <c r="H520" s="1068" t="e">
        <f>C842</f>
        <v>#REF!</v>
      </c>
      <c r="I520" s="1040"/>
      <c r="J520" s="1040"/>
      <c r="K520" s="1023"/>
      <c r="L520" s="1023"/>
      <c r="M520" s="1023"/>
      <c r="N520" s="1023"/>
      <c r="O520" s="1023"/>
      <c r="P520" s="1023"/>
      <c r="Q520" s="1023"/>
      <c r="R520" s="1023"/>
      <c r="S520" s="1023"/>
      <c r="T520" s="934"/>
      <c r="U520" s="934"/>
      <c r="V520" s="934"/>
      <c r="W520" s="934"/>
      <c r="X520" s="934"/>
      <c r="Y520" s="934"/>
      <c r="Z520" s="934"/>
    </row>
    <row r="521" spans="1:26" ht="16.5" customHeight="1">
      <c r="A521" s="1073">
        <v>517</v>
      </c>
      <c r="B521" s="1073" t="s">
        <v>1174</v>
      </c>
      <c r="C521" s="1072">
        <v>87</v>
      </c>
      <c r="D521" s="1071">
        <f t="shared" si="40"/>
        <v>26.317499999999999</v>
      </c>
      <c r="E521" s="1070">
        <f t="shared" si="39"/>
        <v>4550</v>
      </c>
      <c r="F521" s="1069">
        <f t="shared" si="37"/>
        <v>15041.322314049587</v>
      </c>
      <c r="G521" s="1069">
        <f t="shared" si="38"/>
        <v>395850</v>
      </c>
      <c r="H521" s="1068" t="e">
        <f>C857</f>
        <v>#REF!</v>
      </c>
      <c r="I521" s="1040"/>
      <c r="J521" s="1040"/>
      <c r="K521" s="1023"/>
      <c r="L521" s="1023"/>
      <c r="M521" s="1023"/>
      <c r="N521" s="1023"/>
      <c r="O521" s="1023"/>
      <c r="P521" s="1023"/>
      <c r="Q521" s="1023"/>
      <c r="R521" s="1023"/>
      <c r="S521" s="1023"/>
      <c r="T521" s="934"/>
      <c r="U521" s="934"/>
      <c r="V521" s="934"/>
      <c r="W521" s="934"/>
      <c r="X521" s="934"/>
      <c r="Y521" s="934"/>
      <c r="Z521" s="934"/>
    </row>
    <row r="522" spans="1:26" ht="16.5" customHeight="1">
      <c r="A522" s="1073">
        <v>518</v>
      </c>
      <c r="B522" s="1073" t="s">
        <v>1175</v>
      </c>
      <c r="C522" s="1072">
        <v>87.3</v>
      </c>
      <c r="D522" s="1071">
        <f t="shared" si="40"/>
        <v>26.408249999999999</v>
      </c>
      <c r="E522" s="1070">
        <f t="shared" si="39"/>
        <v>4550</v>
      </c>
      <c r="F522" s="1069">
        <f t="shared" si="37"/>
        <v>15041.322314049587</v>
      </c>
      <c r="G522" s="1069">
        <f t="shared" si="38"/>
        <v>397215</v>
      </c>
      <c r="H522" s="1068" t="e">
        <f>C858</f>
        <v>#REF!</v>
      </c>
      <c r="I522" s="1040"/>
      <c r="J522" s="1040"/>
      <c r="K522" s="1023"/>
      <c r="L522" s="1023"/>
      <c r="M522" s="1023"/>
      <c r="N522" s="1023"/>
      <c r="O522" s="1023"/>
      <c r="P522" s="1023"/>
      <c r="Q522" s="1023"/>
      <c r="R522" s="1023"/>
      <c r="S522" s="1023"/>
      <c r="T522" s="934"/>
      <c r="U522" s="934"/>
      <c r="V522" s="934"/>
      <c r="W522" s="934"/>
      <c r="X522" s="934"/>
      <c r="Y522" s="934"/>
      <c r="Z522" s="934"/>
    </row>
    <row r="523" spans="1:26" ht="16.5" customHeight="1">
      <c r="A523" s="1073">
        <v>519</v>
      </c>
      <c r="B523" s="1073" t="s">
        <v>1176</v>
      </c>
      <c r="C523" s="1072">
        <v>88.6</v>
      </c>
      <c r="D523" s="1071">
        <f t="shared" si="40"/>
        <v>26.801499999999997</v>
      </c>
      <c r="E523" s="1070">
        <f t="shared" si="39"/>
        <v>4550</v>
      </c>
      <c r="F523" s="1069">
        <f t="shared" si="37"/>
        <v>15041.322314049587</v>
      </c>
      <c r="G523" s="1069">
        <f t="shared" si="38"/>
        <v>403130</v>
      </c>
      <c r="H523" s="1068">
        <f>C859</f>
        <v>18</v>
      </c>
      <c r="I523" s="1040"/>
      <c r="J523" s="1040"/>
      <c r="K523" s="1023"/>
      <c r="L523" s="1023"/>
      <c r="M523" s="1023"/>
      <c r="N523" s="1023"/>
      <c r="O523" s="1023"/>
      <c r="P523" s="1023"/>
      <c r="Q523" s="1023"/>
      <c r="R523" s="1023"/>
      <c r="S523" s="1023"/>
      <c r="T523" s="934"/>
      <c r="U523" s="934"/>
      <c r="V523" s="934"/>
      <c r="W523" s="934"/>
      <c r="X523" s="934"/>
      <c r="Y523" s="934"/>
      <c r="Z523" s="934"/>
    </row>
    <row r="524" spans="1:26" ht="16.5" customHeight="1">
      <c r="A524" s="1073">
        <v>520</v>
      </c>
      <c r="B524" s="1073" t="s">
        <v>1177</v>
      </c>
      <c r="C524" s="1072">
        <v>87</v>
      </c>
      <c r="D524" s="1071">
        <f t="shared" si="40"/>
        <v>26.317499999999999</v>
      </c>
      <c r="E524" s="1070">
        <f t="shared" si="39"/>
        <v>4550</v>
      </c>
      <c r="F524" s="1069">
        <f t="shared" si="37"/>
        <v>15041.322314049587</v>
      </c>
      <c r="G524" s="1069">
        <f t="shared" si="38"/>
        <v>395850</v>
      </c>
      <c r="H524" s="1068" t="e">
        <f>C860</f>
        <v>#REF!</v>
      </c>
      <c r="I524" s="1040"/>
      <c r="J524" s="1040"/>
      <c r="K524" s="1023"/>
      <c r="L524" s="1023"/>
      <c r="M524" s="1023"/>
      <c r="N524" s="1023"/>
      <c r="O524" s="1023"/>
      <c r="P524" s="1023"/>
      <c r="Q524" s="1023"/>
      <c r="R524" s="1023"/>
      <c r="S524" s="1023"/>
      <c r="T524" s="934"/>
      <c r="U524" s="934"/>
      <c r="V524" s="934"/>
      <c r="W524" s="934"/>
      <c r="X524" s="934"/>
      <c r="Y524" s="934"/>
      <c r="Z524" s="934"/>
    </row>
    <row r="525" spans="1:26" ht="16.5" customHeight="1">
      <c r="A525" s="1073">
        <v>521</v>
      </c>
      <c r="B525" s="1073" t="s">
        <v>1178</v>
      </c>
      <c r="C525" s="1072">
        <v>88.7</v>
      </c>
      <c r="D525" s="1071">
        <f t="shared" si="40"/>
        <v>26.83175</v>
      </c>
      <c r="E525" s="1070">
        <f t="shared" si="39"/>
        <v>4550</v>
      </c>
      <c r="F525" s="1069">
        <f t="shared" si="37"/>
        <v>15041.322314049587</v>
      </c>
      <c r="G525" s="1069">
        <f t="shared" si="38"/>
        <v>403585</v>
      </c>
      <c r="H525" s="1068">
        <f>C847</f>
        <v>0</v>
      </c>
      <c r="I525" s="1040"/>
      <c r="J525" s="1040"/>
      <c r="K525" s="1023"/>
      <c r="L525" s="1023"/>
      <c r="M525" s="1023"/>
      <c r="N525" s="1023"/>
      <c r="O525" s="1023"/>
      <c r="P525" s="1023"/>
      <c r="Q525" s="1023"/>
      <c r="R525" s="1023"/>
      <c r="S525" s="1023"/>
      <c r="T525" s="934"/>
      <c r="U525" s="934"/>
      <c r="V525" s="934"/>
      <c r="W525" s="934"/>
      <c r="X525" s="934"/>
      <c r="Y525" s="934"/>
      <c r="Z525" s="934"/>
    </row>
    <row r="526" spans="1:26" ht="16.5" customHeight="1">
      <c r="A526" s="1073">
        <v>522</v>
      </c>
      <c r="B526" s="1073" t="s">
        <v>1179</v>
      </c>
      <c r="C526" s="1072">
        <v>91.2</v>
      </c>
      <c r="D526" s="1071">
        <f t="shared" si="40"/>
        <v>27.588000000000001</v>
      </c>
      <c r="E526" s="1070">
        <f>(3910000*1.25)/1000</f>
        <v>4887.5</v>
      </c>
      <c r="F526" s="1069">
        <f t="shared" si="37"/>
        <v>16157.024793388431</v>
      </c>
      <c r="G526" s="1069">
        <f t="shared" si="38"/>
        <v>445740</v>
      </c>
      <c r="H526" s="1068">
        <f>C862</f>
        <v>0</v>
      </c>
      <c r="I526" s="1040"/>
      <c r="J526" s="1040"/>
      <c r="K526" s="1023"/>
      <c r="L526" s="1023"/>
      <c r="M526" s="1023"/>
      <c r="N526" s="1023"/>
      <c r="O526" s="1023"/>
      <c r="P526" s="1023"/>
      <c r="Q526" s="1023"/>
      <c r="R526" s="1023"/>
      <c r="S526" s="1023"/>
      <c r="T526" s="934"/>
      <c r="U526" s="934"/>
      <c r="V526" s="934"/>
      <c r="W526" s="934"/>
      <c r="X526" s="934"/>
      <c r="Y526" s="934"/>
      <c r="Z526" s="934"/>
    </row>
    <row r="527" spans="1:26" ht="16.5" customHeight="1">
      <c r="A527" s="1073">
        <v>523</v>
      </c>
      <c r="B527" s="1073" t="s">
        <v>1180</v>
      </c>
      <c r="C527" s="1072">
        <v>494</v>
      </c>
      <c r="D527" s="1071">
        <f t="shared" si="40"/>
        <v>149.435</v>
      </c>
      <c r="E527" s="1070">
        <f>(1201000*1.25)/1000</f>
        <v>1501.25</v>
      </c>
      <c r="F527" s="1069">
        <f t="shared" si="37"/>
        <v>4962.8099173553719</v>
      </c>
      <c r="G527" s="1069">
        <f t="shared" si="38"/>
        <v>741617.5</v>
      </c>
      <c r="H527" s="1068" t="e">
        <f>C863</f>
        <v>#REF!</v>
      </c>
      <c r="I527" s="1040"/>
      <c r="J527" s="1040"/>
      <c r="K527" s="1023"/>
      <c r="L527" s="1023"/>
      <c r="M527" s="1023"/>
      <c r="N527" s="1023"/>
      <c r="O527" s="1023"/>
      <c r="P527" s="1023"/>
      <c r="Q527" s="1023"/>
      <c r="R527" s="1023"/>
      <c r="S527" s="1023"/>
      <c r="T527" s="934"/>
      <c r="U527" s="934"/>
      <c r="V527" s="934"/>
      <c r="W527" s="934"/>
      <c r="X527" s="934"/>
      <c r="Y527" s="934"/>
      <c r="Z527" s="934"/>
    </row>
    <row r="528" spans="1:26" ht="16.5" customHeight="1">
      <c r="A528" s="1073">
        <v>524</v>
      </c>
      <c r="B528" s="1073" t="s">
        <v>1181</v>
      </c>
      <c r="C528" s="1072">
        <v>103</v>
      </c>
      <c r="D528" s="1071">
        <f t="shared" si="40"/>
        <v>31.157499999999999</v>
      </c>
      <c r="E528" s="1070">
        <f>(3511000*1.25)/1000</f>
        <v>4388.75</v>
      </c>
      <c r="F528" s="1069">
        <f t="shared" si="37"/>
        <v>14508.264462809917</v>
      </c>
      <c r="G528" s="1069">
        <f t="shared" si="38"/>
        <v>452041.25</v>
      </c>
      <c r="H528" s="1068">
        <f>C864</f>
        <v>210</v>
      </c>
      <c r="I528" s="1040"/>
      <c r="J528" s="1040"/>
      <c r="K528" s="1023"/>
      <c r="L528" s="1023"/>
      <c r="M528" s="1023"/>
      <c r="N528" s="1023"/>
      <c r="O528" s="1023"/>
      <c r="P528" s="1023"/>
      <c r="Q528" s="1023"/>
      <c r="R528" s="1023"/>
      <c r="S528" s="1023"/>
      <c r="T528" s="934"/>
      <c r="U528" s="934"/>
      <c r="V528" s="934"/>
      <c r="W528" s="934"/>
      <c r="X528" s="934"/>
      <c r="Y528" s="934"/>
      <c r="Z528" s="934"/>
    </row>
    <row r="529" spans="1:26" ht="16.5" customHeight="1">
      <c r="A529" s="1073">
        <v>525</v>
      </c>
      <c r="B529" s="1073" t="s">
        <v>1182</v>
      </c>
      <c r="C529" s="1072">
        <v>91.9</v>
      </c>
      <c r="D529" s="1071">
        <f t="shared" si="40"/>
        <v>27.79975</v>
      </c>
      <c r="E529" s="1070">
        <f t="shared" ref="E529:E537" si="41">(3540000*1.25)/1000</f>
        <v>4425</v>
      </c>
      <c r="F529" s="1069">
        <f t="shared" si="37"/>
        <v>14628.099173553719</v>
      </c>
      <c r="G529" s="1069">
        <f t="shared" si="38"/>
        <v>406657.5</v>
      </c>
      <c r="H529" s="1068" t="e">
        <f>C865</f>
        <v>#REF!</v>
      </c>
      <c r="I529" s="1040"/>
      <c r="J529" s="1040"/>
      <c r="K529" s="1023"/>
      <c r="L529" s="1023"/>
      <c r="M529" s="1023"/>
      <c r="N529" s="1023"/>
      <c r="O529" s="1023"/>
      <c r="P529" s="1023"/>
      <c r="Q529" s="1023"/>
      <c r="R529" s="1023"/>
      <c r="S529" s="1023"/>
      <c r="T529" s="934"/>
      <c r="U529" s="934"/>
      <c r="V529" s="934"/>
      <c r="W529" s="934"/>
      <c r="X529" s="934"/>
      <c r="Y529" s="934"/>
      <c r="Z529" s="934"/>
    </row>
    <row r="530" spans="1:26" ht="16.5" customHeight="1">
      <c r="A530" s="1073">
        <v>526</v>
      </c>
      <c r="B530" s="1073" t="s">
        <v>1183</v>
      </c>
      <c r="C530" s="1072">
        <v>87.8</v>
      </c>
      <c r="D530" s="1071">
        <f t="shared" si="40"/>
        <v>26.5595</v>
      </c>
      <c r="E530" s="1070">
        <f t="shared" si="41"/>
        <v>4425</v>
      </c>
      <c r="F530" s="1069">
        <f t="shared" si="37"/>
        <v>14628.099173553719</v>
      </c>
      <c r="G530" s="1069">
        <f t="shared" si="38"/>
        <v>388515</v>
      </c>
      <c r="H530" s="1068" t="e">
        <f>C852</f>
        <v>#REF!</v>
      </c>
      <c r="I530" s="1040"/>
      <c r="J530" s="1040"/>
      <c r="K530" s="1023"/>
      <c r="L530" s="1023"/>
      <c r="M530" s="1023"/>
      <c r="N530" s="1023"/>
      <c r="O530" s="1023"/>
      <c r="P530" s="1023"/>
      <c r="Q530" s="1023"/>
      <c r="R530" s="1023"/>
      <c r="S530" s="1023"/>
      <c r="T530" s="934"/>
      <c r="U530" s="934"/>
      <c r="V530" s="934"/>
      <c r="W530" s="934"/>
      <c r="X530" s="934"/>
      <c r="Y530" s="934"/>
      <c r="Z530" s="934"/>
    </row>
    <row r="531" spans="1:26" ht="16.5" customHeight="1">
      <c r="A531" s="1073">
        <v>527</v>
      </c>
      <c r="B531" s="1073" t="s">
        <v>1184</v>
      </c>
      <c r="C531" s="1072">
        <v>89.4</v>
      </c>
      <c r="D531" s="1071">
        <f t="shared" si="40"/>
        <v>27.043500000000002</v>
      </c>
      <c r="E531" s="1070">
        <f t="shared" si="41"/>
        <v>4425</v>
      </c>
      <c r="F531" s="1069">
        <f t="shared" si="37"/>
        <v>14628.099173553719</v>
      </c>
      <c r="G531" s="1069">
        <f t="shared" si="38"/>
        <v>395595</v>
      </c>
      <c r="H531" s="1068" t="e">
        <f>C867</f>
        <v>#REF!</v>
      </c>
      <c r="I531" s="1040"/>
      <c r="J531" s="1040"/>
      <c r="K531" s="1023"/>
      <c r="L531" s="1023"/>
      <c r="M531" s="1023"/>
      <c r="N531" s="1023"/>
      <c r="O531" s="1023"/>
      <c r="P531" s="1023"/>
      <c r="Q531" s="1023"/>
      <c r="R531" s="1023"/>
      <c r="S531" s="1023"/>
      <c r="T531" s="934"/>
      <c r="U531" s="934"/>
      <c r="V531" s="934"/>
      <c r="W531" s="934"/>
      <c r="X531" s="934"/>
      <c r="Y531" s="934"/>
      <c r="Z531" s="934"/>
    </row>
    <row r="532" spans="1:26" ht="16.5" customHeight="1">
      <c r="A532" s="1073">
        <v>528</v>
      </c>
      <c r="B532" s="1073" t="s">
        <v>1185</v>
      </c>
      <c r="C532" s="1072">
        <v>89</v>
      </c>
      <c r="D532" s="1071">
        <f t="shared" si="40"/>
        <v>26.922499999999999</v>
      </c>
      <c r="E532" s="1070">
        <f t="shared" si="41"/>
        <v>4425</v>
      </c>
      <c r="F532" s="1069">
        <f t="shared" si="37"/>
        <v>14628.099173553719</v>
      </c>
      <c r="G532" s="1069">
        <f t="shared" si="38"/>
        <v>393825</v>
      </c>
      <c r="H532" s="1068" t="e">
        <f>C868</f>
        <v>#REF!</v>
      </c>
      <c r="I532" s="1040"/>
      <c r="J532" s="1040"/>
      <c r="K532" s="1023"/>
      <c r="L532" s="1023"/>
      <c r="M532" s="1023"/>
      <c r="N532" s="1023"/>
      <c r="O532" s="1023"/>
      <c r="P532" s="1023"/>
      <c r="Q532" s="1023"/>
      <c r="R532" s="1023"/>
      <c r="S532" s="1023"/>
      <c r="T532" s="934"/>
      <c r="U532" s="934"/>
      <c r="V532" s="934"/>
      <c r="W532" s="934"/>
      <c r="X532" s="934"/>
      <c r="Y532" s="934"/>
      <c r="Z532" s="934"/>
    </row>
    <row r="533" spans="1:26" ht="16.5" customHeight="1">
      <c r="A533" s="1073">
        <v>529</v>
      </c>
      <c r="B533" s="1073" t="s">
        <v>1186</v>
      </c>
      <c r="C533" s="1072">
        <v>87.1</v>
      </c>
      <c r="D533" s="1071">
        <f t="shared" si="40"/>
        <v>26.347749999999998</v>
      </c>
      <c r="E533" s="1070">
        <f t="shared" si="41"/>
        <v>4425</v>
      </c>
      <c r="F533" s="1069">
        <f t="shared" si="37"/>
        <v>14628.099173553719</v>
      </c>
      <c r="G533" s="1069">
        <f t="shared" si="38"/>
        <v>385417.5</v>
      </c>
      <c r="H533" s="1068" t="e">
        <f>C869</f>
        <v>#REF!</v>
      </c>
      <c r="I533" s="1040"/>
      <c r="J533" s="1040"/>
      <c r="K533" s="1023"/>
      <c r="L533" s="1023"/>
      <c r="M533" s="1023"/>
      <c r="N533" s="1023"/>
      <c r="O533" s="1023"/>
      <c r="P533" s="1023"/>
      <c r="Q533" s="1023"/>
      <c r="R533" s="1023"/>
      <c r="S533" s="1023"/>
      <c r="T533" s="934"/>
      <c r="U533" s="934"/>
      <c r="V533" s="934"/>
      <c r="W533" s="934"/>
      <c r="X533" s="934"/>
      <c r="Y533" s="934"/>
      <c r="Z533" s="934"/>
    </row>
    <row r="534" spans="1:26" ht="16.5" customHeight="1">
      <c r="A534" s="1073">
        <v>530</v>
      </c>
      <c r="B534" s="1073" t="s">
        <v>1187</v>
      </c>
      <c r="C534" s="1072">
        <v>87</v>
      </c>
      <c r="D534" s="1071">
        <f t="shared" si="40"/>
        <v>26.317499999999999</v>
      </c>
      <c r="E534" s="1070">
        <f t="shared" si="41"/>
        <v>4425</v>
      </c>
      <c r="F534" s="1069">
        <f t="shared" si="37"/>
        <v>14628.099173553719</v>
      </c>
      <c r="G534" s="1069">
        <f t="shared" si="38"/>
        <v>384975</v>
      </c>
      <c r="H534" s="1068" t="e">
        <f>C870</f>
        <v>#REF!</v>
      </c>
      <c r="I534" s="1040"/>
      <c r="J534" s="1040"/>
      <c r="K534" s="1023"/>
      <c r="L534" s="1023"/>
      <c r="M534" s="1023"/>
      <c r="N534" s="1023"/>
      <c r="O534" s="1023"/>
      <c r="P534" s="1023"/>
      <c r="Q534" s="1023"/>
      <c r="R534" s="1023"/>
      <c r="S534" s="1023"/>
      <c r="T534" s="934"/>
      <c r="U534" s="934"/>
      <c r="V534" s="934"/>
      <c r="W534" s="934"/>
      <c r="X534" s="934"/>
      <c r="Y534" s="934"/>
      <c r="Z534" s="934"/>
    </row>
    <row r="535" spans="1:26" ht="16.5" customHeight="1">
      <c r="A535" s="1073">
        <v>531</v>
      </c>
      <c r="B535" s="1073" t="s">
        <v>1188</v>
      </c>
      <c r="C535" s="1072">
        <v>89.4</v>
      </c>
      <c r="D535" s="1071">
        <f t="shared" si="40"/>
        <v>27.043500000000002</v>
      </c>
      <c r="E535" s="1070">
        <f t="shared" si="41"/>
        <v>4425</v>
      </c>
      <c r="F535" s="1069">
        <f t="shared" si="37"/>
        <v>14628.099173553719</v>
      </c>
      <c r="G535" s="1069">
        <f t="shared" si="38"/>
        <v>395595</v>
      </c>
      <c r="H535" s="1068" t="e">
        <f>C857</f>
        <v>#REF!</v>
      </c>
      <c r="I535" s="1040"/>
      <c r="J535" s="1040"/>
      <c r="K535" s="1023"/>
      <c r="L535" s="1023"/>
      <c r="M535" s="1023"/>
      <c r="N535" s="1023"/>
      <c r="O535" s="1023"/>
      <c r="P535" s="1023"/>
      <c r="Q535" s="1023"/>
      <c r="R535" s="1023"/>
      <c r="S535" s="1023"/>
      <c r="T535" s="934"/>
      <c r="U535" s="934"/>
      <c r="V535" s="934"/>
      <c r="W535" s="934"/>
      <c r="X535" s="934"/>
      <c r="Y535" s="934"/>
      <c r="Z535" s="934"/>
    </row>
    <row r="536" spans="1:26" ht="16.5" customHeight="1">
      <c r="A536" s="1073">
        <v>532</v>
      </c>
      <c r="B536" s="1073" t="s">
        <v>1189</v>
      </c>
      <c r="C536" s="1072">
        <v>89.4</v>
      </c>
      <c r="D536" s="1071">
        <f t="shared" si="40"/>
        <v>27.043500000000002</v>
      </c>
      <c r="E536" s="1070">
        <f t="shared" si="41"/>
        <v>4425</v>
      </c>
      <c r="F536" s="1069">
        <f t="shared" si="37"/>
        <v>14628.099173553719</v>
      </c>
      <c r="G536" s="1069">
        <f t="shared" si="38"/>
        <v>395595</v>
      </c>
      <c r="H536" s="1068" t="e">
        <f>C872</f>
        <v>#REF!</v>
      </c>
      <c r="I536" s="1040"/>
      <c r="J536" s="1040"/>
      <c r="K536" s="1023"/>
      <c r="L536" s="1023"/>
      <c r="M536" s="1023"/>
      <c r="N536" s="1023"/>
      <c r="O536" s="1023"/>
      <c r="P536" s="1023"/>
      <c r="Q536" s="1023"/>
      <c r="R536" s="1023"/>
      <c r="S536" s="1023"/>
      <c r="T536" s="934"/>
      <c r="U536" s="934"/>
      <c r="V536" s="934"/>
      <c r="W536" s="934"/>
      <c r="X536" s="934"/>
      <c r="Y536" s="934"/>
      <c r="Z536" s="934"/>
    </row>
    <row r="537" spans="1:26" ht="16.5" customHeight="1">
      <c r="A537" s="1073">
        <v>533</v>
      </c>
      <c r="B537" s="1073" t="s">
        <v>1190</v>
      </c>
      <c r="C537" s="1072">
        <v>87.5</v>
      </c>
      <c r="D537" s="1071">
        <f t="shared" si="40"/>
        <v>26.46875</v>
      </c>
      <c r="E537" s="1070">
        <f t="shared" si="41"/>
        <v>4425</v>
      </c>
      <c r="F537" s="1069">
        <f t="shared" si="37"/>
        <v>14628.099173553719</v>
      </c>
      <c r="G537" s="1069">
        <f t="shared" si="38"/>
        <v>387187.5</v>
      </c>
      <c r="H537" s="1068" t="e">
        <f>C873</f>
        <v>#REF!</v>
      </c>
      <c r="I537" s="1040"/>
      <c r="J537" s="1040"/>
      <c r="K537" s="1023"/>
      <c r="L537" s="1023"/>
      <c r="M537" s="1023"/>
      <c r="N537" s="1023"/>
      <c r="O537" s="1023"/>
      <c r="P537" s="1023"/>
      <c r="Q537" s="1023"/>
      <c r="R537" s="1023"/>
      <c r="S537" s="1023"/>
      <c r="T537" s="934"/>
      <c r="U537" s="934"/>
      <c r="V537" s="934"/>
      <c r="W537" s="934"/>
      <c r="X537" s="934"/>
      <c r="Y537" s="934"/>
      <c r="Z537" s="934"/>
    </row>
    <row r="538" spans="1:26" ht="16.5" customHeight="1">
      <c r="A538" s="1073">
        <v>534</v>
      </c>
      <c r="B538" s="1073" t="s">
        <v>1191</v>
      </c>
      <c r="C538" s="1072">
        <v>86.7</v>
      </c>
      <c r="D538" s="1071">
        <f t="shared" si="40"/>
        <v>26.226749999999999</v>
      </c>
      <c r="E538" s="1070">
        <f>(4870000*1.25)/1000</f>
        <v>6087.5</v>
      </c>
      <c r="F538" s="1069">
        <f t="shared" si="37"/>
        <v>20123.96694214876</v>
      </c>
      <c r="G538" s="1069">
        <f t="shared" si="38"/>
        <v>527786.25</v>
      </c>
      <c r="H538" s="1068">
        <f>C874</f>
        <v>18</v>
      </c>
      <c r="I538" s="1040"/>
      <c r="J538" s="1023"/>
      <c r="K538" s="1023"/>
      <c r="L538" s="1023"/>
      <c r="M538" s="1023"/>
      <c r="N538" s="1023"/>
      <c r="O538" s="1023"/>
      <c r="P538" s="1023"/>
      <c r="Q538" s="1023"/>
      <c r="R538" s="1023"/>
      <c r="S538" s="1023"/>
      <c r="T538" s="934"/>
      <c r="U538" s="934"/>
      <c r="V538" s="934"/>
      <c r="W538" s="934"/>
      <c r="X538" s="934"/>
      <c r="Y538" s="934"/>
      <c r="Z538" s="934"/>
    </row>
    <row r="539" spans="1:26" ht="16.5" customHeight="1">
      <c r="A539" s="1073">
        <v>535</v>
      </c>
      <c r="B539" s="1073" t="s">
        <v>1192</v>
      </c>
      <c r="C539" s="1072">
        <v>86.4</v>
      </c>
      <c r="D539" s="1071">
        <f t="shared" si="40"/>
        <v>26.135999999999999</v>
      </c>
      <c r="E539" s="1070">
        <f>(5720000*1.25)/1000</f>
        <v>7150</v>
      </c>
      <c r="F539" s="1069">
        <f t="shared" si="37"/>
        <v>23636.363636363636</v>
      </c>
      <c r="G539" s="1069">
        <f t="shared" si="38"/>
        <v>617760</v>
      </c>
      <c r="H539" s="1068" t="e">
        <f>C875</f>
        <v>#REF!</v>
      </c>
      <c r="I539" s="1023"/>
      <c r="J539" s="1023"/>
      <c r="K539" s="1023"/>
      <c r="L539" s="1023"/>
      <c r="M539" s="1023"/>
      <c r="N539" s="1023"/>
      <c r="O539" s="1023"/>
      <c r="P539" s="1023"/>
      <c r="Q539" s="1023"/>
      <c r="R539" s="1023"/>
      <c r="S539" s="1023"/>
      <c r="T539" s="934"/>
      <c r="U539" s="934"/>
      <c r="V539" s="934"/>
      <c r="W539" s="934"/>
      <c r="X539" s="934"/>
      <c r="Y539" s="934"/>
      <c r="Z539" s="934"/>
    </row>
    <row r="540" spans="1:26" ht="16.5" customHeight="1">
      <c r="A540" s="1073">
        <v>536</v>
      </c>
      <c r="B540" s="1073" t="s">
        <v>1193</v>
      </c>
      <c r="C540" s="1072">
        <v>87.9</v>
      </c>
      <c r="D540" s="1071">
        <f t="shared" si="40"/>
        <v>26.589750000000002</v>
      </c>
      <c r="E540" s="1070">
        <f t="shared" ref="E540:E548" si="42">(3645000*1.25)/1000</f>
        <v>4556.25</v>
      </c>
      <c r="F540" s="1069">
        <f t="shared" si="37"/>
        <v>15061.98347107438</v>
      </c>
      <c r="G540" s="1069">
        <f t="shared" si="38"/>
        <v>400494.375</v>
      </c>
      <c r="H540" s="1068">
        <f>C862</f>
        <v>0</v>
      </c>
      <c r="I540" s="1023"/>
      <c r="J540" s="1023"/>
      <c r="K540" s="1023"/>
      <c r="L540" s="1023"/>
      <c r="M540" s="1023"/>
      <c r="N540" s="1023"/>
      <c r="O540" s="1023"/>
      <c r="P540" s="1023"/>
      <c r="Q540" s="1023"/>
      <c r="R540" s="1023"/>
      <c r="S540" s="1023"/>
      <c r="T540" s="934"/>
      <c r="U540" s="934"/>
      <c r="V540" s="934"/>
      <c r="W540" s="934"/>
      <c r="X540" s="934"/>
      <c r="Y540" s="934"/>
      <c r="Z540" s="934"/>
    </row>
    <row r="541" spans="1:26" ht="16.5" customHeight="1">
      <c r="A541" s="1073">
        <v>537</v>
      </c>
      <c r="B541" s="1073" t="s">
        <v>1194</v>
      </c>
      <c r="C541" s="1072">
        <v>90.6</v>
      </c>
      <c r="D541" s="1071">
        <f t="shared" si="40"/>
        <v>27.406499999999998</v>
      </c>
      <c r="E541" s="1070">
        <f t="shared" si="42"/>
        <v>4556.25</v>
      </c>
      <c r="F541" s="1069">
        <f t="shared" si="37"/>
        <v>15061.98347107438</v>
      </c>
      <c r="G541" s="1069">
        <f t="shared" si="38"/>
        <v>412796.25</v>
      </c>
      <c r="H541" s="1068">
        <f>C877</f>
        <v>0</v>
      </c>
      <c r="I541" s="1023"/>
      <c r="J541" s="1023"/>
      <c r="K541" s="1023"/>
      <c r="L541" s="1023"/>
      <c r="M541" s="1023"/>
      <c r="N541" s="1023"/>
      <c r="O541" s="1023"/>
      <c r="P541" s="1023"/>
      <c r="Q541" s="1023"/>
      <c r="R541" s="1023"/>
      <c r="S541" s="1023"/>
      <c r="T541" s="934"/>
      <c r="U541" s="934"/>
      <c r="V541" s="934"/>
      <c r="W541" s="934"/>
      <c r="X541" s="934"/>
      <c r="Y541" s="934"/>
      <c r="Z541" s="934"/>
    </row>
    <row r="542" spans="1:26" ht="16.5" customHeight="1">
      <c r="A542" s="1073">
        <v>538</v>
      </c>
      <c r="B542" s="1073" t="s">
        <v>1195</v>
      </c>
      <c r="C542" s="1072">
        <v>90.4</v>
      </c>
      <c r="D542" s="1071">
        <f t="shared" si="40"/>
        <v>27.346</v>
      </c>
      <c r="E542" s="1070">
        <f t="shared" si="42"/>
        <v>4556.25</v>
      </c>
      <c r="F542" s="1069">
        <f t="shared" si="37"/>
        <v>15061.98347107438</v>
      </c>
      <c r="G542" s="1069">
        <f t="shared" si="38"/>
        <v>411885</v>
      </c>
      <c r="H542" s="1068" t="e">
        <f>C878</f>
        <v>#REF!</v>
      </c>
      <c r="I542" s="1023"/>
      <c r="J542" s="1023"/>
      <c r="K542" s="1023"/>
      <c r="L542" s="1023"/>
      <c r="M542" s="1023"/>
      <c r="N542" s="1023"/>
      <c r="O542" s="1023"/>
      <c r="P542" s="1023"/>
      <c r="Q542" s="1023"/>
      <c r="R542" s="1023"/>
      <c r="S542" s="1023"/>
      <c r="T542" s="934"/>
      <c r="U542" s="934"/>
      <c r="V542" s="934"/>
      <c r="W542" s="934"/>
      <c r="X542" s="934"/>
      <c r="Y542" s="934"/>
      <c r="Z542" s="934"/>
    </row>
    <row r="543" spans="1:26" ht="16.5" customHeight="1">
      <c r="A543" s="1073">
        <v>539</v>
      </c>
      <c r="B543" s="1073" t="s">
        <v>1196</v>
      </c>
      <c r="C543" s="1072">
        <v>89.1</v>
      </c>
      <c r="D543" s="1071">
        <f t="shared" si="40"/>
        <v>26.952749999999998</v>
      </c>
      <c r="E543" s="1070">
        <f t="shared" si="42"/>
        <v>4556.25</v>
      </c>
      <c r="F543" s="1069">
        <f t="shared" si="37"/>
        <v>15061.98347107438</v>
      </c>
      <c r="G543" s="1069">
        <f t="shared" si="38"/>
        <v>405961.875</v>
      </c>
      <c r="H543" s="1068">
        <f>C879</f>
        <v>210</v>
      </c>
      <c r="I543" s="1023"/>
      <c r="J543" s="1023"/>
      <c r="K543" s="1023"/>
      <c r="L543" s="1023"/>
      <c r="M543" s="1023"/>
      <c r="N543" s="1023"/>
      <c r="O543" s="1023"/>
      <c r="P543" s="1023"/>
      <c r="Q543" s="1023"/>
      <c r="R543" s="1023"/>
      <c r="S543" s="1023"/>
      <c r="T543" s="934"/>
      <c r="U543" s="934"/>
      <c r="V543" s="934"/>
      <c r="W543" s="934"/>
      <c r="X543" s="934"/>
      <c r="Y543" s="934"/>
      <c r="Z543" s="934"/>
    </row>
    <row r="544" spans="1:26" ht="16.5" customHeight="1">
      <c r="A544" s="1073">
        <v>540</v>
      </c>
      <c r="B544" s="1073" t="s">
        <v>1197</v>
      </c>
      <c r="C544" s="1072">
        <v>88.3</v>
      </c>
      <c r="D544" s="1071">
        <f t="shared" si="40"/>
        <v>26.710749999999997</v>
      </c>
      <c r="E544" s="1070">
        <f t="shared" si="42"/>
        <v>4556.25</v>
      </c>
      <c r="F544" s="1069">
        <f t="shared" si="37"/>
        <v>15061.98347107438</v>
      </c>
      <c r="G544" s="1069">
        <f t="shared" si="38"/>
        <v>402316.875</v>
      </c>
      <c r="H544" s="1068" t="e">
        <f>C880</f>
        <v>#REF!</v>
      </c>
      <c r="I544" s="1023"/>
      <c r="J544" s="1023"/>
      <c r="K544" s="1023"/>
      <c r="L544" s="1023"/>
      <c r="M544" s="1023"/>
      <c r="N544" s="1023"/>
      <c r="O544" s="1023"/>
      <c r="P544" s="1023"/>
      <c r="Q544" s="1023"/>
      <c r="R544" s="1023"/>
      <c r="S544" s="1023"/>
      <c r="T544" s="934"/>
      <c r="U544" s="934"/>
      <c r="V544" s="934"/>
      <c r="W544" s="934"/>
      <c r="X544" s="934"/>
      <c r="Y544" s="934"/>
      <c r="Z544" s="934"/>
    </row>
    <row r="545" spans="1:26" ht="16.5" customHeight="1">
      <c r="A545" s="1073">
        <v>541</v>
      </c>
      <c r="B545" s="1073" t="s">
        <v>1198</v>
      </c>
      <c r="C545" s="1072">
        <v>89.9</v>
      </c>
      <c r="D545" s="1071">
        <f t="shared" si="40"/>
        <v>27.194750000000003</v>
      </c>
      <c r="E545" s="1070">
        <f t="shared" si="42"/>
        <v>4556.25</v>
      </c>
      <c r="F545" s="1069">
        <f t="shared" si="37"/>
        <v>15061.98347107438</v>
      </c>
      <c r="G545" s="1069">
        <f t="shared" si="38"/>
        <v>409606.875</v>
      </c>
      <c r="H545" s="1068" t="e">
        <f>C867</f>
        <v>#REF!</v>
      </c>
      <c r="I545" s="1023"/>
      <c r="J545" s="1023"/>
      <c r="K545" s="1023"/>
      <c r="L545" s="1023"/>
      <c r="M545" s="1023"/>
      <c r="N545" s="1023"/>
      <c r="O545" s="1023"/>
      <c r="P545" s="1023"/>
      <c r="Q545" s="1023"/>
      <c r="R545" s="1023"/>
      <c r="S545" s="1023"/>
      <c r="T545" s="934"/>
      <c r="U545" s="934"/>
      <c r="V545" s="934"/>
      <c r="W545" s="934"/>
      <c r="X545" s="934"/>
      <c r="Y545" s="934"/>
      <c r="Z545" s="934"/>
    </row>
    <row r="546" spans="1:26" ht="16.5" customHeight="1">
      <c r="A546" s="1073">
        <v>542</v>
      </c>
      <c r="B546" s="1073" t="s">
        <v>1199</v>
      </c>
      <c r="C546" s="1072">
        <v>87.9</v>
      </c>
      <c r="D546" s="1071">
        <f t="shared" si="40"/>
        <v>26.589750000000002</v>
      </c>
      <c r="E546" s="1070">
        <f t="shared" si="42"/>
        <v>4556.25</v>
      </c>
      <c r="F546" s="1069">
        <f t="shared" si="37"/>
        <v>15061.98347107438</v>
      </c>
      <c r="G546" s="1069">
        <f t="shared" si="38"/>
        <v>400494.375</v>
      </c>
      <c r="H546" s="1068" t="e">
        <f>C882</f>
        <v>#REF!</v>
      </c>
      <c r="I546" s="1023"/>
      <c r="J546" s="1023"/>
      <c r="K546" s="1023"/>
      <c r="L546" s="1023"/>
      <c r="M546" s="1023"/>
      <c r="N546" s="1023"/>
      <c r="O546" s="1023"/>
      <c r="P546" s="1023"/>
      <c r="Q546" s="1023"/>
      <c r="R546" s="1023"/>
      <c r="S546" s="1023"/>
      <c r="T546" s="934"/>
      <c r="U546" s="934"/>
      <c r="V546" s="934"/>
      <c r="W546" s="934"/>
      <c r="X546" s="934"/>
      <c r="Y546" s="934"/>
      <c r="Z546" s="934"/>
    </row>
    <row r="547" spans="1:26" ht="16.5" customHeight="1">
      <c r="A547" s="1073">
        <v>543</v>
      </c>
      <c r="B547" s="1073" t="s">
        <v>1200</v>
      </c>
      <c r="C547" s="1072">
        <v>88.9</v>
      </c>
      <c r="D547" s="1071">
        <f t="shared" si="40"/>
        <v>26.892250000000001</v>
      </c>
      <c r="E547" s="1070">
        <f t="shared" si="42"/>
        <v>4556.25</v>
      </c>
      <c r="F547" s="1069">
        <f t="shared" si="37"/>
        <v>15061.98347107438</v>
      </c>
      <c r="G547" s="1069">
        <f t="shared" si="38"/>
        <v>405050.625</v>
      </c>
      <c r="H547" s="1068" t="e">
        <f>C883</f>
        <v>#REF!</v>
      </c>
      <c r="I547" s="1023"/>
      <c r="J547" s="1023"/>
      <c r="K547" s="1023"/>
      <c r="L547" s="1023"/>
      <c r="M547" s="1023"/>
      <c r="N547" s="1023"/>
      <c r="O547" s="1023"/>
      <c r="P547" s="1023"/>
      <c r="Q547" s="1023"/>
      <c r="R547" s="1023"/>
      <c r="S547" s="1023"/>
      <c r="T547" s="934"/>
      <c r="U547" s="934"/>
      <c r="V547" s="934"/>
      <c r="W547" s="934"/>
      <c r="X547" s="934"/>
      <c r="Y547" s="934"/>
      <c r="Z547" s="934"/>
    </row>
    <row r="548" spans="1:26" ht="16.5" customHeight="1">
      <c r="A548" s="1073">
        <v>544</v>
      </c>
      <c r="B548" s="1073" t="s">
        <v>1201</v>
      </c>
      <c r="C548" s="1072">
        <v>91.2</v>
      </c>
      <c r="D548" s="1071">
        <f t="shared" si="40"/>
        <v>27.588000000000001</v>
      </c>
      <c r="E548" s="1070">
        <f t="shared" si="42"/>
        <v>4556.25</v>
      </c>
      <c r="F548" s="1069">
        <f t="shared" si="37"/>
        <v>15061.98347107438</v>
      </c>
      <c r="G548" s="1069">
        <f t="shared" si="38"/>
        <v>415530</v>
      </c>
      <c r="H548" s="1068" t="e">
        <f>C884</f>
        <v>#REF!</v>
      </c>
      <c r="I548" s="1023"/>
      <c r="J548" s="1023"/>
      <c r="K548" s="1023"/>
      <c r="L548" s="1023"/>
      <c r="M548" s="1023"/>
      <c r="N548" s="1023"/>
      <c r="O548" s="1023"/>
      <c r="P548" s="1023"/>
      <c r="Q548" s="1023"/>
      <c r="R548" s="1023"/>
      <c r="S548" s="1023"/>
      <c r="T548" s="934"/>
      <c r="U548" s="934"/>
      <c r="V548" s="934"/>
      <c r="W548" s="934"/>
      <c r="X548" s="934"/>
      <c r="Y548" s="934"/>
      <c r="Z548" s="934"/>
    </row>
    <row r="549" spans="1:26" ht="16.5" customHeight="1">
      <c r="A549" s="1073">
        <v>545</v>
      </c>
      <c r="B549" s="1073" t="s">
        <v>1202</v>
      </c>
      <c r="C549" s="1072">
        <v>72.099999999999994</v>
      </c>
      <c r="D549" s="1071">
        <f t="shared" si="40"/>
        <v>21.810249999999996</v>
      </c>
      <c r="E549" s="1070">
        <f>(3712000*1.25)/1000</f>
        <v>4640</v>
      </c>
      <c r="F549" s="1069">
        <f t="shared" si="37"/>
        <v>15338.842975206611</v>
      </c>
      <c r="G549" s="1069">
        <f t="shared" si="38"/>
        <v>334544</v>
      </c>
      <c r="H549" s="1068" t="e">
        <f>C885</f>
        <v>#REF!</v>
      </c>
      <c r="I549" s="1023"/>
      <c r="J549" s="1023"/>
      <c r="K549" s="1023"/>
      <c r="L549" s="1023"/>
      <c r="M549" s="1023"/>
      <c r="N549" s="1023"/>
      <c r="O549" s="1023"/>
      <c r="P549" s="1023"/>
      <c r="Q549" s="1023"/>
      <c r="R549" s="1023"/>
      <c r="S549" s="1023"/>
      <c r="T549" s="934"/>
      <c r="U549" s="934"/>
      <c r="V549" s="934"/>
      <c r="W549" s="934"/>
      <c r="X549" s="934"/>
      <c r="Y549" s="934"/>
      <c r="Z549" s="934"/>
    </row>
    <row r="550" spans="1:26" ht="16.5" customHeight="1">
      <c r="A550" s="1073">
        <v>546</v>
      </c>
      <c r="B550" s="1073" t="s">
        <v>1203</v>
      </c>
      <c r="C550" s="1072">
        <v>52.9</v>
      </c>
      <c r="D550" s="1071">
        <f t="shared" si="40"/>
        <v>16.00225</v>
      </c>
      <c r="E550" s="1070">
        <f>(3645000*1.25)/1000</f>
        <v>4556.25</v>
      </c>
      <c r="F550" s="1069">
        <f t="shared" si="37"/>
        <v>15061.98347107438</v>
      </c>
      <c r="G550" s="1069">
        <f t="shared" si="38"/>
        <v>241025.625</v>
      </c>
      <c r="H550" s="1068" t="e">
        <f>C872</f>
        <v>#REF!</v>
      </c>
      <c r="I550" s="1023"/>
      <c r="J550" s="1023"/>
      <c r="K550" s="1023"/>
      <c r="L550" s="1023"/>
      <c r="M550" s="1023"/>
      <c r="N550" s="1023"/>
      <c r="O550" s="1023"/>
      <c r="P550" s="1023"/>
      <c r="Q550" s="1023"/>
      <c r="R550" s="1023"/>
      <c r="S550" s="1023"/>
      <c r="T550" s="934"/>
      <c r="U550" s="934"/>
      <c r="V550" s="934"/>
      <c r="W550" s="934"/>
      <c r="X550" s="934"/>
      <c r="Y550" s="934"/>
      <c r="Z550" s="934"/>
    </row>
    <row r="551" spans="1:26" ht="16.5" customHeight="1">
      <c r="A551" s="1073">
        <v>547</v>
      </c>
      <c r="B551" s="1073" t="s">
        <v>1204</v>
      </c>
      <c r="C551" s="1072">
        <v>87</v>
      </c>
      <c r="D551" s="1071">
        <f t="shared" si="40"/>
        <v>26.317499999999999</v>
      </c>
      <c r="E551" s="1070">
        <f>(5008000*1.25)/1000</f>
        <v>6260</v>
      </c>
      <c r="F551" s="1069">
        <f t="shared" si="37"/>
        <v>20694.21487603306</v>
      </c>
      <c r="G551" s="1069">
        <f t="shared" si="38"/>
        <v>544620</v>
      </c>
      <c r="H551" s="1068" t="e">
        <f>C887</f>
        <v>#REF!</v>
      </c>
      <c r="I551" s="1023"/>
      <c r="J551" s="1023"/>
      <c r="K551" s="1023"/>
      <c r="L551" s="1023"/>
      <c r="M551" s="1023"/>
      <c r="N551" s="1023"/>
      <c r="O551" s="1023"/>
      <c r="P551" s="1023"/>
      <c r="Q551" s="1023"/>
      <c r="R551" s="1023"/>
      <c r="S551" s="1023"/>
      <c r="T551" s="934"/>
      <c r="U551" s="934"/>
      <c r="V551" s="934"/>
      <c r="W551" s="934"/>
      <c r="X551" s="934"/>
      <c r="Y551" s="934"/>
      <c r="Z551" s="934"/>
    </row>
    <row r="552" spans="1:26" ht="16.5" customHeight="1">
      <c r="A552" s="1073">
        <v>548</v>
      </c>
      <c r="B552" s="1073" t="s">
        <v>1205</v>
      </c>
      <c r="C552" s="1072">
        <v>89.6</v>
      </c>
      <c r="D552" s="1071">
        <f t="shared" si="40"/>
        <v>27.103999999999999</v>
      </c>
      <c r="E552" s="1070">
        <f>(3590000*1.25)/1000</f>
        <v>4487.5</v>
      </c>
      <c r="F552" s="1069">
        <f t="shared" si="37"/>
        <v>14834.710743801654</v>
      </c>
      <c r="G552" s="1069">
        <f t="shared" si="38"/>
        <v>402080</v>
      </c>
      <c r="H552" s="1068" t="e">
        <f>C888</f>
        <v>#REF!</v>
      </c>
      <c r="I552" s="1023"/>
      <c r="J552" s="1023"/>
      <c r="K552" s="1023"/>
      <c r="L552" s="1023"/>
      <c r="M552" s="1023"/>
      <c r="N552" s="1023"/>
      <c r="O552" s="1023"/>
      <c r="P552" s="1023"/>
      <c r="Q552" s="1023"/>
      <c r="R552" s="1023"/>
      <c r="S552" s="1023"/>
      <c r="T552" s="934"/>
      <c r="U552" s="934"/>
      <c r="V552" s="934"/>
      <c r="W552" s="934"/>
      <c r="X552" s="934"/>
      <c r="Y552" s="934"/>
      <c r="Z552" s="934"/>
    </row>
    <row r="553" spans="1:26" ht="16.5" customHeight="1">
      <c r="A553" s="1073">
        <v>549</v>
      </c>
      <c r="B553" s="1073" t="s">
        <v>1206</v>
      </c>
      <c r="C553" s="1072">
        <v>88</v>
      </c>
      <c r="D553" s="1071">
        <f t="shared" si="40"/>
        <v>26.619999999999997</v>
      </c>
      <c r="E553" s="1070">
        <f>(3590000*1.25)/1000</f>
        <v>4487.5</v>
      </c>
      <c r="F553" s="1069">
        <f t="shared" si="37"/>
        <v>14834.710743801654</v>
      </c>
      <c r="G553" s="1069">
        <f t="shared" si="38"/>
        <v>394900</v>
      </c>
      <c r="H553" s="1068">
        <f>C889</f>
        <v>18</v>
      </c>
      <c r="I553" s="1023"/>
      <c r="J553" s="1023"/>
      <c r="K553" s="1023"/>
      <c r="L553" s="1023"/>
      <c r="M553" s="1023"/>
      <c r="N553" s="1023"/>
      <c r="O553" s="1023"/>
      <c r="P553" s="1023"/>
      <c r="Q553" s="1023"/>
      <c r="R553" s="1023"/>
      <c r="S553" s="1023"/>
      <c r="T553" s="934"/>
      <c r="U553" s="934"/>
      <c r="V553" s="934"/>
      <c r="W553" s="934"/>
      <c r="X553" s="934"/>
      <c r="Y553" s="934"/>
      <c r="Z553" s="934"/>
    </row>
    <row r="554" spans="1:26" ht="16.5" customHeight="1">
      <c r="A554" s="1073">
        <v>550</v>
      </c>
      <c r="B554" s="1073" t="s">
        <v>1207</v>
      </c>
      <c r="C554" s="1072">
        <v>89.5</v>
      </c>
      <c r="D554" s="1071">
        <f t="shared" si="40"/>
        <v>27.07375</v>
      </c>
      <c r="E554" s="1070">
        <f>(3590000*1.25)/1000</f>
        <v>4487.5</v>
      </c>
      <c r="F554" s="1069">
        <f t="shared" si="37"/>
        <v>14834.710743801654</v>
      </c>
      <c r="G554" s="1069">
        <f t="shared" si="38"/>
        <v>401631.25</v>
      </c>
      <c r="H554" s="1068" t="e">
        <f>C890</f>
        <v>#REF!</v>
      </c>
      <c r="I554" s="1023"/>
      <c r="J554" s="1023"/>
      <c r="K554" s="1023"/>
      <c r="L554" s="1023"/>
      <c r="M554" s="1023"/>
      <c r="N554" s="1023"/>
      <c r="O554" s="1023"/>
      <c r="P554" s="1023"/>
      <c r="Q554" s="1023"/>
      <c r="R554" s="1023"/>
      <c r="S554" s="1023"/>
      <c r="T554" s="934"/>
      <c r="U554" s="934"/>
      <c r="V554" s="934"/>
      <c r="W554" s="934"/>
      <c r="X554" s="934"/>
      <c r="Y554" s="934"/>
      <c r="Z554" s="934"/>
    </row>
    <row r="555" spans="1:26" ht="16.5" customHeight="1">
      <c r="A555" s="1073">
        <v>551</v>
      </c>
      <c r="B555" s="1073" t="s">
        <v>1208</v>
      </c>
      <c r="C555" s="1072">
        <v>90.2</v>
      </c>
      <c r="D555" s="1071">
        <f t="shared" si="40"/>
        <v>27.285499999999999</v>
      </c>
      <c r="E555" s="1070">
        <f>(3590000*1.25)/1000</f>
        <v>4487.5</v>
      </c>
      <c r="F555" s="1069">
        <f t="shared" si="37"/>
        <v>14834.710743801654</v>
      </c>
      <c r="G555" s="1069">
        <f t="shared" si="38"/>
        <v>404772.5</v>
      </c>
      <c r="H555" s="1068">
        <f>C877</f>
        <v>0</v>
      </c>
      <c r="I555" s="1023"/>
      <c r="J555" s="1023"/>
      <c r="K555" s="1023"/>
      <c r="L555" s="1023"/>
      <c r="M555" s="1023"/>
      <c r="N555" s="1023"/>
      <c r="O555" s="1023"/>
      <c r="P555" s="1023"/>
      <c r="Q555" s="1023"/>
      <c r="R555" s="1023"/>
      <c r="S555" s="1023"/>
      <c r="T555" s="934"/>
      <c r="U555" s="934"/>
      <c r="V555" s="934"/>
      <c r="W555" s="934"/>
      <c r="X555" s="934"/>
      <c r="Y555" s="934"/>
      <c r="Z555" s="934"/>
    </row>
    <row r="556" spans="1:26" ht="16.5" customHeight="1">
      <c r="A556" s="1073">
        <v>552</v>
      </c>
      <c r="B556" s="1073" t="s">
        <v>1209</v>
      </c>
      <c r="C556" s="1072">
        <v>88.4</v>
      </c>
      <c r="D556" s="1071">
        <f t="shared" si="40"/>
        <v>26.741</v>
      </c>
      <c r="E556" s="1070">
        <f>(3590000*1.25)/1000</f>
        <v>4487.5</v>
      </c>
      <c r="F556" s="1069">
        <f t="shared" si="37"/>
        <v>14834.710743801654</v>
      </c>
      <c r="G556" s="1069">
        <f t="shared" si="38"/>
        <v>396695</v>
      </c>
      <c r="H556" s="1068">
        <f>C892</f>
        <v>0</v>
      </c>
      <c r="I556" s="1023"/>
      <c r="J556" s="1023"/>
      <c r="K556" s="1023"/>
      <c r="L556" s="1023"/>
      <c r="M556" s="1023"/>
      <c r="N556" s="1023"/>
      <c r="O556" s="1023"/>
      <c r="P556" s="1023"/>
      <c r="Q556" s="1023"/>
      <c r="R556" s="1023"/>
      <c r="S556" s="1023"/>
      <c r="T556" s="934"/>
      <c r="U556" s="934"/>
      <c r="V556" s="934"/>
      <c r="W556" s="934"/>
      <c r="X556" s="934"/>
      <c r="Y556" s="934"/>
      <c r="Z556" s="934"/>
    </row>
    <row r="557" spans="1:26" ht="16.5" customHeight="1">
      <c r="A557" s="1073">
        <v>553</v>
      </c>
      <c r="B557" s="1073" t="s">
        <v>1210</v>
      </c>
      <c r="C557" s="1072">
        <v>88.8</v>
      </c>
      <c r="D557" s="1071">
        <f t="shared" si="40"/>
        <v>26.861999999999998</v>
      </c>
      <c r="E557" s="1070">
        <f t="shared" ref="E557:E564" si="43">(3651000*1.25)/1000</f>
        <v>4563.75</v>
      </c>
      <c r="F557" s="1069">
        <f t="shared" si="37"/>
        <v>15086.776859504133</v>
      </c>
      <c r="G557" s="1069">
        <f t="shared" si="38"/>
        <v>405261</v>
      </c>
      <c r="H557" s="1068" t="e">
        <f>C893</f>
        <v>#REF!</v>
      </c>
      <c r="I557" s="1023"/>
      <c r="J557" s="1023"/>
      <c r="K557" s="1023"/>
      <c r="L557" s="1023"/>
      <c r="M557" s="1023"/>
      <c r="N557" s="1023"/>
      <c r="O557" s="1023"/>
      <c r="P557" s="1023"/>
      <c r="Q557" s="1023"/>
      <c r="R557" s="1023"/>
      <c r="S557" s="1023"/>
      <c r="T557" s="934"/>
      <c r="U557" s="934"/>
      <c r="V557" s="934"/>
      <c r="W557" s="934"/>
      <c r="X557" s="934"/>
      <c r="Y557" s="934"/>
      <c r="Z557" s="934"/>
    </row>
    <row r="558" spans="1:26" ht="16.5" customHeight="1">
      <c r="A558" s="1073">
        <v>554</v>
      </c>
      <c r="B558" s="1073" t="s">
        <v>1211</v>
      </c>
      <c r="C558" s="1072">
        <v>90.4</v>
      </c>
      <c r="D558" s="1071">
        <f t="shared" si="40"/>
        <v>27.346</v>
      </c>
      <c r="E558" s="1070">
        <f t="shared" si="43"/>
        <v>4563.75</v>
      </c>
      <c r="F558" s="1069">
        <f t="shared" si="37"/>
        <v>15086.776859504133</v>
      </c>
      <c r="G558" s="1069">
        <f t="shared" si="38"/>
        <v>412563</v>
      </c>
      <c r="H558" s="1068">
        <f>C894</f>
        <v>210</v>
      </c>
      <c r="I558" s="1023"/>
      <c r="J558" s="1023"/>
      <c r="K558" s="1023"/>
      <c r="L558" s="1023"/>
      <c r="M558" s="1023"/>
      <c r="N558" s="1023"/>
      <c r="O558" s="1023"/>
      <c r="P558" s="1023"/>
      <c r="Q558" s="1023"/>
      <c r="R558" s="1023"/>
      <c r="S558" s="1023"/>
      <c r="T558" s="934"/>
      <c r="U558" s="934"/>
      <c r="V558" s="934"/>
      <c r="W558" s="934"/>
      <c r="X558" s="934"/>
      <c r="Y558" s="934"/>
      <c r="Z558" s="934"/>
    </row>
    <row r="559" spans="1:26" ht="16.5" customHeight="1">
      <c r="A559" s="1073">
        <v>555</v>
      </c>
      <c r="B559" s="1073" t="s">
        <v>1212</v>
      </c>
      <c r="C559" s="1072">
        <v>89.7</v>
      </c>
      <c r="D559" s="1071">
        <f t="shared" si="40"/>
        <v>27.134250000000002</v>
      </c>
      <c r="E559" s="1070">
        <f t="shared" si="43"/>
        <v>4563.75</v>
      </c>
      <c r="F559" s="1069">
        <f t="shared" si="37"/>
        <v>15086.776859504133</v>
      </c>
      <c r="G559" s="1069">
        <f t="shared" si="38"/>
        <v>409368.375</v>
      </c>
      <c r="H559" s="1068" t="e">
        <f>C895</f>
        <v>#REF!</v>
      </c>
      <c r="I559" s="1023"/>
      <c r="J559" s="1023"/>
      <c r="K559" s="1023"/>
      <c r="L559" s="1023"/>
      <c r="M559" s="1023"/>
      <c r="N559" s="1023"/>
      <c r="O559" s="1023"/>
      <c r="P559" s="1023"/>
      <c r="Q559" s="1023"/>
      <c r="R559" s="1023"/>
      <c r="S559" s="1023"/>
      <c r="T559" s="934"/>
      <c r="U559" s="934"/>
      <c r="V559" s="934"/>
      <c r="W559" s="934"/>
      <c r="X559" s="934"/>
      <c r="Y559" s="934"/>
      <c r="Z559" s="934"/>
    </row>
    <row r="560" spans="1:26" ht="16.5" customHeight="1">
      <c r="A560" s="1073">
        <v>556</v>
      </c>
      <c r="B560" s="1073" t="s">
        <v>1213</v>
      </c>
      <c r="C560" s="1072">
        <v>88.9</v>
      </c>
      <c r="D560" s="1071">
        <f t="shared" si="40"/>
        <v>26.892250000000001</v>
      </c>
      <c r="E560" s="1070">
        <f t="shared" si="43"/>
        <v>4563.75</v>
      </c>
      <c r="F560" s="1069">
        <f t="shared" si="37"/>
        <v>15086.776859504133</v>
      </c>
      <c r="G560" s="1069">
        <f t="shared" si="38"/>
        <v>405717.375</v>
      </c>
      <c r="H560" s="1068" t="e">
        <f>C882</f>
        <v>#REF!</v>
      </c>
      <c r="I560" s="1023"/>
      <c r="J560" s="1023"/>
      <c r="K560" s="1023"/>
      <c r="L560" s="1023"/>
      <c r="M560" s="1023"/>
      <c r="N560" s="1023"/>
      <c r="O560" s="1023"/>
      <c r="P560" s="1023"/>
      <c r="Q560" s="1023"/>
      <c r="R560" s="1023"/>
      <c r="S560" s="1023"/>
      <c r="T560" s="934"/>
      <c r="U560" s="934"/>
      <c r="V560" s="934"/>
      <c r="W560" s="934"/>
      <c r="X560" s="934"/>
      <c r="Y560" s="934"/>
      <c r="Z560" s="934"/>
    </row>
    <row r="561" spans="1:26" ht="16.5" customHeight="1">
      <c r="A561" s="1073">
        <v>557</v>
      </c>
      <c r="B561" s="1073" t="s">
        <v>1214</v>
      </c>
      <c r="C561" s="1072">
        <v>90.2</v>
      </c>
      <c r="D561" s="1071">
        <f t="shared" si="40"/>
        <v>27.285499999999999</v>
      </c>
      <c r="E561" s="1070">
        <f t="shared" si="43"/>
        <v>4563.75</v>
      </c>
      <c r="F561" s="1069">
        <f t="shared" si="37"/>
        <v>15086.776859504133</v>
      </c>
      <c r="G561" s="1069">
        <f t="shared" si="38"/>
        <v>411650.25</v>
      </c>
      <c r="H561" s="1068" t="e">
        <f>C897</f>
        <v>#REF!</v>
      </c>
      <c r="I561" s="1023"/>
      <c r="J561" s="1023"/>
      <c r="K561" s="1023"/>
      <c r="L561" s="1023"/>
      <c r="M561" s="1023"/>
      <c r="N561" s="1023"/>
      <c r="O561" s="1023"/>
      <c r="P561" s="1023"/>
      <c r="Q561" s="1023"/>
      <c r="R561" s="1023"/>
      <c r="S561" s="1023"/>
      <c r="T561" s="934"/>
      <c r="U561" s="934"/>
      <c r="V561" s="934"/>
      <c r="W561" s="934"/>
      <c r="X561" s="934"/>
      <c r="Y561" s="934"/>
      <c r="Z561" s="934"/>
    </row>
    <row r="562" spans="1:26" ht="16.5" customHeight="1">
      <c r="A562" s="1073">
        <v>558</v>
      </c>
      <c r="B562" s="1073" t="s">
        <v>1215</v>
      </c>
      <c r="C562" s="1072">
        <v>90.6</v>
      </c>
      <c r="D562" s="1071">
        <f t="shared" si="40"/>
        <v>27.406499999999998</v>
      </c>
      <c r="E562" s="1070">
        <f t="shared" si="43"/>
        <v>4563.75</v>
      </c>
      <c r="F562" s="1069">
        <f t="shared" si="37"/>
        <v>15086.776859504133</v>
      </c>
      <c r="G562" s="1069">
        <f t="shared" si="38"/>
        <v>413475.75</v>
      </c>
      <c r="H562" s="1068" t="e">
        <f>C898</f>
        <v>#REF!</v>
      </c>
      <c r="I562" s="1023"/>
      <c r="J562" s="1023"/>
      <c r="K562" s="1023"/>
      <c r="L562" s="1023"/>
      <c r="M562" s="1023"/>
      <c r="N562" s="1023"/>
      <c r="O562" s="1023"/>
      <c r="P562" s="1023"/>
      <c r="Q562" s="1023"/>
      <c r="R562" s="1023"/>
      <c r="S562" s="1023"/>
      <c r="T562" s="934"/>
      <c r="U562" s="934"/>
      <c r="V562" s="934"/>
      <c r="W562" s="934"/>
      <c r="X562" s="934"/>
      <c r="Y562" s="934"/>
      <c r="Z562" s="934"/>
    </row>
    <row r="563" spans="1:26" ht="16.5" customHeight="1">
      <c r="A563" s="1073">
        <v>559</v>
      </c>
      <c r="B563" s="1073" t="s">
        <v>1216</v>
      </c>
      <c r="C563" s="1072">
        <v>89.5</v>
      </c>
      <c r="D563" s="1071">
        <f t="shared" si="40"/>
        <v>27.07375</v>
      </c>
      <c r="E563" s="1070">
        <f t="shared" si="43"/>
        <v>4563.75</v>
      </c>
      <c r="F563" s="1069">
        <f t="shared" si="37"/>
        <v>15086.776859504133</v>
      </c>
      <c r="G563" s="1069">
        <f t="shared" si="38"/>
        <v>408455.625</v>
      </c>
      <c r="H563" s="1068" t="e">
        <f>C899</f>
        <v>#REF!</v>
      </c>
      <c r="I563" s="1023"/>
      <c r="J563" s="1023"/>
      <c r="K563" s="1023"/>
      <c r="L563" s="1023"/>
      <c r="M563" s="1023"/>
      <c r="N563" s="1023"/>
      <c r="O563" s="1023"/>
      <c r="P563" s="1023"/>
      <c r="Q563" s="1023"/>
      <c r="R563" s="1023"/>
      <c r="S563" s="1023"/>
      <c r="T563" s="934"/>
      <c r="U563" s="934"/>
      <c r="V563" s="934"/>
      <c r="W563" s="934"/>
      <c r="X563" s="934"/>
      <c r="Y563" s="934"/>
      <c r="Z563" s="934"/>
    </row>
    <row r="564" spans="1:26" ht="16.5" customHeight="1">
      <c r="A564" s="1073">
        <v>560</v>
      </c>
      <c r="B564" s="1073" t="s">
        <v>1217</v>
      </c>
      <c r="C564" s="1072">
        <v>91.5</v>
      </c>
      <c r="D564" s="1071">
        <f t="shared" si="40"/>
        <v>27.678750000000001</v>
      </c>
      <c r="E564" s="1070">
        <f t="shared" si="43"/>
        <v>4563.75</v>
      </c>
      <c r="F564" s="1069">
        <f t="shared" si="37"/>
        <v>15086.776859504133</v>
      </c>
      <c r="G564" s="1069">
        <f t="shared" si="38"/>
        <v>417583.125</v>
      </c>
      <c r="H564" s="1068" t="e">
        <f>C900</f>
        <v>#REF!</v>
      </c>
      <c r="I564" s="1023"/>
      <c r="J564" s="1023"/>
      <c r="K564" s="1023"/>
      <c r="L564" s="1023"/>
      <c r="M564" s="1023"/>
      <c r="N564" s="1023"/>
      <c r="O564" s="1023"/>
      <c r="P564" s="1023"/>
      <c r="Q564" s="1023"/>
      <c r="R564" s="1023"/>
      <c r="S564" s="1023"/>
      <c r="T564" s="934"/>
      <c r="U564" s="934"/>
      <c r="V564" s="934"/>
      <c r="W564" s="934"/>
      <c r="X564" s="934"/>
      <c r="Y564" s="934"/>
      <c r="Z564" s="934"/>
    </row>
    <row r="565" spans="1:26" ht="16.5" customHeight="1">
      <c r="A565" s="1073">
        <v>561</v>
      </c>
      <c r="B565" s="1073" t="s">
        <v>1218</v>
      </c>
      <c r="C565" s="1072">
        <v>85.3</v>
      </c>
      <c r="D565" s="1071">
        <f t="shared" si="40"/>
        <v>25.803249999999998</v>
      </c>
      <c r="E565" s="1070">
        <f>(5460000*1.25)/1000</f>
        <v>6825</v>
      </c>
      <c r="F565" s="1069">
        <f t="shared" si="37"/>
        <v>22561.983471074382</v>
      </c>
      <c r="G565" s="1069">
        <f t="shared" si="38"/>
        <v>582172.5</v>
      </c>
      <c r="H565" s="1068" t="e">
        <f>C887</f>
        <v>#REF!</v>
      </c>
      <c r="I565" s="1023"/>
      <c r="J565" s="1023"/>
      <c r="K565" s="1023"/>
      <c r="L565" s="1023"/>
      <c r="M565" s="1023"/>
      <c r="N565" s="1023"/>
      <c r="O565" s="1023"/>
      <c r="P565" s="1023"/>
      <c r="Q565" s="1023"/>
      <c r="R565" s="1023"/>
      <c r="S565" s="1023"/>
      <c r="T565" s="934"/>
      <c r="U565" s="934"/>
      <c r="V565" s="934"/>
      <c r="W565" s="934"/>
      <c r="X565" s="934"/>
      <c r="Y565" s="934"/>
      <c r="Z565" s="934"/>
    </row>
    <row r="566" spans="1:26" ht="16.5" customHeight="1">
      <c r="A566" s="1073">
        <v>562</v>
      </c>
      <c r="B566" s="1073" t="s">
        <v>1219</v>
      </c>
      <c r="C566" s="1072">
        <v>83.5</v>
      </c>
      <c r="D566" s="1071">
        <f t="shared" si="40"/>
        <v>25.258749999999999</v>
      </c>
      <c r="E566" s="1070">
        <f>(5460000*1.25)/1000</f>
        <v>6825</v>
      </c>
      <c r="F566" s="1069">
        <f t="shared" si="37"/>
        <v>22561.983471074382</v>
      </c>
      <c r="G566" s="1069">
        <f t="shared" si="38"/>
        <v>569887.5</v>
      </c>
      <c r="H566" s="1068" t="e">
        <f>C902</f>
        <v>#REF!</v>
      </c>
      <c r="I566" s="1023"/>
      <c r="J566" s="1023"/>
      <c r="K566" s="1023"/>
      <c r="L566" s="1023"/>
      <c r="M566" s="1023"/>
      <c r="N566" s="1023"/>
      <c r="O566" s="1023"/>
      <c r="P566" s="1023"/>
      <c r="Q566" s="1023"/>
      <c r="R566" s="1023"/>
      <c r="S566" s="1023"/>
      <c r="T566" s="934"/>
      <c r="U566" s="934"/>
      <c r="V566" s="934"/>
      <c r="W566" s="934"/>
      <c r="X566" s="934"/>
      <c r="Y566" s="934"/>
      <c r="Z566" s="934"/>
    </row>
    <row r="567" spans="1:26" ht="16.5" customHeight="1">
      <c r="A567" s="1073">
        <v>563</v>
      </c>
      <c r="B567" s="1073" t="s">
        <v>1220</v>
      </c>
      <c r="C567" s="1072">
        <v>88.5</v>
      </c>
      <c r="D567" s="1071">
        <f t="shared" si="40"/>
        <v>26.771249999999998</v>
      </c>
      <c r="E567" s="1070">
        <f t="shared" ref="E567:E579" si="44">(3645000*1.25)/1000</f>
        <v>4556.25</v>
      </c>
      <c r="F567" s="1069">
        <f t="shared" si="37"/>
        <v>15061.98347107438</v>
      </c>
      <c r="G567" s="1069">
        <f t="shared" si="38"/>
        <v>403228.125</v>
      </c>
      <c r="H567" s="1068" t="e">
        <f>C903</f>
        <v>#REF!</v>
      </c>
      <c r="I567" s="1023"/>
      <c r="J567" s="1023"/>
      <c r="K567" s="1023"/>
      <c r="L567" s="1023"/>
      <c r="M567" s="1023"/>
      <c r="N567" s="1023"/>
      <c r="O567" s="1023"/>
      <c r="P567" s="1023"/>
      <c r="Q567" s="1023"/>
      <c r="R567" s="1023"/>
      <c r="S567" s="1023"/>
      <c r="T567" s="934"/>
      <c r="U567" s="934"/>
      <c r="V567" s="934"/>
      <c r="W567" s="934"/>
      <c r="X567" s="934"/>
      <c r="Y567" s="934"/>
      <c r="Z567" s="934"/>
    </row>
    <row r="568" spans="1:26" ht="16.5" customHeight="1">
      <c r="A568" s="1073">
        <v>564</v>
      </c>
      <c r="B568" s="1073" t="s">
        <v>1221</v>
      </c>
      <c r="C568" s="1072">
        <v>88.1</v>
      </c>
      <c r="D568" s="1071">
        <f t="shared" si="40"/>
        <v>26.650249999999996</v>
      </c>
      <c r="E568" s="1070">
        <f t="shared" si="44"/>
        <v>4556.25</v>
      </c>
      <c r="F568" s="1069">
        <f t="shared" ref="F568:F631" si="45">E568/0.3025</f>
        <v>15061.98347107438</v>
      </c>
      <c r="G568" s="1069">
        <f t="shared" ref="G568:G631" si="46">C568*E568</f>
        <v>401405.625</v>
      </c>
      <c r="H568" s="1068">
        <f>C904</f>
        <v>18</v>
      </c>
      <c r="I568" s="1023"/>
      <c r="J568" s="1023"/>
      <c r="K568" s="1023"/>
      <c r="L568" s="1023"/>
      <c r="M568" s="1023"/>
      <c r="N568" s="1023"/>
      <c r="O568" s="1023"/>
      <c r="P568" s="1023"/>
      <c r="Q568" s="1023"/>
      <c r="R568" s="1023"/>
      <c r="S568" s="1023"/>
      <c r="T568" s="934"/>
      <c r="U568" s="934"/>
      <c r="V568" s="934"/>
      <c r="W568" s="934"/>
      <c r="X568" s="934"/>
      <c r="Y568" s="934"/>
      <c r="Z568" s="934"/>
    </row>
    <row r="569" spans="1:26" ht="16.5" customHeight="1">
      <c r="A569" s="1073">
        <v>565</v>
      </c>
      <c r="B569" s="1073" t="s">
        <v>1222</v>
      </c>
      <c r="C569" s="1072">
        <v>88.5</v>
      </c>
      <c r="D569" s="1071">
        <f t="shared" si="40"/>
        <v>26.771249999999998</v>
      </c>
      <c r="E569" s="1070">
        <f t="shared" si="44"/>
        <v>4556.25</v>
      </c>
      <c r="F569" s="1069">
        <f t="shared" si="45"/>
        <v>15061.98347107438</v>
      </c>
      <c r="G569" s="1069">
        <f t="shared" si="46"/>
        <v>403228.125</v>
      </c>
      <c r="H569" s="1068" t="e">
        <f>C905</f>
        <v>#REF!</v>
      </c>
      <c r="I569" s="1023"/>
      <c r="J569" s="1023"/>
      <c r="K569" s="1023"/>
      <c r="L569" s="1023"/>
      <c r="M569" s="1023"/>
      <c r="N569" s="1023"/>
      <c r="O569" s="1023"/>
      <c r="P569" s="1023"/>
      <c r="Q569" s="1023"/>
      <c r="R569" s="1023"/>
      <c r="S569" s="1023"/>
      <c r="T569" s="934"/>
      <c r="U569" s="934"/>
      <c r="V569" s="934"/>
      <c r="W569" s="934"/>
      <c r="X569" s="934"/>
      <c r="Y569" s="934"/>
      <c r="Z569" s="934"/>
    </row>
    <row r="570" spans="1:26" ht="16.5" customHeight="1">
      <c r="A570" s="1073">
        <v>566</v>
      </c>
      <c r="B570" s="1073" t="s">
        <v>1223</v>
      </c>
      <c r="C570" s="1072">
        <v>89</v>
      </c>
      <c r="D570" s="1071">
        <f t="shared" si="40"/>
        <v>26.922499999999999</v>
      </c>
      <c r="E570" s="1070">
        <f t="shared" si="44"/>
        <v>4556.25</v>
      </c>
      <c r="F570" s="1069">
        <f t="shared" si="45"/>
        <v>15061.98347107438</v>
      </c>
      <c r="G570" s="1069">
        <f t="shared" si="46"/>
        <v>405506.25</v>
      </c>
      <c r="H570" s="1068">
        <f>C892</f>
        <v>0</v>
      </c>
      <c r="I570" s="1023"/>
      <c r="J570" s="1023"/>
      <c r="K570" s="1023"/>
      <c r="L570" s="1023"/>
      <c r="M570" s="1023"/>
      <c r="N570" s="1023"/>
      <c r="O570" s="1023"/>
      <c r="P570" s="1023"/>
      <c r="Q570" s="1023"/>
      <c r="R570" s="1023"/>
      <c r="S570" s="1023"/>
      <c r="T570" s="934"/>
      <c r="U570" s="934"/>
      <c r="V570" s="934"/>
      <c r="W570" s="934"/>
      <c r="X570" s="934"/>
      <c r="Y570" s="934"/>
      <c r="Z570" s="934"/>
    </row>
    <row r="571" spans="1:26" ht="16.5" customHeight="1">
      <c r="A571" s="1073">
        <v>567</v>
      </c>
      <c r="B571" s="1073" t="s">
        <v>1224</v>
      </c>
      <c r="C571" s="1072">
        <v>87.9</v>
      </c>
      <c r="D571" s="1071">
        <f t="shared" si="40"/>
        <v>26.589750000000002</v>
      </c>
      <c r="E571" s="1070">
        <f t="shared" si="44"/>
        <v>4556.25</v>
      </c>
      <c r="F571" s="1069">
        <f t="shared" si="45"/>
        <v>15061.98347107438</v>
      </c>
      <c r="G571" s="1069">
        <f t="shared" si="46"/>
        <v>400494.375</v>
      </c>
      <c r="H571" s="1068">
        <f>C907</f>
        <v>0</v>
      </c>
      <c r="I571" s="1023"/>
      <c r="J571" s="1023"/>
      <c r="K571" s="1023"/>
      <c r="L571" s="1023"/>
      <c r="M571" s="1023"/>
      <c r="N571" s="1023"/>
      <c r="O571" s="1023"/>
      <c r="P571" s="1023"/>
      <c r="Q571" s="1023"/>
      <c r="R571" s="1023"/>
      <c r="S571" s="1023"/>
      <c r="T571" s="934"/>
      <c r="U571" s="934"/>
      <c r="V571" s="934"/>
      <c r="W571" s="934"/>
      <c r="X571" s="934"/>
      <c r="Y571" s="934"/>
      <c r="Z571" s="934"/>
    </row>
    <row r="572" spans="1:26" ht="16.5" customHeight="1">
      <c r="A572" s="1073">
        <v>568</v>
      </c>
      <c r="B572" s="1073" t="s">
        <v>1225</v>
      </c>
      <c r="C572" s="1072">
        <v>88.5</v>
      </c>
      <c r="D572" s="1071">
        <f t="shared" si="40"/>
        <v>26.771249999999998</v>
      </c>
      <c r="E572" s="1070">
        <f t="shared" si="44"/>
        <v>4556.25</v>
      </c>
      <c r="F572" s="1069">
        <f t="shared" si="45"/>
        <v>15061.98347107438</v>
      </c>
      <c r="G572" s="1069">
        <f t="shared" si="46"/>
        <v>403228.125</v>
      </c>
      <c r="H572" s="1068" t="e">
        <f>C908</f>
        <v>#REF!</v>
      </c>
      <c r="I572" s="1023"/>
      <c r="J572" s="1023"/>
      <c r="K572" s="1023"/>
      <c r="L572" s="1023"/>
      <c r="M572" s="1023"/>
      <c r="N572" s="1023"/>
      <c r="O572" s="1023"/>
      <c r="P572" s="1023"/>
      <c r="Q572" s="1023"/>
      <c r="R572" s="1023"/>
      <c r="S572" s="1023"/>
      <c r="T572" s="934"/>
      <c r="U572" s="934"/>
      <c r="V572" s="934"/>
      <c r="W572" s="934"/>
      <c r="X572" s="934"/>
      <c r="Y572" s="934"/>
      <c r="Z572" s="934"/>
    </row>
    <row r="573" spans="1:26" ht="16.5" customHeight="1">
      <c r="A573" s="1073">
        <v>569</v>
      </c>
      <c r="B573" s="1073" t="s">
        <v>1226</v>
      </c>
      <c r="C573" s="1072">
        <v>90.3</v>
      </c>
      <c r="D573" s="1071">
        <f t="shared" si="40"/>
        <v>27.315749999999998</v>
      </c>
      <c r="E573" s="1070">
        <f t="shared" si="44"/>
        <v>4556.25</v>
      </c>
      <c r="F573" s="1069">
        <f t="shared" si="45"/>
        <v>15061.98347107438</v>
      </c>
      <c r="G573" s="1069">
        <f t="shared" si="46"/>
        <v>411429.375</v>
      </c>
      <c r="H573" s="1068">
        <f>C909</f>
        <v>210</v>
      </c>
      <c r="I573" s="1023"/>
      <c r="J573" s="1023"/>
      <c r="K573" s="1023"/>
      <c r="L573" s="1023"/>
      <c r="M573" s="1023"/>
      <c r="N573" s="1023"/>
      <c r="O573" s="1023"/>
      <c r="P573" s="1023"/>
      <c r="Q573" s="1023"/>
      <c r="R573" s="1023"/>
      <c r="S573" s="1023"/>
      <c r="T573" s="934"/>
      <c r="U573" s="934"/>
      <c r="V573" s="934"/>
      <c r="W573" s="934"/>
      <c r="X573" s="934"/>
      <c r="Y573" s="934"/>
      <c r="Z573" s="934"/>
    </row>
    <row r="574" spans="1:26" ht="16.5" customHeight="1">
      <c r="A574" s="1073">
        <v>570</v>
      </c>
      <c r="B574" s="1073" t="s">
        <v>1227</v>
      </c>
      <c r="C574" s="1072">
        <v>87.7</v>
      </c>
      <c r="D574" s="1071">
        <f t="shared" si="40"/>
        <v>26.529250000000001</v>
      </c>
      <c r="E574" s="1070">
        <f t="shared" si="44"/>
        <v>4556.25</v>
      </c>
      <c r="F574" s="1069">
        <f t="shared" si="45"/>
        <v>15061.98347107438</v>
      </c>
      <c r="G574" s="1069">
        <f t="shared" si="46"/>
        <v>399583.125</v>
      </c>
      <c r="H574" s="1068" t="e">
        <f>C910</f>
        <v>#REF!</v>
      </c>
      <c r="I574" s="1023"/>
      <c r="J574" s="1023"/>
      <c r="K574" s="1023"/>
      <c r="L574" s="1023"/>
      <c r="M574" s="1023"/>
      <c r="N574" s="1023"/>
      <c r="O574" s="1023"/>
      <c r="P574" s="1023"/>
      <c r="Q574" s="1023"/>
      <c r="R574" s="1023"/>
      <c r="S574" s="1023"/>
      <c r="T574" s="934"/>
      <c r="U574" s="934"/>
      <c r="V574" s="934"/>
      <c r="W574" s="934"/>
      <c r="X574" s="934"/>
      <c r="Y574" s="934"/>
      <c r="Z574" s="934"/>
    </row>
    <row r="575" spans="1:26" ht="16.5" customHeight="1">
      <c r="A575" s="1073">
        <v>571</v>
      </c>
      <c r="B575" s="1073" t="s">
        <v>1228</v>
      </c>
      <c r="C575" s="1072">
        <v>89.1</v>
      </c>
      <c r="D575" s="1071">
        <f t="shared" si="40"/>
        <v>26.952749999999998</v>
      </c>
      <c r="E575" s="1070">
        <f t="shared" si="44"/>
        <v>4556.25</v>
      </c>
      <c r="F575" s="1069">
        <f t="shared" si="45"/>
        <v>15061.98347107438</v>
      </c>
      <c r="G575" s="1069">
        <f t="shared" si="46"/>
        <v>405961.875</v>
      </c>
      <c r="H575" s="1068" t="e">
        <f>C897</f>
        <v>#REF!</v>
      </c>
      <c r="I575" s="1023"/>
      <c r="J575" s="1023"/>
      <c r="K575" s="1023"/>
      <c r="L575" s="1023"/>
      <c r="M575" s="1023"/>
      <c r="N575" s="1023"/>
      <c r="O575" s="1023"/>
      <c r="P575" s="1023"/>
      <c r="Q575" s="1023"/>
      <c r="R575" s="1023"/>
      <c r="S575" s="1023"/>
      <c r="T575" s="934"/>
      <c r="U575" s="934"/>
      <c r="V575" s="934"/>
      <c r="W575" s="934"/>
      <c r="X575" s="934"/>
      <c r="Y575" s="934"/>
      <c r="Z575" s="934"/>
    </row>
    <row r="576" spans="1:26" ht="16.5" customHeight="1">
      <c r="A576" s="1073">
        <v>572</v>
      </c>
      <c r="B576" s="1073" t="s">
        <v>1229</v>
      </c>
      <c r="C576" s="1072">
        <v>89.3</v>
      </c>
      <c r="D576" s="1071">
        <f t="shared" si="40"/>
        <v>27.013249999999999</v>
      </c>
      <c r="E576" s="1070">
        <f t="shared" si="44"/>
        <v>4556.25</v>
      </c>
      <c r="F576" s="1069">
        <f t="shared" si="45"/>
        <v>15061.98347107438</v>
      </c>
      <c r="G576" s="1069">
        <f t="shared" si="46"/>
        <v>406873.125</v>
      </c>
      <c r="H576" s="1068" t="e">
        <f>C912</f>
        <v>#REF!</v>
      </c>
      <c r="I576" s="1023"/>
      <c r="J576" s="1023"/>
      <c r="K576" s="1023"/>
      <c r="L576" s="1023"/>
      <c r="M576" s="1023"/>
      <c r="N576" s="1023"/>
      <c r="O576" s="1023"/>
      <c r="P576" s="1023"/>
      <c r="Q576" s="1023"/>
      <c r="R576" s="1023"/>
      <c r="S576" s="1023"/>
      <c r="T576" s="934"/>
      <c r="U576" s="934"/>
      <c r="V576" s="934"/>
      <c r="W576" s="934"/>
      <c r="X576" s="934"/>
      <c r="Y576" s="934"/>
      <c r="Z576" s="934"/>
    </row>
    <row r="577" spans="1:26" ht="16.5" customHeight="1">
      <c r="A577" s="1073">
        <v>573</v>
      </c>
      <c r="B577" s="1073" t="s">
        <v>1230</v>
      </c>
      <c r="C577" s="1072">
        <v>89.6</v>
      </c>
      <c r="D577" s="1071">
        <f t="shared" si="40"/>
        <v>27.103999999999999</v>
      </c>
      <c r="E577" s="1070">
        <f t="shared" si="44"/>
        <v>4556.25</v>
      </c>
      <c r="F577" s="1069">
        <f t="shared" si="45"/>
        <v>15061.98347107438</v>
      </c>
      <c r="G577" s="1069">
        <f t="shared" si="46"/>
        <v>408240</v>
      </c>
      <c r="H577" s="1068" t="e">
        <f>C913</f>
        <v>#REF!</v>
      </c>
      <c r="I577" s="1023"/>
      <c r="J577" s="1023"/>
      <c r="K577" s="1023"/>
      <c r="L577" s="1023"/>
      <c r="M577" s="1023"/>
      <c r="N577" s="1023"/>
      <c r="O577" s="1023"/>
      <c r="P577" s="1023"/>
      <c r="Q577" s="1023"/>
      <c r="R577" s="1023"/>
      <c r="S577" s="1023"/>
      <c r="T577" s="934"/>
      <c r="U577" s="934"/>
      <c r="V577" s="934"/>
      <c r="W577" s="934"/>
      <c r="X577" s="934"/>
      <c r="Y577" s="934"/>
      <c r="Z577" s="934"/>
    </row>
    <row r="578" spans="1:26" ht="16.5" customHeight="1">
      <c r="A578" s="1073">
        <v>574</v>
      </c>
      <c r="B578" s="1073" t="s">
        <v>1231</v>
      </c>
      <c r="C578" s="1072">
        <v>89</v>
      </c>
      <c r="D578" s="1071">
        <f t="shared" si="40"/>
        <v>26.922499999999999</v>
      </c>
      <c r="E578" s="1070">
        <f t="shared" si="44"/>
        <v>4556.25</v>
      </c>
      <c r="F578" s="1069">
        <f t="shared" si="45"/>
        <v>15061.98347107438</v>
      </c>
      <c r="G578" s="1069">
        <f t="shared" si="46"/>
        <v>405506.25</v>
      </c>
      <c r="H578" s="1068" t="e">
        <f>C914</f>
        <v>#REF!</v>
      </c>
      <c r="I578" s="1023"/>
      <c r="J578" s="1023"/>
      <c r="K578" s="1023"/>
      <c r="L578" s="1023"/>
      <c r="M578" s="1023"/>
      <c r="N578" s="1023"/>
      <c r="O578" s="1023"/>
      <c r="P578" s="1023"/>
      <c r="Q578" s="1023"/>
      <c r="R578" s="1023"/>
      <c r="S578" s="1023"/>
      <c r="T578" s="934"/>
      <c r="U578" s="934"/>
      <c r="V578" s="934"/>
      <c r="W578" s="934"/>
      <c r="X578" s="934"/>
      <c r="Y578" s="934"/>
      <c r="Z578" s="934"/>
    </row>
    <row r="579" spans="1:26" ht="16.5" customHeight="1">
      <c r="A579" s="1073">
        <v>575</v>
      </c>
      <c r="B579" s="1073" t="s">
        <v>1232</v>
      </c>
      <c r="C579" s="1072">
        <v>92.7</v>
      </c>
      <c r="D579" s="1071">
        <f t="shared" si="40"/>
        <v>28.04175</v>
      </c>
      <c r="E579" s="1070">
        <f t="shared" si="44"/>
        <v>4556.25</v>
      </c>
      <c r="F579" s="1069">
        <f t="shared" si="45"/>
        <v>15061.98347107438</v>
      </c>
      <c r="G579" s="1069">
        <f t="shared" si="46"/>
        <v>422364.375</v>
      </c>
      <c r="H579" s="1068" t="e">
        <f>C915</f>
        <v>#REF!</v>
      </c>
      <c r="I579" s="1023"/>
      <c r="J579" s="1023"/>
      <c r="K579" s="1023"/>
      <c r="L579" s="1023"/>
      <c r="M579" s="1023"/>
      <c r="N579" s="1023"/>
      <c r="O579" s="1023"/>
      <c r="P579" s="1023"/>
      <c r="Q579" s="1023"/>
      <c r="R579" s="1023"/>
      <c r="S579" s="1023"/>
      <c r="T579" s="934"/>
      <c r="U579" s="934"/>
      <c r="V579" s="934"/>
      <c r="W579" s="934"/>
      <c r="X579" s="934"/>
      <c r="Y579" s="934"/>
      <c r="Z579" s="934"/>
    </row>
    <row r="580" spans="1:26" ht="16.5" customHeight="1">
      <c r="A580" s="1073">
        <v>576</v>
      </c>
      <c r="B580" s="1073" t="s">
        <v>1233</v>
      </c>
      <c r="C580" s="1072">
        <v>87.2</v>
      </c>
      <c r="D580" s="1071">
        <f t="shared" si="40"/>
        <v>26.378</v>
      </c>
      <c r="E580" s="1070">
        <f>(5720000*1.25)/1000</f>
        <v>7150</v>
      </c>
      <c r="F580" s="1069">
        <f t="shared" si="45"/>
        <v>23636.363636363636</v>
      </c>
      <c r="G580" s="1069">
        <f t="shared" si="46"/>
        <v>623480</v>
      </c>
      <c r="H580" s="1068" t="e">
        <f>C902</f>
        <v>#REF!</v>
      </c>
      <c r="I580" s="1023"/>
      <c r="J580" s="1023"/>
      <c r="K580" s="1023"/>
      <c r="L580" s="1023"/>
      <c r="M580" s="1023"/>
      <c r="N580" s="1023"/>
      <c r="O580" s="1023"/>
      <c r="P580" s="1023"/>
      <c r="Q580" s="1023"/>
      <c r="R580" s="1023"/>
      <c r="S580" s="1023"/>
      <c r="T580" s="934"/>
      <c r="U580" s="934"/>
      <c r="V580" s="934"/>
      <c r="W580" s="934"/>
      <c r="X580" s="934"/>
      <c r="Y580" s="934"/>
      <c r="Z580" s="934"/>
    </row>
    <row r="581" spans="1:26" ht="16.5" customHeight="1">
      <c r="A581" s="1073">
        <v>577</v>
      </c>
      <c r="B581" s="1073" t="s">
        <v>1234</v>
      </c>
      <c r="C581" s="1072">
        <v>89.3</v>
      </c>
      <c r="D581" s="1071">
        <f t="shared" ref="D581:D644" si="47">C581*0.3025</f>
        <v>27.013249999999999</v>
      </c>
      <c r="E581" s="1070">
        <f>(3550000*1.25)/1000</f>
        <v>4437.5</v>
      </c>
      <c r="F581" s="1069">
        <f t="shared" si="45"/>
        <v>14669.421487603306</v>
      </c>
      <c r="G581" s="1069">
        <f t="shared" si="46"/>
        <v>396268.75</v>
      </c>
      <c r="H581" s="1068">
        <f>C907</f>
        <v>0</v>
      </c>
      <c r="I581" s="1023"/>
      <c r="J581" s="1023"/>
      <c r="K581" s="1023"/>
      <c r="L581" s="1023"/>
      <c r="M581" s="1023"/>
      <c r="N581" s="1023"/>
      <c r="O581" s="1023"/>
      <c r="P581" s="1023"/>
      <c r="Q581" s="1023"/>
      <c r="R581" s="1023"/>
      <c r="S581" s="1023"/>
      <c r="T581" s="934"/>
      <c r="U581" s="934"/>
      <c r="V581" s="934"/>
      <c r="W581" s="934"/>
      <c r="X581" s="934"/>
      <c r="Y581" s="934"/>
      <c r="Z581" s="934"/>
    </row>
    <row r="582" spans="1:26" ht="16.5" customHeight="1">
      <c r="A582" s="1073">
        <v>578</v>
      </c>
      <c r="B582" s="1073" t="s">
        <v>1235</v>
      </c>
      <c r="C582" s="1072">
        <v>88.6</v>
      </c>
      <c r="D582" s="1071">
        <f t="shared" si="47"/>
        <v>26.801499999999997</v>
      </c>
      <c r="E582" s="1070">
        <f>(3550000*1.25)/1000</f>
        <v>4437.5</v>
      </c>
      <c r="F582" s="1069">
        <f t="shared" si="45"/>
        <v>14669.421487603306</v>
      </c>
      <c r="G582" s="1069">
        <f t="shared" si="46"/>
        <v>393162.5</v>
      </c>
      <c r="H582" s="1068">
        <f>C922</f>
        <v>0</v>
      </c>
      <c r="I582" s="1023"/>
      <c r="J582" s="1023"/>
      <c r="K582" s="1023"/>
      <c r="L582" s="1023"/>
      <c r="M582" s="1023"/>
      <c r="N582" s="1023"/>
      <c r="O582" s="1023"/>
      <c r="P582" s="1023"/>
      <c r="Q582" s="1023"/>
      <c r="R582" s="1023"/>
      <c r="S582" s="1023"/>
      <c r="T582" s="934"/>
      <c r="U582" s="934"/>
      <c r="V582" s="934"/>
      <c r="W582" s="934"/>
      <c r="X582" s="934"/>
      <c r="Y582" s="934"/>
      <c r="Z582" s="934"/>
    </row>
    <row r="583" spans="1:26" ht="16.5" customHeight="1">
      <c r="A583" s="1073">
        <v>579</v>
      </c>
      <c r="B583" s="1073" t="s">
        <v>1236</v>
      </c>
      <c r="C583" s="1072">
        <v>88.7</v>
      </c>
      <c r="D583" s="1071">
        <f t="shared" si="47"/>
        <v>26.83175</v>
      </c>
      <c r="E583" s="1070">
        <f t="shared" ref="E583:E589" si="48">(3651000*1.25)/1000</f>
        <v>4563.75</v>
      </c>
      <c r="F583" s="1069">
        <f t="shared" si="45"/>
        <v>15086.776859504133</v>
      </c>
      <c r="G583" s="1069">
        <f t="shared" si="46"/>
        <v>404804.625</v>
      </c>
      <c r="H583" s="1068" t="e">
        <f>C923</f>
        <v>#REF!</v>
      </c>
      <c r="I583" s="1023"/>
      <c r="J583" s="1023"/>
      <c r="K583" s="1023"/>
      <c r="L583" s="1023"/>
      <c r="M583" s="1023"/>
      <c r="N583" s="1023"/>
      <c r="O583" s="1023"/>
      <c r="P583" s="1023"/>
      <c r="Q583" s="1023"/>
      <c r="R583" s="1023"/>
      <c r="S583" s="1023"/>
      <c r="T583" s="934"/>
      <c r="U583" s="934"/>
      <c r="V583" s="934"/>
      <c r="W583" s="934"/>
      <c r="X583" s="934"/>
      <c r="Y583" s="934"/>
      <c r="Z583" s="934"/>
    </row>
    <row r="584" spans="1:26" ht="16.5" customHeight="1">
      <c r="A584" s="1073">
        <v>580</v>
      </c>
      <c r="B584" s="1073" t="s">
        <v>1237</v>
      </c>
      <c r="C584" s="1072">
        <v>87.6</v>
      </c>
      <c r="D584" s="1071">
        <f t="shared" si="47"/>
        <v>26.498999999999999</v>
      </c>
      <c r="E584" s="1070">
        <f t="shared" si="48"/>
        <v>4563.75</v>
      </c>
      <c r="F584" s="1069">
        <f t="shared" si="45"/>
        <v>15086.776859504133</v>
      </c>
      <c r="G584" s="1069">
        <f t="shared" si="46"/>
        <v>399784.5</v>
      </c>
      <c r="H584" s="1068">
        <f>C924</f>
        <v>210</v>
      </c>
      <c r="I584" s="1023"/>
      <c r="J584" s="1023"/>
      <c r="K584" s="1023"/>
      <c r="L584" s="1023"/>
      <c r="M584" s="1023"/>
      <c r="N584" s="1023"/>
      <c r="O584" s="1023"/>
      <c r="P584" s="1023"/>
      <c r="Q584" s="1023"/>
      <c r="R584" s="1023"/>
      <c r="S584" s="1023"/>
      <c r="T584" s="934"/>
      <c r="U584" s="934"/>
      <c r="V584" s="934"/>
      <c r="W584" s="934"/>
      <c r="X584" s="934"/>
      <c r="Y584" s="934"/>
      <c r="Z584" s="934"/>
    </row>
    <row r="585" spans="1:26" ht="16.5" customHeight="1">
      <c r="A585" s="1073">
        <v>581</v>
      </c>
      <c r="B585" s="1073" t="s">
        <v>1238</v>
      </c>
      <c r="C585" s="1072">
        <v>88.1</v>
      </c>
      <c r="D585" s="1071">
        <f t="shared" si="47"/>
        <v>26.650249999999996</v>
      </c>
      <c r="E585" s="1070">
        <f t="shared" si="48"/>
        <v>4563.75</v>
      </c>
      <c r="F585" s="1069">
        <f t="shared" si="45"/>
        <v>15086.776859504133</v>
      </c>
      <c r="G585" s="1069">
        <f t="shared" si="46"/>
        <v>402066.375</v>
      </c>
      <c r="H585" s="1068" t="e">
        <f>C925</f>
        <v>#REF!</v>
      </c>
      <c r="I585" s="1023"/>
      <c r="J585" s="1023"/>
      <c r="K585" s="1023"/>
      <c r="L585" s="1023"/>
      <c r="M585" s="1023"/>
      <c r="N585" s="1023"/>
      <c r="O585" s="1023"/>
      <c r="P585" s="1023"/>
      <c r="Q585" s="1023"/>
      <c r="R585" s="1023"/>
      <c r="S585" s="1023"/>
      <c r="T585" s="934"/>
      <c r="U585" s="934"/>
      <c r="V585" s="934"/>
      <c r="W585" s="934"/>
      <c r="X585" s="934"/>
      <c r="Y585" s="934"/>
      <c r="Z585" s="934"/>
    </row>
    <row r="586" spans="1:26" ht="16.5" customHeight="1">
      <c r="A586" s="1073">
        <v>582</v>
      </c>
      <c r="B586" s="1073" t="s">
        <v>1239</v>
      </c>
      <c r="C586" s="1072">
        <v>89.7</v>
      </c>
      <c r="D586" s="1071">
        <f t="shared" si="47"/>
        <v>27.134250000000002</v>
      </c>
      <c r="E586" s="1070">
        <f t="shared" si="48"/>
        <v>4563.75</v>
      </c>
      <c r="F586" s="1069">
        <f t="shared" si="45"/>
        <v>15086.776859504133</v>
      </c>
      <c r="G586" s="1069">
        <f t="shared" si="46"/>
        <v>409368.375</v>
      </c>
      <c r="H586" s="1068" t="e">
        <f>C912</f>
        <v>#REF!</v>
      </c>
      <c r="I586" s="1023"/>
      <c r="J586" s="1023"/>
      <c r="K586" s="1023"/>
      <c r="L586" s="1023"/>
      <c r="M586" s="1023"/>
      <c r="N586" s="1023"/>
      <c r="O586" s="1023"/>
      <c r="P586" s="1023"/>
      <c r="Q586" s="1023"/>
      <c r="R586" s="1023"/>
      <c r="S586" s="1023"/>
      <c r="T586" s="934"/>
      <c r="U586" s="934"/>
      <c r="V586" s="934"/>
      <c r="W586" s="934"/>
      <c r="X586" s="934"/>
      <c r="Y586" s="934"/>
      <c r="Z586" s="934"/>
    </row>
    <row r="587" spans="1:26" ht="16.5" customHeight="1">
      <c r="A587" s="1073">
        <v>583</v>
      </c>
      <c r="B587" s="1073" t="s">
        <v>1240</v>
      </c>
      <c r="C587" s="1072">
        <v>87.4</v>
      </c>
      <c r="D587" s="1071">
        <f t="shared" si="47"/>
        <v>26.438500000000001</v>
      </c>
      <c r="E587" s="1070">
        <f t="shared" si="48"/>
        <v>4563.75</v>
      </c>
      <c r="F587" s="1069">
        <f t="shared" si="45"/>
        <v>15086.776859504133</v>
      </c>
      <c r="G587" s="1069">
        <f t="shared" si="46"/>
        <v>398871.75</v>
      </c>
      <c r="H587" s="1068" t="e">
        <f>C927</f>
        <v>#REF!</v>
      </c>
      <c r="I587" s="1023"/>
      <c r="J587" s="1023"/>
      <c r="K587" s="1023"/>
      <c r="L587" s="1023"/>
      <c r="M587" s="1023"/>
      <c r="N587" s="1023"/>
      <c r="O587" s="1023"/>
      <c r="P587" s="1023"/>
      <c r="Q587" s="1023"/>
      <c r="R587" s="1023"/>
      <c r="S587" s="1023"/>
      <c r="T587" s="934"/>
      <c r="U587" s="934"/>
      <c r="V587" s="934"/>
      <c r="W587" s="934"/>
      <c r="X587" s="934"/>
      <c r="Y587" s="934"/>
      <c r="Z587" s="934"/>
    </row>
    <row r="588" spans="1:26" ht="16.5" customHeight="1">
      <c r="A588" s="1073">
        <v>584</v>
      </c>
      <c r="B588" s="1073" t="s">
        <v>1241</v>
      </c>
      <c r="C588" s="1072">
        <v>87.3</v>
      </c>
      <c r="D588" s="1071">
        <f t="shared" si="47"/>
        <v>26.408249999999999</v>
      </c>
      <c r="E588" s="1070">
        <f t="shared" si="48"/>
        <v>4563.75</v>
      </c>
      <c r="F588" s="1069">
        <f t="shared" si="45"/>
        <v>15086.776859504133</v>
      </c>
      <c r="G588" s="1069">
        <f t="shared" si="46"/>
        <v>398415.375</v>
      </c>
      <c r="H588" s="1068" t="e">
        <f>C928</f>
        <v>#REF!</v>
      </c>
      <c r="I588" s="1023"/>
      <c r="J588" s="1023"/>
      <c r="K588" s="1023"/>
      <c r="L588" s="1023"/>
      <c r="M588" s="1023"/>
      <c r="N588" s="1023"/>
      <c r="O588" s="1023"/>
      <c r="P588" s="1023"/>
      <c r="Q588" s="1023"/>
      <c r="R588" s="1023"/>
      <c r="S588" s="1023"/>
      <c r="T588" s="934"/>
      <c r="U588" s="934"/>
      <c r="V588" s="934"/>
      <c r="W588" s="934"/>
      <c r="X588" s="934"/>
      <c r="Y588" s="934"/>
      <c r="Z588" s="934"/>
    </row>
    <row r="589" spans="1:26" ht="16.5" customHeight="1">
      <c r="A589" s="1073">
        <v>585</v>
      </c>
      <c r="B589" s="1073" t="s">
        <v>1242</v>
      </c>
      <c r="C589" s="1072">
        <v>88.6</v>
      </c>
      <c r="D589" s="1071">
        <f t="shared" si="47"/>
        <v>26.801499999999997</v>
      </c>
      <c r="E589" s="1070">
        <f t="shared" si="48"/>
        <v>4563.75</v>
      </c>
      <c r="F589" s="1069">
        <f t="shared" si="45"/>
        <v>15086.776859504133</v>
      </c>
      <c r="G589" s="1069">
        <f t="shared" si="46"/>
        <v>404348.25</v>
      </c>
      <c r="H589" s="1068" t="e">
        <f>C929</f>
        <v>#REF!</v>
      </c>
      <c r="I589" s="1023"/>
      <c r="J589" s="1023"/>
      <c r="K589" s="1023"/>
      <c r="L589" s="1023"/>
      <c r="M589" s="1023"/>
      <c r="N589" s="1023"/>
      <c r="O589" s="1023"/>
      <c r="P589" s="1023"/>
      <c r="Q589" s="1023"/>
      <c r="R589" s="1023"/>
      <c r="S589" s="1023"/>
      <c r="T589" s="934"/>
      <c r="U589" s="934"/>
      <c r="V589" s="934"/>
      <c r="W589" s="934"/>
      <c r="X589" s="934"/>
      <c r="Y589" s="934"/>
      <c r="Z589" s="934"/>
    </row>
    <row r="590" spans="1:26" ht="16.5" customHeight="1">
      <c r="A590" s="1073">
        <v>586</v>
      </c>
      <c r="B590" s="1073" t="s">
        <v>1243</v>
      </c>
      <c r="C590" s="1072">
        <v>85.2</v>
      </c>
      <c r="D590" s="1071">
        <f t="shared" si="47"/>
        <v>25.773</v>
      </c>
      <c r="E590" s="1070">
        <f>(5460000*1.25)/1000</f>
        <v>6825</v>
      </c>
      <c r="F590" s="1069">
        <f t="shared" si="45"/>
        <v>22561.983471074382</v>
      </c>
      <c r="G590" s="1069">
        <f t="shared" si="46"/>
        <v>581490</v>
      </c>
      <c r="H590" s="1068" t="e">
        <f>C930</f>
        <v>#REF!</v>
      </c>
      <c r="I590" s="1023"/>
      <c r="J590" s="1023"/>
      <c r="K590" s="1023"/>
      <c r="L590" s="1023"/>
      <c r="M590" s="1023"/>
      <c r="N590" s="1023"/>
      <c r="O590" s="1023"/>
      <c r="P590" s="1023"/>
      <c r="Q590" s="1023"/>
      <c r="R590" s="1023"/>
      <c r="S590" s="1023"/>
      <c r="T590" s="934"/>
      <c r="U590" s="934"/>
      <c r="V590" s="934"/>
      <c r="W590" s="934"/>
      <c r="X590" s="934"/>
      <c r="Y590" s="934"/>
      <c r="Z590" s="934"/>
    </row>
    <row r="591" spans="1:26" ht="16.5" customHeight="1">
      <c r="A591" s="1073">
        <v>587</v>
      </c>
      <c r="B591" s="1073" t="s">
        <v>1244</v>
      </c>
      <c r="C591" s="1072">
        <v>86.4</v>
      </c>
      <c r="D591" s="1071">
        <f t="shared" si="47"/>
        <v>26.135999999999999</v>
      </c>
      <c r="E591" s="1070">
        <f>(5460000*1.25)/1000</f>
        <v>6825</v>
      </c>
      <c r="F591" s="1069">
        <f t="shared" si="45"/>
        <v>22561.983471074382</v>
      </c>
      <c r="G591" s="1069">
        <f t="shared" si="46"/>
        <v>589680</v>
      </c>
      <c r="H591" s="1068" t="e">
        <f>C917</f>
        <v>#REF!</v>
      </c>
      <c r="I591" s="1023"/>
      <c r="J591" s="1023"/>
      <c r="K591" s="1023"/>
      <c r="L591" s="1023"/>
      <c r="M591" s="1023"/>
      <c r="N591" s="1023"/>
      <c r="O591" s="1023"/>
      <c r="P591" s="1023"/>
      <c r="Q591" s="1023"/>
      <c r="R591" s="1023"/>
      <c r="S591" s="1023"/>
      <c r="T591" s="934"/>
      <c r="U591" s="934"/>
      <c r="V591" s="934"/>
      <c r="W591" s="934"/>
      <c r="X591" s="934"/>
      <c r="Y591" s="934"/>
      <c r="Z591" s="934"/>
    </row>
    <row r="592" spans="1:26" ht="16.5" customHeight="1">
      <c r="A592" s="1073">
        <v>588</v>
      </c>
      <c r="B592" s="1073" t="s">
        <v>1245</v>
      </c>
      <c r="C592" s="1072">
        <v>91.1</v>
      </c>
      <c r="D592" s="1071">
        <f t="shared" si="47"/>
        <v>27.557749999999999</v>
      </c>
      <c r="E592" s="1070">
        <f t="shared" ref="E592:E599" si="49">(3580000*1.25)/1000</f>
        <v>4475</v>
      </c>
      <c r="F592" s="1069">
        <f t="shared" si="45"/>
        <v>14793.388429752067</v>
      </c>
      <c r="G592" s="1069">
        <f t="shared" si="46"/>
        <v>407672.5</v>
      </c>
      <c r="H592" s="1068" t="e">
        <f>C932</f>
        <v>#REF!</v>
      </c>
      <c r="I592" s="1023"/>
      <c r="J592" s="1023"/>
      <c r="K592" s="1023"/>
      <c r="L592" s="1023"/>
      <c r="M592" s="1023"/>
      <c r="N592" s="1023"/>
      <c r="O592" s="1023"/>
      <c r="P592" s="1023"/>
      <c r="Q592" s="1023"/>
      <c r="R592" s="1023"/>
      <c r="S592" s="1023"/>
      <c r="T592" s="934"/>
      <c r="U592" s="934"/>
      <c r="V592" s="934"/>
      <c r="W592" s="934"/>
      <c r="X592" s="934"/>
      <c r="Y592" s="934"/>
      <c r="Z592" s="934"/>
    </row>
    <row r="593" spans="1:26" ht="16.5" customHeight="1">
      <c r="A593" s="1073">
        <v>589</v>
      </c>
      <c r="B593" s="1073" t="s">
        <v>1246</v>
      </c>
      <c r="C593" s="1072">
        <v>88.8</v>
      </c>
      <c r="D593" s="1071">
        <f t="shared" si="47"/>
        <v>26.861999999999998</v>
      </c>
      <c r="E593" s="1070">
        <f t="shared" si="49"/>
        <v>4475</v>
      </c>
      <c r="F593" s="1069">
        <f t="shared" si="45"/>
        <v>14793.388429752067</v>
      </c>
      <c r="G593" s="1069">
        <f t="shared" si="46"/>
        <v>397380</v>
      </c>
      <c r="H593" s="1068" t="e">
        <f>C933</f>
        <v>#REF!</v>
      </c>
      <c r="I593" s="1023"/>
      <c r="J593" s="1023"/>
      <c r="K593" s="1023"/>
      <c r="L593" s="1023"/>
      <c r="M593" s="1023"/>
      <c r="N593" s="1023"/>
      <c r="O593" s="1023"/>
      <c r="P593" s="1023"/>
      <c r="Q593" s="1023"/>
      <c r="R593" s="1023"/>
      <c r="S593" s="1023"/>
      <c r="T593" s="934"/>
      <c r="U593" s="934"/>
      <c r="V593" s="934"/>
      <c r="W593" s="934"/>
      <c r="X593" s="934"/>
      <c r="Y593" s="934"/>
      <c r="Z593" s="934"/>
    </row>
    <row r="594" spans="1:26" ht="16.5" customHeight="1">
      <c r="A594" s="1073">
        <v>590</v>
      </c>
      <c r="B594" s="1073" t="s">
        <v>1247</v>
      </c>
      <c r="C594" s="1072">
        <v>90.6</v>
      </c>
      <c r="D594" s="1071">
        <f t="shared" si="47"/>
        <v>27.406499999999998</v>
      </c>
      <c r="E594" s="1070">
        <f t="shared" si="49"/>
        <v>4475</v>
      </c>
      <c r="F594" s="1069">
        <f t="shared" si="45"/>
        <v>14793.388429752067</v>
      </c>
      <c r="G594" s="1069">
        <f t="shared" si="46"/>
        <v>405435</v>
      </c>
      <c r="H594" s="1068">
        <f>C934</f>
        <v>18</v>
      </c>
      <c r="I594" s="1023"/>
      <c r="J594" s="1023"/>
      <c r="K594" s="1023"/>
      <c r="L594" s="1023"/>
      <c r="M594" s="1023"/>
      <c r="N594" s="1023"/>
      <c r="O594" s="1023"/>
      <c r="P594" s="1023"/>
      <c r="Q594" s="1023"/>
      <c r="R594" s="1023"/>
      <c r="S594" s="1023"/>
      <c r="T594" s="934"/>
      <c r="U594" s="934"/>
      <c r="V594" s="934"/>
      <c r="W594" s="934"/>
      <c r="X594" s="934"/>
      <c r="Y594" s="934"/>
      <c r="Z594" s="934"/>
    </row>
    <row r="595" spans="1:26" ht="16.5" customHeight="1">
      <c r="A595" s="1073">
        <v>591</v>
      </c>
      <c r="B595" s="1073" t="s">
        <v>1248</v>
      </c>
      <c r="C595" s="1072">
        <v>90.3</v>
      </c>
      <c r="D595" s="1071">
        <f t="shared" si="47"/>
        <v>27.315749999999998</v>
      </c>
      <c r="E595" s="1070">
        <f t="shared" si="49"/>
        <v>4475</v>
      </c>
      <c r="F595" s="1069">
        <f t="shared" si="45"/>
        <v>14793.388429752067</v>
      </c>
      <c r="G595" s="1069">
        <f t="shared" si="46"/>
        <v>404092.5</v>
      </c>
      <c r="H595" s="1068" t="e">
        <f>C935</f>
        <v>#REF!</v>
      </c>
      <c r="I595" s="1023"/>
      <c r="J595" s="1023"/>
      <c r="K595" s="1023"/>
      <c r="L595" s="1023"/>
      <c r="M595" s="1023"/>
      <c r="N595" s="1023"/>
      <c r="O595" s="1023"/>
      <c r="P595" s="1023"/>
      <c r="Q595" s="1023"/>
      <c r="R595" s="1023"/>
      <c r="S595" s="1023"/>
      <c r="T595" s="934"/>
      <c r="U595" s="934"/>
      <c r="V595" s="934"/>
      <c r="W595" s="934"/>
      <c r="X595" s="934"/>
      <c r="Y595" s="934"/>
      <c r="Z595" s="934"/>
    </row>
    <row r="596" spans="1:26" ht="16.5" customHeight="1">
      <c r="A596" s="1073">
        <v>592</v>
      </c>
      <c r="B596" s="1073" t="s">
        <v>1249</v>
      </c>
      <c r="C596" s="1072">
        <v>89.6</v>
      </c>
      <c r="D596" s="1071">
        <f t="shared" si="47"/>
        <v>27.103999999999999</v>
      </c>
      <c r="E596" s="1070">
        <f t="shared" si="49"/>
        <v>4475</v>
      </c>
      <c r="F596" s="1069">
        <f t="shared" si="45"/>
        <v>14793.388429752067</v>
      </c>
      <c r="G596" s="1069">
        <f t="shared" si="46"/>
        <v>400960</v>
      </c>
      <c r="H596" s="1068">
        <f>C922</f>
        <v>0</v>
      </c>
      <c r="I596" s="1023"/>
      <c r="J596" s="1023"/>
      <c r="K596" s="1023"/>
      <c r="L596" s="1023"/>
      <c r="M596" s="1023"/>
      <c r="N596" s="1023"/>
      <c r="O596" s="1023"/>
      <c r="P596" s="1023"/>
      <c r="Q596" s="1023"/>
      <c r="R596" s="1023"/>
      <c r="S596" s="1023"/>
      <c r="T596" s="934"/>
      <c r="U596" s="934"/>
      <c r="V596" s="934"/>
      <c r="W596" s="934"/>
      <c r="X596" s="934"/>
      <c r="Y596" s="934"/>
      <c r="Z596" s="934"/>
    </row>
    <row r="597" spans="1:26" ht="16.5" customHeight="1">
      <c r="A597" s="1073">
        <v>593</v>
      </c>
      <c r="B597" s="1073" t="s">
        <v>1250</v>
      </c>
      <c r="C597" s="1072">
        <v>90.8</v>
      </c>
      <c r="D597" s="1071">
        <f t="shared" si="47"/>
        <v>27.466999999999999</v>
      </c>
      <c r="E597" s="1070">
        <f t="shared" si="49"/>
        <v>4475</v>
      </c>
      <c r="F597" s="1069">
        <f t="shared" si="45"/>
        <v>14793.388429752067</v>
      </c>
      <c r="G597" s="1069">
        <f t="shared" si="46"/>
        <v>406330</v>
      </c>
      <c r="H597" s="1068">
        <f>C937</f>
        <v>0</v>
      </c>
      <c r="I597" s="1023"/>
      <c r="J597" s="1023"/>
      <c r="K597" s="1023"/>
      <c r="L597" s="1023"/>
      <c r="M597" s="1023"/>
      <c r="N597" s="1023"/>
      <c r="O597" s="1023"/>
      <c r="P597" s="1023"/>
      <c r="Q597" s="1023"/>
      <c r="R597" s="1023"/>
      <c r="S597" s="1023"/>
      <c r="T597" s="934"/>
      <c r="U597" s="934"/>
      <c r="V597" s="934"/>
      <c r="W597" s="934"/>
      <c r="X597" s="934"/>
      <c r="Y597" s="934"/>
      <c r="Z597" s="934"/>
    </row>
    <row r="598" spans="1:26" ht="16.5" customHeight="1">
      <c r="A598" s="1073">
        <v>594</v>
      </c>
      <c r="B598" s="1073" t="s">
        <v>1251</v>
      </c>
      <c r="C598" s="1072">
        <v>91.1</v>
      </c>
      <c r="D598" s="1071">
        <f t="shared" si="47"/>
        <v>27.557749999999999</v>
      </c>
      <c r="E598" s="1070">
        <f t="shared" si="49"/>
        <v>4475</v>
      </c>
      <c r="F598" s="1069">
        <f t="shared" si="45"/>
        <v>14793.388429752067</v>
      </c>
      <c r="G598" s="1069">
        <f t="shared" si="46"/>
        <v>407672.5</v>
      </c>
      <c r="H598" s="1068" t="e">
        <f>C938</f>
        <v>#REF!</v>
      </c>
      <c r="I598" s="1023"/>
      <c r="J598" s="1023"/>
      <c r="K598" s="1023"/>
      <c r="L598" s="1023"/>
      <c r="M598" s="1023"/>
      <c r="N598" s="1023"/>
      <c r="O598" s="1023"/>
      <c r="P598" s="1023"/>
      <c r="Q598" s="1023"/>
      <c r="R598" s="1023"/>
      <c r="S598" s="1023"/>
      <c r="T598" s="934"/>
      <c r="U598" s="934"/>
      <c r="V598" s="934"/>
      <c r="W598" s="934"/>
      <c r="X598" s="934"/>
      <c r="Y598" s="934"/>
      <c r="Z598" s="934"/>
    </row>
    <row r="599" spans="1:26" ht="16.5" customHeight="1">
      <c r="A599" s="1073">
        <v>595</v>
      </c>
      <c r="B599" s="1073" t="s">
        <v>1252</v>
      </c>
      <c r="C599" s="1072">
        <v>89.9</v>
      </c>
      <c r="D599" s="1071">
        <f t="shared" si="47"/>
        <v>27.194750000000003</v>
      </c>
      <c r="E599" s="1070">
        <f t="shared" si="49"/>
        <v>4475</v>
      </c>
      <c r="F599" s="1069">
        <f t="shared" si="45"/>
        <v>14793.388429752067</v>
      </c>
      <c r="G599" s="1069">
        <f t="shared" si="46"/>
        <v>402302.5</v>
      </c>
      <c r="H599" s="1068">
        <f>C939</f>
        <v>210</v>
      </c>
      <c r="I599" s="1023"/>
      <c r="J599" s="1023"/>
      <c r="K599" s="1023"/>
      <c r="L599" s="1023"/>
      <c r="M599" s="1023"/>
      <c r="N599" s="1023"/>
      <c r="O599" s="1023"/>
      <c r="P599" s="1023"/>
      <c r="Q599" s="1023"/>
      <c r="R599" s="1023"/>
      <c r="S599" s="1023"/>
      <c r="T599" s="934"/>
      <c r="U599" s="934"/>
      <c r="V599" s="934"/>
      <c r="W599" s="934"/>
      <c r="X599" s="934"/>
      <c r="Y599" s="934"/>
      <c r="Z599" s="934"/>
    </row>
    <row r="600" spans="1:26" ht="16.5" customHeight="1">
      <c r="A600" s="1073">
        <v>596</v>
      </c>
      <c r="B600" s="1073" t="s">
        <v>1253</v>
      </c>
      <c r="C600" s="1072">
        <v>91.3</v>
      </c>
      <c r="D600" s="1071">
        <f t="shared" si="47"/>
        <v>27.61825</v>
      </c>
      <c r="E600" s="1070">
        <f>(3500000*1.25)/1000</f>
        <v>4375</v>
      </c>
      <c r="F600" s="1069">
        <f t="shared" si="45"/>
        <v>14462.809917355373</v>
      </c>
      <c r="G600" s="1069">
        <f t="shared" si="46"/>
        <v>399437.5</v>
      </c>
      <c r="H600" s="1068" t="e">
        <f>C940</f>
        <v>#REF!</v>
      </c>
      <c r="I600" s="1023"/>
      <c r="J600" s="1023"/>
      <c r="K600" s="1023"/>
      <c r="L600" s="1023"/>
      <c r="M600" s="1023"/>
      <c r="N600" s="1023"/>
      <c r="O600" s="1023"/>
      <c r="P600" s="1023"/>
      <c r="Q600" s="1023"/>
      <c r="R600" s="1023"/>
      <c r="S600" s="1023"/>
      <c r="T600" s="934"/>
      <c r="U600" s="934"/>
      <c r="V600" s="934"/>
      <c r="W600" s="934"/>
      <c r="X600" s="934"/>
      <c r="Y600" s="934"/>
      <c r="Z600" s="934"/>
    </row>
    <row r="601" spans="1:26" ht="16.5" customHeight="1">
      <c r="A601" s="1073">
        <v>597</v>
      </c>
      <c r="B601" s="1073" t="s">
        <v>1254</v>
      </c>
      <c r="C601" s="1072">
        <v>495.6</v>
      </c>
      <c r="D601" s="1071">
        <f t="shared" si="47"/>
        <v>149.91900000000001</v>
      </c>
      <c r="E601" s="1070">
        <f>(1181000*1.25)/1000</f>
        <v>1476.25</v>
      </c>
      <c r="F601" s="1069">
        <f t="shared" si="45"/>
        <v>4880.1652892561988</v>
      </c>
      <c r="G601" s="1069">
        <f t="shared" si="46"/>
        <v>731629.5</v>
      </c>
      <c r="H601" s="1068" t="e">
        <f>C932</f>
        <v>#REF!</v>
      </c>
      <c r="I601" s="1023"/>
      <c r="J601" s="1023"/>
      <c r="K601" s="1023"/>
      <c r="L601" s="1023"/>
      <c r="M601" s="1023"/>
      <c r="N601" s="1023"/>
      <c r="O601" s="1023"/>
      <c r="P601" s="1023"/>
      <c r="Q601" s="1023"/>
      <c r="R601" s="1023"/>
      <c r="S601" s="1023"/>
      <c r="T601" s="934"/>
      <c r="U601" s="934"/>
      <c r="V601" s="934"/>
      <c r="W601" s="934"/>
      <c r="X601" s="934"/>
      <c r="Y601" s="934"/>
      <c r="Z601" s="934"/>
    </row>
    <row r="602" spans="1:26" ht="16.5" customHeight="1">
      <c r="A602" s="1073">
        <v>598</v>
      </c>
      <c r="B602" s="1073" t="s">
        <v>1255</v>
      </c>
      <c r="C602" s="1072">
        <v>111.3</v>
      </c>
      <c r="D602" s="1071">
        <f t="shared" si="47"/>
        <v>33.66825</v>
      </c>
      <c r="E602" s="1070">
        <f>(3622000*1.25)/1000</f>
        <v>4527.5</v>
      </c>
      <c r="F602" s="1069">
        <f t="shared" si="45"/>
        <v>14966.94214876033</v>
      </c>
      <c r="G602" s="1069">
        <f t="shared" si="46"/>
        <v>503910.75</v>
      </c>
      <c r="H602" s="1068" t="e">
        <f>C968</f>
        <v>#REF!</v>
      </c>
      <c r="I602" s="1023"/>
      <c r="J602" s="1023"/>
      <c r="K602" s="1023"/>
      <c r="L602" s="1023"/>
      <c r="M602" s="1023"/>
      <c r="N602" s="1023"/>
      <c r="O602" s="1023"/>
      <c r="P602" s="1023"/>
      <c r="Q602" s="1023"/>
      <c r="R602" s="1023"/>
      <c r="S602" s="1023"/>
      <c r="T602" s="934"/>
      <c r="U602" s="934"/>
      <c r="V602" s="934"/>
      <c r="W602" s="934"/>
      <c r="X602" s="934"/>
      <c r="Y602" s="934"/>
      <c r="Z602" s="934"/>
    </row>
    <row r="603" spans="1:26" ht="16.5" customHeight="1">
      <c r="A603" s="1073">
        <v>599</v>
      </c>
      <c r="B603" s="1073" t="s">
        <v>1256</v>
      </c>
      <c r="C603" s="1072">
        <v>88</v>
      </c>
      <c r="D603" s="1071">
        <f t="shared" si="47"/>
        <v>26.619999999999997</v>
      </c>
      <c r="E603" s="1070">
        <f t="shared" ref="E603:E608" si="50">(3469000*1.25)/1000</f>
        <v>4336.25</v>
      </c>
      <c r="F603" s="1069">
        <f t="shared" si="45"/>
        <v>14334.710743801654</v>
      </c>
      <c r="G603" s="1069">
        <f t="shared" si="46"/>
        <v>381590</v>
      </c>
      <c r="H603" s="1068">
        <f>C969</f>
        <v>210</v>
      </c>
      <c r="I603" s="1023"/>
      <c r="J603" s="1023"/>
      <c r="K603" s="1023"/>
      <c r="L603" s="1023"/>
      <c r="M603" s="1023"/>
      <c r="N603" s="1023"/>
      <c r="O603" s="1023"/>
      <c r="P603" s="1023"/>
      <c r="Q603" s="1023"/>
      <c r="R603" s="1023"/>
      <c r="S603" s="1023"/>
      <c r="T603" s="934"/>
      <c r="U603" s="934"/>
      <c r="V603" s="934"/>
      <c r="W603" s="934"/>
      <c r="X603" s="934"/>
      <c r="Y603" s="934"/>
      <c r="Z603" s="934"/>
    </row>
    <row r="604" spans="1:26" ht="16.5" customHeight="1">
      <c r="A604" s="1073">
        <v>600</v>
      </c>
      <c r="B604" s="1073" t="s">
        <v>1257</v>
      </c>
      <c r="C604" s="1072">
        <v>91.2</v>
      </c>
      <c r="D604" s="1071">
        <f t="shared" si="47"/>
        <v>27.588000000000001</v>
      </c>
      <c r="E604" s="1070">
        <f t="shared" si="50"/>
        <v>4336.25</v>
      </c>
      <c r="F604" s="1069">
        <f t="shared" si="45"/>
        <v>14334.710743801654</v>
      </c>
      <c r="G604" s="1069">
        <f t="shared" si="46"/>
        <v>395466</v>
      </c>
      <c r="H604" s="1068" t="e">
        <f>C970</f>
        <v>#REF!</v>
      </c>
      <c r="I604" s="1023"/>
      <c r="J604" s="1023"/>
      <c r="K604" s="1023"/>
      <c r="L604" s="1023"/>
      <c r="M604" s="1023"/>
      <c r="N604" s="1023"/>
      <c r="O604" s="1023"/>
      <c r="P604" s="1023"/>
      <c r="Q604" s="1023"/>
      <c r="R604" s="1023"/>
      <c r="S604" s="1023"/>
      <c r="T604" s="934"/>
      <c r="U604" s="934"/>
      <c r="V604" s="934"/>
      <c r="W604" s="934"/>
      <c r="X604" s="934"/>
      <c r="Y604" s="934"/>
      <c r="Z604" s="934"/>
    </row>
    <row r="605" spans="1:26" ht="16.5" customHeight="1">
      <c r="A605" s="1073">
        <v>601</v>
      </c>
      <c r="B605" s="1073" t="s">
        <v>1258</v>
      </c>
      <c r="C605" s="1072">
        <v>84.7</v>
      </c>
      <c r="D605" s="1071">
        <f t="shared" si="47"/>
        <v>25.621749999999999</v>
      </c>
      <c r="E605" s="1070">
        <f t="shared" si="50"/>
        <v>4336.25</v>
      </c>
      <c r="F605" s="1069">
        <f t="shared" si="45"/>
        <v>14334.710743801654</v>
      </c>
      <c r="G605" s="1069">
        <f t="shared" si="46"/>
        <v>367280.375</v>
      </c>
      <c r="H605" s="1068" t="e">
        <f>C957</f>
        <v>#REF!</v>
      </c>
      <c r="I605" s="1023"/>
      <c r="J605" s="1023"/>
      <c r="K605" s="1023"/>
      <c r="L605" s="1023"/>
      <c r="M605" s="1023"/>
      <c r="N605" s="1023"/>
      <c r="O605" s="1023"/>
      <c r="P605" s="1023"/>
      <c r="Q605" s="1023"/>
      <c r="R605" s="1023"/>
      <c r="S605" s="1023"/>
      <c r="T605" s="934"/>
      <c r="U605" s="934"/>
      <c r="V605" s="934"/>
      <c r="W605" s="934"/>
      <c r="X605" s="934"/>
      <c r="Y605" s="934"/>
      <c r="Z605" s="934"/>
    </row>
    <row r="606" spans="1:26" ht="16.5" customHeight="1">
      <c r="A606" s="1073">
        <v>602</v>
      </c>
      <c r="B606" s="1073" t="s">
        <v>1259</v>
      </c>
      <c r="C606" s="1072">
        <v>91.9</v>
      </c>
      <c r="D606" s="1071">
        <f t="shared" si="47"/>
        <v>27.79975</v>
      </c>
      <c r="E606" s="1070">
        <f t="shared" si="50"/>
        <v>4336.25</v>
      </c>
      <c r="F606" s="1069">
        <f t="shared" si="45"/>
        <v>14334.710743801654</v>
      </c>
      <c r="G606" s="1069">
        <f t="shared" si="46"/>
        <v>398501.375</v>
      </c>
      <c r="H606" s="1068" t="e">
        <f>C972</f>
        <v>#REF!</v>
      </c>
      <c r="I606" s="1023"/>
      <c r="J606" s="1023"/>
      <c r="K606" s="1023"/>
      <c r="L606" s="1023"/>
      <c r="M606" s="1023"/>
      <c r="N606" s="1023"/>
      <c r="O606" s="1023"/>
      <c r="P606" s="1023"/>
      <c r="Q606" s="1023"/>
      <c r="R606" s="1023"/>
      <c r="S606" s="1023"/>
      <c r="T606" s="934"/>
      <c r="U606" s="934"/>
      <c r="V606" s="934"/>
      <c r="W606" s="934"/>
      <c r="X606" s="934"/>
      <c r="Y606" s="934"/>
      <c r="Z606" s="934"/>
    </row>
    <row r="607" spans="1:26" ht="16.5" customHeight="1">
      <c r="A607" s="1073">
        <v>603</v>
      </c>
      <c r="B607" s="1073" t="s">
        <v>1260</v>
      </c>
      <c r="C607" s="1072">
        <v>88.5</v>
      </c>
      <c r="D607" s="1071">
        <f t="shared" si="47"/>
        <v>26.771249999999998</v>
      </c>
      <c r="E607" s="1070">
        <f t="shared" si="50"/>
        <v>4336.25</v>
      </c>
      <c r="F607" s="1069">
        <f t="shared" si="45"/>
        <v>14334.710743801654</v>
      </c>
      <c r="G607" s="1069">
        <f t="shared" si="46"/>
        <v>383758.125</v>
      </c>
      <c r="H607" s="1068" t="e">
        <f>C973</f>
        <v>#REF!</v>
      </c>
      <c r="I607" s="1023"/>
      <c r="J607" s="1023"/>
      <c r="K607" s="1023"/>
      <c r="L607" s="1023"/>
      <c r="M607" s="1023"/>
      <c r="N607" s="1023"/>
      <c r="O607" s="1023"/>
      <c r="P607" s="1023"/>
      <c r="Q607" s="1023"/>
      <c r="R607" s="1023"/>
      <c r="S607" s="1023"/>
      <c r="T607" s="934"/>
      <c r="U607" s="934"/>
      <c r="V607" s="934"/>
      <c r="W607" s="934"/>
      <c r="X607" s="934"/>
      <c r="Y607" s="934"/>
      <c r="Z607" s="934"/>
    </row>
    <row r="608" spans="1:26" ht="16.5" customHeight="1">
      <c r="A608" s="1073">
        <v>604</v>
      </c>
      <c r="B608" s="1073" t="s">
        <v>1261</v>
      </c>
      <c r="C608" s="1072">
        <v>91.6</v>
      </c>
      <c r="D608" s="1071">
        <f t="shared" si="47"/>
        <v>27.708999999999996</v>
      </c>
      <c r="E608" s="1070">
        <f t="shared" si="50"/>
        <v>4336.25</v>
      </c>
      <c r="F608" s="1069">
        <f t="shared" si="45"/>
        <v>14334.710743801654</v>
      </c>
      <c r="G608" s="1069">
        <f t="shared" si="46"/>
        <v>397200.5</v>
      </c>
      <c r="H608" s="1068" t="e">
        <f>C974</f>
        <v>#REF!</v>
      </c>
      <c r="I608" s="1023"/>
      <c r="J608" s="1023"/>
      <c r="K608" s="1023"/>
      <c r="L608" s="1023"/>
      <c r="M608" s="1023"/>
      <c r="N608" s="1023"/>
      <c r="O608" s="1023"/>
      <c r="P608" s="1023"/>
      <c r="Q608" s="1023"/>
      <c r="R608" s="1023"/>
      <c r="S608" s="1023"/>
      <c r="T608" s="934"/>
      <c r="U608" s="934"/>
      <c r="V608" s="934"/>
      <c r="W608" s="934"/>
      <c r="X608" s="934"/>
      <c r="Y608" s="934"/>
      <c r="Z608" s="934"/>
    </row>
    <row r="609" spans="1:26" ht="16.5" customHeight="1">
      <c r="A609" s="1073">
        <v>605</v>
      </c>
      <c r="B609" s="1073" t="s">
        <v>1262</v>
      </c>
      <c r="C609" s="1072">
        <v>90.1</v>
      </c>
      <c r="D609" s="1071">
        <f t="shared" si="47"/>
        <v>27.255249999999997</v>
      </c>
      <c r="E609" s="1070">
        <f>(4664000*1.25)/1000</f>
        <v>5830</v>
      </c>
      <c r="F609" s="1069">
        <f t="shared" si="45"/>
        <v>19272.727272727272</v>
      </c>
      <c r="G609" s="1069">
        <f t="shared" si="46"/>
        <v>525283</v>
      </c>
      <c r="H609" s="1068" t="e">
        <f>C975</f>
        <v>#REF!</v>
      </c>
      <c r="I609" s="1023"/>
      <c r="J609" s="1023"/>
      <c r="K609" s="1023"/>
      <c r="L609" s="1023"/>
      <c r="M609" s="1023"/>
      <c r="N609" s="1023"/>
      <c r="O609" s="1023"/>
      <c r="P609" s="1023"/>
      <c r="Q609" s="1023"/>
      <c r="R609" s="1023"/>
      <c r="S609" s="1023"/>
      <c r="T609" s="934"/>
      <c r="U609" s="934"/>
      <c r="V609" s="934"/>
      <c r="W609" s="934"/>
      <c r="X609" s="934"/>
      <c r="Y609" s="934"/>
      <c r="Z609" s="934"/>
    </row>
    <row r="610" spans="1:26" ht="16.5" customHeight="1">
      <c r="A610" s="1073">
        <v>606</v>
      </c>
      <c r="B610" s="1073" t="s">
        <v>1263</v>
      </c>
      <c r="C610" s="1072">
        <v>88.1</v>
      </c>
      <c r="D610" s="1071">
        <f t="shared" si="47"/>
        <v>26.650249999999996</v>
      </c>
      <c r="E610" s="1070">
        <f>(4650000*1.25)/1000</f>
        <v>5812.5</v>
      </c>
      <c r="F610" s="1069">
        <f t="shared" si="45"/>
        <v>19214.876033057852</v>
      </c>
      <c r="G610" s="1069">
        <f t="shared" si="46"/>
        <v>512081.24999999994</v>
      </c>
      <c r="H610" s="1068" t="e">
        <f>C962</f>
        <v>#REF!</v>
      </c>
      <c r="I610" s="1023"/>
      <c r="J610" s="1023"/>
      <c r="K610" s="1023"/>
      <c r="L610" s="1023"/>
      <c r="M610" s="1023"/>
      <c r="N610" s="1023"/>
      <c r="O610" s="1023"/>
      <c r="P610" s="1023"/>
      <c r="Q610" s="1023"/>
      <c r="R610" s="1023"/>
      <c r="S610" s="1023"/>
      <c r="T610" s="934"/>
      <c r="U610" s="934"/>
      <c r="V610" s="934"/>
      <c r="W610" s="934"/>
      <c r="X610" s="934"/>
      <c r="Y610" s="934"/>
      <c r="Z610" s="934"/>
    </row>
    <row r="611" spans="1:26" ht="16.5" customHeight="1">
      <c r="A611" s="1073">
        <v>607</v>
      </c>
      <c r="B611" s="1073" t="s">
        <v>1264</v>
      </c>
      <c r="C611" s="1072">
        <v>89.7</v>
      </c>
      <c r="D611" s="1071">
        <f t="shared" si="47"/>
        <v>27.134250000000002</v>
      </c>
      <c r="E611" s="1070">
        <f t="shared" ref="E611:E616" si="51">(3510000*1.25)/1000</f>
        <v>4387.5</v>
      </c>
      <c r="F611" s="1069">
        <f t="shared" si="45"/>
        <v>14504.132231404959</v>
      </c>
      <c r="G611" s="1069">
        <f t="shared" si="46"/>
        <v>393558.75</v>
      </c>
      <c r="H611" s="1068" t="e">
        <f>C977</f>
        <v>#REF!</v>
      </c>
      <c r="I611" s="1023"/>
      <c r="J611" s="1023"/>
      <c r="K611" s="1023"/>
      <c r="L611" s="1023"/>
      <c r="M611" s="1023"/>
      <c r="N611" s="1023"/>
      <c r="O611" s="1023"/>
      <c r="P611" s="1023"/>
      <c r="Q611" s="1023"/>
      <c r="R611" s="1023"/>
      <c r="S611" s="1023"/>
      <c r="T611" s="934"/>
      <c r="U611" s="934"/>
      <c r="V611" s="934"/>
      <c r="W611" s="934"/>
      <c r="X611" s="934"/>
      <c r="Y611" s="934"/>
      <c r="Z611" s="934"/>
    </row>
    <row r="612" spans="1:26" ht="16.5" customHeight="1">
      <c r="A612" s="1073">
        <v>608</v>
      </c>
      <c r="B612" s="1073" t="s">
        <v>1265</v>
      </c>
      <c r="C612" s="1072">
        <v>89.2</v>
      </c>
      <c r="D612" s="1071">
        <f t="shared" si="47"/>
        <v>26.983000000000001</v>
      </c>
      <c r="E612" s="1070">
        <f t="shared" si="51"/>
        <v>4387.5</v>
      </c>
      <c r="F612" s="1069">
        <f t="shared" si="45"/>
        <v>14504.132231404959</v>
      </c>
      <c r="G612" s="1069">
        <f t="shared" si="46"/>
        <v>391365</v>
      </c>
      <c r="H612" s="1068" t="e">
        <f>C978</f>
        <v>#REF!</v>
      </c>
      <c r="I612" s="1023"/>
      <c r="J612" s="1023"/>
      <c r="K612" s="1023"/>
      <c r="L612" s="1023"/>
      <c r="M612" s="1023"/>
      <c r="N612" s="1023"/>
      <c r="O612" s="1023"/>
      <c r="P612" s="1023"/>
      <c r="Q612" s="1023"/>
      <c r="R612" s="1023"/>
      <c r="S612" s="1023"/>
      <c r="T612" s="934"/>
      <c r="U612" s="934"/>
      <c r="V612" s="934"/>
      <c r="W612" s="934"/>
      <c r="X612" s="934"/>
      <c r="Y612" s="934"/>
      <c r="Z612" s="934"/>
    </row>
    <row r="613" spans="1:26" ht="16.5" customHeight="1">
      <c r="A613" s="1073">
        <v>609</v>
      </c>
      <c r="B613" s="1073" t="s">
        <v>1266</v>
      </c>
      <c r="C613" s="1072">
        <v>88.8</v>
      </c>
      <c r="D613" s="1071">
        <f t="shared" si="47"/>
        <v>26.861999999999998</v>
      </c>
      <c r="E613" s="1070">
        <f t="shared" si="51"/>
        <v>4387.5</v>
      </c>
      <c r="F613" s="1069">
        <f t="shared" si="45"/>
        <v>14504.132231404959</v>
      </c>
      <c r="G613" s="1069">
        <f t="shared" si="46"/>
        <v>389610</v>
      </c>
      <c r="H613" s="1068">
        <f>C979</f>
        <v>18</v>
      </c>
      <c r="I613" s="1023"/>
      <c r="J613" s="1023"/>
      <c r="K613" s="1023"/>
      <c r="L613" s="1023"/>
      <c r="M613" s="1023"/>
      <c r="N613" s="1023"/>
      <c r="O613" s="1023"/>
      <c r="P613" s="1023"/>
      <c r="Q613" s="1023"/>
      <c r="R613" s="1023"/>
      <c r="S613" s="1023"/>
      <c r="T613" s="934"/>
      <c r="U613" s="934"/>
      <c r="V613" s="934"/>
      <c r="W613" s="934"/>
      <c r="X613" s="934"/>
      <c r="Y613" s="934"/>
      <c r="Z613" s="934"/>
    </row>
    <row r="614" spans="1:26" ht="16.5" customHeight="1">
      <c r="A614" s="1073">
        <v>610</v>
      </c>
      <c r="B614" s="1073" t="s">
        <v>1267</v>
      </c>
      <c r="C614" s="1072">
        <v>88.5</v>
      </c>
      <c r="D614" s="1071">
        <f t="shared" si="47"/>
        <v>26.771249999999998</v>
      </c>
      <c r="E614" s="1070">
        <f t="shared" si="51"/>
        <v>4387.5</v>
      </c>
      <c r="F614" s="1069">
        <f t="shared" si="45"/>
        <v>14504.132231404959</v>
      </c>
      <c r="G614" s="1069">
        <f t="shared" si="46"/>
        <v>388293.75</v>
      </c>
      <c r="H614" s="1068" t="e">
        <f>C980</f>
        <v>#REF!</v>
      </c>
      <c r="I614" s="1023"/>
      <c r="J614" s="1023"/>
      <c r="K614" s="1023"/>
      <c r="L614" s="1023"/>
      <c r="M614" s="1023"/>
      <c r="N614" s="1023"/>
      <c r="O614" s="1023"/>
      <c r="P614" s="1023"/>
      <c r="Q614" s="1023"/>
      <c r="R614" s="1023"/>
      <c r="S614" s="1023"/>
      <c r="T614" s="934"/>
      <c r="U614" s="934"/>
      <c r="V614" s="934"/>
      <c r="W614" s="934"/>
      <c r="X614" s="934"/>
      <c r="Y614" s="934"/>
      <c r="Z614" s="934"/>
    </row>
    <row r="615" spans="1:26" ht="16.5" customHeight="1">
      <c r="A615" s="1073">
        <v>611</v>
      </c>
      <c r="B615" s="1073" t="s">
        <v>1268</v>
      </c>
      <c r="C615" s="1072">
        <v>90.1</v>
      </c>
      <c r="D615" s="1071">
        <f t="shared" si="47"/>
        <v>27.255249999999997</v>
      </c>
      <c r="E615" s="1070">
        <f t="shared" si="51"/>
        <v>4387.5</v>
      </c>
      <c r="F615" s="1069">
        <f t="shared" si="45"/>
        <v>14504.132231404959</v>
      </c>
      <c r="G615" s="1069">
        <f t="shared" si="46"/>
        <v>395313.75</v>
      </c>
      <c r="H615" s="1068">
        <f>C967</f>
        <v>0</v>
      </c>
      <c r="I615" s="1023"/>
      <c r="J615" s="1023"/>
      <c r="K615" s="1023"/>
      <c r="L615" s="1023"/>
      <c r="M615" s="1023"/>
      <c r="N615" s="1023"/>
      <c r="O615" s="1023"/>
      <c r="P615" s="1023"/>
      <c r="Q615" s="1023"/>
      <c r="R615" s="1023"/>
      <c r="S615" s="1023"/>
      <c r="T615" s="934"/>
      <c r="U615" s="934"/>
      <c r="V615" s="934"/>
      <c r="W615" s="934"/>
      <c r="X615" s="934"/>
      <c r="Y615" s="934"/>
      <c r="Z615" s="934"/>
    </row>
    <row r="616" spans="1:26" ht="16.5" customHeight="1">
      <c r="A616" s="1073">
        <v>612</v>
      </c>
      <c r="B616" s="1073" t="s">
        <v>1269</v>
      </c>
      <c r="C616" s="1072">
        <v>90</v>
      </c>
      <c r="D616" s="1071">
        <f t="shared" si="47"/>
        <v>27.224999999999998</v>
      </c>
      <c r="E616" s="1070">
        <f t="shared" si="51"/>
        <v>4387.5</v>
      </c>
      <c r="F616" s="1069">
        <f t="shared" si="45"/>
        <v>14504.132231404959</v>
      </c>
      <c r="G616" s="1069">
        <f t="shared" si="46"/>
        <v>394875</v>
      </c>
      <c r="H616" s="1068">
        <f>C982</f>
        <v>0</v>
      </c>
      <c r="I616" s="1023"/>
      <c r="J616" s="1023"/>
      <c r="K616" s="1023"/>
      <c r="L616" s="1023"/>
      <c r="M616" s="1023"/>
      <c r="N616" s="1023"/>
      <c r="O616" s="1023"/>
      <c r="P616" s="1023"/>
      <c r="Q616" s="1023"/>
      <c r="R616" s="1023"/>
      <c r="S616" s="1023"/>
      <c r="T616" s="934"/>
      <c r="U616" s="934"/>
      <c r="V616" s="934"/>
      <c r="W616" s="934"/>
      <c r="X616" s="934"/>
      <c r="Y616" s="934"/>
      <c r="Z616" s="934"/>
    </row>
    <row r="617" spans="1:26" ht="16.5" customHeight="1">
      <c r="A617" s="1073">
        <v>613</v>
      </c>
      <c r="B617" s="1073" t="s">
        <v>1270</v>
      </c>
      <c r="C617" s="1072">
        <v>134.30000000000001</v>
      </c>
      <c r="D617" s="1071">
        <f t="shared" si="47"/>
        <v>40.625750000000004</v>
      </c>
      <c r="E617" s="1070">
        <f>(3462000*1.25)/1000</f>
        <v>4327.5</v>
      </c>
      <c r="F617" s="1069">
        <f t="shared" si="45"/>
        <v>14305.785123966942</v>
      </c>
      <c r="G617" s="1069">
        <f t="shared" si="46"/>
        <v>581183.25</v>
      </c>
      <c r="H617" s="1068" t="e">
        <f>C983</f>
        <v>#REF!</v>
      </c>
      <c r="I617" s="1023"/>
      <c r="J617" s="1023"/>
      <c r="K617" s="1023"/>
      <c r="L617" s="1023"/>
      <c r="M617" s="1023"/>
      <c r="N617" s="1023"/>
      <c r="O617" s="1023"/>
      <c r="P617" s="1023"/>
      <c r="Q617" s="1023"/>
      <c r="R617" s="1023"/>
      <c r="S617" s="1023"/>
      <c r="T617" s="934"/>
      <c r="U617" s="934"/>
      <c r="V617" s="934"/>
      <c r="W617" s="934"/>
      <c r="X617" s="934"/>
      <c r="Y617" s="934"/>
      <c r="Z617" s="934"/>
    </row>
    <row r="618" spans="1:26" ht="16.5" customHeight="1">
      <c r="A618" s="1073">
        <v>614</v>
      </c>
      <c r="B618" s="1073" t="s">
        <v>1271</v>
      </c>
      <c r="C618" s="1072">
        <v>331.2</v>
      </c>
      <c r="D618" s="1071">
        <f t="shared" si="47"/>
        <v>100.18799999999999</v>
      </c>
      <c r="E618" s="1070">
        <f>(1158000*1.25)/1000</f>
        <v>1447.5</v>
      </c>
      <c r="F618" s="1069">
        <f t="shared" si="45"/>
        <v>4785.1239669421493</v>
      </c>
      <c r="G618" s="1069">
        <f t="shared" si="46"/>
        <v>479412</v>
      </c>
      <c r="H618" s="1068">
        <f>C984</f>
        <v>210</v>
      </c>
      <c r="I618" s="1023"/>
      <c r="J618" s="1023"/>
      <c r="K618" s="1023"/>
      <c r="L618" s="1023"/>
      <c r="M618" s="1023"/>
      <c r="N618" s="1023"/>
      <c r="O618" s="1023"/>
      <c r="P618" s="1023"/>
      <c r="Q618" s="1023"/>
      <c r="R618" s="1023"/>
      <c r="S618" s="1023"/>
      <c r="T618" s="934"/>
      <c r="U618" s="934"/>
      <c r="V618" s="934"/>
      <c r="W618" s="934"/>
      <c r="X618" s="934"/>
      <c r="Y618" s="934"/>
      <c r="Z618" s="934"/>
    </row>
    <row r="619" spans="1:26" ht="16.5" customHeight="1">
      <c r="A619" s="1073">
        <v>615</v>
      </c>
      <c r="B619" s="1073" t="s">
        <v>1272</v>
      </c>
      <c r="C619" s="1072">
        <v>88.4</v>
      </c>
      <c r="D619" s="1071">
        <f t="shared" si="47"/>
        <v>26.741</v>
      </c>
      <c r="E619" s="1070">
        <f t="shared" ref="E619:E625" si="52">(3651000*1.25)/1000</f>
        <v>4563.75</v>
      </c>
      <c r="F619" s="1069">
        <f t="shared" si="45"/>
        <v>15086.776859504133</v>
      </c>
      <c r="G619" s="1069">
        <f t="shared" si="46"/>
        <v>403435.5</v>
      </c>
      <c r="H619" s="1068" t="e">
        <f>C990</f>
        <v>#REF!</v>
      </c>
      <c r="I619" s="1023"/>
      <c r="J619" s="1023"/>
      <c r="K619" s="1023"/>
      <c r="L619" s="1023"/>
      <c r="M619" s="1023"/>
      <c r="N619" s="1023"/>
      <c r="O619" s="1023"/>
      <c r="P619" s="1023"/>
      <c r="Q619" s="1023"/>
      <c r="R619" s="1023"/>
      <c r="S619" s="1023"/>
      <c r="T619" s="934"/>
      <c r="U619" s="934"/>
      <c r="V619" s="934"/>
      <c r="W619" s="934"/>
      <c r="X619" s="934"/>
      <c r="Y619" s="934"/>
      <c r="Z619" s="934"/>
    </row>
    <row r="620" spans="1:26" ht="16.5" customHeight="1">
      <c r="A620" s="1073">
        <v>616</v>
      </c>
      <c r="B620" s="1073" t="s">
        <v>1273</v>
      </c>
      <c r="C620" s="1072">
        <v>88.2</v>
      </c>
      <c r="D620" s="1071">
        <f t="shared" si="47"/>
        <v>26.680499999999999</v>
      </c>
      <c r="E620" s="1070">
        <f t="shared" si="52"/>
        <v>4563.75</v>
      </c>
      <c r="F620" s="1069">
        <f t="shared" si="45"/>
        <v>15086.776859504133</v>
      </c>
      <c r="G620" s="1069">
        <f t="shared" si="46"/>
        <v>402522.75</v>
      </c>
      <c r="H620" s="1068" t="e">
        <f>C977</f>
        <v>#REF!</v>
      </c>
      <c r="I620" s="1023"/>
      <c r="J620" s="1023"/>
      <c r="K620" s="1023"/>
      <c r="L620" s="1023"/>
      <c r="M620" s="1023"/>
      <c r="N620" s="1023"/>
      <c r="O620" s="1023"/>
      <c r="P620" s="1023"/>
      <c r="Q620" s="1023"/>
      <c r="R620" s="1023"/>
      <c r="S620" s="1023"/>
      <c r="T620" s="934"/>
      <c r="U620" s="934"/>
      <c r="V620" s="934"/>
      <c r="W620" s="934"/>
      <c r="X620" s="934"/>
      <c r="Y620" s="934"/>
      <c r="Z620" s="934"/>
    </row>
    <row r="621" spans="1:26" ht="16.5" customHeight="1">
      <c r="A621" s="1073">
        <v>617</v>
      </c>
      <c r="B621" s="1073" t="s">
        <v>1274</v>
      </c>
      <c r="C621" s="1072">
        <v>88.2</v>
      </c>
      <c r="D621" s="1071">
        <f t="shared" si="47"/>
        <v>26.680499999999999</v>
      </c>
      <c r="E621" s="1070">
        <f t="shared" si="52"/>
        <v>4563.75</v>
      </c>
      <c r="F621" s="1069">
        <f t="shared" si="45"/>
        <v>15086.776859504133</v>
      </c>
      <c r="G621" s="1069">
        <f t="shared" si="46"/>
        <v>402522.75</v>
      </c>
      <c r="H621" s="1068" t="e">
        <f>C992</f>
        <v>#REF!</v>
      </c>
      <c r="I621" s="1023"/>
      <c r="J621" s="1023"/>
      <c r="K621" s="1023"/>
      <c r="L621" s="1023"/>
      <c r="M621" s="1023"/>
      <c r="N621" s="1023"/>
      <c r="O621" s="1023"/>
      <c r="P621" s="1023"/>
      <c r="Q621" s="1023"/>
      <c r="R621" s="1023"/>
      <c r="S621" s="1023"/>
      <c r="T621" s="934"/>
      <c r="U621" s="934"/>
      <c r="V621" s="934"/>
      <c r="W621" s="934"/>
      <c r="X621" s="934"/>
      <c r="Y621" s="934"/>
      <c r="Z621" s="934"/>
    </row>
    <row r="622" spans="1:26" ht="16.5" customHeight="1">
      <c r="A622" s="1073">
        <v>618</v>
      </c>
      <c r="B622" s="1073" t="s">
        <v>1275</v>
      </c>
      <c r="C622" s="1072">
        <v>92.6</v>
      </c>
      <c r="D622" s="1071">
        <f t="shared" si="47"/>
        <v>28.011499999999998</v>
      </c>
      <c r="E622" s="1070">
        <f t="shared" si="52"/>
        <v>4563.75</v>
      </c>
      <c r="F622" s="1069">
        <f t="shared" si="45"/>
        <v>15086.776859504133</v>
      </c>
      <c r="G622" s="1069">
        <f t="shared" si="46"/>
        <v>422603.25</v>
      </c>
      <c r="H622" s="1068" t="e">
        <f>C993</f>
        <v>#REF!</v>
      </c>
      <c r="I622" s="1023"/>
      <c r="J622" s="1023"/>
      <c r="K622" s="1023"/>
      <c r="L622" s="1023"/>
      <c r="M622" s="1023"/>
      <c r="N622" s="1023"/>
      <c r="O622" s="1023"/>
      <c r="P622" s="1023"/>
      <c r="Q622" s="1023"/>
      <c r="R622" s="1023"/>
      <c r="S622" s="1023"/>
      <c r="T622" s="934"/>
      <c r="U622" s="934"/>
      <c r="V622" s="934"/>
      <c r="W622" s="934"/>
      <c r="X622" s="934"/>
      <c r="Y622" s="934"/>
      <c r="Z622" s="934"/>
    </row>
    <row r="623" spans="1:26" ht="16.5" customHeight="1">
      <c r="A623" s="1073">
        <v>619</v>
      </c>
      <c r="B623" s="1073" t="s">
        <v>1276</v>
      </c>
      <c r="C623" s="1072">
        <v>89.9</v>
      </c>
      <c r="D623" s="1071">
        <f t="shared" si="47"/>
        <v>27.194750000000003</v>
      </c>
      <c r="E623" s="1070">
        <f t="shared" si="52"/>
        <v>4563.75</v>
      </c>
      <c r="F623" s="1069">
        <f t="shared" si="45"/>
        <v>15086.776859504133</v>
      </c>
      <c r="G623" s="1069">
        <f t="shared" si="46"/>
        <v>410281.125</v>
      </c>
      <c r="H623" s="1068">
        <f>C994</f>
        <v>18</v>
      </c>
      <c r="I623" s="1023"/>
      <c r="J623" s="1023"/>
      <c r="K623" s="1023"/>
      <c r="L623" s="1023"/>
      <c r="M623" s="1023"/>
      <c r="N623" s="1023"/>
      <c r="O623" s="1023"/>
      <c r="P623" s="1023"/>
      <c r="Q623" s="1023"/>
      <c r="R623" s="1023"/>
      <c r="S623" s="1023"/>
      <c r="T623" s="934"/>
      <c r="U623" s="934"/>
      <c r="V623" s="934"/>
      <c r="W623" s="934"/>
      <c r="X623" s="934"/>
      <c r="Y623" s="934"/>
      <c r="Z623" s="934"/>
    </row>
    <row r="624" spans="1:26" ht="16.5" customHeight="1">
      <c r="A624" s="1073">
        <v>620</v>
      </c>
      <c r="B624" s="1073" t="s">
        <v>1277</v>
      </c>
      <c r="C624" s="1072">
        <v>92.6</v>
      </c>
      <c r="D624" s="1071">
        <f t="shared" si="47"/>
        <v>28.011499999999998</v>
      </c>
      <c r="E624" s="1070">
        <f t="shared" si="52"/>
        <v>4563.75</v>
      </c>
      <c r="F624" s="1069">
        <f t="shared" si="45"/>
        <v>15086.776859504133</v>
      </c>
      <c r="G624" s="1069">
        <f t="shared" si="46"/>
        <v>422603.25</v>
      </c>
      <c r="H624" s="1068" t="e">
        <f>C995</f>
        <v>#REF!</v>
      </c>
      <c r="I624" s="1023"/>
      <c r="J624" s="1023"/>
      <c r="K624" s="1023"/>
      <c r="L624" s="1023"/>
      <c r="M624" s="1023"/>
      <c r="N624" s="1023"/>
      <c r="O624" s="1023"/>
      <c r="P624" s="1023"/>
      <c r="Q624" s="1023"/>
      <c r="R624" s="1023"/>
      <c r="S624" s="1023"/>
      <c r="T624" s="934"/>
      <c r="U624" s="934"/>
      <c r="V624" s="934"/>
      <c r="W624" s="934"/>
      <c r="X624" s="934"/>
      <c r="Y624" s="934"/>
      <c r="Z624" s="934"/>
    </row>
    <row r="625" spans="1:26" ht="16.5" customHeight="1">
      <c r="A625" s="1073">
        <v>621</v>
      </c>
      <c r="B625" s="1073" t="s">
        <v>1278</v>
      </c>
      <c r="C625" s="1072">
        <v>88</v>
      </c>
      <c r="D625" s="1071">
        <f t="shared" si="47"/>
        <v>26.619999999999997</v>
      </c>
      <c r="E625" s="1070">
        <f t="shared" si="52"/>
        <v>4563.75</v>
      </c>
      <c r="F625" s="1069">
        <f t="shared" si="45"/>
        <v>15086.776859504133</v>
      </c>
      <c r="G625" s="1069">
        <f t="shared" si="46"/>
        <v>401610</v>
      </c>
      <c r="H625" s="1068">
        <f>C982</f>
        <v>0</v>
      </c>
      <c r="I625" s="1023"/>
      <c r="J625" s="1023"/>
      <c r="K625" s="1023"/>
      <c r="L625" s="1023"/>
      <c r="M625" s="1023"/>
      <c r="N625" s="1023"/>
      <c r="O625" s="1023"/>
      <c r="P625" s="1023"/>
      <c r="Q625" s="1023"/>
      <c r="R625" s="1023"/>
      <c r="S625" s="1023"/>
      <c r="T625" s="934"/>
      <c r="U625" s="934"/>
      <c r="V625" s="934"/>
      <c r="W625" s="934"/>
      <c r="X625" s="934"/>
      <c r="Y625" s="934"/>
      <c r="Z625" s="934"/>
    </row>
    <row r="626" spans="1:26" ht="16.5" customHeight="1">
      <c r="A626" s="1073">
        <v>622</v>
      </c>
      <c r="B626" s="1073" t="s">
        <v>1279</v>
      </c>
      <c r="C626" s="1072">
        <v>90.6</v>
      </c>
      <c r="D626" s="1071">
        <f t="shared" si="47"/>
        <v>27.406499999999998</v>
      </c>
      <c r="E626" s="1070">
        <f>(5200000*1.25)/1000</f>
        <v>6500</v>
      </c>
      <c r="F626" s="1069">
        <f t="shared" si="45"/>
        <v>21487.603305785124</v>
      </c>
      <c r="G626" s="1069">
        <f t="shared" si="46"/>
        <v>588900</v>
      </c>
      <c r="H626" s="1068">
        <f>C997</f>
        <v>0</v>
      </c>
      <c r="I626" s="1023"/>
      <c r="J626" s="1023"/>
      <c r="K626" s="1023"/>
      <c r="L626" s="1023"/>
      <c r="M626" s="1023"/>
      <c r="N626" s="1023"/>
      <c r="O626" s="1023"/>
      <c r="P626" s="1023"/>
      <c r="Q626" s="1023"/>
      <c r="R626" s="1023"/>
      <c r="S626" s="1023"/>
      <c r="T626" s="934"/>
      <c r="U626" s="934"/>
      <c r="V626" s="934"/>
      <c r="W626" s="934"/>
      <c r="X626" s="934"/>
      <c r="Y626" s="934"/>
      <c r="Z626" s="934"/>
    </row>
    <row r="627" spans="1:26" ht="16.5" customHeight="1">
      <c r="A627" s="1073">
        <v>623</v>
      </c>
      <c r="B627" s="1073" t="s">
        <v>1280</v>
      </c>
      <c r="C627" s="1072">
        <v>90.5</v>
      </c>
      <c r="D627" s="1071">
        <f t="shared" si="47"/>
        <v>27.376249999999999</v>
      </c>
      <c r="E627" s="1070">
        <f>(5200000*1.25)/1000</f>
        <v>6500</v>
      </c>
      <c r="F627" s="1069">
        <f t="shared" si="45"/>
        <v>21487.603305785124</v>
      </c>
      <c r="G627" s="1069">
        <f t="shared" si="46"/>
        <v>588250</v>
      </c>
      <c r="H627" s="1068" t="e">
        <f>C998</f>
        <v>#REF!</v>
      </c>
      <c r="I627" s="1023"/>
      <c r="J627" s="1023"/>
      <c r="K627" s="1023"/>
      <c r="L627" s="1023"/>
      <c r="M627" s="1023"/>
      <c r="N627" s="1023"/>
      <c r="O627" s="1023"/>
      <c r="P627" s="1023"/>
      <c r="Q627" s="1023"/>
      <c r="R627" s="1023"/>
      <c r="S627" s="1023"/>
      <c r="T627" s="934"/>
      <c r="U627" s="934"/>
      <c r="V627" s="934"/>
      <c r="W627" s="934"/>
      <c r="X627" s="934"/>
      <c r="Y627" s="934"/>
      <c r="Z627" s="934"/>
    </row>
    <row r="628" spans="1:26" ht="16.5" customHeight="1">
      <c r="A628" s="1073">
        <v>624</v>
      </c>
      <c r="B628" s="1073" t="s">
        <v>1281</v>
      </c>
      <c r="C628" s="1072">
        <v>91.1</v>
      </c>
      <c r="D628" s="1071">
        <f t="shared" si="47"/>
        <v>27.557749999999999</v>
      </c>
      <c r="E628" s="1070">
        <f t="shared" ref="E628:E634" si="53">(3580000*1.25)/1000</f>
        <v>4475</v>
      </c>
      <c r="F628" s="1069">
        <f t="shared" si="45"/>
        <v>14793.388429752067</v>
      </c>
      <c r="G628" s="1069">
        <f t="shared" si="46"/>
        <v>407672.5</v>
      </c>
      <c r="H628" s="1068">
        <f>C999</f>
        <v>210</v>
      </c>
      <c r="I628" s="1023"/>
      <c r="J628" s="1023"/>
      <c r="K628" s="1023"/>
      <c r="L628" s="1023"/>
      <c r="M628" s="1023"/>
      <c r="N628" s="1023"/>
      <c r="O628" s="1023"/>
      <c r="P628" s="1023"/>
      <c r="Q628" s="1023"/>
      <c r="R628" s="1023"/>
      <c r="S628" s="1023"/>
      <c r="T628" s="934"/>
      <c r="U628" s="934"/>
      <c r="V628" s="934"/>
      <c r="W628" s="934"/>
      <c r="X628" s="934"/>
      <c r="Y628" s="934"/>
      <c r="Z628" s="934"/>
    </row>
    <row r="629" spans="1:26" ht="16.5" customHeight="1">
      <c r="A629" s="1073">
        <v>625</v>
      </c>
      <c r="B629" s="1073" t="s">
        <v>1282</v>
      </c>
      <c r="C629" s="1072">
        <v>94.7</v>
      </c>
      <c r="D629" s="1071">
        <f t="shared" si="47"/>
        <v>28.646750000000001</v>
      </c>
      <c r="E629" s="1070">
        <f t="shared" si="53"/>
        <v>4475</v>
      </c>
      <c r="F629" s="1069">
        <f t="shared" si="45"/>
        <v>14793.388429752067</v>
      </c>
      <c r="G629" s="1069">
        <f t="shared" si="46"/>
        <v>423782.5</v>
      </c>
      <c r="H629" s="1068" t="e">
        <f>C1000</f>
        <v>#REF!</v>
      </c>
      <c r="I629" s="1023"/>
      <c r="J629" s="1023"/>
      <c r="K629" s="1023"/>
      <c r="L629" s="1023"/>
      <c r="M629" s="1023"/>
      <c r="N629" s="1023"/>
      <c r="O629" s="1023"/>
      <c r="P629" s="1023"/>
      <c r="Q629" s="1023"/>
      <c r="R629" s="1023"/>
      <c r="S629" s="1023"/>
      <c r="T629" s="934"/>
      <c r="U629" s="934"/>
      <c r="V629" s="934"/>
      <c r="W629" s="934"/>
      <c r="X629" s="934"/>
      <c r="Y629" s="934"/>
      <c r="Z629" s="934"/>
    </row>
    <row r="630" spans="1:26" ht="16.5" customHeight="1">
      <c r="A630" s="1073">
        <v>626</v>
      </c>
      <c r="B630" s="1073" t="s">
        <v>1283</v>
      </c>
      <c r="C630" s="1072">
        <v>91.8</v>
      </c>
      <c r="D630" s="1071">
        <f t="shared" si="47"/>
        <v>27.769499999999997</v>
      </c>
      <c r="E630" s="1070">
        <f t="shared" si="53"/>
        <v>4475</v>
      </c>
      <c r="F630" s="1069">
        <f t="shared" si="45"/>
        <v>14793.388429752067</v>
      </c>
      <c r="G630" s="1069">
        <f t="shared" si="46"/>
        <v>410805</v>
      </c>
      <c r="H630" s="1068" t="e">
        <f>C987</f>
        <v>#REF!</v>
      </c>
      <c r="I630" s="1023"/>
      <c r="J630" s="1023"/>
      <c r="K630" s="1023"/>
      <c r="L630" s="1023"/>
      <c r="M630" s="1023"/>
      <c r="N630" s="1023"/>
      <c r="O630" s="1023"/>
      <c r="P630" s="1023"/>
      <c r="Q630" s="1023"/>
      <c r="R630" s="1023"/>
      <c r="S630" s="1023"/>
      <c r="T630" s="934"/>
      <c r="U630" s="934"/>
      <c r="V630" s="934"/>
      <c r="W630" s="934"/>
      <c r="X630" s="934"/>
      <c r="Y630" s="934"/>
      <c r="Z630" s="934"/>
    </row>
    <row r="631" spans="1:26" ht="16.5" customHeight="1">
      <c r="A631" s="1073">
        <v>627</v>
      </c>
      <c r="B631" s="1073" t="s">
        <v>1284</v>
      </c>
      <c r="C631" s="1072">
        <v>96.2</v>
      </c>
      <c r="D631" s="1071">
        <f t="shared" si="47"/>
        <v>29.1005</v>
      </c>
      <c r="E631" s="1070">
        <f t="shared" si="53"/>
        <v>4475</v>
      </c>
      <c r="F631" s="1069">
        <f t="shared" si="45"/>
        <v>14793.388429752067</v>
      </c>
      <c r="G631" s="1069">
        <f t="shared" si="46"/>
        <v>430495</v>
      </c>
      <c r="H631" s="1068" t="e">
        <f>C1002</f>
        <v>#REF!</v>
      </c>
      <c r="I631" s="1023"/>
      <c r="J631" s="1023"/>
      <c r="K631" s="1023"/>
      <c r="L631" s="1023"/>
      <c r="M631" s="1023"/>
      <c r="N631" s="1023"/>
      <c r="O631" s="1023"/>
      <c r="P631" s="1023"/>
      <c r="Q631" s="1023"/>
      <c r="R631" s="1023"/>
      <c r="S631" s="1023"/>
      <c r="T631" s="934"/>
      <c r="U631" s="934"/>
      <c r="V631" s="934"/>
      <c r="W631" s="934"/>
      <c r="X631" s="934"/>
      <c r="Y631" s="934"/>
      <c r="Z631" s="934"/>
    </row>
    <row r="632" spans="1:26" ht="16.5" customHeight="1">
      <c r="A632" s="1073">
        <v>628</v>
      </c>
      <c r="B632" s="1073" t="s">
        <v>1285</v>
      </c>
      <c r="C632" s="1072">
        <v>92</v>
      </c>
      <c r="D632" s="1071">
        <f t="shared" si="47"/>
        <v>27.83</v>
      </c>
      <c r="E632" s="1070">
        <f t="shared" si="53"/>
        <v>4475</v>
      </c>
      <c r="F632" s="1069">
        <f t="shared" ref="F632:F660" si="54">E632/0.3025</f>
        <v>14793.388429752067</v>
      </c>
      <c r="G632" s="1069">
        <f t="shared" ref="G632:G660" si="55">C632*E632</f>
        <v>411700</v>
      </c>
      <c r="H632" s="1068" t="e">
        <f>C1003</f>
        <v>#REF!</v>
      </c>
      <c r="I632" s="1023"/>
      <c r="J632" s="1023"/>
      <c r="K632" s="1023"/>
      <c r="L632" s="1023"/>
      <c r="M632" s="1023"/>
      <c r="N632" s="1023"/>
      <c r="O632" s="1023"/>
      <c r="P632" s="1023"/>
      <c r="Q632" s="1023"/>
      <c r="R632" s="1023"/>
      <c r="S632" s="1023"/>
      <c r="T632" s="934"/>
      <c r="U632" s="934"/>
      <c r="V632" s="934"/>
      <c r="W632" s="934"/>
      <c r="X632" s="934"/>
      <c r="Y632" s="934"/>
      <c r="Z632" s="934"/>
    </row>
    <row r="633" spans="1:26" ht="16.5" customHeight="1">
      <c r="A633" s="1073">
        <v>629</v>
      </c>
      <c r="B633" s="1073" t="s">
        <v>1286</v>
      </c>
      <c r="C633" s="1072">
        <v>89.8</v>
      </c>
      <c r="D633" s="1071">
        <f t="shared" si="47"/>
        <v>27.164499999999997</v>
      </c>
      <c r="E633" s="1070">
        <f t="shared" si="53"/>
        <v>4475</v>
      </c>
      <c r="F633" s="1069">
        <f t="shared" si="54"/>
        <v>14793.388429752067</v>
      </c>
      <c r="G633" s="1069">
        <f t="shared" si="55"/>
        <v>401855</v>
      </c>
      <c r="H633" s="1068" t="e">
        <f>C1004</f>
        <v>#REF!</v>
      </c>
      <c r="I633" s="1023"/>
      <c r="J633" s="1023"/>
      <c r="K633" s="1023"/>
      <c r="L633" s="1023"/>
      <c r="M633" s="1023"/>
      <c r="N633" s="1023"/>
      <c r="O633" s="1023"/>
      <c r="P633" s="1023"/>
      <c r="Q633" s="1023"/>
      <c r="R633" s="1023"/>
      <c r="S633" s="1023"/>
      <c r="T633" s="934"/>
      <c r="U633" s="934"/>
      <c r="V633" s="934"/>
      <c r="W633" s="934"/>
      <c r="X633" s="934"/>
      <c r="Y633" s="934"/>
      <c r="Z633" s="934"/>
    </row>
    <row r="634" spans="1:26" ht="16.5" customHeight="1">
      <c r="A634" s="1073">
        <v>630</v>
      </c>
      <c r="B634" s="1073" t="s">
        <v>1287</v>
      </c>
      <c r="C634" s="1072">
        <v>91.2</v>
      </c>
      <c r="D634" s="1071">
        <f t="shared" si="47"/>
        <v>27.588000000000001</v>
      </c>
      <c r="E634" s="1070">
        <f t="shared" si="53"/>
        <v>4475</v>
      </c>
      <c r="F634" s="1069">
        <f t="shared" si="54"/>
        <v>14793.388429752067</v>
      </c>
      <c r="G634" s="1069">
        <f t="shared" si="55"/>
        <v>408120</v>
      </c>
      <c r="H634" s="1068" t="e">
        <f>C1005</f>
        <v>#REF!</v>
      </c>
      <c r="I634" s="1023"/>
      <c r="J634" s="1023"/>
      <c r="K634" s="1023"/>
      <c r="L634" s="1023"/>
      <c r="M634" s="1023"/>
      <c r="N634" s="1023"/>
      <c r="O634" s="1023"/>
      <c r="P634" s="1023"/>
      <c r="Q634" s="1023"/>
      <c r="R634" s="1023"/>
      <c r="S634" s="1023"/>
      <c r="T634" s="934"/>
      <c r="U634" s="934"/>
      <c r="V634" s="934"/>
      <c r="W634" s="934"/>
      <c r="X634" s="934"/>
      <c r="Y634" s="934"/>
      <c r="Z634" s="934"/>
    </row>
    <row r="635" spans="1:26" ht="16.5" customHeight="1">
      <c r="A635" s="1073">
        <v>631</v>
      </c>
      <c r="B635" s="1073" t="s">
        <v>1288</v>
      </c>
      <c r="C635" s="1072">
        <v>495.6</v>
      </c>
      <c r="D635" s="1071">
        <f t="shared" si="47"/>
        <v>149.91900000000001</v>
      </c>
      <c r="E635" s="1070">
        <f>(1181000*1.25)/1000</f>
        <v>1476.25</v>
      </c>
      <c r="F635" s="1069">
        <f t="shared" si="54"/>
        <v>4880.1652892561988</v>
      </c>
      <c r="G635" s="1069">
        <f t="shared" si="55"/>
        <v>731629.5</v>
      </c>
      <c r="H635" s="1068">
        <f>C997</f>
        <v>0</v>
      </c>
      <c r="I635" s="1023"/>
      <c r="J635" s="1023"/>
      <c r="K635" s="1023"/>
      <c r="L635" s="1023"/>
      <c r="M635" s="1023"/>
      <c r="N635" s="1023"/>
      <c r="O635" s="1023"/>
      <c r="P635" s="1023"/>
      <c r="Q635" s="1023"/>
      <c r="R635" s="1023"/>
      <c r="S635" s="1023"/>
      <c r="T635" s="934"/>
      <c r="U635" s="934"/>
      <c r="V635" s="934"/>
      <c r="W635" s="934"/>
      <c r="X635" s="934"/>
      <c r="Y635" s="934"/>
      <c r="Z635" s="934"/>
    </row>
    <row r="636" spans="1:26" ht="16.5" customHeight="1">
      <c r="A636" s="1073">
        <v>632</v>
      </c>
      <c r="B636" s="1073" t="s">
        <v>1289</v>
      </c>
      <c r="C636" s="1072">
        <v>87.7</v>
      </c>
      <c r="D636" s="1071">
        <f t="shared" si="47"/>
        <v>26.529250000000001</v>
      </c>
      <c r="E636" s="1070">
        <f t="shared" ref="E636:E642" si="56">(3651000*1.25)/1000</f>
        <v>4563.75</v>
      </c>
      <c r="F636" s="1069">
        <f t="shared" si="54"/>
        <v>15086.776859504133</v>
      </c>
      <c r="G636" s="1069">
        <f t="shared" si="55"/>
        <v>400240.875</v>
      </c>
      <c r="H636" s="1068" t="e">
        <f>C1017</f>
        <v>#REF!</v>
      </c>
      <c r="I636" s="1023"/>
      <c r="J636" s="1023"/>
      <c r="K636" s="1023"/>
      <c r="L636" s="1023"/>
      <c r="M636" s="1023"/>
      <c r="N636" s="1023"/>
      <c r="O636" s="1023"/>
      <c r="P636" s="1023"/>
      <c r="Q636" s="1023"/>
      <c r="R636" s="1023"/>
      <c r="S636" s="1023"/>
      <c r="T636" s="934"/>
      <c r="U636" s="934"/>
      <c r="V636" s="934"/>
      <c r="W636" s="934"/>
      <c r="X636" s="934"/>
      <c r="Y636" s="934"/>
      <c r="Z636" s="934"/>
    </row>
    <row r="637" spans="1:26" ht="16.5" customHeight="1">
      <c r="A637" s="1073">
        <v>633</v>
      </c>
      <c r="B637" s="1073" t="s">
        <v>1290</v>
      </c>
      <c r="C637" s="1072">
        <v>91</v>
      </c>
      <c r="D637" s="1071">
        <f t="shared" si="47"/>
        <v>27.5275</v>
      </c>
      <c r="E637" s="1070">
        <f t="shared" si="56"/>
        <v>4563.75</v>
      </c>
      <c r="F637" s="1069">
        <f t="shared" si="54"/>
        <v>15086.776859504133</v>
      </c>
      <c r="G637" s="1069">
        <f t="shared" si="55"/>
        <v>415301.25</v>
      </c>
      <c r="H637" s="1068" t="e">
        <f>C1018</f>
        <v>#REF!</v>
      </c>
      <c r="I637" s="1023"/>
      <c r="J637" s="1023"/>
      <c r="K637" s="1023"/>
      <c r="L637" s="1023"/>
      <c r="M637" s="1023"/>
      <c r="N637" s="1023"/>
      <c r="O637" s="1023"/>
      <c r="P637" s="1023"/>
      <c r="Q637" s="1023"/>
      <c r="R637" s="1023"/>
      <c r="S637" s="1023"/>
      <c r="T637" s="934"/>
      <c r="U637" s="934"/>
      <c r="V637" s="934"/>
      <c r="W637" s="934"/>
      <c r="X637" s="934"/>
      <c r="Y637" s="934"/>
      <c r="Z637" s="934"/>
    </row>
    <row r="638" spans="1:26" ht="16.5" customHeight="1">
      <c r="A638" s="1073">
        <v>634</v>
      </c>
      <c r="B638" s="1073" t="s">
        <v>1291</v>
      </c>
      <c r="C638" s="1072">
        <v>89.5</v>
      </c>
      <c r="D638" s="1071">
        <f t="shared" si="47"/>
        <v>27.07375</v>
      </c>
      <c r="E638" s="1070">
        <f t="shared" si="56"/>
        <v>4563.75</v>
      </c>
      <c r="F638" s="1069">
        <f t="shared" si="54"/>
        <v>15086.776859504133</v>
      </c>
      <c r="G638" s="1069">
        <f t="shared" si="55"/>
        <v>408455.625</v>
      </c>
      <c r="H638" s="1068" t="e">
        <f>C1019</f>
        <v>#REF!</v>
      </c>
      <c r="I638" s="1023"/>
      <c r="J638" s="1023"/>
      <c r="K638" s="1023"/>
      <c r="L638" s="1023"/>
      <c r="M638" s="1023"/>
      <c r="N638" s="1023"/>
      <c r="O638" s="1023"/>
      <c r="P638" s="1023"/>
      <c r="Q638" s="1023"/>
      <c r="R638" s="1023"/>
      <c r="S638" s="1023"/>
      <c r="T638" s="934"/>
      <c r="U638" s="934"/>
      <c r="V638" s="934"/>
      <c r="W638" s="934"/>
      <c r="X638" s="934"/>
      <c r="Y638" s="934"/>
      <c r="Z638" s="934"/>
    </row>
    <row r="639" spans="1:26" ht="16.5" customHeight="1">
      <c r="A639" s="1073">
        <v>635</v>
      </c>
      <c r="B639" s="1073" t="s">
        <v>1292</v>
      </c>
      <c r="C639" s="1072">
        <v>89.6</v>
      </c>
      <c r="D639" s="1071">
        <f t="shared" si="47"/>
        <v>27.103999999999999</v>
      </c>
      <c r="E639" s="1070">
        <f t="shared" si="56"/>
        <v>4563.75</v>
      </c>
      <c r="F639" s="1069">
        <f t="shared" si="54"/>
        <v>15086.776859504133</v>
      </c>
      <c r="G639" s="1069">
        <f t="shared" si="55"/>
        <v>408912</v>
      </c>
      <c r="H639" s="1068" t="e">
        <f>C1020</f>
        <v>#REF!</v>
      </c>
      <c r="I639" s="1023"/>
      <c r="J639" s="1023"/>
      <c r="K639" s="1023"/>
      <c r="L639" s="1023"/>
      <c r="M639" s="1023"/>
      <c r="N639" s="1023"/>
      <c r="O639" s="1023"/>
      <c r="P639" s="1023"/>
      <c r="Q639" s="1023"/>
      <c r="R639" s="1023"/>
      <c r="S639" s="1023"/>
      <c r="T639" s="934"/>
      <c r="U639" s="934"/>
      <c r="V639" s="934"/>
      <c r="W639" s="934"/>
      <c r="X639" s="934"/>
      <c r="Y639" s="934"/>
      <c r="Z639" s="934"/>
    </row>
    <row r="640" spans="1:26" ht="16.5" customHeight="1">
      <c r="A640" s="1073">
        <v>636</v>
      </c>
      <c r="B640" s="1073" t="s">
        <v>1293</v>
      </c>
      <c r="C640" s="1072">
        <v>88.9</v>
      </c>
      <c r="D640" s="1071">
        <f t="shared" si="47"/>
        <v>26.892250000000001</v>
      </c>
      <c r="E640" s="1070">
        <f t="shared" si="56"/>
        <v>4563.75</v>
      </c>
      <c r="F640" s="1069">
        <f t="shared" si="54"/>
        <v>15086.776859504133</v>
      </c>
      <c r="G640" s="1069">
        <f t="shared" si="55"/>
        <v>405717.375</v>
      </c>
      <c r="H640" s="1068" t="e">
        <f>C1007</f>
        <v>#REF!</v>
      </c>
      <c r="I640" s="1023"/>
      <c r="J640" s="1023"/>
      <c r="K640" s="1023"/>
      <c r="L640" s="1023"/>
      <c r="M640" s="1023"/>
      <c r="N640" s="1023"/>
      <c r="O640" s="1023"/>
      <c r="P640" s="1023"/>
      <c r="Q640" s="1023"/>
      <c r="R640" s="1023"/>
      <c r="S640" s="1023"/>
      <c r="T640" s="934"/>
      <c r="U640" s="934"/>
      <c r="V640" s="934"/>
      <c r="W640" s="934"/>
      <c r="X640" s="934"/>
      <c r="Y640" s="934"/>
      <c r="Z640" s="934"/>
    </row>
    <row r="641" spans="1:26" ht="16.5" customHeight="1">
      <c r="A641" s="1073">
        <v>637</v>
      </c>
      <c r="B641" s="1073" t="s">
        <v>1294</v>
      </c>
      <c r="C641" s="1072">
        <v>89.2</v>
      </c>
      <c r="D641" s="1071">
        <f t="shared" si="47"/>
        <v>26.983000000000001</v>
      </c>
      <c r="E641" s="1070">
        <f t="shared" si="56"/>
        <v>4563.75</v>
      </c>
      <c r="F641" s="1069">
        <f t="shared" si="54"/>
        <v>15086.776859504133</v>
      </c>
      <c r="G641" s="1069">
        <f t="shared" si="55"/>
        <v>407086.5</v>
      </c>
      <c r="H641" s="1068" t="e">
        <f>C1022</f>
        <v>#REF!</v>
      </c>
      <c r="I641" s="1023"/>
      <c r="J641" s="1023"/>
      <c r="K641" s="1023"/>
      <c r="L641" s="1023"/>
      <c r="M641" s="1023"/>
      <c r="N641" s="1023"/>
      <c r="O641" s="1023"/>
      <c r="P641" s="1023"/>
      <c r="Q641" s="1023"/>
      <c r="R641" s="1023"/>
      <c r="S641" s="1023"/>
      <c r="T641" s="934"/>
      <c r="U641" s="934"/>
      <c r="V641" s="934"/>
      <c r="W641" s="934"/>
      <c r="X641" s="934"/>
      <c r="Y641" s="934"/>
      <c r="Z641" s="934"/>
    </row>
    <row r="642" spans="1:26" ht="16.5" customHeight="1">
      <c r="A642" s="1073">
        <v>638</v>
      </c>
      <c r="B642" s="1073" t="s">
        <v>1295</v>
      </c>
      <c r="C642" s="1072">
        <v>90</v>
      </c>
      <c r="D642" s="1071">
        <f t="shared" si="47"/>
        <v>27.224999999999998</v>
      </c>
      <c r="E642" s="1070">
        <f t="shared" si="56"/>
        <v>4563.75</v>
      </c>
      <c r="F642" s="1069">
        <f t="shared" si="54"/>
        <v>15086.776859504133</v>
      </c>
      <c r="G642" s="1069">
        <f t="shared" si="55"/>
        <v>410737.5</v>
      </c>
      <c r="H642" s="1068" t="e">
        <f>C1023</f>
        <v>#REF!</v>
      </c>
      <c r="I642" s="1023"/>
      <c r="J642" s="1023"/>
      <c r="K642" s="1023"/>
      <c r="L642" s="1023"/>
      <c r="M642" s="1023"/>
      <c r="N642" s="1023"/>
      <c r="O642" s="1023"/>
      <c r="P642" s="1023"/>
      <c r="Q642" s="1023"/>
      <c r="R642" s="1023"/>
      <c r="S642" s="1023"/>
      <c r="T642" s="934"/>
      <c r="U642" s="934"/>
      <c r="V642" s="934"/>
      <c r="W642" s="934"/>
      <c r="X642" s="934"/>
      <c r="Y642" s="934"/>
      <c r="Z642" s="934"/>
    </row>
    <row r="643" spans="1:26" ht="16.5" customHeight="1">
      <c r="A643" s="1073">
        <v>639</v>
      </c>
      <c r="B643" s="1073" t="s">
        <v>1296</v>
      </c>
      <c r="C643" s="1072">
        <v>86.5</v>
      </c>
      <c r="D643" s="1071">
        <f t="shared" si="47"/>
        <v>26.166249999999998</v>
      </c>
      <c r="E643" s="1070">
        <f>(5200000*1.25)/1000</f>
        <v>6500</v>
      </c>
      <c r="F643" s="1069">
        <f t="shared" si="54"/>
        <v>21487.603305785124</v>
      </c>
      <c r="G643" s="1069">
        <f t="shared" si="55"/>
        <v>562250</v>
      </c>
      <c r="H643" s="1068">
        <f>C1024</f>
        <v>18</v>
      </c>
      <c r="I643" s="1023"/>
      <c r="J643" s="1023"/>
      <c r="K643" s="1023"/>
      <c r="L643" s="1023"/>
      <c r="M643" s="1023"/>
      <c r="N643" s="1023"/>
      <c r="O643" s="1023"/>
      <c r="P643" s="1023"/>
      <c r="Q643" s="1023"/>
      <c r="R643" s="1023"/>
      <c r="S643" s="1023"/>
      <c r="T643" s="934"/>
      <c r="U643" s="934"/>
      <c r="V643" s="934"/>
      <c r="W643" s="934"/>
      <c r="X643" s="934"/>
      <c r="Y643" s="934"/>
      <c r="Z643" s="934"/>
    </row>
    <row r="644" spans="1:26" ht="16.5" customHeight="1">
      <c r="A644" s="1073">
        <v>640</v>
      </c>
      <c r="B644" s="1073" t="s">
        <v>1297</v>
      </c>
      <c r="C644" s="1072">
        <v>90.6</v>
      </c>
      <c r="D644" s="1071">
        <f t="shared" si="47"/>
        <v>27.406499999999998</v>
      </c>
      <c r="E644" s="1070">
        <f>(5200000*1.25)/1000</f>
        <v>6500</v>
      </c>
      <c r="F644" s="1069">
        <f t="shared" si="54"/>
        <v>21487.603305785124</v>
      </c>
      <c r="G644" s="1069">
        <f t="shared" si="55"/>
        <v>588900</v>
      </c>
      <c r="H644" s="1068" t="e">
        <f>C1025</f>
        <v>#REF!</v>
      </c>
      <c r="I644" s="1023"/>
      <c r="J644" s="1023"/>
      <c r="K644" s="1023"/>
      <c r="L644" s="1023"/>
      <c r="M644" s="1023"/>
      <c r="N644" s="1023"/>
      <c r="O644" s="1023"/>
      <c r="P644" s="1023"/>
      <c r="Q644" s="1023"/>
      <c r="R644" s="1023"/>
      <c r="S644" s="1023"/>
      <c r="T644" s="934"/>
      <c r="U644" s="934"/>
      <c r="V644" s="934"/>
      <c r="W644" s="934"/>
      <c r="X644" s="934"/>
      <c r="Y644" s="934"/>
      <c r="Z644" s="934"/>
    </row>
    <row r="645" spans="1:26" ht="16.5" customHeight="1">
      <c r="A645" s="1073">
        <v>641</v>
      </c>
      <c r="B645" s="1073" t="s">
        <v>1298</v>
      </c>
      <c r="C645" s="1072">
        <v>92.5</v>
      </c>
      <c r="D645" s="1071">
        <f t="shared" ref="D645:D660" si="57">C645*0.3025</f>
        <v>27.981249999999999</v>
      </c>
      <c r="E645" s="1070">
        <f t="shared" ref="E645:E651" si="58">(3580000*1.25)/1000</f>
        <v>4475</v>
      </c>
      <c r="F645" s="1069">
        <f t="shared" si="54"/>
        <v>14793.388429752067</v>
      </c>
      <c r="G645" s="1069">
        <f t="shared" si="55"/>
        <v>413937.5</v>
      </c>
      <c r="H645" s="1068">
        <f>C1012</f>
        <v>0</v>
      </c>
      <c r="I645" s="1023"/>
      <c r="J645" s="1023"/>
      <c r="K645" s="1023"/>
      <c r="L645" s="1023"/>
      <c r="M645" s="1023"/>
      <c r="N645" s="1023"/>
      <c r="O645" s="1023"/>
      <c r="P645" s="1023"/>
      <c r="Q645" s="1023"/>
      <c r="R645" s="1023"/>
      <c r="S645" s="1023"/>
      <c r="T645" s="934"/>
      <c r="U645" s="934"/>
      <c r="V645" s="934"/>
      <c r="W645" s="934"/>
      <c r="X645" s="934"/>
      <c r="Y645" s="934"/>
      <c r="Z645" s="934"/>
    </row>
    <row r="646" spans="1:26" ht="16.5" customHeight="1">
      <c r="A646" s="1073">
        <v>642</v>
      </c>
      <c r="B646" s="1073" t="s">
        <v>1299</v>
      </c>
      <c r="C646" s="1072">
        <v>91.1</v>
      </c>
      <c r="D646" s="1071">
        <f t="shared" si="57"/>
        <v>27.557749999999999</v>
      </c>
      <c r="E646" s="1070">
        <f t="shared" si="58"/>
        <v>4475</v>
      </c>
      <c r="F646" s="1069">
        <f t="shared" si="54"/>
        <v>14793.388429752067</v>
      </c>
      <c r="G646" s="1069">
        <f t="shared" si="55"/>
        <v>407672.5</v>
      </c>
      <c r="H646" s="1068">
        <f>C1027</f>
        <v>0</v>
      </c>
      <c r="I646" s="1023"/>
      <c r="J646" s="1023"/>
      <c r="K646" s="1023"/>
      <c r="L646" s="1023"/>
      <c r="M646" s="1023"/>
      <c r="N646" s="1023"/>
      <c r="O646" s="1023"/>
      <c r="P646" s="1023"/>
      <c r="Q646" s="1023"/>
      <c r="R646" s="1023"/>
      <c r="S646" s="1023"/>
      <c r="T646" s="934"/>
      <c r="U646" s="934"/>
      <c r="V646" s="934"/>
      <c r="W646" s="934"/>
      <c r="X646" s="934"/>
      <c r="Y646" s="934"/>
      <c r="Z646" s="934"/>
    </row>
    <row r="647" spans="1:26" ht="16.5" customHeight="1">
      <c r="A647" s="1073">
        <v>643</v>
      </c>
      <c r="B647" s="1073" t="s">
        <v>1300</v>
      </c>
      <c r="C647" s="1072">
        <v>92.3</v>
      </c>
      <c r="D647" s="1071">
        <f t="shared" si="57"/>
        <v>27.920749999999998</v>
      </c>
      <c r="E647" s="1070">
        <f t="shared" si="58"/>
        <v>4475</v>
      </c>
      <c r="F647" s="1069">
        <f t="shared" si="54"/>
        <v>14793.388429752067</v>
      </c>
      <c r="G647" s="1069">
        <f t="shared" si="55"/>
        <v>413042.5</v>
      </c>
      <c r="H647" s="1068" t="e">
        <f>C1028</f>
        <v>#REF!</v>
      </c>
      <c r="I647" s="1023"/>
      <c r="J647" s="1023"/>
      <c r="K647" s="1023"/>
      <c r="L647" s="1023"/>
      <c r="M647" s="1023"/>
      <c r="N647" s="1023"/>
      <c r="O647" s="1023"/>
      <c r="P647" s="1023"/>
      <c r="Q647" s="1023"/>
      <c r="R647" s="1023"/>
      <c r="S647" s="1023"/>
      <c r="T647" s="934"/>
      <c r="U647" s="934"/>
      <c r="V647" s="934"/>
      <c r="W647" s="934"/>
      <c r="X647" s="934"/>
      <c r="Y647" s="934"/>
      <c r="Z647" s="934"/>
    </row>
    <row r="648" spans="1:26" ht="16.5" customHeight="1">
      <c r="A648" s="1073">
        <v>644</v>
      </c>
      <c r="B648" s="1073" t="s">
        <v>1301</v>
      </c>
      <c r="C648" s="1072">
        <v>92.1</v>
      </c>
      <c r="D648" s="1071">
        <f t="shared" si="57"/>
        <v>27.860249999999997</v>
      </c>
      <c r="E648" s="1070">
        <f t="shared" si="58"/>
        <v>4475</v>
      </c>
      <c r="F648" s="1069">
        <f t="shared" si="54"/>
        <v>14793.388429752067</v>
      </c>
      <c r="G648" s="1069">
        <f t="shared" si="55"/>
        <v>412147.5</v>
      </c>
      <c r="H648" s="1068">
        <f>C1029</f>
        <v>210</v>
      </c>
      <c r="I648" s="1023"/>
      <c r="J648" s="1023"/>
      <c r="K648" s="1023"/>
      <c r="L648" s="1023"/>
      <c r="M648" s="1023"/>
      <c r="N648" s="1023"/>
      <c r="O648" s="1023"/>
      <c r="P648" s="1023"/>
      <c r="Q648" s="1023"/>
      <c r="R648" s="1023"/>
      <c r="S648" s="1023"/>
      <c r="T648" s="934"/>
      <c r="U648" s="934"/>
      <c r="V648" s="934"/>
      <c r="W648" s="934"/>
      <c r="X648" s="934"/>
      <c r="Y648" s="934"/>
      <c r="Z648" s="934"/>
    </row>
    <row r="649" spans="1:26" ht="16.5" customHeight="1">
      <c r="A649" s="1073">
        <v>645</v>
      </c>
      <c r="B649" s="1073" t="s">
        <v>1302</v>
      </c>
      <c r="C649" s="1072">
        <v>91.4</v>
      </c>
      <c r="D649" s="1071">
        <f t="shared" si="57"/>
        <v>27.648500000000002</v>
      </c>
      <c r="E649" s="1070">
        <f t="shared" si="58"/>
        <v>4475</v>
      </c>
      <c r="F649" s="1069">
        <f t="shared" si="54"/>
        <v>14793.388429752067</v>
      </c>
      <c r="G649" s="1069">
        <f t="shared" si="55"/>
        <v>409015</v>
      </c>
      <c r="H649" s="1068" t="e">
        <f>C1030</f>
        <v>#REF!</v>
      </c>
      <c r="I649" s="1023"/>
      <c r="J649" s="1023"/>
      <c r="K649" s="1023"/>
      <c r="L649" s="1023"/>
      <c r="M649" s="1023"/>
      <c r="N649" s="1023"/>
      <c r="O649" s="1023"/>
      <c r="P649" s="1023"/>
      <c r="Q649" s="1023"/>
      <c r="R649" s="1023"/>
      <c r="S649" s="1023"/>
      <c r="T649" s="934"/>
      <c r="U649" s="934"/>
      <c r="V649" s="934"/>
      <c r="W649" s="934"/>
      <c r="X649" s="934"/>
      <c r="Y649" s="934"/>
      <c r="Z649" s="934"/>
    </row>
    <row r="650" spans="1:26" ht="16.5" customHeight="1">
      <c r="A650" s="1073">
        <v>646</v>
      </c>
      <c r="B650" s="1073" t="s">
        <v>1303</v>
      </c>
      <c r="C650" s="1072">
        <v>92.9</v>
      </c>
      <c r="D650" s="1071">
        <f t="shared" si="57"/>
        <v>28.102250000000002</v>
      </c>
      <c r="E650" s="1070">
        <f t="shared" si="58"/>
        <v>4475</v>
      </c>
      <c r="F650" s="1069">
        <f t="shared" si="54"/>
        <v>14793.388429752067</v>
      </c>
      <c r="G650" s="1069">
        <f t="shared" si="55"/>
        <v>415727.5</v>
      </c>
      <c r="H650" s="1068" t="e">
        <f>C1017</f>
        <v>#REF!</v>
      </c>
      <c r="I650" s="1023"/>
      <c r="J650" s="1023"/>
      <c r="K650" s="1023"/>
      <c r="L650" s="1023"/>
      <c r="M650" s="1023"/>
      <c r="N650" s="1023"/>
      <c r="O650" s="1023"/>
      <c r="P650" s="1023"/>
      <c r="Q650" s="1023"/>
      <c r="R650" s="1023"/>
      <c r="S650" s="1023"/>
      <c r="T650" s="934"/>
      <c r="U650" s="934"/>
      <c r="V650" s="934"/>
      <c r="W650" s="934"/>
      <c r="X650" s="934"/>
      <c r="Y650" s="934"/>
      <c r="Z650" s="934"/>
    </row>
    <row r="651" spans="1:26" ht="16.5" customHeight="1">
      <c r="A651" s="1073">
        <v>647</v>
      </c>
      <c r="B651" s="1073" t="s">
        <v>1304</v>
      </c>
      <c r="C651" s="1072">
        <v>90</v>
      </c>
      <c r="D651" s="1071">
        <f t="shared" si="57"/>
        <v>27.224999999999998</v>
      </c>
      <c r="E651" s="1070">
        <f t="shared" si="58"/>
        <v>4475</v>
      </c>
      <c r="F651" s="1069">
        <f t="shared" si="54"/>
        <v>14793.388429752067</v>
      </c>
      <c r="G651" s="1069">
        <f t="shared" si="55"/>
        <v>402750</v>
      </c>
      <c r="H651" s="1068" t="e">
        <f>C1032</f>
        <v>#REF!</v>
      </c>
      <c r="I651" s="1023"/>
      <c r="J651" s="1023"/>
      <c r="K651" s="1023"/>
      <c r="L651" s="1023"/>
      <c r="M651" s="1023"/>
      <c r="N651" s="1023"/>
      <c r="O651" s="1023"/>
      <c r="P651" s="1023"/>
      <c r="Q651" s="1023"/>
      <c r="R651" s="1023"/>
      <c r="S651" s="1023"/>
      <c r="T651" s="934"/>
      <c r="U651" s="934"/>
      <c r="V651" s="934"/>
      <c r="W651" s="934"/>
      <c r="X651" s="934"/>
      <c r="Y651" s="934"/>
      <c r="Z651" s="934"/>
    </row>
    <row r="652" spans="1:26" ht="16.5" customHeight="1">
      <c r="A652" s="1073">
        <v>648</v>
      </c>
      <c r="B652" s="1073" t="s">
        <v>1305</v>
      </c>
      <c r="C652" s="1072">
        <v>494.2</v>
      </c>
      <c r="D652" s="1071">
        <f t="shared" si="57"/>
        <v>149.49549999999999</v>
      </c>
      <c r="E652" s="1070">
        <f>(1181000*1.25)/1000</f>
        <v>1476.25</v>
      </c>
      <c r="F652" s="1069">
        <f t="shared" si="54"/>
        <v>4880.1652892561988</v>
      </c>
      <c r="G652" s="1069">
        <f t="shared" si="55"/>
        <v>729562.75</v>
      </c>
      <c r="H652" s="1068" t="e">
        <f>C1038</f>
        <v>#REF!</v>
      </c>
      <c r="I652" s="1023"/>
      <c r="J652" s="1023"/>
      <c r="K652" s="1023"/>
      <c r="L652" s="1023"/>
      <c r="M652" s="1023"/>
      <c r="N652" s="1023"/>
      <c r="O652" s="1023"/>
      <c r="P652" s="1023"/>
      <c r="Q652" s="1023"/>
      <c r="R652" s="1023"/>
      <c r="S652" s="1023"/>
      <c r="T652" s="934"/>
      <c r="U652" s="934"/>
      <c r="V652" s="934"/>
      <c r="W652" s="934"/>
      <c r="X652" s="934"/>
      <c r="Y652" s="934"/>
      <c r="Z652" s="934"/>
    </row>
    <row r="653" spans="1:26" ht="16.5" customHeight="1">
      <c r="A653" s="1073">
        <v>649</v>
      </c>
      <c r="B653" s="1073">
        <v>1247</v>
      </c>
      <c r="C653" s="1072">
        <v>372.7</v>
      </c>
      <c r="D653" s="1071">
        <f t="shared" si="57"/>
        <v>112.74175</v>
      </c>
      <c r="E653" s="1070">
        <f>(1201000*1.25)/1000</f>
        <v>1501.25</v>
      </c>
      <c r="F653" s="1069">
        <f t="shared" si="54"/>
        <v>4962.8099173553719</v>
      </c>
      <c r="G653" s="1069">
        <f t="shared" si="55"/>
        <v>559515.875</v>
      </c>
      <c r="H653" s="1068">
        <f t="shared" ref="H653:H659" si="59">C1187</f>
        <v>0</v>
      </c>
      <c r="I653" s="1023"/>
      <c r="J653" s="1023"/>
      <c r="K653" s="1023"/>
      <c r="L653" s="1023"/>
      <c r="M653" s="1023"/>
      <c r="N653" s="1023"/>
      <c r="O653" s="1023"/>
      <c r="P653" s="1023"/>
      <c r="Q653" s="1023"/>
      <c r="R653" s="1023"/>
      <c r="S653" s="1023"/>
      <c r="T653" s="934"/>
      <c r="U653" s="934"/>
      <c r="V653" s="934"/>
      <c r="W653" s="934"/>
      <c r="X653" s="934"/>
      <c r="Y653" s="934"/>
      <c r="Z653" s="934"/>
    </row>
    <row r="654" spans="1:26" ht="16.5" customHeight="1">
      <c r="A654" s="1073">
        <v>650</v>
      </c>
      <c r="B654" s="1073">
        <v>1248</v>
      </c>
      <c r="C654" s="1072">
        <v>418.8</v>
      </c>
      <c r="D654" s="1071">
        <f t="shared" si="57"/>
        <v>126.687</v>
      </c>
      <c r="E654" s="1070">
        <f>(1201000*1.25)/1000</f>
        <v>1501.25</v>
      </c>
      <c r="F654" s="1069">
        <f t="shared" si="54"/>
        <v>4962.8099173553719</v>
      </c>
      <c r="G654" s="1069">
        <f t="shared" si="55"/>
        <v>628723.5</v>
      </c>
      <c r="H654" s="1068">
        <f t="shared" si="59"/>
        <v>0</v>
      </c>
      <c r="I654" s="1023"/>
      <c r="J654" s="1023"/>
      <c r="K654" s="1023"/>
      <c r="L654" s="1023"/>
      <c r="M654" s="1023"/>
      <c r="N654" s="1023"/>
      <c r="O654" s="1023"/>
      <c r="P654" s="1023"/>
      <c r="Q654" s="1023"/>
      <c r="R654" s="1023"/>
      <c r="S654" s="1023"/>
      <c r="T654" s="934"/>
      <c r="U654" s="934"/>
      <c r="V654" s="934"/>
      <c r="W654" s="934"/>
      <c r="X654" s="934"/>
      <c r="Y654" s="934"/>
      <c r="Z654" s="934"/>
    </row>
    <row r="655" spans="1:26" ht="16.5" customHeight="1">
      <c r="A655" s="1073">
        <v>651</v>
      </c>
      <c r="B655" s="1073">
        <v>1249</v>
      </c>
      <c r="C655" s="1072">
        <v>464.6</v>
      </c>
      <c r="D655" s="1071">
        <f t="shared" si="57"/>
        <v>140.54150000000001</v>
      </c>
      <c r="E655" s="1070">
        <f>(1201000*1.25)/1000</f>
        <v>1501.25</v>
      </c>
      <c r="F655" s="1069">
        <f t="shared" si="54"/>
        <v>4962.8099173553719</v>
      </c>
      <c r="G655" s="1069">
        <f t="shared" si="55"/>
        <v>697480.75</v>
      </c>
      <c r="H655" s="1068">
        <f t="shared" si="59"/>
        <v>0</v>
      </c>
      <c r="I655" s="1023"/>
      <c r="J655" s="1023"/>
      <c r="K655" s="1023"/>
      <c r="L655" s="1023"/>
      <c r="M655" s="1023"/>
      <c r="N655" s="1023"/>
      <c r="O655" s="1023"/>
      <c r="P655" s="1023"/>
      <c r="Q655" s="1023"/>
      <c r="R655" s="1023"/>
      <c r="S655" s="1023"/>
      <c r="T655" s="934"/>
      <c r="U655" s="934"/>
      <c r="V655" s="934"/>
      <c r="W655" s="934"/>
      <c r="X655" s="934"/>
      <c r="Y655" s="934"/>
      <c r="Z655" s="934"/>
    </row>
    <row r="656" spans="1:26" ht="16.5" customHeight="1">
      <c r="A656" s="1073">
        <v>652</v>
      </c>
      <c r="B656" s="1073">
        <v>1250</v>
      </c>
      <c r="C656" s="1072">
        <v>501.2</v>
      </c>
      <c r="D656" s="1071">
        <f t="shared" si="57"/>
        <v>151.613</v>
      </c>
      <c r="E656" s="1070">
        <f>(1201000*1.25)/1000</f>
        <v>1501.25</v>
      </c>
      <c r="F656" s="1069">
        <f t="shared" si="54"/>
        <v>4962.8099173553719</v>
      </c>
      <c r="G656" s="1069">
        <f t="shared" si="55"/>
        <v>752426.5</v>
      </c>
      <c r="H656" s="1068">
        <f t="shared" si="59"/>
        <v>0</v>
      </c>
      <c r="I656" s="1023"/>
      <c r="J656" s="1023"/>
      <c r="K656" s="1023"/>
      <c r="L656" s="1023"/>
      <c r="M656" s="1023"/>
      <c r="N656" s="1023"/>
      <c r="O656" s="1023"/>
      <c r="P656" s="1023"/>
      <c r="Q656" s="1023"/>
      <c r="R656" s="1023"/>
      <c r="S656" s="1023"/>
      <c r="T656" s="934"/>
      <c r="U656" s="934"/>
      <c r="V656" s="934"/>
      <c r="W656" s="934"/>
      <c r="X656" s="934"/>
      <c r="Y656" s="934"/>
      <c r="Z656" s="934"/>
    </row>
    <row r="657" spans="1:26" ht="16.5" customHeight="1">
      <c r="A657" s="1073">
        <v>653</v>
      </c>
      <c r="B657" s="1073">
        <v>1251</v>
      </c>
      <c r="C657" s="1072">
        <v>524.70000000000005</v>
      </c>
      <c r="D657" s="1071">
        <f t="shared" si="57"/>
        <v>158.72175000000001</v>
      </c>
      <c r="E657" s="1070">
        <f>(1201000*1.25)/1000</f>
        <v>1501.25</v>
      </c>
      <c r="F657" s="1069">
        <f t="shared" si="54"/>
        <v>4962.8099173553719</v>
      </c>
      <c r="G657" s="1069">
        <f t="shared" si="55"/>
        <v>787705.87500000012</v>
      </c>
      <c r="H657" s="1068">
        <f t="shared" si="59"/>
        <v>0</v>
      </c>
      <c r="I657" s="1022"/>
      <c r="J657" s="1022"/>
      <c r="K657" s="1023"/>
      <c r="L657" s="1023"/>
      <c r="M657" s="1023"/>
      <c r="N657" s="1023"/>
      <c r="O657" s="1023"/>
      <c r="P657" s="1023"/>
      <c r="Q657" s="1023"/>
      <c r="R657" s="1023"/>
      <c r="S657" s="1023"/>
      <c r="T657" s="934"/>
      <c r="U657" s="934"/>
      <c r="V657" s="934"/>
      <c r="W657" s="934"/>
      <c r="X657" s="934"/>
      <c r="Y657" s="934"/>
      <c r="Z657" s="934"/>
    </row>
    <row r="658" spans="1:26" ht="16.5" customHeight="1">
      <c r="A658" s="1073">
        <v>654</v>
      </c>
      <c r="B658" s="1073">
        <v>1227</v>
      </c>
      <c r="C658" s="1072">
        <v>1999.2</v>
      </c>
      <c r="D658" s="1071">
        <f t="shared" si="57"/>
        <v>604.75800000000004</v>
      </c>
      <c r="E658" s="1070">
        <f>(1254000*1.25)/1000</f>
        <v>1567.5</v>
      </c>
      <c r="F658" s="1069">
        <f t="shared" si="54"/>
        <v>5181.818181818182</v>
      </c>
      <c r="G658" s="1069">
        <f t="shared" si="55"/>
        <v>3133746</v>
      </c>
      <c r="H658" s="1068">
        <f t="shared" si="59"/>
        <v>0</v>
      </c>
      <c r="I658" s="1022"/>
      <c r="J658" s="1022"/>
      <c r="K658" s="1023"/>
      <c r="L658" s="1023"/>
      <c r="M658" s="1023"/>
      <c r="N658" s="1023"/>
      <c r="O658" s="1023"/>
      <c r="P658" s="1023"/>
      <c r="Q658" s="1023"/>
      <c r="R658" s="1023"/>
      <c r="S658" s="1023"/>
      <c r="T658" s="934"/>
      <c r="U658" s="934"/>
      <c r="V658" s="934"/>
      <c r="W658" s="934"/>
      <c r="X658" s="934"/>
      <c r="Y658" s="934"/>
      <c r="Z658" s="934"/>
    </row>
    <row r="659" spans="1:26" ht="16.5" customHeight="1">
      <c r="A659" s="1073">
        <v>655</v>
      </c>
      <c r="B659" s="1073">
        <v>1228</v>
      </c>
      <c r="C659" s="1072">
        <v>1675.4</v>
      </c>
      <c r="D659" s="1071">
        <f t="shared" si="57"/>
        <v>506.80850000000004</v>
      </c>
      <c r="E659" s="1070">
        <f>(1257000*1.25)/1000</f>
        <v>1571.25</v>
      </c>
      <c r="F659" s="1069">
        <f t="shared" si="54"/>
        <v>5194.2148760330583</v>
      </c>
      <c r="G659" s="1069">
        <f t="shared" si="55"/>
        <v>2632472.25</v>
      </c>
      <c r="H659" s="1068">
        <f t="shared" si="59"/>
        <v>0</v>
      </c>
      <c r="I659" s="1022"/>
      <c r="J659" s="1022"/>
      <c r="K659" s="1023"/>
      <c r="L659" s="1023"/>
      <c r="M659" s="1023"/>
      <c r="N659" s="1023"/>
      <c r="O659" s="1023"/>
      <c r="P659" s="1023"/>
      <c r="Q659" s="1023"/>
      <c r="R659" s="1023"/>
      <c r="S659" s="1023"/>
      <c r="T659" s="934"/>
      <c r="U659" s="934"/>
      <c r="V659" s="934"/>
      <c r="W659" s="934"/>
      <c r="X659" s="934"/>
      <c r="Y659" s="934"/>
      <c r="Z659" s="934"/>
    </row>
    <row r="660" spans="1:26" ht="16.5" customHeight="1">
      <c r="A660" s="1073">
        <v>656</v>
      </c>
      <c r="B660" s="1073">
        <v>1229</v>
      </c>
      <c r="C660" s="1072">
        <v>1604.5</v>
      </c>
      <c r="D660" s="1071">
        <f t="shared" si="57"/>
        <v>485.36124999999998</v>
      </c>
      <c r="E660" s="1070">
        <f>(1254000*1.25)/1000</f>
        <v>1567.5</v>
      </c>
      <c r="F660" s="1069">
        <f t="shared" si="54"/>
        <v>5181.818181818182</v>
      </c>
      <c r="G660" s="1069">
        <f t="shared" si="55"/>
        <v>2515053.75</v>
      </c>
      <c r="H660" s="1068">
        <f>C1394</f>
        <v>0</v>
      </c>
      <c r="I660" s="1022"/>
      <c r="J660" s="1022"/>
      <c r="K660" s="1023"/>
      <c r="L660" s="1023"/>
      <c r="M660" s="1023"/>
      <c r="N660" s="1023"/>
      <c r="O660" s="1023"/>
      <c r="P660" s="1023"/>
      <c r="Q660" s="1023"/>
      <c r="R660" s="1023"/>
      <c r="S660" s="1023"/>
      <c r="T660" s="934"/>
      <c r="U660" s="934"/>
      <c r="V660" s="934"/>
      <c r="W660" s="934"/>
      <c r="X660" s="934"/>
      <c r="Y660" s="934"/>
      <c r="Z660" s="934"/>
    </row>
    <row r="661" spans="1:26" ht="16.5" customHeight="1" thickBot="1">
      <c r="A661" s="1067" t="s">
        <v>34</v>
      </c>
      <c r="B661" s="1066"/>
      <c r="C661" s="1065">
        <f>SUM(C5:C660)</f>
        <v>71127.599999999962</v>
      </c>
      <c r="D661" s="1065">
        <f>SUM(D5:D660)</f>
        <v>21516.09899999998</v>
      </c>
      <c r="E661" s="1064">
        <f>G661/C661</f>
        <v>4406.3235473993245</v>
      </c>
      <c r="F661" s="1064">
        <f>G661/D661</f>
        <v>14566.358834377937</v>
      </c>
      <c r="G661" s="1064">
        <f>SUM(G5:G660)</f>
        <v>313411218.75</v>
      </c>
      <c r="H661" s="1063">
        <f>C695</f>
        <v>28957</v>
      </c>
      <c r="I661" s="1022"/>
      <c r="J661" s="1022"/>
      <c r="K661" s="1023"/>
      <c r="L661" s="1023"/>
      <c r="M661" s="1023"/>
      <c r="N661" s="1023"/>
      <c r="O661" s="1023"/>
      <c r="P661" s="1023"/>
      <c r="Q661" s="1023"/>
      <c r="R661" s="1023"/>
      <c r="S661" s="1023"/>
      <c r="T661" s="934"/>
      <c r="U661" s="934"/>
      <c r="V661" s="934"/>
      <c r="W661" s="934"/>
      <c r="X661" s="934"/>
      <c r="Y661" s="934"/>
      <c r="Z661" s="934"/>
    </row>
    <row r="662" spans="1:26" ht="16.5" customHeight="1">
      <c r="A662" s="1023"/>
      <c r="B662" s="1023"/>
      <c r="C662" s="1023"/>
      <c r="D662" s="1023"/>
      <c r="E662" s="1023"/>
      <c r="F662" s="1023"/>
      <c r="G662" s="1023"/>
      <c r="H662" s="1023"/>
      <c r="I662" s="1022"/>
      <c r="J662" s="1022"/>
      <c r="K662" s="1023"/>
      <c r="L662" s="1023"/>
      <c r="M662" s="1023"/>
      <c r="N662" s="1023"/>
      <c r="O662" s="1023"/>
      <c r="P662" s="1023"/>
      <c r="Q662" s="1023"/>
      <c r="R662" s="1023"/>
      <c r="S662" s="1023"/>
      <c r="T662" s="934"/>
      <c r="U662" s="934"/>
      <c r="V662" s="934"/>
      <c r="W662" s="934"/>
      <c r="X662" s="934"/>
      <c r="Y662" s="934"/>
      <c r="Z662" s="934"/>
    </row>
    <row r="663" spans="1:26" ht="16.5" customHeight="1">
      <c r="A663" s="1023"/>
      <c r="B663" s="1023"/>
      <c r="C663" s="1023"/>
      <c r="D663" s="1023"/>
      <c r="E663" s="1023"/>
      <c r="F663" s="1023"/>
      <c r="G663" s="1023"/>
      <c r="H663" s="1023"/>
      <c r="I663" s="1022"/>
      <c r="J663" s="1022"/>
      <c r="K663" s="1023"/>
      <c r="L663" s="1023"/>
      <c r="M663" s="1023"/>
      <c r="N663" s="1023"/>
      <c r="O663" s="1023"/>
      <c r="P663" s="1023"/>
      <c r="Q663" s="1023"/>
      <c r="R663" s="1023"/>
      <c r="S663" s="1023"/>
      <c r="T663" s="934"/>
      <c r="U663" s="934"/>
      <c r="V663" s="934"/>
      <c r="W663" s="934"/>
      <c r="X663" s="934"/>
      <c r="Y663" s="934"/>
      <c r="Z663" s="934"/>
    </row>
    <row r="664" spans="1:26" ht="16.5" customHeight="1">
      <c r="A664" s="1023"/>
      <c r="B664" s="1023"/>
      <c r="C664" s="1023"/>
      <c r="D664" s="1023"/>
      <c r="E664" s="1023"/>
      <c r="F664" s="1023"/>
      <c r="G664" s="1023"/>
      <c r="H664" s="1023"/>
      <c r="I664" s="1022"/>
      <c r="J664" s="1022"/>
      <c r="K664" s="1023"/>
      <c r="L664" s="1023"/>
      <c r="M664" s="1023"/>
      <c r="N664" s="1023"/>
      <c r="O664" s="1023"/>
      <c r="P664" s="1023"/>
      <c r="Q664" s="1023"/>
      <c r="R664" s="1023"/>
      <c r="S664" s="1023"/>
      <c r="T664" s="934"/>
      <c r="U664" s="934"/>
      <c r="V664" s="934"/>
      <c r="W664" s="934"/>
      <c r="X664" s="934"/>
      <c r="Y664" s="934"/>
      <c r="Z664" s="934"/>
    </row>
    <row r="665" spans="1:26" ht="16.5" customHeight="1" thickBot="1">
      <c r="A665" s="1040"/>
      <c r="B665" s="1062" t="s">
        <v>1306</v>
      </c>
      <c r="C665" s="1040"/>
      <c r="D665" s="1040"/>
      <c r="E665" s="1040"/>
      <c r="F665" s="1040"/>
      <c r="G665" s="1062" t="s">
        <v>1307</v>
      </c>
      <c r="H665" s="1040"/>
      <c r="I665" s="1022"/>
      <c r="J665" s="1022"/>
      <c r="K665" s="1023"/>
      <c r="L665" s="1023"/>
      <c r="M665" s="1023"/>
      <c r="N665" s="1023"/>
      <c r="O665" s="1023"/>
      <c r="P665" s="1023"/>
      <c r="Q665" s="1023"/>
      <c r="R665" s="1023"/>
      <c r="S665" s="1023"/>
      <c r="T665" s="934"/>
      <c r="U665" s="934"/>
      <c r="V665" s="934"/>
      <c r="W665" s="934"/>
      <c r="X665" s="934"/>
      <c r="Y665" s="934"/>
      <c r="Z665" s="934"/>
    </row>
    <row r="666" spans="1:26" ht="16.5" customHeight="1">
      <c r="A666" s="1040"/>
      <c r="B666" s="1057" t="s">
        <v>1308</v>
      </c>
      <c r="C666" s="1056"/>
      <c r="D666" s="1055"/>
      <c r="E666" s="1054"/>
      <c r="F666" s="1040"/>
      <c r="G666" s="1061" t="s">
        <v>1308</v>
      </c>
      <c r="H666" s="1056"/>
      <c r="I666" s="1055"/>
      <c r="J666" s="1054"/>
      <c r="K666" s="1023"/>
      <c r="L666" s="1023"/>
      <c r="M666" s="1023"/>
      <c r="N666" s="1023"/>
      <c r="O666" s="1023"/>
      <c r="P666" s="1023"/>
      <c r="Q666" s="1023"/>
      <c r="R666" s="1023"/>
      <c r="S666" s="1023"/>
      <c r="T666" s="934"/>
      <c r="U666" s="934"/>
      <c r="V666" s="934"/>
      <c r="W666" s="934"/>
      <c r="X666" s="934"/>
      <c r="Y666" s="934"/>
      <c r="Z666" s="934"/>
    </row>
    <row r="667" spans="1:26" ht="16.5" customHeight="1">
      <c r="A667" s="1040">
        <v>1</v>
      </c>
      <c r="B667" s="1053"/>
      <c r="C667" s="1046"/>
      <c r="D667" s="1040"/>
      <c r="E667" s="1045"/>
      <c r="F667" s="1040"/>
      <c r="G667" s="1053"/>
      <c r="H667" s="1046"/>
      <c r="I667" s="1040"/>
      <c r="J667" s="1045"/>
      <c r="K667" s="1023"/>
      <c r="L667" s="1023"/>
      <c r="M667" s="1023"/>
      <c r="N667" s="1023"/>
      <c r="O667" s="1023"/>
      <c r="P667" s="1023"/>
      <c r="Q667" s="1023"/>
      <c r="R667" s="1023"/>
      <c r="S667" s="1023"/>
      <c r="T667" s="934"/>
      <c r="U667" s="934"/>
      <c r="V667" s="934"/>
      <c r="W667" s="934"/>
      <c r="X667" s="934"/>
      <c r="Y667" s="934"/>
      <c r="Z667" s="934"/>
    </row>
    <row r="668" spans="1:26" ht="16.5" customHeight="1">
      <c r="A668" s="1040"/>
      <c r="B668" s="1052" t="s">
        <v>1309</v>
      </c>
      <c r="C668" s="1051">
        <f>G5*70%</f>
        <v>641414.28749999998</v>
      </c>
      <c r="D668" s="1050" t="s">
        <v>1310</v>
      </c>
      <c r="E668" s="1045" t="s">
        <v>1311</v>
      </c>
      <c r="F668" s="1040"/>
      <c r="G668" s="1052" t="s">
        <v>1309</v>
      </c>
      <c r="H668" s="1051" t="e">
        <f>[1]사업검토!I882</f>
        <v>#REF!</v>
      </c>
      <c r="I668" s="1050" t="s">
        <v>1310</v>
      </c>
      <c r="J668" s="1045" t="s">
        <v>1311</v>
      </c>
      <c r="K668" s="1023"/>
      <c r="L668" s="1023"/>
      <c r="M668" s="1023"/>
      <c r="N668" s="1023"/>
      <c r="O668" s="1023"/>
      <c r="P668" s="1023"/>
      <c r="Q668" s="1023"/>
      <c r="R668" s="1023"/>
      <c r="S668" s="1023"/>
      <c r="T668" s="934"/>
      <c r="U668" s="934"/>
      <c r="V668" s="934"/>
      <c r="W668" s="934"/>
      <c r="X668" s="934"/>
      <c r="Y668" s="934"/>
      <c r="Z668" s="934"/>
    </row>
    <row r="669" spans="1:26" ht="16.5" customHeight="1">
      <c r="A669" s="1040"/>
      <c r="B669" s="1047">
        <v>50000</v>
      </c>
      <c r="C669" s="1046">
        <v>210</v>
      </c>
      <c r="D669" s="1049"/>
      <c r="E669" s="1048">
        <f>C668-B669</f>
        <v>591414.28749999998</v>
      </c>
      <c r="F669" s="1040"/>
      <c r="G669" s="1047">
        <v>10000</v>
      </c>
      <c r="H669" s="1046">
        <v>45</v>
      </c>
      <c r="I669" s="1049"/>
      <c r="J669" s="1048" t="e">
        <f>H668-G669</f>
        <v>#REF!</v>
      </c>
      <c r="K669" s="1023"/>
      <c r="L669" s="1023"/>
      <c r="M669" s="1023"/>
      <c r="N669" s="1023"/>
      <c r="O669" s="1023"/>
      <c r="P669" s="1023"/>
      <c r="Q669" s="1023"/>
      <c r="R669" s="1023"/>
      <c r="S669" s="1023"/>
      <c r="T669" s="934"/>
      <c r="U669" s="934"/>
      <c r="V669" s="934"/>
      <c r="W669" s="934"/>
      <c r="X669" s="934"/>
      <c r="Y669" s="934"/>
      <c r="Z669" s="934"/>
    </row>
    <row r="670" spans="1:26" ht="16.5" customHeight="1">
      <c r="A670" s="1040"/>
      <c r="B670" s="1047">
        <v>100000</v>
      </c>
      <c r="C670" s="1046">
        <f>IF(E669&lt;0,0,IF(D670&lt;E669,D670*10/10000,E669*10/10000))</f>
        <v>50</v>
      </c>
      <c r="D670" s="1046">
        <f t="shared" ref="D670:D675" si="60">B670-B669</f>
        <v>50000</v>
      </c>
      <c r="E670" s="1048">
        <f t="shared" ref="E670:E675" si="61">E669-B670</f>
        <v>491414.28749999998</v>
      </c>
      <c r="F670" s="1040"/>
      <c r="G670" s="1047">
        <v>50000</v>
      </c>
      <c r="H670" s="1046" t="e">
        <f>IF(J669&lt;0,0,IF(I670&lt;J669,I670*10/10000,J669*10/10000))</f>
        <v>#REF!</v>
      </c>
      <c r="I670" s="1046">
        <f t="shared" ref="I670:I676" si="62">G670-G669</f>
        <v>40000</v>
      </c>
      <c r="J670" s="1048" t="e">
        <f t="shared" ref="J670:J676" si="63">J669-I670</f>
        <v>#REF!</v>
      </c>
      <c r="K670" s="1023"/>
      <c r="L670" s="1023"/>
      <c r="M670" s="1023"/>
      <c r="N670" s="1023"/>
      <c r="O670" s="1023"/>
      <c r="P670" s="1023"/>
      <c r="Q670" s="1023"/>
      <c r="R670" s="1023"/>
      <c r="S670" s="1023"/>
      <c r="T670" s="934"/>
      <c r="U670" s="934"/>
      <c r="V670" s="934"/>
      <c r="W670" s="934"/>
      <c r="X670" s="934"/>
      <c r="Y670" s="934"/>
      <c r="Z670" s="934"/>
    </row>
    <row r="671" spans="1:26" ht="16.5" customHeight="1">
      <c r="A671" s="1040"/>
      <c r="B671" s="1047">
        <v>300000</v>
      </c>
      <c r="C671" s="1046">
        <f>IF(E670&lt;0,0,IF(D671&lt;E670,D671*9/10000,E670*9/10000))</f>
        <v>180</v>
      </c>
      <c r="D671" s="1046">
        <f t="shared" si="60"/>
        <v>200000</v>
      </c>
      <c r="E671" s="1048">
        <f t="shared" si="61"/>
        <v>191414.28749999998</v>
      </c>
      <c r="F671" s="1040"/>
      <c r="G671" s="1047">
        <v>100000</v>
      </c>
      <c r="H671" s="1046" t="e">
        <f>IF(J670&lt;0,0,IF(I671&lt;J670,I671*9/10000,J670*9/10000))</f>
        <v>#REF!</v>
      </c>
      <c r="I671" s="1046">
        <f t="shared" si="62"/>
        <v>50000</v>
      </c>
      <c r="J671" s="1048" t="e">
        <f t="shared" si="63"/>
        <v>#REF!</v>
      </c>
      <c r="K671" s="1023"/>
      <c r="L671" s="1023"/>
      <c r="M671" s="1023"/>
      <c r="N671" s="1023"/>
      <c r="O671" s="1023"/>
      <c r="P671" s="1023"/>
      <c r="Q671" s="1023"/>
      <c r="R671" s="1023"/>
      <c r="S671" s="1023"/>
      <c r="T671" s="934"/>
      <c r="U671" s="934"/>
      <c r="V671" s="934"/>
      <c r="W671" s="934"/>
      <c r="X671" s="934"/>
      <c r="Y671" s="934"/>
      <c r="Z671" s="934"/>
    </row>
    <row r="672" spans="1:26" ht="16.5" customHeight="1">
      <c r="A672" s="1040"/>
      <c r="B672" s="1047">
        <v>500000</v>
      </c>
      <c r="C672" s="1046">
        <f>IF(E671&lt;0,0,IF(D672&lt;E671,D672*8/10000,E671*8/10000))</f>
        <v>153.13142999999999</v>
      </c>
      <c r="D672" s="1046">
        <f t="shared" si="60"/>
        <v>200000</v>
      </c>
      <c r="E672" s="1048">
        <f t="shared" si="61"/>
        <v>-308585.71250000002</v>
      </c>
      <c r="F672" s="1040"/>
      <c r="G672" s="1047">
        <v>300000</v>
      </c>
      <c r="H672" s="1046" t="e">
        <f>IF(J671&lt;0,0,IF(I672&lt;J671,I672*8/10000,J671*8/10000))</f>
        <v>#REF!</v>
      </c>
      <c r="I672" s="1046">
        <f t="shared" si="62"/>
        <v>200000</v>
      </c>
      <c r="J672" s="1048" t="e">
        <f t="shared" si="63"/>
        <v>#REF!</v>
      </c>
      <c r="K672" s="1023"/>
      <c r="L672" s="1023"/>
      <c r="M672" s="1023"/>
      <c r="N672" s="1023"/>
      <c r="O672" s="1023"/>
      <c r="P672" s="1023"/>
      <c r="Q672" s="1023"/>
      <c r="R672" s="1023"/>
      <c r="S672" s="1023"/>
      <c r="T672" s="934"/>
      <c r="U672" s="934"/>
      <c r="V672" s="934"/>
      <c r="W672" s="934"/>
      <c r="X672" s="934"/>
      <c r="Y672" s="934"/>
      <c r="Z672" s="934"/>
    </row>
    <row r="673" spans="1:26" ht="16.5" customHeight="1">
      <c r="A673" s="1040"/>
      <c r="B673" s="1047">
        <v>1000000</v>
      </c>
      <c r="C673" s="1046">
        <f>IF(E672&lt;0,0,IF(D673&lt;E672,D673*7/10000,E672*7/10000))</f>
        <v>0</v>
      </c>
      <c r="D673" s="1046">
        <f t="shared" si="60"/>
        <v>500000</v>
      </c>
      <c r="E673" s="1048">
        <f t="shared" si="61"/>
        <v>-1308585.7124999999</v>
      </c>
      <c r="F673" s="1040"/>
      <c r="G673" s="1047">
        <v>500000</v>
      </c>
      <c r="H673" s="1046" t="e">
        <f>IF(J672&lt;0,0,IF(I673&lt;J672,I673*7/10000,J672*7/10000))</f>
        <v>#REF!</v>
      </c>
      <c r="I673" s="1046">
        <f t="shared" si="62"/>
        <v>200000</v>
      </c>
      <c r="J673" s="1048" t="e">
        <f t="shared" si="63"/>
        <v>#REF!</v>
      </c>
      <c r="K673" s="1023"/>
      <c r="L673" s="1023"/>
      <c r="M673" s="1023"/>
      <c r="N673" s="1023"/>
      <c r="O673" s="1023"/>
      <c r="P673" s="1023"/>
      <c r="Q673" s="1023"/>
      <c r="R673" s="1023"/>
      <c r="S673" s="1023"/>
      <c r="T673" s="934"/>
      <c r="U673" s="934"/>
      <c r="V673" s="934"/>
      <c r="W673" s="934"/>
      <c r="X673" s="934"/>
      <c r="Y673" s="934"/>
      <c r="Z673" s="934"/>
    </row>
    <row r="674" spans="1:26" ht="16.5" customHeight="1">
      <c r="A674" s="1040"/>
      <c r="B674" s="1047">
        <v>2000000</v>
      </c>
      <c r="C674" s="1046">
        <f>IF(E673&lt;0,0,IF(D674&lt;E673,D674*5/10000,E673*5/10000))</f>
        <v>0</v>
      </c>
      <c r="D674" s="1046">
        <f t="shared" si="60"/>
        <v>1000000</v>
      </c>
      <c r="E674" s="1048">
        <f t="shared" si="61"/>
        <v>-3308585.7124999999</v>
      </c>
      <c r="F674" s="1040"/>
      <c r="G674" s="1047">
        <v>1000000</v>
      </c>
      <c r="H674" s="1046" t="e">
        <f>IF(J673&lt;0,0,IF(I674&lt;J673,I674*6/10000,J673*6/10000))</f>
        <v>#REF!</v>
      </c>
      <c r="I674" s="1046">
        <f t="shared" si="62"/>
        <v>500000</v>
      </c>
      <c r="J674" s="1048" t="e">
        <f t="shared" si="63"/>
        <v>#REF!</v>
      </c>
      <c r="K674" s="1023"/>
      <c r="L674" s="1023"/>
      <c r="M674" s="1023"/>
      <c r="N674" s="1023"/>
      <c r="O674" s="1023"/>
      <c r="P674" s="1023"/>
      <c r="Q674" s="1023"/>
      <c r="R674" s="1023"/>
      <c r="S674" s="1023"/>
      <c r="T674" s="934"/>
      <c r="U674" s="934"/>
      <c r="V674" s="934"/>
      <c r="W674" s="934"/>
      <c r="X674" s="934"/>
      <c r="Y674" s="934"/>
      <c r="Z674" s="934"/>
    </row>
    <row r="675" spans="1:26" ht="16.5" customHeight="1">
      <c r="A675" s="1040"/>
      <c r="B675" s="1047">
        <v>20000000</v>
      </c>
      <c r="C675" s="1046">
        <f>IF(E674&lt;0,0,IF(D675&lt;E674,D675*4/10000,E674*4/10000))</f>
        <v>0</v>
      </c>
      <c r="D675" s="1046">
        <f t="shared" si="60"/>
        <v>18000000</v>
      </c>
      <c r="E675" s="1048">
        <f t="shared" si="61"/>
        <v>-23308585.712499999</v>
      </c>
      <c r="F675" s="1040"/>
      <c r="G675" s="1047">
        <v>2000000</v>
      </c>
      <c r="H675" s="1046" t="e">
        <f>IF(J674&lt;0,0,IF(I675&lt;J674,I675*5/10000,J674*5/10000))</f>
        <v>#REF!</v>
      </c>
      <c r="I675" s="1046">
        <f t="shared" si="62"/>
        <v>1000000</v>
      </c>
      <c r="J675" s="1048" t="e">
        <f t="shared" si="63"/>
        <v>#REF!</v>
      </c>
      <c r="K675" s="1023"/>
      <c r="L675" s="1023"/>
      <c r="M675" s="1023"/>
      <c r="N675" s="1023"/>
      <c r="O675" s="1023"/>
      <c r="P675" s="1023"/>
      <c r="Q675" s="1023"/>
      <c r="R675" s="1023"/>
      <c r="S675" s="1023"/>
      <c r="T675" s="934"/>
      <c r="U675" s="934"/>
      <c r="V675" s="934"/>
      <c r="W675" s="934"/>
      <c r="X675" s="934"/>
      <c r="Y675" s="934"/>
      <c r="Z675" s="934"/>
    </row>
    <row r="676" spans="1:26" ht="16.5" customHeight="1">
      <c r="A676" s="1040"/>
      <c r="B676" s="1047" t="s">
        <v>1312</v>
      </c>
      <c r="C676" s="1046"/>
      <c r="D676" s="1046"/>
      <c r="E676" s="1048"/>
      <c r="F676" s="1040"/>
      <c r="G676" s="1047">
        <v>20000000</v>
      </c>
      <c r="H676" s="1046" t="e">
        <f>IF(J675&lt;0,0,IF(I676&lt;J675,I676*4/10000,J675*4/10000))</f>
        <v>#REF!</v>
      </c>
      <c r="I676" s="1046">
        <f t="shared" si="62"/>
        <v>18000000</v>
      </c>
      <c r="J676" s="1048" t="e">
        <f t="shared" si="63"/>
        <v>#REF!</v>
      </c>
      <c r="K676" s="1023"/>
      <c r="L676" s="1023"/>
      <c r="M676" s="1023"/>
      <c r="N676" s="1023"/>
      <c r="O676" s="1023"/>
      <c r="P676" s="1023"/>
      <c r="Q676" s="1023"/>
      <c r="R676" s="1023"/>
      <c r="S676" s="1023"/>
      <c r="T676" s="934"/>
      <c r="U676" s="934"/>
      <c r="V676" s="934"/>
      <c r="W676" s="934"/>
      <c r="X676" s="934"/>
      <c r="Y676" s="934"/>
      <c r="Z676" s="934"/>
    </row>
    <row r="677" spans="1:26" ht="16.5" customHeight="1">
      <c r="A677" s="1040"/>
      <c r="B677" s="1047" t="s">
        <v>1313</v>
      </c>
      <c r="C677" s="1046">
        <f>ROUND(IF(C668&gt;20000000,8650+(C668-20000000)/10000,SUM(C669:C675)),0)</f>
        <v>593</v>
      </c>
      <c r="D677" s="1040"/>
      <c r="E677" s="1045"/>
      <c r="F677" s="1040"/>
      <c r="G677" s="1047" t="s">
        <v>1312</v>
      </c>
      <c r="H677" s="1046"/>
      <c r="I677" s="1046"/>
      <c r="J677" s="1045"/>
      <c r="K677" s="1023"/>
      <c r="L677" s="1023"/>
      <c r="M677" s="1023"/>
      <c r="N677" s="1023"/>
      <c r="O677" s="1023"/>
      <c r="P677" s="1023"/>
      <c r="Q677" s="1023"/>
      <c r="R677" s="1023"/>
      <c r="S677" s="1023"/>
      <c r="T677" s="934"/>
      <c r="U677" s="934"/>
      <c r="V677" s="934"/>
      <c r="W677" s="934"/>
      <c r="X677" s="934"/>
      <c r="Y677" s="934"/>
      <c r="Z677" s="934"/>
    </row>
    <row r="678" spans="1:26" ht="16.5" customHeight="1">
      <c r="A678" s="1040"/>
      <c r="B678" s="1047" t="s">
        <v>1314</v>
      </c>
      <c r="C678" s="936">
        <f>IF(C668&lt;=10000,20,IF(C668&lt;=300000,40,IF(C668&lt;=500000,70,IF(C668&lt;=1000000,150,350))))</f>
        <v>150</v>
      </c>
      <c r="D678" s="1040"/>
      <c r="E678" s="1045"/>
      <c r="F678" s="1040"/>
      <c r="G678" s="1047" t="s">
        <v>1315</v>
      </c>
      <c r="H678" s="1046" t="e">
        <f>ROUND(IF(H668&gt;20000000,8385+45,SUM(H669:H677)),0)</f>
        <v>#REF!</v>
      </c>
      <c r="I678" s="1040" t="s">
        <v>1310</v>
      </c>
      <c r="J678" s="1045"/>
      <c r="K678" s="1023"/>
      <c r="L678" s="1023"/>
      <c r="M678" s="1023"/>
      <c r="N678" s="1023"/>
      <c r="O678" s="1023"/>
      <c r="P678" s="1023"/>
      <c r="Q678" s="1023"/>
      <c r="R678" s="1023"/>
      <c r="S678" s="1023"/>
      <c r="T678" s="934"/>
      <c r="U678" s="934"/>
      <c r="V678" s="934"/>
      <c r="W678" s="934"/>
      <c r="X678" s="934"/>
      <c r="Y678" s="934"/>
      <c r="Z678" s="934"/>
    </row>
    <row r="679" spans="1:26" ht="16.5" customHeight="1">
      <c r="A679" s="1040"/>
      <c r="B679" s="1047" t="s">
        <v>1316</v>
      </c>
      <c r="C679" s="1046">
        <v>18</v>
      </c>
      <c r="D679" s="1040"/>
      <c r="E679" s="1045"/>
      <c r="F679" s="1040"/>
      <c r="G679" s="1047" t="s">
        <v>1314</v>
      </c>
      <c r="H679" s="1046" t="e">
        <f>IF(H668&lt;=50000,40,IF(H668&lt;=100000,70,IF(H668&lt;=500000,150,IF(H668&lt;=1000000,250,350))))</f>
        <v>#REF!</v>
      </c>
      <c r="I679" s="1040" t="s">
        <v>1310</v>
      </c>
      <c r="J679" s="1045"/>
      <c r="K679" s="1023"/>
      <c r="L679" s="1023"/>
      <c r="M679" s="1023"/>
      <c r="N679" s="1023"/>
      <c r="O679" s="1023"/>
      <c r="P679" s="1023"/>
      <c r="Q679" s="1023"/>
      <c r="R679" s="1023"/>
      <c r="S679" s="1023"/>
      <c r="T679" s="934"/>
      <c r="U679" s="934"/>
      <c r="V679" s="934"/>
      <c r="W679" s="934"/>
      <c r="X679" s="934"/>
      <c r="Y679" s="934"/>
      <c r="Z679" s="934"/>
    </row>
    <row r="680" spans="1:26" ht="16.5" customHeight="1" thickBot="1">
      <c r="A680" s="1040"/>
      <c r="B680" s="1044" t="s">
        <v>1317</v>
      </c>
      <c r="C680" s="1043">
        <f>IF(C668=0,0,SUM(C677:C679))</f>
        <v>761</v>
      </c>
      <c r="D680" s="1042"/>
      <c r="E680" s="1041"/>
      <c r="F680" s="1040"/>
      <c r="G680" s="1053" t="s">
        <v>1316</v>
      </c>
      <c r="H680" s="1046">
        <v>7</v>
      </c>
      <c r="I680" s="1040"/>
      <c r="J680" s="1045"/>
      <c r="K680" s="1023"/>
      <c r="L680" s="1023"/>
      <c r="M680" s="1023"/>
      <c r="N680" s="1023"/>
      <c r="O680" s="1023"/>
      <c r="P680" s="1023"/>
      <c r="Q680" s="1023"/>
      <c r="R680" s="1023"/>
      <c r="S680" s="1023"/>
      <c r="T680" s="934"/>
      <c r="U680" s="934"/>
      <c r="V680" s="934"/>
      <c r="W680" s="934"/>
      <c r="X680" s="934"/>
      <c r="Y680" s="934"/>
      <c r="Z680" s="934"/>
    </row>
    <row r="681" spans="1:26" ht="16.5" customHeight="1" thickBot="1">
      <c r="A681" s="1040"/>
      <c r="B681" s="1057" t="s">
        <v>1308</v>
      </c>
      <c r="C681" s="1056"/>
      <c r="D681" s="1055"/>
      <c r="E681" s="1054"/>
      <c r="F681" s="1040"/>
      <c r="G681" s="1060" t="s">
        <v>1318</v>
      </c>
      <c r="H681" s="1059" t="e">
        <f>IF(H668=0,0,SUM(H678:H680))</f>
        <v>#REF!</v>
      </c>
      <c r="I681" s="1042" t="s">
        <v>1310</v>
      </c>
      <c r="J681" s="1041"/>
      <c r="K681" s="1023"/>
      <c r="L681" s="1023"/>
      <c r="M681" s="1023"/>
      <c r="N681" s="1023"/>
      <c r="O681" s="1023"/>
      <c r="P681" s="1023"/>
      <c r="Q681" s="1023"/>
      <c r="R681" s="1023"/>
      <c r="S681" s="1023"/>
      <c r="T681" s="934"/>
      <c r="U681" s="934"/>
      <c r="V681" s="934"/>
      <c r="W681" s="934"/>
      <c r="X681" s="934"/>
      <c r="Y681" s="934"/>
      <c r="Z681" s="934"/>
    </row>
    <row r="682" spans="1:26" ht="16.5" customHeight="1">
      <c r="A682" s="1040"/>
      <c r="B682" s="1053"/>
      <c r="C682" s="1046"/>
      <c r="D682" s="1040"/>
      <c r="E682" s="1045"/>
      <c r="F682" s="1040"/>
      <c r="G682" s="1040"/>
      <c r="H682" s="1040"/>
      <c r="I682" s="1022"/>
      <c r="J682" s="1022"/>
      <c r="K682" s="1023"/>
      <c r="L682" s="1023"/>
      <c r="M682" s="1023"/>
      <c r="N682" s="1023"/>
      <c r="O682" s="1023"/>
      <c r="P682" s="1023"/>
      <c r="Q682" s="1023"/>
      <c r="R682" s="1023"/>
      <c r="S682" s="1023"/>
      <c r="T682" s="934"/>
      <c r="U682" s="934"/>
      <c r="V682" s="934"/>
      <c r="W682" s="934"/>
      <c r="X682" s="934"/>
      <c r="Y682" s="934"/>
      <c r="Z682" s="934"/>
    </row>
    <row r="683" spans="1:26" ht="16.5" customHeight="1">
      <c r="A683" s="1040"/>
      <c r="B683" s="1052" t="s">
        <v>1309</v>
      </c>
      <c r="C683" s="1023">
        <f>G661*0.7</f>
        <v>219387853.125</v>
      </c>
      <c r="D683" s="1050" t="s">
        <v>1310</v>
      </c>
      <c r="E683" s="1045" t="s">
        <v>1311</v>
      </c>
      <c r="F683" s="1040"/>
      <c r="G683" s="1040"/>
      <c r="H683" s="1040"/>
      <c r="I683" s="1022"/>
      <c r="J683" s="1022"/>
      <c r="K683" s="1023"/>
      <c r="L683" s="1023"/>
      <c r="M683" s="1023"/>
      <c r="N683" s="1023"/>
      <c r="O683" s="1023"/>
      <c r="P683" s="1023"/>
      <c r="Q683" s="1023"/>
      <c r="R683" s="1023"/>
      <c r="S683" s="1023"/>
      <c r="T683" s="934"/>
      <c r="U683" s="934"/>
      <c r="V683" s="934"/>
      <c r="W683" s="934"/>
      <c r="X683" s="934"/>
      <c r="Y683" s="934"/>
      <c r="Z683" s="934"/>
    </row>
    <row r="684" spans="1:26" ht="16.5" customHeight="1">
      <c r="A684" s="1040"/>
      <c r="B684" s="1047">
        <v>50000</v>
      </c>
      <c r="C684" s="1046">
        <v>210</v>
      </c>
      <c r="D684" s="1049"/>
      <c r="E684" s="1048">
        <f>C683-B684</f>
        <v>219337853.125</v>
      </c>
      <c r="F684" s="1040"/>
      <c r="G684" s="1040"/>
      <c r="H684" s="1040"/>
      <c r="I684" s="1022"/>
      <c r="J684" s="1022"/>
      <c r="K684" s="1023"/>
      <c r="L684" s="1023"/>
      <c r="M684" s="1023"/>
      <c r="N684" s="1023"/>
      <c r="O684" s="1023"/>
      <c r="P684" s="1023"/>
      <c r="Q684" s="1023"/>
      <c r="R684" s="1023"/>
      <c r="S684" s="1023"/>
      <c r="T684" s="934"/>
      <c r="U684" s="934"/>
      <c r="V684" s="934"/>
      <c r="W684" s="934"/>
      <c r="X684" s="934"/>
      <c r="Y684" s="934"/>
      <c r="Z684" s="934"/>
    </row>
    <row r="685" spans="1:26" ht="16.5" customHeight="1">
      <c r="A685" s="1040"/>
      <c r="B685" s="1047">
        <v>100000</v>
      </c>
      <c r="C685" s="1046">
        <f>IF(E684&lt;0,0,IF(D685&lt;E684,D685*10/10000,E684*10/10000))</f>
        <v>50</v>
      </c>
      <c r="D685" s="1046">
        <f t="shared" ref="D685:D690" si="64">B685-B684</f>
        <v>50000</v>
      </c>
      <c r="E685" s="1048">
        <f t="shared" ref="E685:E690" si="65">E684-B685</f>
        <v>219237853.125</v>
      </c>
      <c r="F685" s="1040"/>
      <c r="G685" s="1040"/>
      <c r="H685" s="1040"/>
      <c r="I685" s="1022"/>
      <c r="J685" s="1022"/>
      <c r="K685" s="1023"/>
      <c r="L685" s="1023"/>
      <c r="M685" s="1023"/>
      <c r="N685" s="1023"/>
      <c r="O685" s="1023"/>
      <c r="P685" s="1023"/>
      <c r="Q685" s="1023"/>
      <c r="R685" s="1023"/>
      <c r="S685" s="1023"/>
      <c r="T685" s="934"/>
      <c r="U685" s="934"/>
      <c r="V685" s="934"/>
      <c r="W685" s="934"/>
      <c r="X685" s="934"/>
      <c r="Y685" s="934"/>
      <c r="Z685" s="934"/>
    </row>
    <row r="686" spans="1:26" ht="16.5" customHeight="1">
      <c r="A686" s="1040"/>
      <c r="B686" s="1047">
        <v>300000</v>
      </c>
      <c r="C686" s="1046">
        <f>IF(E685&lt;0,0,IF(D686&lt;E685,D686*9/10000,E685*9/10000))</f>
        <v>180</v>
      </c>
      <c r="D686" s="1046">
        <f t="shared" si="64"/>
        <v>200000</v>
      </c>
      <c r="E686" s="1048">
        <f t="shared" si="65"/>
        <v>218937853.125</v>
      </c>
      <c r="F686" s="1040"/>
      <c r="G686" s="1040"/>
      <c r="H686" s="1040"/>
      <c r="I686" s="1022"/>
      <c r="J686" s="1022"/>
      <c r="K686" s="1023"/>
      <c r="L686" s="1023"/>
      <c r="M686" s="1023"/>
      <c r="N686" s="1023"/>
      <c r="O686" s="1023"/>
      <c r="P686" s="1023"/>
      <c r="Q686" s="1023"/>
      <c r="R686" s="1023"/>
      <c r="S686" s="1023"/>
      <c r="T686" s="934"/>
      <c r="U686" s="934"/>
      <c r="V686" s="934"/>
      <c r="W686" s="934"/>
      <c r="X686" s="934"/>
      <c r="Y686" s="934"/>
      <c r="Z686" s="934"/>
    </row>
    <row r="687" spans="1:26" ht="16.5" customHeight="1">
      <c r="A687" s="1040"/>
      <c r="B687" s="1047">
        <v>500000</v>
      </c>
      <c r="C687" s="1046">
        <f>IF(E686&lt;0,0,IF(D687&lt;E686,D687*8/10000,E686*8/10000))</f>
        <v>160</v>
      </c>
      <c r="D687" s="1046">
        <f t="shared" si="64"/>
        <v>200000</v>
      </c>
      <c r="E687" s="1048">
        <f t="shared" si="65"/>
        <v>218437853.125</v>
      </c>
      <c r="F687" s="1040"/>
      <c r="G687" s="1040"/>
      <c r="H687" s="1040"/>
      <c r="I687" s="1022"/>
      <c r="J687" s="1022"/>
      <c r="K687" s="1023"/>
      <c r="L687" s="1023"/>
      <c r="M687" s="1023"/>
      <c r="N687" s="1023"/>
      <c r="O687" s="1023"/>
      <c r="P687" s="1023"/>
      <c r="Q687" s="1023"/>
      <c r="R687" s="1023"/>
      <c r="S687" s="1023"/>
      <c r="T687" s="934"/>
      <c r="U687" s="934"/>
      <c r="V687" s="934"/>
      <c r="W687" s="934"/>
      <c r="X687" s="934"/>
      <c r="Y687" s="934"/>
      <c r="Z687" s="934"/>
    </row>
    <row r="688" spans="1:26" ht="16.5" customHeight="1">
      <c r="A688" s="1040"/>
      <c r="B688" s="1047">
        <v>1000000</v>
      </c>
      <c r="C688" s="1046">
        <f>IF(E687&lt;0,0,IF(D688&lt;E687,D688*7/10000,E687*7/10000))</f>
        <v>350</v>
      </c>
      <c r="D688" s="1046">
        <f t="shared" si="64"/>
        <v>500000</v>
      </c>
      <c r="E688" s="1048">
        <f t="shared" si="65"/>
        <v>217437853.125</v>
      </c>
      <c r="F688" s="1040"/>
      <c r="G688" s="1040"/>
      <c r="H688" s="1040"/>
      <c r="I688" s="1040"/>
      <c r="J688" s="1040"/>
      <c r="K688" s="1023"/>
      <c r="L688" s="1023"/>
      <c r="M688" s="1023"/>
      <c r="N688" s="1023"/>
      <c r="O688" s="1023"/>
      <c r="P688" s="1023"/>
      <c r="Q688" s="1023"/>
      <c r="R688" s="1023"/>
      <c r="S688" s="1023"/>
      <c r="T688" s="934"/>
      <c r="U688" s="934"/>
      <c r="V688" s="934"/>
      <c r="W688" s="934"/>
      <c r="X688" s="934"/>
      <c r="Y688" s="934"/>
      <c r="Z688" s="934"/>
    </row>
    <row r="689" spans="1:26" ht="16.5" customHeight="1">
      <c r="A689" s="1040"/>
      <c r="B689" s="1047">
        <v>2000000</v>
      </c>
      <c r="C689" s="1046">
        <f>IF(E688&lt;0,0,IF(D689&lt;E688,D689*5/10000,E688*5/10000))</f>
        <v>500</v>
      </c>
      <c r="D689" s="1046">
        <f t="shared" si="64"/>
        <v>1000000</v>
      </c>
      <c r="E689" s="1048">
        <f t="shared" si="65"/>
        <v>215437853.125</v>
      </c>
      <c r="F689" s="1040"/>
      <c r="G689" s="1040"/>
      <c r="H689" s="1040"/>
      <c r="I689" s="1040"/>
      <c r="J689" s="1040"/>
      <c r="K689" s="1023"/>
      <c r="L689" s="1023"/>
      <c r="M689" s="1023"/>
      <c r="N689" s="1023"/>
      <c r="O689" s="1023"/>
      <c r="P689" s="1023"/>
      <c r="Q689" s="1023"/>
      <c r="R689" s="1023"/>
      <c r="S689" s="1023"/>
      <c r="T689" s="934"/>
      <c r="U689" s="934"/>
      <c r="V689" s="934"/>
      <c r="W689" s="934"/>
      <c r="X689" s="934"/>
      <c r="Y689" s="934"/>
      <c r="Z689" s="934"/>
    </row>
    <row r="690" spans="1:26" ht="16.5" customHeight="1">
      <c r="A690" s="1040"/>
      <c r="B690" s="1047">
        <v>20000000</v>
      </c>
      <c r="C690" s="1046">
        <f>IF(E689&lt;0,0,IF(D690&lt;E689,D690*4/10000,E689*4/10000))</f>
        <v>7200</v>
      </c>
      <c r="D690" s="1046">
        <f t="shared" si="64"/>
        <v>18000000</v>
      </c>
      <c r="E690" s="1048">
        <f t="shared" si="65"/>
        <v>195437853.125</v>
      </c>
      <c r="F690" s="1040"/>
      <c r="G690" s="1040"/>
      <c r="H690" s="1040"/>
      <c r="I690" s="1040"/>
      <c r="J690" s="1040"/>
      <c r="K690" s="1023"/>
      <c r="L690" s="1023"/>
      <c r="M690" s="1023"/>
      <c r="N690" s="1023"/>
      <c r="O690" s="1023"/>
      <c r="P690" s="1023"/>
      <c r="Q690" s="1023"/>
      <c r="R690" s="1023"/>
      <c r="S690" s="1023"/>
      <c r="T690" s="934"/>
      <c r="U690" s="934"/>
      <c r="V690" s="934"/>
      <c r="W690" s="934"/>
      <c r="X690" s="934"/>
      <c r="Y690" s="934"/>
      <c r="Z690" s="934"/>
    </row>
    <row r="691" spans="1:26" ht="16.5" customHeight="1">
      <c r="A691" s="1040"/>
      <c r="B691" s="1047" t="s">
        <v>1312</v>
      </c>
      <c r="C691" s="1046"/>
      <c r="D691" s="1046"/>
      <c r="E691" s="1048"/>
      <c r="F691" s="1040"/>
      <c r="G691" s="1040"/>
      <c r="H691" s="1040"/>
      <c r="I691" s="1040"/>
      <c r="J691" s="1040"/>
      <c r="K691" s="1023"/>
      <c r="L691" s="1023"/>
      <c r="M691" s="1023"/>
      <c r="N691" s="1023"/>
      <c r="O691" s="1023"/>
      <c r="P691" s="1023"/>
      <c r="Q691" s="1023"/>
      <c r="R691" s="1023"/>
      <c r="S691" s="1023"/>
      <c r="T691" s="934"/>
      <c r="U691" s="934"/>
      <c r="V691" s="934"/>
      <c r="W691" s="934"/>
      <c r="X691" s="934"/>
      <c r="Y691" s="934"/>
      <c r="Z691" s="934"/>
    </row>
    <row r="692" spans="1:26" ht="16.5" customHeight="1">
      <c r="A692" s="1040"/>
      <c r="B692" s="1047" t="s">
        <v>1313</v>
      </c>
      <c r="C692" s="1046">
        <f>ROUND(IF(C683&gt;20000000,8650+(C683-20000000)/10000,SUM(C684:C690)),0)</f>
        <v>28589</v>
      </c>
      <c r="D692" s="1040"/>
      <c r="E692" s="1045"/>
      <c r="F692" s="1040"/>
      <c r="G692" s="1040"/>
      <c r="H692" s="1040"/>
      <c r="I692" s="1040"/>
      <c r="J692" s="1040"/>
      <c r="K692" s="1023"/>
      <c r="L692" s="1023"/>
      <c r="M692" s="1023"/>
      <c r="N692" s="1023"/>
      <c r="O692" s="1023"/>
      <c r="P692" s="1023"/>
      <c r="Q692" s="1023"/>
      <c r="R692" s="1023"/>
      <c r="S692" s="1023"/>
      <c r="T692" s="934"/>
      <c r="U692" s="934"/>
      <c r="V692" s="934"/>
      <c r="W692" s="934"/>
      <c r="X692" s="934"/>
      <c r="Y692" s="934"/>
      <c r="Z692" s="934"/>
    </row>
    <row r="693" spans="1:26" ht="16.5" customHeight="1">
      <c r="A693" s="1040"/>
      <c r="B693" s="1047" t="s">
        <v>1314</v>
      </c>
      <c r="C693" s="936">
        <f>IF(C683&lt;=10000,20,IF(C683&lt;=300000,40,IF(C683&lt;=500000,70,IF(C683&lt;=1000000,150,350))))</f>
        <v>350</v>
      </c>
      <c r="D693" s="1040"/>
      <c r="E693" s="1045"/>
      <c r="F693" s="1040"/>
      <c r="G693" s="1040"/>
      <c r="H693" s="1040"/>
      <c r="I693" s="1040"/>
      <c r="J693" s="1040"/>
      <c r="K693" s="1023"/>
      <c r="L693" s="1023"/>
      <c r="M693" s="1023"/>
      <c r="N693" s="1023"/>
      <c r="O693" s="1023"/>
      <c r="P693" s="1023"/>
      <c r="Q693" s="1023"/>
      <c r="R693" s="1023"/>
      <c r="S693" s="1023"/>
      <c r="T693" s="934"/>
      <c r="U693" s="934"/>
      <c r="V693" s="934"/>
      <c r="W693" s="934"/>
      <c r="X693" s="934"/>
      <c r="Y693" s="934"/>
      <c r="Z693" s="934"/>
    </row>
    <row r="694" spans="1:26" ht="16.5" customHeight="1">
      <c r="A694" s="1040"/>
      <c r="B694" s="1047" t="s">
        <v>1316</v>
      </c>
      <c r="C694" s="1046">
        <v>18</v>
      </c>
      <c r="D694" s="1040"/>
      <c r="E694" s="1045"/>
      <c r="F694" s="1040"/>
      <c r="G694" s="1040"/>
      <c r="H694" s="1040"/>
      <c r="I694" s="1040"/>
      <c r="J694" s="1040"/>
      <c r="K694" s="1023"/>
      <c r="L694" s="1023"/>
      <c r="M694" s="1023"/>
      <c r="N694" s="1023"/>
      <c r="O694" s="1023"/>
      <c r="P694" s="1023"/>
      <c r="Q694" s="1023"/>
      <c r="R694" s="1023"/>
      <c r="S694" s="1023"/>
      <c r="T694" s="934"/>
      <c r="U694" s="934"/>
      <c r="V694" s="934"/>
      <c r="W694" s="934"/>
      <c r="X694" s="934"/>
      <c r="Y694" s="934"/>
      <c r="Z694" s="934"/>
    </row>
    <row r="695" spans="1:26" ht="16.5" customHeight="1" thickBot="1">
      <c r="A695" s="1040"/>
      <c r="B695" s="1044" t="s">
        <v>1317</v>
      </c>
      <c r="C695" s="1043">
        <f>IF(C683=0,0,SUM(C692:C694))</f>
        <v>28957</v>
      </c>
      <c r="D695" s="1042"/>
      <c r="E695" s="1041"/>
      <c r="F695" s="1040"/>
      <c r="G695" s="1040"/>
      <c r="H695" s="1040"/>
      <c r="I695" s="1040"/>
      <c r="J695" s="1040"/>
      <c r="K695" s="1023"/>
      <c r="L695" s="1023"/>
      <c r="M695" s="1023"/>
      <c r="N695" s="1023"/>
      <c r="O695" s="1023"/>
      <c r="P695" s="1023"/>
      <c r="Q695" s="1023"/>
      <c r="R695" s="1023"/>
      <c r="S695" s="1023"/>
      <c r="T695" s="934"/>
      <c r="U695" s="934"/>
      <c r="V695" s="934"/>
      <c r="W695" s="934"/>
      <c r="X695" s="934"/>
      <c r="Y695" s="934"/>
      <c r="Z695" s="934"/>
    </row>
    <row r="696" spans="1:26" ht="16.5" customHeight="1">
      <c r="A696" s="1040"/>
      <c r="B696" s="1057" t="s">
        <v>1308</v>
      </c>
      <c r="C696" s="1056"/>
      <c r="D696" s="1055"/>
      <c r="E696" s="1054"/>
      <c r="F696" s="1040"/>
      <c r="G696" s="1040"/>
      <c r="H696" s="1040"/>
      <c r="I696" s="1040"/>
      <c r="J696" s="1040"/>
      <c r="K696" s="1023"/>
      <c r="L696" s="1023"/>
      <c r="M696" s="1023"/>
      <c r="N696" s="1023"/>
      <c r="O696" s="1023"/>
      <c r="P696" s="1023"/>
      <c r="Q696" s="1023"/>
      <c r="R696" s="1023"/>
      <c r="S696" s="1023"/>
      <c r="T696" s="934"/>
      <c r="U696" s="934"/>
      <c r="V696" s="934"/>
      <c r="W696" s="934"/>
      <c r="X696" s="934"/>
      <c r="Y696" s="934"/>
      <c r="Z696" s="934"/>
    </row>
    <row r="697" spans="1:26" ht="16.5" customHeight="1">
      <c r="A697" s="1040"/>
      <c r="B697" s="1053"/>
      <c r="C697" s="1046"/>
      <c r="D697" s="1040"/>
      <c r="E697" s="1045"/>
      <c r="F697" s="1040"/>
      <c r="G697" s="1040"/>
      <c r="H697" s="1040"/>
      <c r="I697" s="1040"/>
      <c r="J697" s="1040"/>
      <c r="K697" s="1023"/>
      <c r="L697" s="1023"/>
      <c r="M697" s="1023"/>
      <c r="N697" s="1023"/>
      <c r="O697" s="1023"/>
      <c r="P697" s="1023"/>
      <c r="Q697" s="1023"/>
      <c r="R697" s="1023"/>
      <c r="S697" s="1023"/>
      <c r="T697" s="934"/>
      <c r="U697" s="934"/>
      <c r="V697" s="934"/>
      <c r="W697" s="934"/>
      <c r="X697" s="934"/>
      <c r="Y697" s="934"/>
      <c r="Z697" s="934"/>
    </row>
    <row r="698" spans="1:26" ht="16.5" customHeight="1">
      <c r="A698" s="1040"/>
      <c r="B698" s="1052" t="s">
        <v>1309</v>
      </c>
      <c r="C698" s="1058" t="e">
        <f>#REF!*70%</f>
        <v>#REF!</v>
      </c>
      <c r="D698" s="1050" t="s">
        <v>1310</v>
      </c>
      <c r="E698" s="1045" t="s">
        <v>1311</v>
      </c>
      <c r="F698" s="1040"/>
      <c r="G698" s="1040"/>
      <c r="H698" s="1040"/>
      <c r="I698" s="1040"/>
      <c r="J698" s="1040"/>
      <c r="K698" s="1023"/>
      <c r="L698" s="1023"/>
      <c r="M698" s="1023"/>
      <c r="N698" s="1023"/>
      <c r="O698" s="1023"/>
      <c r="P698" s="1023"/>
      <c r="Q698" s="1023"/>
      <c r="R698" s="1023"/>
      <c r="S698" s="1023"/>
      <c r="T698" s="934"/>
      <c r="U698" s="934"/>
      <c r="V698" s="934"/>
      <c r="W698" s="934"/>
      <c r="X698" s="934"/>
      <c r="Y698" s="934"/>
      <c r="Z698" s="934"/>
    </row>
    <row r="699" spans="1:26" ht="16.5" customHeight="1">
      <c r="A699" s="1040"/>
      <c r="B699" s="1047">
        <v>50000</v>
      </c>
      <c r="C699" s="1046">
        <v>210</v>
      </c>
      <c r="D699" s="1049"/>
      <c r="E699" s="1048" t="e">
        <f>C698-B699</f>
        <v>#REF!</v>
      </c>
      <c r="F699" s="1040"/>
      <c r="G699" s="1040"/>
      <c r="H699" s="1040"/>
      <c r="I699" s="1040"/>
      <c r="J699" s="1040"/>
      <c r="K699" s="1023"/>
      <c r="L699" s="1023"/>
      <c r="M699" s="1023"/>
      <c r="N699" s="1023"/>
      <c r="O699" s="1023"/>
      <c r="P699" s="1023"/>
      <c r="Q699" s="1023"/>
      <c r="R699" s="1023"/>
      <c r="S699" s="1023"/>
      <c r="T699" s="934"/>
      <c r="U699" s="934"/>
      <c r="V699" s="934"/>
      <c r="W699" s="934"/>
      <c r="X699" s="934"/>
      <c r="Y699" s="934"/>
      <c r="Z699" s="934"/>
    </row>
    <row r="700" spans="1:26" ht="16.5" customHeight="1">
      <c r="A700" s="1040"/>
      <c r="B700" s="1047">
        <v>100000</v>
      </c>
      <c r="C700" s="1046" t="e">
        <f>IF(E699&lt;0,0,IF(D700&lt;E699,D700*10/10000,E699*10/10000))</f>
        <v>#REF!</v>
      </c>
      <c r="D700" s="1046">
        <f t="shared" ref="D700:D705" si="66">B700-B699</f>
        <v>50000</v>
      </c>
      <c r="E700" s="1048" t="e">
        <f t="shared" ref="E700:E705" si="67">E699-B700</f>
        <v>#REF!</v>
      </c>
      <c r="F700" s="1040"/>
      <c r="G700" s="1040"/>
      <c r="H700" s="1040"/>
      <c r="I700" s="1040"/>
      <c r="J700" s="1040"/>
      <c r="K700" s="1023"/>
      <c r="L700" s="1023"/>
      <c r="M700" s="1023"/>
      <c r="N700" s="1023"/>
      <c r="O700" s="1023"/>
      <c r="P700" s="1023"/>
      <c r="Q700" s="1023"/>
      <c r="R700" s="1023"/>
      <c r="S700" s="1023"/>
      <c r="T700" s="934"/>
      <c r="U700" s="934"/>
      <c r="V700" s="934"/>
      <c r="W700" s="934"/>
      <c r="X700" s="934"/>
      <c r="Y700" s="934"/>
      <c r="Z700" s="934"/>
    </row>
    <row r="701" spans="1:26" ht="16.5" customHeight="1">
      <c r="A701" s="1040"/>
      <c r="B701" s="1047">
        <v>300000</v>
      </c>
      <c r="C701" s="1046" t="e">
        <f>IF(E700&lt;0,0,IF(D701&lt;E700,D701*9/10000,E700*9/10000))</f>
        <v>#REF!</v>
      </c>
      <c r="D701" s="1046">
        <f t="shared" si="66"/>
        <v>200000</v>
      </c>
      <c r="E701" s="1048" t="e">
        <f t="shared" si="67"/>
        <v>#REF!</v>
      </c>
      <c r="F701" s="1040"/>
      <c r="G701" s="1040"/>
      <c r="H701" s="1040"/>
      <c r="I701" s="1040"/>
      <c r="J701" s="1040"/>
      <c r="K701" s="1023"/>
      <c r="L701" s="1023"/>
      <c r="M701" s="1023"/>
      <c r="N701" s="1023"/>
      <c r="O701" s="1023"/>
      <c r="P701" s="1023"/>
      <c r="Q701" s="1023"/>
      <c r="R701" s="1023"/>
      <c r="S701" s="1023"/>
      <c r="T701" s="934"/>
      <c r="U701" s="934"/>
      <c r="V701" s="934"/>
      <c r="W701" s="934"/>
      <c r="X701" s="934"/>
      <c r="Y701" s="934"/>
      <c r="Z701" s="934"/>
    </row>
    <row r="702" spans="1:26" ht="16.5" customHeight="1">
      <c r="A702" s="1040"/>
      <c r="B702" s="1047">
        <v>500000</v>
      </c>
      <c r="C702" s="1046" t="e">
        <f>IF(E701&lt;0,0,IF(D702&lt;E701,D702*8/10000,E701*8/10000))</f>
        <v>#REF!</v>
      </c>
      <c r="D702" s="1046">
        <f t="shared" si="66"/>
        <v>200000</v>
      </c>
      <c r="E702" s="1048" t="e">
        <f t="shared" si="67"/>
        <v>#REF!</v>
      </c>
      <c r="F702" s="1040"/>
      <c r="G702" s="1040"/>
      <c r="H702" s="1040"/>
      <c r="I702" s="1040"/>
      <c r="J702" s="1040"/>
      <c r="K702" s="1023"/>
      <c r="L702" s="1023"/>
      <c r="M702" s="1023"/>
      <c r="N702" s="1023"/>
      <c r="O702" s="1023"/>
      <c r="P702" s="1023"/>
      <c r="Q702" s="1023"/>
      <c r="R702" s="1023"/>
      <c r="S702" s="1023"/>
      <c r="T702" s="934"/>
      <c r="U702" s="934"/>
      <c r="V702" s="934"/>
      <c r="W702" s="934"/>
      <c r="X702" s="934"/>
      <c r="Y702" s="934"/>
      <c r="Z702" s="934"/>
    </row>
    <row r="703" spans="1:26" ht="16.5" customHeight="1">
      <c r="A703" s="1040"/>
      <c r="B703" s="1047">
        <v>1000000</v>
      </c>
      <c r="C703" s="1046" t="e">
        <f>IF(E702&lt;0,0,IF(D703&lt;E702,D703*7/10000,E702*7/10000))</f>
        <v>#REF!</v>
      </c>
      <c r="D703" s="1046">
        <f t="shared" si="66"/>
        <v>500000</v>
      </c>
      <c r="E703" s="1048" t="e">
        <f t="shared" si="67"/>
        <v>#REF!</v>
      </c>
      <c r="F703" s="1040"/>
      <c r="G703" s="1040"/>
      <c r="H703" s="1040"/>
      <c r="I703" s="1040"/>
      <c r="J703" s="1040"/>
      <c r="K703" s="1023"/>
      <c r="L703" s="1023"/>
      <c r="M703" s="1023"/>
      <c r="N703" s="1023"/>
      <c r="O703" s="1023"/>
      <c r="P703" s="1023"/>
      <c r="Q703" s="1023"/>
      <c r="R703" s="1023"/>
      <c r="S703" s="1023"/>
      <c r="T703" s="934"/>
      <c r="U703" s="934"/>
      <c r="V703" s="934"/>
      <c r="W703" s="934"/>
      <c r="X703" s="934"/>
      <c r="Y703" s="934"/>
      <c r="Z703" s="934"/>
    </row>
    <row r="704" spans="1:26" ht="16.5" customHeight="1">
      <c r="A704" s="1040"/>
      <c r="B704" s="1047">
        <v>2000000</v>
      </c>
      <c r="C704" s="1046" t="e">
        <f>IF(E703&lt;0,0,IF(D704&lt;E703,D704*5/10000,E703*5/10000))</f>
        <v>#REF!</v>
      </c>
      <c r="D704" s="1046">
        <f t="shared" si="66"/>
        <v>1000000</v>
      </c>
      <c r="E704" s="1048" t="e">
        <f t="shared" si="67"/>
        <v>#REF!</v>
      </c>
      <c r="F704" s="1040"/>
      <c r="G704" s="1040"/>
      <c r="H704" s="1040"/>
      <c r="I704" s="1040"/>
      <c r="J704" s="1040"/>
      <c r="K704" s="1023"/>
      <c r="L704" s="1023"/>
      <c r="M704" s="1023"/>
      <c r="N704" s="1023"/>
      <c r="O704" s="1023"/>
      <c r="P704" s="1023"/>
      <c r="Q704" s="1023"/>
      <c r="R704" s="1023"/>
      <c r="S704" s="1023"/>
      <c r="T704" s="934"/>
      <c r="U704" s="934"/>
      <c r="V704" s="934"/>
      <c r="W704" s="934"/>
      <c r="X704" s="934"/>
      <c r="Y704" s="934"/>
      <c r="Z704" s="934"/>
    </row>
    <row r="705" spans="1:26" ht="16.5" customHeight="1">
      <c r="A705" s="1040"/>
      <c r="B705" s="1047">
        <v>20000000</v>
      </c>
      <c r="C705" s="1046" t="e">
        <f>IF(E704&lt;0,0,IF(D705&lt;E704,D705*4/10000,E704*4/10000))</f>
        <v>#REF!</v>
      </c>
      <c r="D705" s="1046">
        <f t="shared" si="66"/>
        <v>18000000</v>
      </c>
      <c r="E705" s="1048" t="e">
        <f t="shared" si="67"/>
        <v>#REF!</v>
      </c>
      <c r="F705" s="1040"/>
      <c r="G705" s="1040"/>
      <c r="H705" s="1040"/>
      <c r="I705" s="1040"/>
      <c r="J705" s="1040"/>
      <c r="K705" s="1023"/>
      <c r="L705" s="1023"/>
      <c r="M705" s="1023"/>
      <c r="N705" s="1023"/>
      <c r="O705" s="1023"/>
      <c r="P705" s="1023"/>
      <c r="Q705" s="1023"/>
      <c r="R705" s="1023"/>
      <c r="S705" s="1023"/>
      <c r="T705" s="934"/>
      <c r="U705" s="934"/>
      <c r="V705" s="934"/>
      <c r="W705" s="934"/>
      <c r="X705" s="934"/>
      <c r="Y705" s="934"/>
      <c r="Z705" s="934"/>
    </row>
    <row r="706" spans="1:26" ht="16.5" customHeight="1">
      <c r="A706" s="1040"/>
      <c r="B706" s="1047" t="s">
        <v>1312</v>
      </c>
      <c r="C706" s="1046"/>
      <c r="D706" s="1046"/>
      <c r="E706" s="1048"/>
      <c r="F706" s="1040"/>
      <c r="G706" s="1040"/>
      <c r="H706" s="1040"/>
      <c r="I706" s="1040"/>
      <c r="J706" s="1040"/>
      <c r="K706" s="1023"/>
      <c r="L706" s="1023"/>
      <c r="M706" s="1023"/>
      <c r="N706" s="1023"/>
      <c r="O706" s="1023"/>
      <c r="P706" s="1023"/>
      <c r="Q706" s="1023"/>
      <c r="R706" s="1023"/>
      <c r="S706" s="1023"/>
      <c r="T706" s="934"/>
      <c r="U706" s="934"/>
      <c r="V706" s="934"/>
      <c r="W706" s="934"/>
      <c r="X706" s="934"/>
      <c r="Y706" s="934"/>
      <c r="Z706" s="934"/>
    </row>
    <row r="707" spans="1:26" ht="16.5" customHeight="1">
      <c r="A707" s="1040"/>
      <c r="B707" s="1047" t="s">
        <v>1313</v>
      </c>
      <c r="C707" s="1046" t="e">
        <f>ROUND(IF(C698&gt;20000000,8650+(C698-20000000)/10000,SUM(C699:C705)),0)</f>
        <v>#REF!</v>
      </c>
      <c r="D707" s="1040"/>
      <c r="E707" s="1045"/>
      <c r="F707" s="1040"/>
      <c r="G707" s="1040"/>
      <c r="H707" s="1040"/>
      <c r="I707" s="1040"/>
      <c r="J707" s="1040"/>
      <c r="K707" s="1023"/>
      <c r="L707" s="1023"/>
      <c r="M707" s="1023"/>
      <c r="N707" s="1023"/>
      <c r="O707" s="1023"/>
      <c r="P707" s="1023"/>
      <c r="Q707" s="1023"/>
      <c r="R707" s="1023"/>
      <c r="S707" s="1023"/>
      <c r="T707" s="934"/>
      <c r="U707" s="934"/>
      <c r="V707" s="934"/>
      <c r="W707" s="934"/>
      <c r="X707" s="934"/>
      <c r="Y707" s="934"/>
      <c r="Z707" s="934"/>
    </row>
    <row r="708" spans="1:26" ht="16.5" customHeight="1">
      <c r="A708" s="1040"/>
      <c r="B708" s="1047" t="s">
        <v>1314</v>
      </c>
      <c r="C708" s="936" t="e">
        <f>IF(C698&lt;=10000,20,IF(C698&lt;=300000,40,IF(C698&lt;=500000,70,IF(C698&lt;=1000000,150,350))))</f>
        <v>#REF!</v>
      </c>
      <c r="D708" s="1040"/>
      <c r="E708" s="1045"/>
      <c r="F708" s="1040"/>
      <c r="G708" s="1040"/>
      <c r="H708" s="1040"/>
      <c r="I708" s="1040"/>
      <c r="J708" s="1040"/>
      <c r="K708" s="1023"/>
      <c r="L708" s="1023"/>
      <c r="M708" s="1023"/>
      <c r="N708" s="1023"/>
      <c r="O708" s="1023"/>
      <c r="P708" s="1023"/>
      <c r="Q708" s="1023"/>
      <c r="R708" s="1023"/>
      <c r="S708" s="1023"/>
      <c r="T708" s="934"/>
      <c r="U708" s="934"/>
      <c r="V708" s="934"/>
      <c r="W708" s="934"/>
      <c r="X708" s="934"/>
      <c r="Y708" s="934"/>
      <c r="Z708" s="934"/>
    </row>
    <row r="709" spans="1:26" ht="16.5" customHeight="1">
      <c r="A709" s="1040"/>
      <c r="B709" s="1047" t="s">
        <v>1316</v>
      </c>
      <c r="C709" s="1046">
        <v>18</v>
      </c>
      <c r="D709" s="1040"/>
      <c r="E709" s="1045"/>
      <c r="F709" s="1040"/>
      <c r="G709" s="1040"/>
      <c r="H709" s="1040"/>
      <c r="I709" s="1040"/>
      <c r="J709" s="1040"/>
      <c r="K709" s="1023"/>
      <c r="L709" s="1023"/>
      <c r="M709" s="1023"/>
      <c r="N709" s="1023"/>
      <c r="O709" s="1023"/>
      <c r="P709" s="1023"/>
      <c r="Q709" s="1023"/>
      <c r="R709" s="1023"/>
      <c r="S709" s="1023"/>
      <c r="T709" s="934"/>
      <c r="U709" s="934"/>
      <c r="V709" s="934"/>
      <c r="W709" s="934"/>
      <c r="X709" s="934"/>
      <c r="Y709" s="934"/>
      <c r="Z709" s="934"/>
    </row>
    <row r="710" spans="1:26" ht="16.5" customHeight="1" thickBot="1">
      <c r="A710" s="1040"/>
      <c r="B710" s="1044" t="s">
        <v>1317</v>
      </c>
      <c r="C710" s="1043" t="e">
        <f>IF(C698=0,0,SUM(C707:C709))</f>
        <v>#REF!</v>
      </c>
      <c r="D710" s="1042"/>
      <c r="E710" s="1041"/>
      <c r="F710" s="1040"/>
      <c r="G710" s="1040"/>
      <c r="H710" s="1040"/>
      <c r="I710" s="1040"/>
      <c r="J710" s="1040"/>
      <c r="K710" s="1023"/>
      <c r="L710" s="1023"/>
      <c r="M710" s="1023"/>
      <c r="N710" s="1023"/>
      <c r="O710" s="1023"/>
      <c r="P710" s="1023"/>
      <c r="Q710" s="1023"/>
      <c r="R710" s="1023"/>
      <c r="S710" s="1023"/>
      <c r="T710" s="934"/>
      <c r="U710" s="934"/>
      <c r="V710" s="934"/>
      <c r="W710" s="934"/>
      <c r="X710" s="934"/>
      <c r="Y710" s="934"/>
      <c r="Z710" s="934"/>
    </row>
    <row r="711" spans="1:26" ht="16.5" customHeight="1">
      <c r="A711" s="1040"/>
      <c r="B711" s="1057" t="s">
        <v>1308</v>
      </c>
      <c r="C711" s="1056"/>
      <c r="D711" s="1055"/>
      <c r="E711" s="1054"/>
      <c r="F711" s="1040"/>
      <c r="G711" s="1040"/>
      <c r="H711" s="1040"/>
      <c r="I711" s="1040"/>
      <c r="J711" s="1040"/>
      <c r="K711" s="1023"/>
      <c r="L711" s="1023"/>
      <c r="M711" s="1023"/>
      <c r="N711" s="1023"/>
      <c r="O711" s="1023"/>
      <c r="P711" s="1023"/>
      <c r="Q711" s="1023"/>
      <c r="R711" s="1023"/>
      <c r="S711" s="1023"/>
      <c r="T711" s="934"/>
      <c r="U711" s="934"/>
      <c r="V711" s="934"/>
      <c r="W711" s="934"/>
      <c r="X711" s="934"/>
      <c r="Y711" s="934"/>
      <c r="Z711" s="934"/>
    </row>
    <row r="712" spans="1:26" ht="16.5" customHeight="1">
      <c r="A712" s="1040"/>
      <c r="B712" s="1053"/>
      <c r="C712" s="1046"/>
      <c r="D712" s="1040"/>
      <c r="E712" s="1045"/>
      <c r="F712" s="1040"/>
      <c r="G712" s="1040"/>
      <c r="H712" s="1040"/>
      <c r="I712" s="1040"/>
      <c r="J712" s="1040"/>
      <c r="K712" s="1023"/>
      <c r="L712" s="1023"/>
      <c r="M712" s="1023"/>
      <c r="N712" s="1023"/>
      <c r="O712" s="1023"/>
      <c r="P712" s="1023"/>
      <c r="Q712" s="1023"/>
      <c r="R712" s="1023"/>
      <c r="S712" s="1023"/>
      <c r="T712" s="934"/>
      <c r="U712" s="934"/>
      <c r="V712" s="934"/>
      <c r="W712" s="934"/>
      <c r="X712" s="934"/>
      <c r="Y712" s="934"/>
      <c r="Z712" s="934"/>
    </row>
    <row r="713" spans="1:26" ht="16.5" customHeight="1">
      <c r="A713" s="1040"/>
      <c r="B713" s="1052" t="s">
        <v>1309</v>
      </c>
      <c r="C713" s="1051" t="e">
        <f>#REF!*70%</f>
        <v>#REF!</v>
      </c>
      <c r="D713" s="1050" t="s">
        <v>1310</v>
      </c>
      <c r="E713" s="1045" t="s">
        <v>1311</v>
      </c>
      <c r="F713" s="1040"/>
      <c r="G713" s="1040"/>
      <c r="H713" s="1040"/>
      <c r="I713" s="1040"/>
      <c r="J713" s="1040"/>
      <c r="K713" s="1023"/>
      <c r="L713" s="1023"/>
      <c r="M713" s="1023"/>
      <c r="N713" s="1023"/>
      <c r="O713" s="1023"/>
      <c r="P713" s="1023"/>
      <c r="Q713" s="1023"/>
      <c r="R713" s="1023"/>
      <c r="S713" s="1023"/>
      <c r="T713" s="934"/>
      <c r="U713" s="934"/>
      <c r="V713" s="934"/>
      <c r="W713" s="934"/>
      <c r="X713" s="934"/>
      <c r="Y713" s="934"/>
      <c r="Z713" s="934"/>
    </row>
    <row r="714" spans="1:26" ht="16.5" customHeight="1">
      <c r="A714" s="1040"/>
      <c r="B714" s="1047">
        <v>50000</v>
      </c>
      <c r="C714" s="1046">
        <v>210</v>
      </c>
      <c r="D714" s="1049"/>
      <c r="E714" s="1048" t="e">
        <f>C713-B714</f>
        <v>#REF!</v>
      </c>
      <c r="F714" s="1040"/>
      <c r="G714" s="1040"/>
      <c r="H714" s="1040"/>
      <c r="I714" s="1040"/>
      <c r="J714" s="1040"/>
      <c r="K714" s="1023"/>
      <c r="L714" s="1023"/>
      <c r="M714" s="1023"/>
      <c r="N714" s="1023"/>
      <c r="O714" s="1023"/>
      <c r="P714" s="1023"/>
      <c r="Q714" s="1023"/>
      <c r="R714" s="1023"/>
      <c r="S714" s="1023"/>
      <c r="T714" s="934"/>
      <c r="U714" s="934"/>
      <c r="V714" s="934"/>
      <c r="W714" s="934"/>
      <c r="X714" s="934"/>
      <c r="Y714" s="934"/>
      <c r="Z714" s="934"/>
    </row>
    <row r="715" spans="1:26" ht="16.5" customHeight="1">
      <c r="A715" s="1040"/>
      <c r="B715" s="1047">
        <v>100000</v>
      </c>
      <c r="C715" s="1046" t="e">
        <f>IF(E714&lt;0,0,IF(D715&lt;E714,D715*10/10000,E714*10/10000))</f>
        <v>#REF!</v>
      </c>
      <c r="D715" s="1046">
        <f t="shared" ref="D715:D720" si="68">B715-B714</f>
        <v>50000</v>
      </c>
      <c r="E715" s="1048" t="e">
        <f t="shared" ref="E715:E720" si="69">E714-B715</f>
        <v>#REF!</v>
      </c>
      <c r="F715" s="1040"/>
      <c r="G715" s="1040"/>
      <c r="H715" s="1040"/>
      <c r="I715" s="1040"/>
      <c r="J715" s="1040"/>
      <c r="K715" s="1023"/>
      <c r="L715" s="1023"/>
      <c r="M715" s="1023"/>
      <c r="N715" s="1023"/>
      <c r="O715" s="1023"/>
      <c r="P715" s="1023"/>
      <c r="Q715" s="1023"/>
      <c r="R715" s="1023"/>
      <c r="S715" s="1023"/>
      <c r="T715" s="934"/>
      <c r="U715" s="934"/>
      <c r="V715" s="934"/>
      <c r="W715" s="934"/>
      <c r="X715" s="934"/>
      <c r="Y715" s="934"/>
      <c r="Z715" s="934"/>
    </row>
    <row r="716" spans="1:26" ht="16.5" customHeight="1">
      <c r="A716" s="1040"/>
      <c r="B716" s="1047">
        <v>300000</v>
      </c>
      <c r="C716" s="1046" t="e">
        <f>IF(E715&lt;0,0,IF(D716&lt;E715,D716*9/10000,E715*9/10000))</f>
        <v>#REF!</v>
      </c>
      <c r="D716" s="1046">
        <f t="shared" si="68"/>
        <v>200000</v>
      </c>
      <c r="E716" s="1048" t="e">
        <f t="shared" si="69"/>
        <v>#REF!</v>
      </c>
      <c r="F716" s="1040"/>
      <c r="G716" s="1040"/>
      <c r="H716" s="1040"/>
      <c r="I716" s="1040"/>
      <c r="J716" s="1040"/>
      <c r="K716" s="1023"/>
      <c r="L716" s="1023"/>
      <c r="M716" s="1023"/>
      <c r="N716" s="1023"/>
      <c r="O716" s="1023"/>
      <c r="P716" s="1023"/>
      <c r="Q716" s="1023"/>
      <c r="R716" s="1023"/>
      <c r="S716" s="1023"/>
      <c r="T716" s="934"/>
      <c r="U716" s="934"/>
      <c r="V716" s="934"/>
      <c r="W716" s="934"/>
      <c r="X716" s="934"/>
      <c r="Y716" s="934"/>
      <c r="Z716" s="934"/>
    </row>
    <row r="717" spans="1:26" ht="16.5" customHeight="1">
      <c r="A717" s="1040"/>
      <c r="B717" s="1047">
        <v>500000</v>
      </c>
      <c r="C717" s="1046" t="e">
        <f>IF(E716&lt;0,0,IF(D717&lt;E716,D717*8/10000,E716*8/10000))</f>
        <v>#REF!</v>
      </c>
      <c r="D717" s="1046">
        <f t="shared" si="68"/>
        <v>200000</v>
      </c>
      <c r="E717" s="1048" t="e">
        <f t="shared" si="69"/>
        <v>#REF!</v>
      </c>
      <c r="F717" s="1040"/>
      <c r="G717" s="1040"/>
      <c r="H717" s="1040"/>
      <c r="I717" s="1040"/>
      <c r="J717" s="1040"/>
      <c r="K717" s="1023"/>
      <c r="L717" s="1023"/>
      <c r="M717" s="1023"/>
      <c r="N717" s="1023"/>
      <c r="O717" s="1023"/>
      <c r="P717" s="1023"/>
      <c r="Q717" s="1023"/>
      <c r="R717" s="1023"/>
      <c r="S717" s="1023"/>
      <c r="T717" s="934"/>
      <c r="U717" s="934"/>
      <c r="V717" s="934"/>
      <c r="W717" s="934"/>
      <c r="X717" s="934"/>
      <c r="Y717" s="934"/>
      <c r="Z717" s="934"/>
    </row>
    <row r="718" spans="1:26" ht="16.5" customHeight="1">
      <c r="A718" s="1040"/>
      <c r="B718" s="1047">
        <v>1000000</v>
      </c>
      <c r="C718" s="1046" t="e">
        <f>IF(E717&lt;0,0,IF(D718&lt;E717,D718*7/10000,E717*7/10000))</f>
        <v>#REF!</v>
      </c>
      <c r="D718" s="1046">
        <f t="shared" si="68"/>
        <v>500000</v>
      </c>
      <c r="E718" s="1048" t="e">
        <f t="shared" si="69"/>
        <v>#REF!</v>
      </c>
      <c r="F718" s="1040"/>
      <c r="G718" s="1040"/>
      <c r="H718" s="1040"/>
      <c r="I718" s="1040"/>
      <c r="J718" s="1040"/>
      <c r="K718" s="1023"/>
      <c r="L718" s="1023"/>
      <c r="M718" s="1023"/>
      <c r="N718" s="1023"/>
      <c r="O718" s="1023"/>
      <c r="P718" s="1023"/>
      <c r="Q718" s="1023"/>
      <c r="R718" s="1023"/>
      <c r="S718" s="1023"/>
      <c r="T718" s="934"/>
      <c r="U718" s="934"/>
      <c r="V718" s="934"/>
      <c r="W718" s="934"/>
      <c r="X718" s="934"/>
      <c r="Y718" s="934"/>
      <c r="Z718" s="934"/>
    </row>
    <row r="719" spans="1:26" ht="16.5" customHeight="1">
      <c r="A719" s="1040"/>
      <c r="B719" s="1047">
        <v>2000000</v>
      </c>
      <c r="C719" s="1046" t="e">
        <f>IF(E718&lt;0,0,IF(D719&lt;E718,D719*5/10000,E718*5/10000))</f>
        <v>#REF!</v>
      </c>
      <c r="D719" s="1046">
        <f t="shared" si="68"/>
        <v>1000000</v>
      </c>
      <c r="E719" s="1048" t="e">
        <f t="shared" si="69"/>
        <v>#REF!</v>
      </c>
      <c r="F719" s="1040"/>
      <c r="G719" s="1040"/>
      <c r="H719" s="1040"/>
      <c r="I719" s="1040"/>
      <c r="J719" s="1040"/>
      <c r="K719" s="1023"/>
      <c r="L719" s="1023"/>
      <c r="M719" s="1023"/>
      <c r="N719" s="1023"/>
      <c r="O719" s="1023"/>
      <c r="P719" s="1023"/>
      <c r="Q719" s="1023"/>
      <c r="R719" s="1023"/>
      <c r="S719" s="1023"/>
      <c r="T719" s="934"/>
      <c r="U719" s="934"/>
      <c r="V719" s="934"/>
      <c r="W719" s="934"/>
      <c r="X719" s="934"/>
      <c r="Y719" s="934"/>
      <c r="Z719" s="934"/>
    </row>
    <row r="720" spans="1:26" ht="16.5" customHeight="1">
      <c r="A720" s="1040"/>
      <c r="B720" s="1047">
        <v>20000000</v>
      </c>
      <c r="C720" s="1046" t="e">
        <f>IF(E719&lt;0,0,IF(D720&lt;E719,D720*4/10000,E719*4/10000))</f>
        <v>#REF!</v>
      </c>
      <c r="D720" s="1046">
        <f t="shared" si="68"/>
        <v>18000000</v>
      </c>
      <c r="E720" s="1048" t="e">
        <f t="shared" si="69"/>
        <v>#REF!</v>
      </c>
      <c r="F720" s="1040"/>
      <c r="G720" s="1040"/>
      <c r="H720" s="1040"/>
      <c r="I720" s="1040"/>
      <c r="J720" s="1040"/>
      <c r="K720" s="1023"/>
      <c r="L720" s="1023"/>
      <c r="M720" s="1023"/>
      <c r="N720" s="1023"/>
      <c r="O720" s="1023"/>
      <c r="P720" s="1023"/>
      <c r="Q720" s="1023"/>
      <c r="R720" s="1023"/>
      <c r="S720" s="1023"/>
      <c r="T720" s="934"/>
      <c r="U720" s="934"/>
      <c r="V720" s="934"/>
      <c r="W720" s="934"/>
      <c r="X720" s="934"/>
      <c r="Y720" s="934"/>
      <c r="Z720" s="934"/>
    </row>
    <row r="721" spans="1:26" ht="16.5" customHeight="1">
      <c r="A721" s="1040"/>
      <c r="B721" s="1047" t="s">
        <v>1312</v>
      </c>
      <c r="C721" s="1046"/>
      <c r="D721" s="1046"/>
      <c r="E721" s="1048"/>
      <c r="F721" s="1040"/>
      <c r="G721" s="1040"/>
      <c r="H721" s="1040"/>
      <c r="I721" s="1040"/>
      <c r="J721" s="1040"/>
      <c r="K721" s="1023"/>
      <c r="L721" s="1023"/>
      <c r="M721" s="1023"/>
      <c r="N721" s="1023"/>
      <c r="O721" s="1023"/>
      <c r="P721" s="1023"/>
      <c r="Q721" s="1023"/>
      <c r="R721" s="1023"/>
      <c r="S721" s="1023"/>
      <c r="T721" s="934"/>
      <c r="U721" s="934"/>
      <c r="V721" s="934"/>
      <c r="W721" s="934"/>
      <c r="X721" s="934"/>
      <c r="Y721" s="934"/>
      <c r="Z721" s="934"/>
    </row>
    <row r="722" spans="1:26" ht="16.5" customHeight="1">
      <c r="A722" s="1040"/>
      <c r="B722" s="1047" t="s">
        <v>1313</v>
      </c>
      <c r="C722" s="1046" t="e">
        <f>ROUND(IF(C713&gt;20000000,8650+(C713-20000000)/10000,SUM(C714:C720)),0)</f>
        <v>#REF!</v>
      </c>
      <c r="D722" s="1040"/>
      <c r="E722" s="1045"/>
      <c r="F722" s="1040"/>
      <c r="G722" s="1040"/>
      <c r="H722" s="1040"/>
      <c r="I722" s="1040"/>
      <c r="J722" s="1040"/>
      <c r="K722" s="1023"/>
      <c r="L722" s="1023"/>
      <c r="M722" s="1023"/>
      <c r="N722" s="1023"/>
      <c r="O722" s="1023"/>
      <c r="P722" s="1023"/>
      <c r="Q722" s="1023"/>
      <c r="R722" s="1023"/>
      <c r="S722" s="1023"/>
      <c r="T722" s="934"/>
      <c r="U722" s="934"/>
      <c r="V722" s="934"/>
      <c r="W722" s="934"/>
      <c r="X722" s="934"/>
      <c r="Y722" s="934"/>
      <c r="Z722" s="934"/>
    </row>
    <row r="723" spans="1:26" ht="16.5" customHeight="1">
      <c r="A723" s="1040"/>
      <c r="B723" s="1047" t="s">
        <v>1314</v>
      </c>
      <c r="C723" s="936" t="e">
        <f>IF(C713&lt;=10000,20,IF(C713&lt;=300000,40,IF(C713&lt;=500000,70,IF(C713&lt;=1000000,150,350))))</f>
        <v>#REF!</v>
      </c>
      <c r="D723" s="1040"/>
      <c r="E723" s="1045"/>
      <c r="F723" s="1040"/>
      <c r="G723" s="1040"/>
      <c r="H723" s="1040"/>
      <c r="I723" s="1040"/>
      <c r="J723" s="1040"/>
      <c r="K723" s="1023"/>
      <c r="L723" s="1023"/>
      <c r="M723" s="1023"/>
      <c r="N723" s="1023"/>
      <c r="O723" s="1023"/>
      <c r="P723" s="1023"/>
      <c r="Q723" s="1023"/>
      <c r="R723" s="1023"/>
      <c r="S723" s="1023"/>
      <c r="T723" s="934"/>
      <c r="U723" s="934"/>
      <c r="V723" s="934"/>
      <c r="W723" s="934"/>
      <c r="X723" s="934"/>
      <c r="Y723" s="934"/>
      <c r="Z723" s="934"/>
    </row>
    <row r="724" spans="1:26" ht="16.5" customHeight="1">
      <c r="A724" s="1040"/>
      <c r="B724" s="1047" t="s">
        <v>1316</v>
      </c>
      <c r="C724" s="1046">
        <v>18</v>
      </c>
      <c r="D724" s="1040"/>
      <c r="E724" s="1045"/>
      <c r="F724" s="1040"/>
      <c r="G724" s="1040"/>
      <c r="H724" s="1040"/>
      <c r="I724" s="1040"/>
      <c r="J724" s="1040"/>
      <c r="K724" s="1023"/>
      <c r="L724" s="1023"/>
      <c r="M724" s="1023"/>
      <c r="N724" s="1023"/>
      <c r="O724" s="1023"/>
      <c r="P724" s="1023"/>
      <c r="Q724" s="1023"/>
      <c r="R724" s="1023"/>
      <c r="S724" s="1023"/>
      <c r="T724" s="934"/>
      <c r="U724" s="934"/>
      <c r="V724" s="934"/>
      <c r="W724" s="934"/>
      <c r="X724" s="934"/>
      <c r="Y724" s="934"/>
      <c r="Z724" s="934"/>
    </row>
    <row r="725" spans="1:26" ht="16.5" customHeight="1" thickBot="1">
      <c r="A725" s="1040"/>
      <c r="B725" s="1044" t="s">
        <v>1317</v>
      </c>
      <c r="C725" s="1043" t="e">
        <f>IF(C713=0,0,SUM(C722:C724))</f>
        <v>#REF!</v>
      </c>
      <c r="D725" s="1042"/>
      <c r="E725" s="1041"/>
      <c r="F725" s="1040"/>
      <c r="G725" s="1040"/>
      <c r="H725" s="1040"/>
      <c r="I725" s="1040"/>
      <c r="J725" s="1040"/>
      <c r="K725" s="1023"/>
      <c r="L725" s="1023"/>
      <c r="M725" s="1023"/>
      <c r="N725" s="1023"/>
      <c r="O725" s="1023"/>
      <c r="P725" s="1023"/>
      <c r="Q725" s="1023"/>
      <c r="R725" s="1023"/>
      <c r="S725" s="1023"/>
      <c r="T725" s="934"/>
      <c r="U725" s="934"/>
      <c r="V725" s="934"/>
      <c r="W725" s="934"/>
      <c r="X725" s="934"/>
      <c r="Y725" s="934"/>
      <c r="Z725" s="934"/>
    </row>
    <row r="726" spans="1:26" ht="16.5" customHeight="1">
      <c r="A726" s="1040"/>
      <c r="B726" s="1057" t="s">
        <v>1308</v>
      </c>
      <c r="C726" s="1056"/>
      <c r="D726" s="1055"/>
      <c r="E726" s="1054"/>
      <c r="F726" s="1040"/>
      <c r="G726" s="1040"/>
      <c r="H726" s="1040"/>
      <c r="I726" s="1040"/>
      <c r="J726" s="1040"/>
      <c r="K726" s="1023"/>
      <c r="L726" s="1023"/>
      <c r="M726" s="1023"/>
      <c r="N726" s="1023"/>
      <c r="O726" s="1023"/>
      <c r="P726" s="1023"/>
      <c r="Q726" s="1023"/>
      <c r="R726" s="1023"/>
      <c r="S726" s="1023"/>
      <c r="T726" s="934"/>
      <c r="U726" s="934"/>
      <c r="V726" s="934"/>
      <c r="W726" s="934"/>
      <c r="X726" s="934"/>
      <c r="Y726" s="934"/>
      <c r="Z726" s="934"/>
    </row>
    <row r="727" spans="1:26" ht="16.5" customHeight="1">
      <c r="A727" s="1040"/>
      <c r="B727" s="1053"/>
      <c r="C727" s="1046"/>
      <c r="D727" s="1040"/>
      <c r="E727" s="1045"/>
      <c r="F727" s="1040"/>
      <c r="G727" s="1040"/>
      <c r="H727" s="1040"/>
      <c r="I727" s="1040"/>
      <c r="J727" s="1040"/>
      <c r="K727" s="1023"/>
      <c r="L727" s="1023"/>
      <c r="M727" s="1023"/>
      <c r="N727" s="1023"/>
      <c r="O727" s="1023"/>
      <c r="P727" s="1023"/>
      <c r="Q727" s="1023"/>
      <c r="R727" s="1023"/>
      <c r="S727" s="1023"/>
      <c r="T727" s="934"/>
      <c r="U727" s="934"/>
      <c r="V727" s="934"/>
      <c r="W727" s="934"/>
      <c r="X727" s="934"/>
      <c r="Y727" s="934"/>
      <c r="Z727" s="934"/>
    </row>
    <row r="728" spans="1:26" ht="16.5" customHeight="1">
      <c r="A728" s="1040"/>
      <c r="B728" s="1052" t="s">
        <v>1309</v>
      </c>
      <c r="C728" s="1051" t="e">
        <f>#REF!*70%</f>
        <v>#REF!</v>
      </c>
      <c r="D728" s="1050" t="s">
        <v>1310</v>
      </c>
      <c r="E728" s="1045" t="s">
        <v>1311</v>
      </c>
      <c r="F728" s="1040"/>
      <c r="G728" s="1040"/>
      <c r="H728" s="1040"/>
      <c r="I728" s="1040"/>
      <c r="J728" s="1040"/>
      <c r="K728" s="1023"/>
      <c r="L728" s="1023"/>
      <c r="M728" s="1023"/>
      <c r="N728" s="1023"/>
      <c r="O728" s="1023"/>
      <c r="P728" s="1023"/>
      <c r="Q728" s="1023"/>
      <c r="R728" s="1023"/>
      <c r="S728" s="1023"/>
      <c r="T728" s="934"/>
      <c r="U728" s="934"/>
      <c r="V728" s="934"/>
      <c r="W728" s="934"/>
      <c r="X728" s="934"/>
      <c r="Y728" s="934"/>
      <c r="Z728" s="934"/>
    </row>
    <row r="729" spans="1:26" ht="16.5" customHeight="1">
      <c r="A729" s="1040"/>
      <c r="B729" s="1047">
        <v>50000</v>
      </c>
      <c r="C729" s="1046">
        <v>210</v>
      </c>
      <c r="D729" s="1049"/>
      <c r="E729" s="1048" t="e">
        <f>C728-B729</f>
        <v>#REF!</v>
      </c>
      <c r="F729" s="1040"/>
      <c r="G729" s="1040"/>
      <c r="H729" s="1040"/>
      <c r="I729" s="1040"/>
      <c r="J729" s="1040"/>
      <c r="K729" s="1023"/>
      <c r="L729" s="1023"/>
      <c r="M729" s="1023"/>
      <c r="N729" s="1023"/>
      <c r="O729" s="1023"/>
      <c r="P729" s="1023"/>
      <c r="Q729" s="1023"/>
      <c r="R729" s="1023"/>
      <c r="S729" s="1023"/>
      <c r="T729" s="934"/>
      <c r="U729" s="934"/>
      <c r="V729" s="934"/>
      <c r="W729" s="934"/>
      <c r="X729" s="934"/>
      <c r="Y729" s="934"/>
      <c r="Z729" s="934"/>
    </row>
    <row r="730" spans="1:26" ht="16.5" customHeight="1">
      <c r="A730" s="1040"/>
      <c r="B730" s="1047">
        <v>100000</v>
      </c>
      <c r="C730" s="1046" t="e">
        <f>IF(E729&lt;0,0,IF(D730&lt;E729,D730*10/10000,E729*10/10000))</f>
        <v>#REF!</v>
      </c>
      <c r="D730" s="1046">
        <f t="shared" ref="D730:D735" si="70">B730-B729</f>
        <v>50000</v>
      </c>
      <c r="E730" s="1048" t="e">
        <f t="shared" ref="E730:E735" si="71">E729-B730</f>
        <v>#REF!</v>
      </c>
      <c r="F730" s="1040"/>
      <c r="G730" s="1040"/>
      <c r="H730" s="1040"/>
      <c r="I730" s="1040"/>
      <c r="J730" s="1040"/>
      <c r="K730" s="1023"/>
      <c r="L730" s="1023"/>
      <c r="M730" s="1023"/>
      <c r="N730" s="1023"/>
      <c r="O730" s="1023"/>
      <c r="P730" s="1023"/>
      <c r="Q730" s="1023"/>
      <c r="R730" s="1023"/>
      <c r="S730" s="1023"/>
      <c r="T730" s="934"/>
      <c r="U730" s="934"/>
      <c r="V730" s="934"/>
      <c r="W730" s="934"/>
      <c r="X730" s="934"/>
      <c r="Y730" s="934"/>
      <c r="Z730" s="934"/>
    </row>
    <row r="731" spans="1:26" ht="16.5" customHeight="1">
      <c r="A731" s="1040"/>
      <c r="B731" s="1047">
        <v>300000</v>
      </c>
      <c r="C731" s="1046" t="e">
        <f>IF(E730&lt;0,0,IF(D731&lt;E730,D731*9/10000,E730*9/10000))</f>
        <v>#REF!</v>
      </c>
      <c r="D731" s="1046">
        <f t="shared" si="70"/>
        <v>200000</v>
      </c>
      <c r="E731" s="1048" t="e">
        <f t="shared" si="71"/>
        <v>#REF!</v>
      </c>
      <c r="F731" s="1040"/>
      <c r="G731" s="1040"/>
      <c r="H731" s="1040"/>
      <c r="I731" s="1040"/>
      <c r="J731" s="1040"/>
      <c r="K731" s="1023"/>
      <c r="L731" s="1023"/>
      <c r="M731" s="1023"/>
      <c r="N731" s="1023"/>
      <c r="O731" s="1023"/>
      <c r="P731" s="1023"/>
      <c r="Q731" s="1023"/>
      <c r="R731" s="1023"/>
      <c r="S731" s="1023"/>
      <c r="T731" s="934"/>
      <c r="U731" s="934"/>
      <c r="V731" s="934"/>
      <c r="W731" s="934"/>
      <c r="X731" s="934"/>
      <c r="Y731" s="934"/>
      <c r="Z731" s="934"/>
    </row>
    <row r="732" spans="1:26" ht="16.5" customHeight="1">
      <c r="A732" s="1040"/>
      <c r="B732" s="1047">
        <v>500000</v>
      </c>
      <c r="C732" s="1046" t="e">
        <f>IF(E731&lt;0,0,IF(D732&lt;E731,D732*8/10000,E731*8/10000))</f>
        <v>#REF!</v>
      </c>
      <c r="D732" s="1046">
        <f t="shared" si="70"/>
        <v>200000</v>
      </c>
      <c r="E732" s="1048" t="e">
        <f t="shared" si="71"/>
        <v>#REF!</v>
      </c>
      <c r="F732" s="1040"/>
      <c r="G732" s="1040"/>
      <c r="H732" s="1040"/>
      <c r="I732" s="1040"/>
      <c r="J732" s="1040"/>
      <c r="K732" s="1023"/>
      <c r="L732" s="1023"/>
      <c r="M732" s="1023"/>
      <c r="N732" s="1023"/>
      <c r="O732" s="1023"/>
      <c r="P732" s="1023"/>
      <c r="Q732" s="1023"/>
      <c r="R732" s="1023"/>
      <c r="S732" s="1023"/>
      <c r="T732" s="934"/>
      <c r="U732" s="934"/>
      <c r="V732" s="934"/>
      <c r="W732" s="934"/>
      <c r="X732" s="934"/>
      <c r="Y732" s="934"/>
      <c r="Z732" s="934"/>
    </row>
    <row r="733" spans="1:26" ht="16.5" customHeight="1">
      <c r="A733" s="1040"/>
      <c r="B733" s="1047">
        <v>1000000</v>
      </c>
      <c r="C733" s="1046" t="e">
        <f>IF(E732&lt;0,0,IF(D733&lt;E732,D733*7/10000,E732*7/10000))</f>
        <v>#REF!</v>
      </c>
      <c r="D733" s="1046">
        <f t="shared" si="70"/>
        <v>500000</v>
      </c>
      <c r="E733" s="1048" t="e">
        <f t="shared" si="71"/>
        <v>#REF!</v>
      </c>
      <c r="F733" s="1040"/>
      <c r="G733" s="1040"/>
      <c r="H733" s="1040"/>
      <c r="I733" s="1040"/>
      <c r="J733" s="1040"/>
      <c r="K733" s="1023"/>
      <c r="L733" s="1023"/>
      <c r="M733" s="1023"/>
      <c r="N733" s="1023"/>
      <c r="O733" s="1023"/>
      <c r="P733" s="1023"/>
      <c r="Q733" s="1023"/>
      <c r="R733" s="1023"/>
      <c r="S733" s="1023"/>
      <c r="T733" s="934"/>
      <c r="U733" s="934"/>
      <c r="V733" s="934"/>
      <c r="W733" s="934"/>
      <c r="X733" s="934"/>
      <c r="Y733" s="934"/>
      <c r="Z733" s="934"/>
    </row>
    <row r="734" spans="1:26" ht="16.5" customHeight="1">
      <c r="A734" s="1040"/>
      <c r="B734" s="1047">
        <v>2000000</v>
      </c>
      <c r="C734" s="1046" t="e">
        <f>IF(E733&lt;0,0,IF(D734&lt;E733,D734*5/10000,E733*5/10000))</f>
        <v>#REF!</v>
      </c>
      <c r="D734" s="1046">
        <f t="shared" si="70"/>
        <v>1000000</v>
      </c>
      <c r="E734" s="1048" t="e">
        <f t="shared" si="71"/>
        <v>#REF!</v>
      </c>
      <c r="F734" s="1040"/>
      <c r="G734" s="1040"/>
      <c r="H734" s="1040"/>
      <c r="I734" s="1040"/>
      <c r="J734" s="1040"/>
      <c r="K734" s="1023"/>
      <c r="L734" s="1023"/>
      <c r="M734" s="1023"/>
      <c r="N734" s="1023"/>
      <c r="O734" s="1023"/>
      <c r="P734" s="1023"/>
      <c r="Q734" s="1023"/>
      <c r="R734" s="1023"/>
      <c r="S734" s="1023"/>
      <c r="T734" s="934"/>
      <c r="U734" s="934"/>
      <c r="V734" s="934"/>
      <c r="W734" s="934"/>
      <c r="X734" s="934"/>
      <c r="Y734" s="934"/>
      <c r="Z734" s="934"/>
    </row>
    <row r="735" spans="1:26" ht="16.5" customHeight="1">
      <c r="A735" s="1040"/>
      <c r="B735" s="1047">
        <v>20000000</v>
      </c>
      <c r="C735" s="1046" t="e">
        <f>IF(E734&lt;0,0,IF(D735&lt;E734,D735*4/10000,E734*4/10000))</f>
        <v>#REF!</v>
      </c>
      <c r="D735" s="1046">
        <f t="shared" si="70"/>
        <v>18000000</v>
      </c>
      <c r="E735" s="1048" t="e">
        <f t="shared" si="71"/>
        <v>#REF!</v>
      </c>
      <c r="F735" s="1040"/>
      <c r="G735" s="1040"/>
      <c r="H735" s="1040"/>
      <c r="I735" s="1040"/>
      <c r="J735" s="1040"/>
      <c r="K735" s="1023"/>
      <c r="L735" s="1023"/>
      <c r="M735" s="1023"/>
      <c r="N735" s="1023"/>
      <c r="O735" s="1023"/>
      <c r="P735" s="1023"/>
      <c r="Q735" s="1023"/>
      <c r="R735" s="1023"/>
      <c r="S735" s="1023"/>
      <c r="T735" s="934"/>
      <c r="U735" s="934"/>
      <c r="V735" s="934"/>
      <c r="W735" s="934"/>
      <c r="X735" s="934"/>
      <c r="Y735" s="934"/>
      <c r="Z735" s="934"/>
    </row>
    <row r="736" spans="1:26" ht="16.5" customHeight="1">
      <c r="A736" s="1040"/>
      <c r="B736" s="1047" t="s">
        <v>1312</v>
      </c>
      <c r="C736" s="1046"/>
      <c r="D736" s="1046"/>
      <c r="E736" s="1048"/>
      <c r="F736" s="1040"/>
      <c r="G736" s="1040"/>
      <c r="H736" s="1040"/>
      <c r="I736" s="1040"/>
      <c r="J736" s="1040"/>
      <c r="K736" s="1023"/>
      <c r="L736" s="1023"/>
      <c r="M736" s="1023"/>
      <c r="N736" s="1023"/>
      <c r="O736" s="1023"/>
      <c r="P736" s="1023"/>
      <c r="Q736" s="1023"/>
      <c r="R736" s="1023"/>
      <c r="S736" s="1023"/>
      <c r="T736" s="934"/>
      <c r="U736" s="934"/>
      <c r="V736" s="934"/>
      <c r="W736" s="934"/>
      <c r="X736" s="934"/>
      <c r="Y736" s="934"/>
      <c r="Z736" s="934"/>
    </row>
    <row r="737" spans="1:26" ht="16.5" customHeight="1">
      <c r="A737" s="1040"/>
      <c r="B737" s="1047" t="s">
        <v>1313</v>
      </c>
      <c r="C737" s="1046" t="e">
        <f>ROUND(IF(C728&gt;20000000,8650+(C728-20000000)/10000,SUM(C729:C735)),0)</f>
        <v>#REF!</v>
      </c>
      <c r="D737" s="1040"/>
      <c r="E737" s="1045"/>
      <c r="F737" s="1040"/>
      <c r="G737" s="1040"/>
      <c r="H737" s="1040"/>
      <c r="I737" s="1040"/>
      <c r="J737" s="1040"/>
      <c r="K737" s="1023"/>
      <c r="L737" s="1023"/>
      <c r="M737" s="1023"/>
      <c r="N737" s="1023"/>
      <c r="O737" s="1023"/>
      <c r="P737" s="1023"/>
      <c r="Q737" s="1023"/>
      <c r="R737" s="1023"/>
      <c r="S737" s="1023"/>
      <c r="T737" s="934"/>
      <c r="U737" s="934"/>
      <c r="V737" s="934"/>
      <c r="W737" s="934"/>
      <c r="X737" s="934"/>
      <c r="Y737" s="934"/>
      <c r="Z737" s="934"/>
    </row>
    <row r="738" spans="1:26" ht="16.5" customHeight="1">
      <c r="A738" s="1040"/>
      <c r="B738" s="1047" t="s">
        <v>1314</v>
      </c>
      <c r="C738" s="936" t="e">
        <f>IF(C728&lt;=10000,20,IF(C728&lt;=300000,40,IF(C728&lt;=500000,70,IF(C728&lt;=1000000,150,350))))</f>
        <v>#REF!</v>
      </c>
      <c r="D738" s="1040"/>
      <c r="E738" s="1045"/>
      <c r="F738" s="1040"/>
      <c r="G738" s="1040"/>
      <c r="H738" s="1040"/>
      <c r="I738" s="1040"/>
      <c r="J738" s="1040"/>
      <c r="K738" s="1023"/>
      <c r="L738" s="1023"/>
      <c r="M738" s="1023"/>
      <c r="N738" s="1023"/>
      <c r="O738" s="1023"/>
      <c r="P738" s="1023"/>
      <c r="Q738" s="1023"/>
      <c r="R738" s="1023"/>
      <c r="S738" s="1023"/>
      <c r="T738" s="934"/>
      <c r="U738" s="934"/>
      <c r="V738" s="934"/>
      <c r="W738" s="934"/>
      <c r="X738" s="934"/>
      <c r="Y738" s="934"/>
      <c r="Z738" s="934"/>
    </row>
    <row r="739" spans="1:26" ht="16.5" customHeight="1">
      <c r="A739" s="1040"/>
      <c r="B739" s="1047" t="s">
        <v>1316</v>
      </c>
      <c r="C739" s="1046">
        <v>18</v>
      </c>
      <c r="D739" s="1040"/>
      <c r="E739" s="1045"/>
      <c r="F739" s="1040"/>
      <c r="G739" s="1040"/>
      <c r="H739" s="1040"/>
      <c r="I739" s="1040"/>
      <c r="J739" s="1040"/>
      <c r="K739" s="1023"/>
      <c r="L739" s="1023"/>
      <c r="M739" s="1023"/>
      <c r="N739" s="1023"/>
      <c r="O739" s="1023"/>
      <c r="P739" s="1023"/>
      <c r="Q739" s="1023"/>
      <c r="R739" s="1023"/>
      <c r="S739" s="1023"/>
      <c r="T739" s="934"/>
      <c r="U739" s="934"/>
      <c r="V739" s="934"/>
      <c r="W739" s="934"/>
      <c r="X739" s="934"/>
      <c r="Y739" s="934"/>
      <c r="Z739" s="934"/>
    </row>
    <row r="740" spans="1:26" ht="16.5" customHeight="1" thickBot="1">
      <c r="A740" s="1040"/>
      <c r="B740" s="1044" t="s">
        <v>1317</v>
      </c>
      <c r="C740" s="1043" t="e">
        <f>IF(C728=0,0,SUM(C737:C739))</f>
        <v>#REF!</v>
      </c>
      <c r="D740" s="1042"/>
      <c r="E740" s="1041"/>
      <c r="F740" s="1040"/>
      <c r="G740" s="1040"/>
      <c r="H740" s="1040"/>
      <c r="I740" s="1040"/>
      <c r="J740" s="1040"/>
      <c r="K740" s="1023"/>
      <c r="L740" s="1023"/>
      <c r="M740" s="1023"/>
      <c r="N740" s="1023"/>
      <c r="O740" s="1023"/>
      <c r="P740" s="1023"/>
      <c r="Q740" s="1023"/>
      <c r="R740" s="1023"/>
      <c r="S740" s="1023"/>
      <c r="T740" s="934"/>
      <c r="U740" s="934"/>
      <c r="V740" s="934"/>
      <c r="W740" s="934"/>
      <c r="X740" s="934"/>
      <c r="Y740" s="934"/>
      <c r="Z740" s="934"/>
    </row>
    <row r="741" spans="1:26" ht="16.5" customHeight="1">
      <c r="A741" s="1040"/>
      <c r="B741" s="1057" t="s">
        <v>1308</v>
      </c>
      <c r="C741" s="1056"/>
      <c r="D741" s="1055"/>
      <c r="E741" s="1054"/>
      <c r="F741" s="1040"/>
      <c r="G741" s="1040"/>
      <c r="H741" s="1040"/>
      <c r="I741" s="1040"/>
      <c r="J741" s="1040"/>
      <c r="K741" s="1023"/>
      <c r="L741" s="1023"/>
      <c r="M741" s="1023"/>
      <c r="N741" s="1023"/>
      <c r="O741" s="1023"/>
      <c r="P741" s="1023"/>
      <c r="Q741" s="1023"/>
      <c r="R741" s="1023"/>
      <c r="S741" s="1023"/>
      <c r="T741" s="934"/>
      <c r="U741" s="934"/>
      <c r="V741" s="934"/>
      <c r="W741" s="934"/>
      <c r="X741" s="934"/>
      <c r="Y741" s="934"/>
      <c r="Z741" s="934"/>
    </row>
    <row r="742" spans="1:26" ht="16.5" customHeight="1">
      <c r="A742" s="1040"/>
      <c r="B742" s="1053"/>
      <c r="C742" s="1046"/>
      <c r="D742" s="1040"/>
      <c r="E742" s="1045"/>
      <c r="F742" s="1040"/>
      <c r="G742" s="1040"/>
      <c r="H742" s="1040"/>
      <c r="I742" s="1040"/>
      <c r="J742" s="1040"/>
      <c r="K742" s="1023"/>
      <c r="L742" s="1023"/>
      <c r="M742" s="1023"/>
      <c r="N742" s="1023"/>
      <c r="O742" s="1023"/>
      <c r="P742" s="1023"/>
      <c r="Q742" s="1023"/>
      <c r="R742" s="1023"/>
      <c r="S742" s="1023"/>
      <c r="T742" s="934"/>
      <c r="U742" s="934"/>
      <c r="V742" s="934"/>
      <c r="W742" s="934"/>
      <c r="X742" s="934"/>
      <c r="Y742" s="934"/>
      <c r="Z742" s="934"/>
    </row>
    <row r="743" spans="1:26" ht="16.5" customHeight="1">
      <c r="A743" s="1040"/>
      <c r="B743" s="1052" t="s">
        <v>1309</v>
      </c>
      <c r="C743" s="1051" t="e">
        <f>#REF!*70%</f>
        <v>#REF!</v>
      </c>
      <c r="D743" s="1050" t="s">
        <v>1310</v>
      </c>
      <c r="E743" s="1045" t="s">
        <v>1311</v>
      </c>
      <c r="F743" s="1040"/>
      <c r="G743" s="1040"/>
      <c r="H743" s="1040"/>
      <c r="I743" s="1040"/>
      <c r="J743" s="1040"/>
      <c r="K743" s="1023"/>
      <c r="L743" s="1023"/>
      <c r="M743" s="1023"/>
      <c r="N743" s="1023"/>
      <c r="O743" s="1023"/>
      <c r="P743" s="1023"/>
      <c r="Q743" s="1023"/>
      <c r="R743" s="1023"/>
      <c r="S743" s="1023"/>
      <c r="T743" s="934"/>
      <c r="U743" s="934"/>
      <c r="V743" s="934"/>
      <c r="W743" s="934"/>
      <c r="X743" s="934"/>
      <c r="Y743" s="934"/>
      <c r="Z743" s="934"/>
    </row>
    <row r="744" spans="1:26" ht="16.5" customHeight="1">
      <c r="A744" s="1040"/>
      <c r="B744" s="1047">
        <v>50000</v>
      </c>
      <c r="C744" s="1046">
        <v>210</v>
      </c>
      <c r="D744" s="1049"/>
      <c r="E744" s="1048" t="e">
        <f>C743-B744</f>
        <v>#REF!</v>
      </c>
      <c r="F744" s="1040"/>
      <c r="G744" s="1040"/>
      <c r="H744" s="1040"/>
      <c r="I744" s="1040"/>
      <c r="J744" s="1040"/>
      <c r="K744" s="1023"/>
      <c r="L744" s="1023"/>
      <c r="M744" s="1023"/>
      <c r="N744" s="1023"/>
      <c r="O744" s="1023"/>
      <c r="P744" s="1023"/>
      <c r="Q744" s="1023"/>
      <c r="R744" s="1023"/>
      <c r="S744" s="1023"/>
      <c r="T744" s="934"/>
      <c r="U744" s="934"/>
      <c r="V744" s="934"/>
      <c r="W744" s="934"/>
      <c r="X744" s="934"/>
      <c r="Y744" s="934"/>
      <c r="Z744" s="934"/>
    </row>
    <row r="745" spans="1:26" ht="16.5" customHeight="1">
      <c r="A745" s="1040"/>
      <c r="B745" s="1047">
        <v>100000</v>
      </c>
      <c r="C745" s="1046" t="e">
        <f>IF(E744&lt;0,0,IF(D745&lt;E744,D745*10/10000,E744*10/10000))</f>
        <v>#REF!</v>
      </c>
      <c r="D745" s="1046">
        <f t="shared" ref="D745:D750" si="72">B745-B744</f>
        <v>50000</v>
      </c>
      <c r="E745" s="1048" t="e">
        <f t="shared" ref="E745:E750" si="73">E744-B745</f>
        <v>#REF!</v>
      </c>
      <c r="F745" s="1040"/>
      <c r="G745" s="1040"/>
      <c r="H745" s="1040"/>
      <c r="I745" s="1040"/>
      <c r="J745" s="1040"/>
      <c r="K745" s="1023"/>
      <c r="L745" s="1023"/>
      <c r="M745" s="1023"/>
      <c r="N745" s="1023"/>
      <c r="O745" s="1023"/>
      <c r="P745" s="1023"/>
      <c r="Q745" s="1023"/>
      <c r="R745" s="1023"/>
      <c r="S745" s="1023"/>
      <c r="T745" s="934"/>
      <c r="U745" s="934"/>
      <c r="V745" s="934"/>
      <c r="W745" s="934"/>
      <c r="X745" s="934"/>
      <c r="Y745" s="934"/>
      <c r="Z745" s="934"/>
    </row>
    <row r="746" spans="1:26" ht="16.5" customHeight="1">
      <c r="A746" s="1040"/>
      <c r="B746" s="1047">
        <v>300000</v>
      </c>
      <c r="C746" s="1046" t="e">
        <f>IF(E745&lt;0,0,IF(D746&lt;E745,D746*9/10000,E745*9/10000))</f>
        <v>#REF!</v>
      </c>
      <c r="D746" s="1046">
        <f t="shared" si="72"/>
        <v>200000</v>
      </c>
      <c r="E746" s="1048" t="e">
        <f t="shared" si="73"/>
        <v>#REF!</v>
      </c>
      <c r="F746" s="1040"/>
      <c r="G746" s="1040"/>
      <c r="H746" s="1040"/>
      <c r="I746" s="1040"/>
      <c r="J746" s="1040"/>
      <c r="K746" s="1023"/>
      <c r="L746" s="1023"/>
      <c r="M746" s="1023"/>
      <c r="N746" s="1023"/>
      <c r="O746" s="1023"/>
      <c r="P746" s="1023"/>
      <c r="Q746" s="1023"/>
      <c r="R746" s="1023"/>
      <c r="S746" s="1023"/>
      <c r="T746" s="934"/>
      <c r="U746" s="934"/>
      <c r="V746" s="934"/>
      <c r="W746" s="934"/>
      <c r="X746" s="934"/>
      <c r="Y746" s="934"/>
      <c r="Z746" s="934"/>
    </row>
    <row r="747" spans="1:26" ht="16.5" customHeight="1">
      <c r="A747" s="1040"/>
      <c r="B747" s="1047">
        <v>500000</v>
      </c>
      <c r="C747" s="1046" t="e">
        <f>IF(E746&lt;0,0,IF(D747&lt;E746,D747*8/10000,E746*8/10000))</f>
        <v>#REF!</v>
      </c>
      <c r="D747" s="1046">
        <f t="shared" si="72"/>
        <v>200000</v>
      </c>
      <c r="E747" s="1048" t="e">
        <f t="shared" si="73"/>
        <v>#REF!</v>
      </c>
      <c r="F747" s="1040"/>
      <c r="G747" s="1040"/>
      <c r="H747" s="1040"/>
      <c r="I747" s="1040"/>
      <c r="J747" s="1040"/>
      <c r="K747" s="1023"/>
      <c r="L747" s="1023"/>
      <c r="M747" s="1023"/>
      <c r="N747" s="1023"/>
      <c r="O747" s="1023"/>
      <c r="P747" s="1023"/>
      <c r="Q747" s="1023"/>
      <c r="R747" s="1023"/>
      <c r="S747" s="1023"/>
      <c r="T747" s="934"/>
      <c r="U747" s="934"/>
      <c r="V747" s="934"/>
      <c r="W747" s="934"/>
      <c r="X747" s="934"/>
      <c r="Y747" s="934"/>
      <c r="Z747" s="934"/>
    </row>
    <row r="748" spans="1:26" ht="16.5" customHeight="1">
      <c r="A748" s="1040"/>
      <c r="B748" s="1047">
        <v>1000000</v>
      </c>
      <c r="C748" s="1046" t="e">
        <f>IF(E747&lt;0,0,IF(D748&lt;E747,D748*7/10000,E747*7/10000))</f>
        <v>#REF!</v>
      </c>
      <c r="D748" s="1046">
        <f t="shared" si="72"/>
        <v>500000</v>
      </c>
      <c r="E748" s="1048" t="e">
        <f t="shared" si="73"/>
        <v>#REF!</v>
      </c>
      <c r="F748" s="1040"/>
      <c r="G748" s="1040"/>
      <c r="H748" s="1040"/>
      <c r="I748" s="1040"/>
      <c r="J748" s="1040"/>
      <c r="K748" s="1023"/>
      <c r="L748" s="1023"/>
      <c r="M748" s="1023"/>
      <c r="N748" s="1023"/>
      <c r="O748" s="1023"/>
      <c r="P748" s="1023"/>
      <c r="Q748" s="1023"/>
      <c r="R748" s="1023"/>
      <c r="S748" s="1023"/>
      <c r="T748" s="934"/>
      <c r="U748" s="934"/>
      <c r="V748" s="934"/>
      <c r="W748" s="934"/>
      <c r="X748" s="934"/>
      <c r="Y748" s="934"/>
      <c r="Z748" s="934"/>
    </row>
    <row r="749" spans="1:26" ht="16.5" customHeight="1">
      <c r="A749" s="1040"/>
      <c r="B749" s="1047">
        <v>2000000</v>
      </c>
      <c r="C749" s="1046" t="e">
        <f>IF(E748&lt;0,0,IF(D749&lt;E748,D749*5/10000,E748*5/10000))</f>
        <v>#REF!</v>
      </c>
      <c r="D749" s="1046">
        <f t="shared" si="72"/>
        <v>1000000</v>
      </c>
      <c r="E749" s="1048" t="e">
        <f t="shared" si="73"/>
        <v>#REF!</v>
      </c>
      <c r="F749" s="1040"/>
      <c r="G749" s="1040"/>
      <c r="H749" s="1040"/>
      <c r="I749" s="1040"/>
      <c r="J749" s="1040"/>
      <c r="K749" s="1023"/>
      <c r="L749" s="1023"/>
      <c r="M749" s="1023"/>
      <c r="N749" s="1023"/>
      <c r="O749" s="1023"/>
      <c r="P749" s="1023"/>
      <c r="Q749" s="1023"/>
      <c r="R749" s="1023"/>
      <c r="S749" s="1023"/>
      <c r="T749" s="934"/>
      <c r="U749" s="934"/>
      <c r="V749" s="934"/>
      <c r="W749" s="934"/>
      <c r="X749" s="934"/>
      <c r="Y749" s="934"/>
      <c r="Z749" s="934"/>
    </row>
    <row r="750" spans="1:26" ht="16.5" customHeight="1">
      <c r="A750" s="1040"/>
      <c r="B750" s="1047">
        <v>20000000</v>
      </c>
      <c r="C750" s="1046" t="e">
        <f>IF(E749&lt;0,0,IF(D750&lt;E749,D750*4/10000,E749*4/10000))</f>
        <v>#REF!</v>
      </c>
      <c r="D750" s="1046">
        <f t="shared" si="72"/>
        <v>18000000</v>
      </c>
      <c r="E750" s="1048" t="e">
        <f t="shared" si="73"/>
        <v>#REF!</v>
      </c>
      <c r="F750" s="1040"/>
      <c r="G750" s="1040"/>
      <c r="H750" s="1040"/>
      <c r="I750" s="1040"/>
      <c r="J750" s="1040"/>
      <c r="K750" s="1023"/>
      <c r="L750" s="1023"/>
      <c r="M750" s="1023"/>
      <c r="N750" s="1023"/>
      <c r="O750" s="1023"/>
      <c r="P750" s="1023"/>
      <c r="Q750" s="1023"/>
      <c r="R750" s="1023"/>
      <c r="S750" s="1023"/>
      <c r="T750" s="934"/>
      <c r="U750" s="934"/>
      <c r="V750" s="934"/>
      <c r="W750" s="934"/>
      <c r="X750" s="934"/>
      <c r="Y750" s="934"/>
      <c r="Z750" s="934"/>
    </row>
    <row r="751" spans="1:26" ht="16.5" customHeight="1">
      <c r="A751" s="1040"/>
      <c r="B751" s="1047" t="s">
        <v>1312</v>
      </c>
      <c r="C751" s="1046"/>
      <c r="D751" s="1046"/>
      <c r="E751" s="1048"/>
      <c r="F751" s="1040"/>
      <c r="G751" s="1040"/>
      <c r="H751" s="1040"/>
      <c r="I751" s="1040"/>
      <c r="J751" s="1040"/>
      <c r="K751" s="1023"/>
      <c r="L751" s="1023"/>
      <c r="M751" s="1023"/>
      <c r="N751" s="1023"/>
      <c r="O751" s="1023"/>
      <c r="P751" s="1023"/>
      <c r="Q751" s="1023"/>
      <c r="R751" s="1023"/>
      <c r="S751" s="1023"/>
      <c r="T751" s="934"/>
      <c r="U751" s="934"/>
      <c r="V751" s="934"/>
      <c r="W751" s="934"/>
      <c r="X751" s="934"/>
      <c r="Y751" s="934"/>
      <c r="Z751" s="934"/>
    </row>
    <row r="752" spans="1:26" ht="16.5" customHeight="1">
      <c r="A752" s="1040"/>
      <c r="B752" s="1047" t="s">
        <v>1313</v>
      </c>
      <c r="C752" s="1046" t="e">
        <f>ROUND(IF(C743&gt;20000000,8650+(C743-20000000)/10000,SUM(C744:C750)),0)</f>
        <v>#REF!</v>
      </c>
      <c r="D752" s="1040"/>
      <c r="E752" s="1045"/>
      <c r="F752" s="1040"/>
      <c r="G752" s="1040"/>
      <c r="H752" s="1040"/>
      <c r="I752" s="1040"/>
      <c r="J752" s="1040"/>
      <c r="K752" s="1023"/>
      <c r="L752" s="1023"/>
      <c r="M752" s="1023"/>
      <c r="N752" s="1023"/>
      <c r="O752" s="1023"/>
      <c r="P752" s="1023"/>
      <c r="Q752" s="1023"/>
      <c r="R752" s="1023"/>
      <c r="S752" s="1023"/>
      <c r="T752" s="934"/>
      <c r="U752" s="934"/>
      <c r="V752" s="934"/>
      <c r="W752" s="934"/>
      <c r="X752" s="934"/>
      <c r="Y752" s="934"/>
      <c r="Z752" s="934"/>
    </row>
    <row r="753" spans="1:26" ht="16.5" customHeight="1">
      <c r="A753" s="1040"/>
      <c r="B753" s="1047" t="s">
        <v>1314</v>
      </c>
      <c r="C753" s="936" t="e">
        <f>IF(C743&lt;=10000,20,IF(C743&lt;=300000,40,IF(C743&lt;=500000,70,IF(C743&lt;=1000000,150,350))))</f>
        <v>#REF!</v>
      </c>
      <c r="D753" s="1040"/>
      <c r="E753" s="1045"/>
      <c r="F753" s="1040"/>
      <c r="G753" s="1040"/>
      <c r="H753" s="1040"/>
      <c r="I753" s="1040"/>
      <c r="J753" s="1040"/>
      <c r="K753" s="1023"/>
      <c r="L753" s="1023"/>
      <c r="M753" s="1023"/>
      <c r="N753" s="1023"/>
      <c r="O753" s="1023"/>
      <c r="P753" s="1023"/>
      <c r="Q753" s="1023"/>
      <c r="R753" s="1023"/>
      <c r="S753" s="1023"/>
      <c r="T753" s="934"/>
      <c r="U753" s="934"/>
      <c r="V753" s="934"/>
      <c r="W753" s="934"/>
      <c r="X753" s="934"/>
      <c r="Y753" s="934"/>
      <c r="Z753" s="934"/>
    </row>
    <row r="754" spans="1:26" ht="16.5" customHeight="1">
      <c r="A754" s="1040"/>
      <c r="B754" s="1047" t="s">
        <v>1316</v>
      </c>
      <c r="C754" s="1046">
        <v>18</v>
      </c>
      <c r="D754" s="1040"/>
      <c r="E754" s="1045"/>
      <c r="F754" s="1040"/>
      <c r="G754" s="1040"/>
      <c r="H754" s="1040"/>
      <c r="I754" s="1040"/>
      <c r="J754" s="1040"/>
      <c r="K754" s="1023"/>
      <c r="L754" s="1023"/>
      <c r="M754" s="1023"/>
      <c r="N754" s="1023"/>
      <c r="O754" s="1023"/>
      <c r="P754" s="1023"/>
      <c r="Q754" s="1023"/>
      <c r="R754" s="1023"/>
      <c r="S754" s="1023"/>
      <c r="T754" s="934"/>
      <c r="U754" s="934"/>
      <c r="V754" s="934"/>
      <c r="W754" s="934"/>
      <c r="X754" s="934"/>
      <c r="Y754" s="934"/>
      <c r="Z754" s="934"/>
    </row>
    <row r="755" spans="1:26" ht="16.5" customHeight="1" thickBot="1">
      <c r="A755" s="1040"/>
      <c r="B755" s="1044" t="s">
        <v>1317</v>
      </c>
      <c r="C755" s="1043" t="e">
        <f>IF(C743=0,0,SUM(C752:C754))</f>
        <v>#REF!</v>
      </c>
      <c r="D755" s="1042"/>
      <c r="E755" s="1041"/>
      <c r="F755" s="1040"/>
      <c r="G755" s="1040"/>
      <c r="H755" s="1040"/>
      <c r="I755" s="1040"/>
      <c r="J755" s="1040"/>
      <c r="K755" s="1023"/>
      <c r="L755" s="1023"/>
      <c r="M755" s="1023"/>
      <c r="N755" s="1023"/>
      <c r="O755" s="1023"/>
      <c r="P755" s="1023"/>
      <c r="Q755" s="1023"/>
      <c r="R755" s="1023"/>
      <c r="S755" s="1023"/>
      <c r="T755" s="934"/>
      <c r="U755" s="934"/>
      <c r="V755" s="934"/>
      <c r="W755" s="934"/>
      <c r="X755" s="934"/>
      <c r="Y755" s="934"/>
      <c r="Z755" s="934"/>
    </row>
    <row r="756" spans="1:26" ht="16.5" customHeight="1">
      <c r="A756" s="1040"/>
      <c r="B756" s="1057" t="s">
        <v>1308</v>
      </c>
      <c r="C756" s="1056"/>
      <c r="D756" s="1055"/>
      <c r="E756" s="1054"/>
      <c r="F756" s="1040"/>
      <c r="G756" s="1040"/>
      <c r="H756" s="1040"/>
      <c r="I756" s="1040"/>
      <c r="J756" s="1040"/>
      <c r="K756" s="1023"/>
      <c r="L756" s="1023"/>
      <c r="M756" s="1023"/>
      <c r="N756" s="1023"/>
      <c r="O756" s="1023"/>
      <c r="P756" s="1023"/>
      <c r="Q756" s="1023"/>
      <c r="R756" s="1023"/>
      <c r="S756" s="1023"/>
      <c r="T756" s="934"/>
      <c r="U756" s="934"/>
      <c r="V756" s="934"/>
      <c r="W756" s="934"/>
      <c r="X756" s="934"/>
      <c r="Y756" s="934"/>
      <c r="Z756" s="934"/>
    </row>
    <row r="757" spans="1:26" ht="16.5" customHeight="1">
      <c r="A757" s="1040"/>
      <c r="B757" s="1053"/>
      <c r="C757" s="1046"/>
      <c r="D757" s="1040"/>
      <c r="E757" s="1045"/>
      <c r="F757" s="1040"/>
      <c r="G757" s="1040"/>
      <c r="H757" s="1040"/>
      <c r="I757" s="1040"/>
      <c r="J757" s="1040"/>
      <c r="K757" s="1023"/>
      <c r="L757" s="1023"/>
      <c r="M757" s="1023"/>
      <c r="N757" s="1023"/>
      <c r="O757" s="1023"/>
      <c r="P757" s="1023"/>
      <c r="Q757" s="1023"/>
      <c r="R757" s="1023"/>
      <c r="S757" s="1023"/>
      <c r="T757" s="934"/>
      <c r="U757" s="934"/>
      <c r="V757" s="934"/>
      <c r="W757" s="934"/>
      <c r="X757" s="934"/>
      <c r="Y757" s="934"/>
      <c r="Z757" s="934"/>
    </row>
    <row r="758" spans="1:26" ht="16.5" customHeight="1">
      <c r="A758" s="1040"/>
      <c r="B758" s="1052" t="s">
        <v>1309</v>
      </c>
      <c r="C758" s="1051" t="e">
        <f>#REF!*70%</f>
        <v>#REF!</v>
      </c>
      <c r="D758" s="1050" t="s">
        <v>1310</v>
      </c>
      <c r="E758" s="1045" t="s">
        <v>1311</v>
      </c>
      <c r="F758" s="1040"/>
      <c r="G758" s="1040"/>
      <c r="H758" s="1040"/>
      <c r="I758" s="1040"/>
      <c r="J758" s="1040"/>
      <c r="K758" s="1023"/>
      <c r="L758" s="1023"/>
      <c r="M758" s="1023"/>
      <c r="N758" s="1023"/>
      <c r="O758" s="1023"/>
      <c r="P758" s="1023"/>
      <c r="Q758" s="1023"/>
      <c r="R758" s="1023"/>
      <c r="S758" s="1023"/>
      <c r="T758" s="934"/>
      <c r="U758" s="934"/>
      <c r="V758" s="934"/>
      <c r="W758" s="934"/>
      <c r="X758" s="934"/>
      <c r="Y758" s="934"/>
      <c r="Z758" s="934"/>
    </row>
    <row r="759" spans="1:26" ht="16.5" customHeight="1">
      <c r="A759" s="1040"/>
      <c r="B759" s="1047">
        <v>50000</v>
      </c>
      <c r="C759" s="1046">
        <v>210</v>
      </c>
      <c r="D759" s="1049"/>
      <c r="E759" s="1048" t="e">
        <f>C758-B759</f>
        <v>#REF!</v>
      </c>
      <c r="F759" s="1040"/>
      <c r="G759" s="1040"/>
      <c r="H759" s="1040"/>
      <c r="I759" s="1040"/>
      <c r="J759" s="1040"/>
      <c r="K759" s="1023"/>
      <c r="L759" s="1023"/>
      <c r="M759" s="1023"/>
      <c r="N759" s="1023"/>
      <c r="O759" s="1023"/>
      <c r="P759" s="1023"/>
      <c r="Q759" s="1023"/>
      <c r="R759" s="1023"/>
      <c r="S759" s="1023"/>
      <c r="T759" s="934"/>
      <c r="U759" s="934"/>
      <c r="V759" s="934"/>
      <c r="W759" s="934"/>
      <c r="X759" s="934"/>
      <c r="Y759" s="934"/>
      <c r="Z759" s="934"/>
    </row>
    <row r="760" spans="1:26" ht="16.5" customHeight="1">
      <c r="A760" s="1040"/>
      <c r="B760" s="1047">
        <v>100000</v>
      </c>
      <c r="C760" s="1046" t="e">
        <f>IF(E759&lt;0,0,IF(D760&lt;E759,D760*10/10000,E759*10/10000))</f>
        <v>#REF!</v>
      </c>
      <c r="D760" s="1046">
        <f t="shared" ref="D760:D765" si="74">B760-B759</f>
        <v>50000</v>
      </c>
      <c r="E760" s="1048" t="e">
        <f t="shared" ref="E760:E765" si="75">E759-B760</f>
        <v>#REF!</v>
      </c>
      <c r="F760" s="1040"/>
      <c r="G760" s="1040"/>
      <c r="H760" s="1040"/>
      <c r="I760" s="1040"/>
      <c r="J760" s="1040"/>
      <c r="K760" s="1023"/>
      <c r="L760" s="1023"/>
      <c r="M760" s="1023"/>
      <c r="N760" s="1023"/>
      <c r="O760" s="1023"/>
      <c r="P760" s="1023"/>
      <c r="Q760" s="1023"/>
      <c r="R760" s="1023"/>
      <c r="S760" s="1023"/>
      <c r="T760" s="934"/>
      <c r="U760" s="934"/>
      <c r="V760" s="934"/>
      <c r="W760" s="934"/>
      <c r="X760" s="934"/>
      <c r="Y760" s="934"/>
      <c r="Z760" s="934"/>
    </row>
    <row r="761" spans="1:26" ht="16.5" customHeight="1">
      <c r="A761" s="1040"/>
      <c r="B761" s="1047">
        <v>300000</v>
      </c>
      <c r="C761" s="1046" t="e">
        <f>IF(E760&lt;0,0,IF(D761&lt;E760,D761*9/10000,E760*9/10000))</f>
        <v>#REF!</v>
      </c>
      <c r="D761" s="1046">
        <f t="shared" si="74"/>
        <v>200000</v>
      </c>
      <c r="E761" s="1048" t="e">
        <f t="shared" si="75"/>
        <v>#REF!</v>
      </c>
      <c r="F761" s="1040"/>
      <c r="G761" s="1040"/>
      <c r="H761" s="1040"/>
      <c r="I761" s="1040"/>
      <c r="J761" s="1040"/>
      <c r="K761" s="1023"/>
      <c r="L761" s="1023"/>
      <c r="M761" s="1023"/>
      <c r="N761" s="1023"/>
      <c r="O761" s="1023"/>
      <c r="P761" s="1023"/>
      <c r="Q761" s="1023"/>
      <c r="R761" s="1023"/>
      <c r="S761" s="1023"/>
      <c r="T761" s="934"/>
      <c r="U761" s="934"/>
      <c r="V761" s="934"/>
      <c r="W761" s="934"/>
      <c r="X761" s="934"/>
      <c r="Y761" s="934"/>
      <c r="Z761" s="934"/>
    </row>
    <row r="762" spans="1:26" ht="16.5" customHeight="1">
      <c r="A762" s="1040"/>
      <c r="B762" s="1047">
        <v>500000</v>
      </c>
      <c r="C762" s="1046" t="e">
        <f>IF(E761&lt;0,0,IF(D762&lt;E761,D762*8/10000,E761*8/10000))</f>
        <v>#REF!</v>
      </c>
      <c r="D762" s="1046">
        <f t="shared" si="74"/>
        <v>200000</v>
      </c>
      <c r="E762" s="1048" t="e">
        <f t="shared" si="75"/>
        <v>#REF!</v>
      </c>
      <c r="F762" s="1040"/>
      <c r="G762" s="1040"/>
      <c r="H762" s="1040"/>
      <c r="I762" s="1040"/>
      <c r="J762" s="1040"/>
      <c r="K762" s="1023"/>
      <c r="L762" s="1023"/>
      <c r="M762" s="1023"/>
      <c r="N762" s="1023"/>
      <c r="O762" s="1023"/>
      <c r="P762" s="1023"/>
      <c r="Q762" s="1023"/>
      <c r="R762" s="1023"/>
      <c r="S762" s="1023"/>
      <c r="T762" s="934"/>
      <c r="U762" s="934"/>
      <c r="V762" s="934"/>
      <c r="W762" s="934"/>
      <c r="X762" s="934"/>
      <c r="Y762" s="934"/>
      <c r="Z762" s="934"/>
    </row>
    <row r="763" spans="1:26" ht="16.5" customHeight="1">
      <c r="A763" s="1040"/>
      <c r="B763" s="1047">
        <v>1000000</v>
      </c>
      <c r="C763" s="1046" t="e">
        <f>IF(E762&lt;0,0,IF(D763&lt;E762,D763*7/10000,E762*7/10000))</f>
        <v>#REF!</v>
      </c>
      <c r="D763" s="1046">
        <f t="shared" si="74"/>
        <v>500000</v>
      </c>
      <c r="E763" s="1048" t="e">
        <f t="shared" si="75"/>
        <v>#REF!</v>
      </c>
      <c r="F763" s="1040"/>
      <c r="G763" s="1040"/>
      <c r="H763" s="1040"/>
      <c r="I763" s="1040"/>
      <c r="J763" s="1040"/>
      <c r="K763" s="1023"/>
      <c r="L763" s="1023"/>
      <c r="M763" s="1023"/>
      <c r="N763" s="1023"/>
      <c r="O763" s="1023"/>
      <c r="P763" s="1023"/>
      <c r="Q763" s="1023"/>
      <c r="R763" s="1023"/>
      <c r="S763" s="1023"/>
      <c r="T763" s="934"/>
      <c r="U763" s="934"/>
      <c r="V763" s="934"/>
      <c r="W763" s="934"/>
      <c r="X763" s="934"/>
      <c r="Y763" s="934"/>
      <c r="Z763" s="934"/>
    </row>
    <row r="764" spans="1:26" ht="16.5" customHeight="1">
      <c r="A764" s="1040"/>
      <c r="B764" s="1047">
        <v>2000000</v>
      </c>
      <c r="C764" s="1046" t="e">
        <f>IF(E763&lt;0,0,IF(D764&lt;E763,D764*5/10000,E763*5/10000))</f>
        <v>#REF!</v>
      </c>
      <c r="D764" s="1046">
        <f t="shared" si="74"/>
        <v>1000000</v>
      </c>
      <c r="E764" s="1048" t="e">
        <f t="shared" si="75"/>
        <v>#REF!</v>
      </c>
      <c r="F764" s="1040"/>
      <c r="G764" s="1040"/>
      <c r="H764" s="1040"/>
      <c r="I764" s="1040"/>
      <c r="J764" s="1040"/>
      <c r="K764" s="1023"/>
      <c r="L764" s="1023"/>
      <c r="M764" s="1023"/>
      <c r="N764" s="1023"/>
      <c r="O764" s="1023"/>
      <c r="P764" s="1023"/>
      <c r="Q764" s="1023"/>
      <c r="R764" s="1023"/>
      <c r="S764" s="1023"/>
      <c r="T764" s="934"/>
      <c r="U764" s="934"/>
      <c r="V764" s="934"/>
      <c r="W764" s="934"/>
      <c r="X764" s="934"/>
      <c r="Y764" s="934"/>
      <c r="Z764" s="934"/>
    </row>
    <row r="765" spans="1:26" ht="16.5" customHeight="1">
      <c r="A765" s="1040"/>
      <c r="B765" s="1047">
        <v>20000000</v>
      </c>
      <c r="C765" s="1046" t="e">
        <f>IF(E764&lt;0,0,IF(D765&lt;E764,D765*4/10000,E764*4/10000))</f>
        <v>#REF!</v>
      </c>
      <c r="D765" s="1046">
        <f t="shared" si="74"/>
        <v>18000000</v>
      </c>
      <c r="E765" s="1048" t="e">
        <f t="shared" si="75"/>
        <v>#REF!</v>
      </c>
      <c r="F765" s="1040"/>
      <c r="G765" s="1040"/>
      <c r="H765" s="1040"/>
      <c r="I765" s="1040"/>
      <c r="J765" s="1040"/>
      <c r="K765" s="1023"/>
      <c r="L765" s="1023"/>
      <c r="M765" s="1023"/>
      <c r="N765" s="1023"/>
      <c r="O765" s="1023"/>
      <c r="P765" s="1023"/>
      <c r="Q765" s="1023"/>
      <c r="R765" s="1023"/>
      <c r="S765" s="1023"/>
      <c r="T765" s="934"/>
      <c r="U765" s="934"/>
      <c r="V765" s="934"/>
      <c r="W765" s="934"/>
      <c r="X765" s="934"/>
      <c r="Y765" s="934"/>
      <c r="Z765" s="934"/>
    </row>
    <row r="766" spans="1:26" ht="16.5" customHeight="1">
      <c r="A766" s="1040"/>
      <c r="B766" s="1047" t="s">
        <v>1312</v>
      </c>
      <c r="C766" s="1046"/>
      <c r="D766" s="1046"/>
      <c r="E766" s="1048"/>
      <c r="F766" s="1040"/>
      <c r="G766" s="1040"/>
      <c r="H766" s="1040"/>
      <c r="I766" s="1040"/>
      <c r="J766" s="1040"/>
      <c r="K766" s="1023"/>
      <c r="L766" s="1023"/>
      <c r="M766" s="1023"/>
      <c r="N766" s="1023"/>
      <c r="O766" s="1023"/>
      <c r="P766" s="1023"/>
      <c r="Q766" s="1023"/>
      <c r="R766" s="1023"/>
      <c r="S766" s="1023"/>
      <c r="T766" s="934"/>
      <c r="U766" s="934"/>
      <c r="V766" s="934"/>
      <c r="W766" s="934"/>
      <c r="X766" s="934"/>
      <c r="Y766" s="934"/>
      <c r="Z766" s="934"/>
    </row>
    <row r="767" spans="1:26" ht="16.5" customHeight="1">
      <c r="A767" s="1040"/>
      <c r="B767" s="1047" t="s">
        <v>1313</v>
      </c>
      <c r="C767" s="1046" t="e">
        <f>ROUND(IF(C758&gt;20000000,8650+(C758-20000000)/10000,SUM(C759:C765)),0)</f>
        <v>#REF!</v>
      </c>
      <c r="D767" s="1040"/>
      <c r="E767" s="1045"/>
      <c r="F767" s="1040"/>
      <c r="G767" s="1040"/>
      <c r="H767" s="1040"/>
      <c r="I767" s="1040"/>
      <c r="J767" s="1040"/>
      <c r="K767" s="1023"/>
      <c r="L767" s="1023"/>
      <c r="M767" s="1023"/>
      <c r="N767" s="1023"/>
      <c r="O767" s="1023"/>
      <c r="P767" s="1023"/>
      <c r="Q767" s="1023"/>
      <c r="R767" s="1023"/>
      <c r="S767" s="1023"/>
      <c r="T767" s="934"/>
      <c r="U767" s="934"/>
      <c r="V767" s="934"/>
      <c r="W767" s="934"/>
      <c r="X767" s="934"/>
      <c r="Y767" s="934"/>
      <c r="Z767" s="934"/>
    </row>
    <row r="768" spans="1:26" ht="16.5" customHeight="1">
      <c r="A768" s="1040"/>
      <c r="B768" s="1047" t="s">
        <v>1314</v>
      </c>
      <c r="C768" s="936" t="e">
        <f>IF(C758&lt;=10000,20,IF(C758&lt;=300000,40,IF(C758&lt;=500000,70,IF(C758&lt;=1000000,150,350))))</f>
        <v>#REF!</v>
      </c>
      <c r="D768" s="1040"/>
      <c r="E768" s="1045"/>
      <c r="F768" s="1040"/>
      <c r="G768" s="1040"/>
      <c r="H768" s="1040"/>
      <c r="I768" s="1040"/>
      <c r="J768" s="1040"/>
      <c r="K768" s="1023"/>
      <c r="L768" s="1023"/>
      <c r="M768" s="1023"/>
      <c r="N768" s="1023"/>
      <c r="O768" s="1023"/>
      <c r="P768" s="1023"/>
      <c r="Q768" s="1023"/>
      <c r="R768" s="1023"/>
      <c r="S768" s="1023"/>
      <c r="T768" s="934"/>
      <c r="U768" s="934"/>
      <c r="V768" s="934"/>
      <c r="W768" s="934"/>
      <c r="X768" s="934"/>
      <c r="Y768" s="934"/>
      <c r="Z768" s="934"/>
    </row>
    <row r="769" spans="1:26" ht="16.5" customHeight="1">
      <c r="A769" s="1040"/>
      <c r="B769" s="1047" t="s">
        <v>1316</v>
      </c>
      <c r="C769" s="1046">
        <v>18</v>
      </c>
      <c r="D769" s="1040"/>
      <c r="E769" s="1045"/>
      <c r="F769" s="1040"/>
      <c r="G769" s="1040"/>
      <c r="H769" s="1040"/>
      <c r="I769" s="1040"/>
      <c r="J769" s="1040"/>
      <c r="K769" s="1023"/>
      <c r="L769" s="1023"/>
      <c r="M769" s="1023"/>
      <c r="N769" s="1023"/>
      <c r="O769" s="1023"/>
      <c r="P769" s="1023"/>
      <c r="Q769" s="1023"/>
      <c r="R769" s="1023"/>
      <c r="S769" s="1023"/>
      <c r="T769" s="934"/>
      <c r="U769" s="934"/>
      <c r="V769" s="934"/>
      <c r="W769" s="934"/>
      <c r="X769" s="934"/>
      <c r="Y769" s="934"/>
      <c r="Z769" s="934"/>
    </row>
    <row r="770" spans="1:26" ht="16.5" customHeight="1" thickBot="1">
      <c r="A770" s="1040"/>
      <c r="B770" s="1044" t="s">
        <v>1317</v>
      </c>
      <c r="C770" s="1043" t="e">
        <f>IF(C758=0,0,SUM(C767:C769))</f>
        <v>#REF!</v>
      </c>
      <c r="D770" s="1042"/>
      <c r="E770" s="1041"/>
      <c r="F770" s="1040"/>
      <c r="G770" s="1040"/>
      <c r="H770" s="1040"/>
      <c r="I770" s="1040"/>
      <c r="J770" s="1040"/>
      <c r="K770" s="1023"/>
      <c r="L770" s="1023"/>
      <c r="M770" s="1023"/>
      <c r="N770" s="1023"/>
      <c r="O770" s="1023"/>
      <c r="P770" s="1023"/>
      <c r="Q770" s="1023"/>
      <c r="R770" s="1023"/>
      <c r="S770" s="1023"/>
      <c r="T770" s="934"/>
      <c r="U770" s="934"/>
      <c r="V770" s="934"/>
      <c r="W770" s="934"/>
      <c r="X770" s="934"/>
      <c r="Y770" s="934"/>
      <c r="Z770" s="934"/>
    </row>
    <row r="771" spans="1:26" ht="16.5" customHeight="1">
      <c r="A771" s="1040"/>
      <c r="B771" s="1057" t="s">
        <v>1308</v>
      </c>
      <c r="C771" s="1056"/>
      <c r="D771" s="1055"/>
      <c r="E771" s="1054"/>
      <c r="F771" s="1040"/>
      <c r="G771" s="1040"/>
      <c r="H771" s="1040"/>
      <c r="I771" s="1040"/>
      <c r="J771" s="1040"/>
      <c r="K771" s="1023"/>
      <c r="L771" s="1023"/>
      <c r="M771" s="1023"/>
      <c r="N771" s="1023"/>
      <c r="O771" s="1023"/>
      <c r="P771" s="1023"/>
      <c r="Q771" s="1023"/>
      <c r="R771" s="1023"/>
      <c r="S771" s="1023"/>
      <c r="T771" s="934"/>
      <c r="U771" s="934"/>
      <c r="V771" s="934"/>
      <c r="W771" s="934"/>
      <c r="X771" s="934"/>
      <c r="Y771" s="934"/>
      <c r="Z771" s="934"/>
    </row>
    <row r="772" spans="1:26" ht="16.5" customHeight="1">
      <c r="A772" s="1040"/>
      <c r="B772" s="1053"/>
      <c r="C772" s="1046"/>
      <c r="D772" s="1040"/>
      <c r="E772" s="1045"/>
      <c r="F772" s="1040"/>
      <c r="G772" s="1040"/>
      <c r="H772" s="1040"/>
      <c r="I772" s="1040"/>
      <c r="J772" s="1040"/>
      <c r="K772" s="1023"/>
      <c r="L772" s="1023"/>
      <c r="M772" s="1023"/>
      <c r="N772" s="1023"/>
      <c r="O772" s="1023"/>
      <c r="P772" s="1023"/>
      <c r="Q772" s="1023"/>
      <c r="R772" s="1023"/>
      <c r="S772" s="1023"/>
      <c r="T772" s="934"/>
      <c r="U772" s="934"/>
      <c r="V772" s="934"/>
      <c r="W772" s="934"/>
      <c r="X772" s="934"/>
      <c r="Y772" s="934"/>
      <c r="Z772" s="934"/>
    </row>
    <row r="773" spans="1:26" ht="16.5" customHeight="1">
      <c r="A773" s="1040"/>
      <c r="B773" s="1052" t="s">
        <v>1309</v>
      </c>
      <c r="C773" s="1051" t="e">
        <f>#REF!*70%</f>
        <v>#REF!</v>
      </c>
      <c r="D773" s="1050" t="s">
        <v>1310</v>
      </c>
      <c r="E773" s="1045" t="s">
        <v>1311</v>
      </c>
      <c r="F773" s="1040"/>
      <c r="G773" s="1040"/>
      <c r="H773" s="1040"/>
      <c r="I773" s="1040"/>
      <c r="J773" s="1040"/>
      <c r="K773" s="1023"/>
      <c r="L773" s="1023"/>
      <c r="M773" s="1023"/>
      <c r="N773" s="1023"/>
      <c r="O773" s="1023"/>
      <c r="P773" s="1023"/>
      <c r="Q773" s="1023"/>
      <c r="R773" s="1023"/>
      <c r="S773" s="1023"/>
      <c r="T773" s="934"/>
      <c r="U773" s="934"/>
      <c r="V773" s="934"/>
      <c r="W773" s="934"/>
      <c r="X773" s="934"/>
      <c r="Y773" s="934"/>
      <c r="Z773" s="934"/>
    </row>
    <row r="774" spans="1:26" ht="16.5" customHeight="1">
      <c r="A774" s="1040"/>
      <c r="B774" s="1047">
        <v>50000</v>
      </c>
      <c r="C774" s="1046">
        <v>210</v>
      </c>
      <c r="D774" s="1049"/>
      <c r="E774" s="1048" t="e">
        <f>C773-B774</f>
        <v>#REF!</v>
      </c>
      <c r="F774" s="1040"/>
      <c r="G774" s="1040"/>
      <c r="H774" s="1040"/>
      <c r="I774" s="1040"/>
      <c r="J774" s="1040"/>
      <c r="K774" s="1023"/>
      <c r="L774" s="1023"/>
      <c r="M774" s="1023"/>
      <c r="N774" s="1023"/>
      <c r="O774" s="1023"/>
      <c r="P774" s="1023"/>
      <c r="Q774" s="1023"/>
      <c r="R774" s="1023"/>
      <c r="S774" s="1023"/>
      <c r="T774" s="934"/>
      <c r="U774" s="934"/>
      <c r="V774" s="934"/>
      <c r="W774" s="934"/>
      <c r="X774" s="934"/>
      <c r="Y774" s="934"/>
      <c r="Z774" s="934"/>
    </row>
    <row r="775" spans="1:26" ht="16.5" customHeight="1">
      <c r="A775" s="1040"/>
      <c r="B775" s="1047">
        <v>100000</v>
      </c>
      <c r="C775" s="1046" t="e">
        <f>IF(E774&lt;0,0,IF(D775&lt;E774,D775*10/10000,E774*10/10000))</f>
        <v>#REF!</v>
      </c>
      <c r="D775" s="1046">
        <f t="shared" ref="D775:D780" si="76">B775-B774</f>
        <v>50000</v>
      </c>
      <c r="E775" s="1048" t="e">
        <f t="shared" ref="E775:E780" si="77">E774-B775</f>
        <v>#REF!</v>
      </c>
      <c r="F775" s="1040"/>
      <c r="G775" s="1040"/>
      <c r="H775" s="1040"/>
      <c r="I775" s="1040"/>
      <c r="J775" s="1040"/>
      <c r="K775" s="1023"/>
      <c r="L775" s="1023"/>
      <c r="M775" s="1023"/>
      <c r="N775" s="1023"/>
      <c r="O775" s="1023"/>
      <c r="P775" s="1023"/>
      <c r="Q775" s="1023"/>
      <c r="R775" s="1023"/>
      <c r="S775" s="1023"/>
      <c r="T775" s="934"/>
      <c r="U775" s="934"/>
      <c r="V775" s="934"/>
      <c r="W775" s="934"/>
      <c r="X775" s="934"/>
      <c r="Y775" s="934"/>
      <c r="Z775" s="934"/>
    </row>
    <row r="776" spans="1:26" ht="16.5" customHeight="1">
      <c r="A776" s="1040"/>
      <c r="B776" s="1047">
        <v>300000</v>
      </c>
      <c r="C776" s="1046" t="e">
        <f>IF(E775&lt;0,0,IF(D776&lt;E775,D776*9/10000,E775*9/10000))</f>
        <v>#REF!</v>
      </c>
      <c r="D776" s="1046">
        <f t="shared" si="76"/>
        <v>200000</v>
      </c>
      <c r="E776" s="1048" t="e">
        <f t="shared" si="77"/>
        <v>#REF!</v>
      </c>
      <c r="F776" s="1040"/>
      <c r="G776" s="1040"/>
      <c r="H776" s="1040"/>
      <c r="I776" s="1040"/>
      <c r="J776" s="1040"/>
      <c r="K776" s="1023"/>
      <c r="L776" s="1023"/>
      <c r="M776" s="1023"/>
      <c r="N776" s="1023"/>
      <c r="O776" s="1023"/>
      <c r="P776" s="1023"/>
      <c r="Q776" s="1023"/>
      <c r="R776" s="1023"/>
      <c r="S776" s="1023"/>
      <c r="T776" s="934"/>
      <c r="U776" s="934"/>
      <c r="V776" s="934"/>
      <c r="W776" s="934"/>
      <c r="X776" s="934"/>
      <c r="Y776" s="934"/>
      <c r="Z776" s="934"/>
    </row>
    <row r="777" spans="1:26" ht="16.5" customHeight="1">
      <c r="A777" s="1040"/>
      <c r="B777" s="1047">
        <v>500000</v>
      </c>
      <c r="C777" s="1046" t="e">
        <f>IF(E776&lt;0,0,IF(D777&lt;E776,D777*8/10000,E776*8/10000))</f>
        <v>#REF!</v>
      </c>
      <c r="D777" s="1046">
        <f t="shared" si="76"/>
        <v>200000</v>
      </c>
      <c r="E777" s="1048" t="e">
        <f t="shared" si="77"/>
        <v>#REF!</v>
      </c>
      <c r="F777" s="1040"/>
      <c r="G777" s="1040"/>
      <c r="H777" s="1040"/>
      <c r="I777" s="1040"/>
      <c r="J777" s="1040"/>
      <c r="K777" s="1023"/>
      <c r="L777" s="1023"/>
      <c r="M777" s="1023"/>
      <c r="N777" s="1023"/>
      <c r="O777" s="1023"/>
      <c r="P777" s="1023"/>
      <c r="Q777" s="1023"/>
      <c r="R777" s="1023"/>
      <c r="S777" s="1023"/>
      <c r="T777" s="934"/>
      <c r="U777" s="934"/>
      <c r="V777" s="934"/>
      <c r="W777" s="934"/>
      <c r="X777" s="934"/>
      <c r="Y777" s="934"/>
      <c r="Z777" s="934"/>
    </row>
    <row r="778" spans="1:26" ht="16.5" customHeight="1">
      <c r="A778" s="1040"/>
      <c r="B778" s="1047">
        <v>1000000</v>
      </c>
      <c r="C778" s="1046" t="e">
        <f>IF(E777&lt;0,0,IF(D778&lt;E777,D778*7/10000,E777*7/10000))</f>
        <v>#REF!</v>
      </c>
      <c r="D778" s="1046">
        <f t="shared" si="76"/>
        <v>500000</v>
      </c>
      <c r="E778" s="1048" t="e">
        <f t="shared" si="77"/>
        <v>#REF!</v>
      </c>
      <c r="F778" s="1040"/>
      <c r="G778" s="1040"/>
      <c r="H778" s="1040"/>
      <c r="I778" s="1040"/>
      <c r="J778" s="1040"/>
      <c r="K778" s="1023"/>
      <c r="L778" s="1023"/>
      <c r="M778" s="1023"/>
      <c r="N778" s="1023"/>
      <c r="O778" s="1023"/>
      <c r="P778" s="1023"/>
      <c r="Q778" s="1023"/>
      <c r="R778" s="1023"/>
      <c r="S778" s="1023"/>
      <c r="T778" s="934"/>
      <c r="U778" s="934"/>
      <c r="V778" s="934"/>
      <c r="W778" s="934"/>
      <c r="X778" s="934"/>
      <c r="Y778" s="934"/>
      <c r="Z778" s="934"/>
    </row>
    <row r="779" spans="1:26" ht="16.5" customHeight="1">
      <c r="A779" s="1040"/>
      <c r="B779" s="1047">
        <v>2000000</v>
      </c>
      <c r="C779" s="1046" t="e">
        <f>IF(E778&lt;0,0,IF(D779&lt;E778,D779*5/10000,E778*5/10000))</f>
        <v>#REF!</v>
      </c>
      <c r="D779" s="1046">
        <f t="shared" si="76"/>
        <v>1000000</v>
      </c>
      <c r="E779" s="1048" t="e">
        <f t="shared" si="77"/>
        <v>#REF!</v>
      </c>
      <c r="F779" s="1040"/>
      <c r="G779" s="1040"/>
      <c r="H779" s="1040"/>
      <c r="I779" s="1040"/>
      <c r="J779" s="1040"/>
      <c r="K779" s="1023"/>
      <c r="L779" s="1023"/>
      <c r="M779" s="1023"/>
      <c r="N779" s="1023"/>
      <c r="O779" s="1023"/>
      <c r="P779" s="1023"/>
      <c r="Q779" s="1023"/>
      <c r="R779" s="1023"/>
      <c r="S779" s="1023"/>
      <c r="T779" s="934"/>
      <c r="U779" s="934"/>
      <c r="V779" s="934"/>
      <c r="W779" s="934"/>
      <c r="X779" s="934"/>
      <c r="Y779" s="934"/>
      <c r="Z779" s="934"/>
    </row>
    <row r="780" spans="1:26" ht="16.5" customHeight="1">
      <c r="A780" s="1040"/>
      <c r="B780" s="1047">
        <v>20000000</v>
      </c>
      <c r="C780" s="1046" t="e">
        <f>IF(E779&lt;0,0,IF(D780&lt;E779,D780*4/10000,E779*4/10000))</f>
        <v>#REF!</v>
      </c>
      <c r="D780" s="1046">
        <f t="shared" si="76"/>
        <v>18000000</v>
      </c>
      <c r="E780" s="1048" t="e">
        <f t="shared" si="77"/>
        <v>#REF!</v>
      </c>
      <c r="F780" s="1040"/>
      <c r="G780" s="1040"/>
      <c r="H780" s="1040"/>
      <c r="I780" s="1040"/>
      <c r="J780" s="1040"/>
      <c r="K780" s="1023"/>
      <c r="L780" s="1023"/>
      <c r="M780" s="1023"/>
      <c r="N780" s="1023"/>
      <c r="O780" s="1023"/>
      <c r="P780" s="1023"/>
      <c r="Q780" s="1023"/>
      <c r="R780" s="1023"/>
      <c r="S780" s="1023"/>
      <c r="T780" s="934"/>
      <c r="U780" s="934"/>
      <c r="V780" s="934"/>
      <c r="W780" s="934"/>
      <c r="X780" s="934"/>
      <c r="Y780" s="934"/>
      <c r="Z780" s="934"/>
    </row>
    <row r="781" spans="1:26" ht="16.5" customHeight="1">
      <c r="A781" s="1040"/>
      <c r="B781" s="1047" t="s">
        <v>1312</v>
      </c>
      <c r="C781" s="1046"/>
      <c r="D781" s="1046"/>
      <c r="E781" s="1048"/>
      <c r="F781" s="1040"/>
      <c r="G781" s="1040"/>
      <c r="H781" s="1040"/>
      <c r="I781" s="1040"/>
      <c r="J781" s="1040"/>
      <c r="K781" s="1023"/>
      <c r="L781" s="1023"/>
      <c r="M781" s="1023"/>
      <c r="N781" s="1023"/>
      <c r="O781" s="1023"/>
      <c r="P781" s="1023"/>
      <c r="Q781" s="1023"/>
      <c r="R781" s="1023"/>
      <c r="S781" s="1023"/>
      <c r="T781" s="934"/>
      <c r="U781" s="934"/>
      <c r="V781" s="934"/>
      <c r="W781" s="934"/>
      <c r="X781" s="934"/>
      <c r="Y781" s="934"/>
      <c r="Z781" s="934"/>
    </row>
    <row r="782" spans="1:26" ht="16.5" customHeight="1">
      <c r="A782" s="1040"/>
      <c r="B782" s="1047" t="s">
        <v>1313</v>
      </c>
      <c r="C782" s="1046" t="e">
        <f>ROUND(IF(C773&gt;20000000,8650+(C773-20000000)/10000,SUM(C774:C780)),0)</f>
        <v>#REF!</v>
      </c>
      <c r="D782" s="1040"/>
      <c r="E782" s="1045"/>
      <c r="F782" s="1040"/>
      <c r="G782" s="1040"/>
      <c r="H782" s="1040"/>
      <c r="I782" s="1040"/>
      <c r="J782" s="1040"/>
      <c r="K782" s="1023"/>
      <c r="L782" s="1023"/>
      <c r="M782" s="1023"/>
      <c r="N782" s="1023"/>
      <c r="O782" s="1023"/>
      <c r="P782" s="1023"/>
      <c r="Q782" s="1023"/>
      <c r="R782" s="1023"/>
      <c r="S782" s="1023"/>
      <c r="T782" s="934"/>
      <c r="U782" s="934"/>
      <c r="V782" s="934"/>
      <c r="W782" s="934"/>
      <c r="X782" s="934"/>
      <c r="Y782" s="934"/>
      <c r="Z782" s="934"/>
    </row>
    <row r="783" spans="1:26" ht="16.5" customHeight="1">
      <c r="A783" s="1040"/>
      <c r="B783" s="1047" t="s">
        <v>1314</v>
      </c>
      <c r="C783" s="936" t="e">
        <f>IF(C773&lt;=10000,20,IF(C773&lt;=300000,40,IF(C773&lt;=500000,70,IF(C773&lt;=1000000,150,350))))</f>
        <v>#REF!</v>
      </c>
      <c r="D783" s="1040"/>
      <c r="E783" s="1045"/>
      <c r="F783" s="1040"/>
      <c r="G783" s="1040"/>
      <c r="H783" s="1040"/>
      <c r="I783" s="1040"/>
      <c r="J783" s="1040"/>
      <c r="K783" s="1023"/>
      <c r="L783" s="1023"/>
      <c r="M783" s="1023"/>
      <c r="N783" s="1023"/>
      <c r="O783" s="1023"/>
      <c r="P783" s="1023"/>
      <c r="Q783" s="1023"/>
      <c r="R783" s="1023"/>
      <c r="S783" s="1023"/>
      <c r="T783" s="934"/>
      <c r="U783" s="934"/>
      <c r="V783" s="934"/>
      <c r="W783" s="934"/>
      <c r="X783" s="934"/>
      <c r="Y783" s="934"/>
      <c r="Z783" s="934"/>
    </row>
    <row r="784" spans="1:26" ht="16.5" customHeight="1">
      <c r="A784" s="1040"/>
      <c r="B784" s="1047" t="s">
        <v>1316</v>
      </c>
      <c r="C784" s="1046">
        <v>18</v>
      </c>
      <c r="D784" s="1040"/>
      <c r="E784" s="1045"/>
      <c r="F784" s="1040"/>
      <c r="G784" s="1040"/>
      <c r="H784" s="1040"/>
      <c r="I784" s="1040"/>
      <c r="J784" s="1040"/>
      <c r="K784" s="1023"/>
      <c r="L784" s="1023"/>
      <c r="M784" s="1023"/>
      <c r="N784" s="1023"/>
      <c r="O784" s="1023"/>
      <c r="P784" s="1023"/>
      <c r="Q784" s="1023"/>
      <c r="R784" s="1023"/>
      <c r="S784" s="1023"/>
      <c r="T784" s="934"/>
      <c r="U784" s="934"/>
      <c r="V784" s="934"/>
      <c r="W784" s="934"/>
      <c r="X784" s="934"/>
      <c r="Y784" s="934"/>
      <c r="Z784" s="934"/>
    </row>
    <row r="785" spans="1:26" ht="16.5" customHeight="1" thickBot="1">
      <c r="A785" s="1040"/>
      <c r="B785" s="1044" t="s">
        <v>1317</v>
      </c>
      <c r="C785" s="1043" t="e">
        <f>IF(C773=0,0,SUM(C782:C784))</f>
        <v>#REF!</v>
      </c>
      <c r="D785" s="1042"/>
      <c r="E785" s="1041"/>
      <c r="F785" s="1040"/>
      <c r="G785" s="1040"/>
      <c r="H785" s="1040"/>
      <c r="I785" s="1040"/>
      <c r="J785" s="1040"/>
      <c r="K785" s="1023"/>
      <c r="L785" s="1023"/>
      <c r="M785" s="1023"/>
      <c r="N785" s="1023"/>
      <c r="O785" s="1023"/>
      <c r="P785" s="1023"/>
      <c r="Q785" s="1023"/>
      <c r="R785" s="1023"/>
      <c r="S785" s="1023"/>
      <c r="T785" s="934"/>
      <c r="U785" s="934"/>
      <c r="V785" s="934"/>
      <c r="W785" s="934"/>
      <c r="X785" s="934"/>
      <c r="Y785" s="934"/>
      <c r="Z785" s="934"/>
    </row>
    <row r="786" spans="1:26" ht="16.5" customHeight="1">
      <c r="A786" s="1040"/>
      <c r="B786" s="1057" t="s">
        <v>1308</v>
      </c>
      <c r="C786" s="1056"/>
      <c r="D786" s="1055"/>
      <c r="E786" s="1054"/>
      <c r="F786" s="1040"/>
      <c r="G786" s="1040"/>
      <c r="H786" s="1040"/>
      <c r="I786" s="1040"/>
      <c r="J786" s="1040"/>
      <c r="K786" s="1023"/>
      <c r="L786" s="1023"/>
      <c r="M786" s="1023"/>
      <c r="N786" s="1023"/>
      <c r="O786" s="1023"/>
      <c r="P786" s="1023"/>
      <c r="Q786" s="1023"/>
      <c r="R786" s="1023"/>
      <c r="S786" s="1023"/>
      <c r="T786" s="934"/>
      <c r="U786" s="934"/>
      <c r="V786" s="934"/>
      <c r="W786" s="934"/>
      <c r="X786" s="934"/>
      <c r="Y786" s="934"/>
      <c r="Z786" s="934"/>
    </row>
    <row r="787" spans="1:26" ht="16.5" customHeight="1">
      <c r="A787" s="1040"/>
      <c r="B787" s="1053"/>
      <c r="C787" s="1046"/>
      <c r="D787" s="1040"/>
      <c r="E787" s="1045"/>
      <c r="F787" s="1040"/>
      <c r="G787" s="1040"/>
      <c r="H787" s="1040"/>
      <c r="I787" s="1040"/>
      <c r="J787" s="1040"/>
      <c r="K787" s="1023"/>
      <c r="L787" s="1023"/>
      <c r="M787" s="1023"/>
      <c r="N787" s="1023"/>
      <c r="O787" s="1023"/>
      <c r="P787" s="1023"/>
      <c r="Q787" s="1023"/>
      <c r="R787" s="1023"/>
      <c r="S787" s="1023"/>
      <c r="T787" s="934"/>
      <c r="U787" s="934"/>
      <c r="V787" s="934"/>
      <c r="W787" s="934"/>
      <c r="X787" s="934"/>
      <c r="Y787" s="934"/>
      <c r="Z787" s="934"/>
    </row>
    <row r="788" spans="1:26" ht="16.5" customHeight="1">
      <c r="A788" s="1040"/>
      <c r="B788" s="1052" t="s">
        <v>1309</v>
      </c>
      <c r="C788" s="1051" t="e">
        <f>#REF!*70%</f>
        <v>#REF!</v>
      </c>
      <c r="D788" s="1050" t="s">
        <v>1310</v>
      </c>
      <c r="E788" s="1045" t="s">
        <v>1311</v>
      </c>
      <c r="F788" s="1040"/>
      <c r="G788" s="1040"/>
      <c r="H788" s="1040"/>
      <c r="I788" s="1040"/>
      <c r="J788" s="1040"/>
      <c r="K788" s="1023"/>
      <c r="L788" s="1023"/>
      <c r="M788" s="1023"/>
      <c r="N788" s="1023"/>
      <c r="O788" s="1023"/>
      <c r="P788" s="1023"/>
      <c r="Q788" s="1023"/>
      <c r="R788" s="1023"/>
      <c r="S788" s="1023"/>
      <c r="T788" s="934"/>
      <c r="U788" s="934"/>
      <c r="V788" s="934"/>
      <c r="W788" s="934"/>
      <c r="X788" s="934"/>
      <c r="Y788" s="934"/>
      <c r="Z788" s="934"/>
    </row>
    <row r="789" spans="1:26" ht="16.5" customHeight="1">
      <c r="A789" s="1040"/>
      <c r="B789" s="1047">
        <v>50000</v>
      </c>
      <c r="C789" s="1046">
        <v>210</v>
      </c>
      <c r="D789" s="1049"/>
      <c r="E789" s="1048" t="e">
        <f>C788-B789</f>
        <v>#REF!</v>
      </c>
      <c r="F789" s="1040"/>
      <c r="G789" s="1040"/>
      <c r="H789" s="1040"/>
      <c r="I789" s="1040"/>
      <c r="J789" s="1040"/>
      <c r="K789" s="1023"/>
      <c r="L789" s="1023"/>
      <c r="M789" s="1023"/>
      <c r="N789" s="1023"/>
      <c r="O789" s="1023"/>
      <c r="P789" s="1023"/>
      <c r="Q789" s="1023"/>
      <c r="R789" s="1023"/>
      <c r="S789" s="1023"/>
      <c r="T789" s="934"/>
      <c r="U789" s="934"/>
      <c r="V789" s="934"/>
      <c r="W789" s="934"/>
      <c r="X789" s="934"/>
      <c r="Y789" s="934"/>
      <c r="Z789" s="934"/>
    </row>
    <row r="790" spans="1:26" ht="16.5" customHeight="1">
      <c r="A790" s="1040"/>
      <c r="B790" s="1047">
        <v>100000</v>
      </c>
      <c r="C790" s="1046" t="e">
        <f>IF(E789&lt;0,0,IF(D790&lt;E789,D790*10/10000,E789*10/10000))</f>
        <v>#REF!</v>
      </c>
      <c r="D790" s="1046">
        <f t="shared" ref="D790:D795" si="78">B790-B789</f>
        <v>50000</v>
      </c>
      <c r="E790" s="1048" t="e">
        <f t="shared" ref="E790:E795" si="79">E789-B790</f>
        <v>#REF!</v>
      </c>
      <c r="F790" s="1040"/>
      <c r="G790" s="1040"/>
      <c r="H790" s="1040"/>
      <c r="I790" s="1040"/>
      <c r="J790" s="1040"/>
      <c r="K790" s="1023"/>
      <c r="L790" s="1023"/>
      <c r="M790" s="1023"/>
      <c r="N790" s="1023"/>
      <c r="O790" s="1023"/>
      <c r="P790" s="1023"/>
      <c r="Q790" s="1023"/>
      <c r="R790" s="1023"/>
      <c r="S790" s="1023"/>
      <c r="T790" s="934"/>
      <c r="U790" s="934"/>
      <c r="V790" s="934"/>
      <c r="W790" s="934"/>
      <c r="X790" s="934"/>
      <c r="Y790" s="934"/>
      <c r="Z790" s="934"/>
    </row>
    <row r="791" spans="1:26" ht="16.5" customHeight="1">
      <c r="A791" s="1040"/>
      <c r="B791" s="1047">
        <v>300000</v>
      </c>
      <c r="C791" s="1046" t="e">
        <f>IF(E790&lt;0,0,IF(D791&lt;E790,D791*9/10000,E790*9/10000))</f>
        <v>#REF!</v>
      </c>
      <c r="D791" s="1046">
        <f t="shared" si="78"/>
        <v>200000</v>
      </c>
      <c r="E791" s="1048" t="e">
        <f t="shared" si="79"/>
        <v>#REF!</v>
      </c>
      <c r="F791" s="1040"/>
      <c r="G791" s="1040"/>
      <c r="H791" s="1040"/>
      <c r="I791" s="1040"/>
      <c r="J791" s="1040"/>
      <c r="K791" s="1023"/>
      <c r="L791" s="1023"/>
      <c r="M791" s="1023"/>
      <c r="N791" s="1023"/>
      <c r="O791" s="1023"/>
      <c r="P791" s="1023"/>
      <c r="Q791" s="1023"/>
      <c r="R791" s="1023"/>
      <c r="S791" s="1023"/>
      <c r="T791" s="934"/>
      <c r="U791" s="934"/>
      <c r="V791" s="934"/>
      <c r="W791" s="934"/>
      <c r="X791" s="934"/>
      <c r="Y791" s="934"/>
      <c r="Z791" s="934"/>
    </row>
    <row r="792" spans="1:26" ht="16.5" customHeight="1">
      <c r="A792" s="1040"/>
      <c r="B792" s="1047">
        <v>500000</v>
      </c>
      <c r="C792" s="1046" t="e">
        <f>IF(E791&lt;0,0,IF(D792&lt;E791,D792*8/10000,E791*8/10000))</f>
        <v>#REF!</v>
      </c>
      <c r="D792" s="1046">
        <f t="shared" si="78"/>
        <v>200000</v>
      </c>
      <c r="E792" s="1048" t="e">
        <f t="shared" si="79"/>
        <v>#REF!</v>
      </c>
      <c r="F792" s="1040"/>
      <c r="G792" s="1040"/>
      <c r="H792" s="1040"/>
      <c r="I792" s="1040"/>
      <c r="J792" s="1040"/>
      <c r="K792" s="1023"/>
      <c r="L792" s="1023"/>
      <c r="M792" s="1023"/>
      <c r="N792" s="1023"/>
      <c r="O792" s="1023"/>
      <c r="P792" s="1023"/>
      <c r="Q792" s="1023"/>
      <c r="R792" s="1023"/>
      <c r="S792" s="1023"/>
      <c r="T792" s="934"/>
      <c r="U792" s="934"/>
      <c r="V792" s="934"/>
      <c r="W792" s="934"/>
      <c r="X792" s="934"/>
      <c r="Y792" s="934"/>
      <c r="Z792" s="934"/>
    </row>
    <row r="793" spans="1:26" ht="16.5" customHeight="1">
      <c r="A793" s="1040"/>
      <c r="B793" s="1047">
        <v>1000000</v>
      </c>
      <c r="C793" s="1046" t="e">
        <f>IF(E792&lt;0,0,IF(D793&lt;E792,D793*7/10000,E792*7/10000))</f>
        <v>#REF!</v>
      </c>
      <c r="D793" s="1046">
        <f t="shared" si="78"/>
        <v>500000</v>
      </c>
      <c r="E793" s="1048" t="e">
        <f t="shared" si="79"/>
        <v>#REF!</v>
      </c>
      <c r="F793" s="1040"/>
      <c r="G793" s="1040"/>
      <c r="H793" s="1040"/>
      <c r="I793" s="1040"/>
      <c r="J793" s="1040"/>
      <c r="K793" s="1023"/>
      <c r="L793" s="1023"/>
      <c r="M793" s="1023"/>
      <c r="N793" s="1023"/>
      <c r="O793" s="1023"/>
      <c r="P793" s="1023"/>
      <c r="Q793" s="1023"/>
      <c r="R793" s="1023"/>
      <c r="S793" s="1023"/>
      <c r="T793" s="934"/>
      <c r="U793" s="934"/>
      <c r="V793" s="934"/>
      <c r="W793" s="934"/>
      <c r="X793" s="934"/>
      <c r="Y793" s="934"/>
      <c r="Z793" s="934"/>
    </row>
    <row r="794" spans="1:26" ht="16.5" customHeight="1">
      <c r="A794" s="1040"/>
      <c r="B794" s="1047">
        <v>2000000</v>
      </c>
      <c r="C794" s="1046" t="e">
        <f>IF(E793&lt;0,0,IF(D794&lt;E793,D794*5/10000,E793*5/10000))</f>
        <v>#REF!</v>
      </c>
      <c r="D794" s="1046">
        <f t="shared" si="78"/>
        <v>1000000</v>
      </c>
      <c r="E794" s="1048" t="e">
        <f t="shared" si="79"/>
        <v>#REF!</v>
      </c>
      <c r="F794" s="1040"/>
      <c r="G794" s="1040"/>
      <c r="H794" s="1040"/>
      <c r="I794" s="1040"/>
      <c r="J794" s="1040"/>
      <c r="K794" s="1023"/>
      <c r="L794" s="1023"/>
      <c r="M794" s="1023"/>
      <c r="N794" s="1023"/>
      <c r="O794" s="1023"/>
      <c r="P794" s="1023"/>
      <c r="Q794" s="1023"/>
      <c r="R794" s="1023"/>
      <c r="S794" s="1023"/>
      <c r="T794" s="934"/>
      <c r="U794" s="934"/>
      <c r="V794" s="934"/>
      <c r="W794" s="934"/>
      <c r="X794" s="934"/>
      <c r="Y794" s="934"/>
      <c r="Z794" s="934"/>
    </row>
    <row r="795" spans="1:26" ht="16.5" customHeight="1">
      <c r="A795" s="1040"/>
      <c r="B795" s="1047">
        <v>20000000</v>
      </c>
      <c r="C795" s="1046" t="e">
        <f>IF(E794&lt;0,0,IF(D795&lt;E794,D795*4/10000,E794*4/10000))</f>
        <v>#REF!</v>
      </c>
      <c r="D795" s="1046">
        <f t="shared" si="78"/>
        <v>18000000</v>
      </c>
      <c r="E795" s="1048" t="e">
        <f t="shared" si="79"/>
        <v>#REF!</v>
      </c>
      <c r="F795" s="1040"/>
      <c r="G795" s="1040"/>
      <c r="H795" s="1040"/>
      <c r="I795" s="1040"/>
      <c r="J795" s="1040"/>
      <c r="K795" s="1023"/>
      <c r="L795" s="1023"/>
      <c r="M795" s="1023"/>
      <c r="N795" s="1023"/>
      <c r="O795" s="1023"/>
      <c r="P795" s="1023"/>
      <c r="Q795" s="1023"/>
      <c r="R795" s="1023"/>
      <c r="S795" s="1023"/>
      <c r="T795" s="934"/>
      <c r="U795" s="934"/>
      <c r="V795" s="934"/>
      <c r="W795" s="934"/>
      <c r="X795" s="934"/>
      <c r="Y795" s="934"/>
      <c r="Z795" s="934"/>
    </row>
    <row r="796" spans="1:26" ht="16.5" customHeight="1">
      <c r="A796" s="1040"/>
      <c r="B796" s="1047" t="s">
        <v>1312</v>
      </c>
      <c r="C796" s="1046"/>
      <c r="D796" s="1046"/>
      <c r="E796" s="1048"/>
      <c r="F796" s="1040"/>
      <c r="G796" s="1040"/>
      <c r="H796" s="1040"/>
      <c r="I796" s="1040"/>
      <c r="J796" s="1040"/>
      <c r="K796" s="1023"/>
      <c r="L796" s="1023"/>
      <c r="M796" s="1023"/>
      <c r="N796" s="1023"/>
      <c r="O796" s="1023"/>
      <c r="P796" s="1023"/>
      <c r="Q796" s="1023"/>
      <c r="R796" s="1023"/>
      <c r="S796" s="1023"/>
      <c r="T796" s="934"/>
      <c r="U796" s="934"/>
      <c r="V796" s="934"/>
      <c r="W796" s="934"/>
      <c r="X796" s="934"/>
      <c r="Y796" s="934"/>
      <c r="Z796" s="934"/>
    </row>
    <row r="797" spans="1:26" ht="16.5" customHeight="1">
      <c r="A797" s="1040"/>
      <c r="B797" s="1047" t="s">
        <v>1313</v>
      </c>
      <c r="C797" s="1046" t="e">
        <f>ROUND(IF(C788&gt;20000000,8650+(C788-20000000)/10000,SUM(C789:C795)),0)</f>
        <v>#REF!</v>
      </c>
      <c r="D797" s="1040"/>
      <c r="E797" s="1045"/>
      <c r="F797" s="1040"/>
      <c r="G797" s="1040"/>
      <c r="H797" s="1040"/>
      <c r="I797" s="1040"/>
      <c r="J797" s="1040"/>
      <c r="K797" s="1023"/>
      <c r="L797" s="1023"/>
      <c r="M797" s="1023"/>
      <c r="N797" s="1023"/>
      <c r="O797" s="1023"/>
      <c r="P797" s="1023"/>
      <c r="Q797" s="1023"/>
      <c r="R797" s="1023"/>
      <c r="S797" s="1023"/>
      <c r="T797" s="934"/>
      <c r="U797" s="934"/>
      <c r="V797" s="934"/>
      <c r="W797" s="934"/>
      <c r="X797" s="934"/>
      <c r="Y797" s="934"/>
      <c r="Z797" s="934"/>
    </row>
    <row r="798" spans="1:26" ht="16.5" customHeight="1">
      <c r="A798" s="1040"/>
      <c r="B798" s="1047" t="s">
        <v>1314</v>
      </c>
      <c r="C798" s="936" t="e">
        <f>IF(C788&lt;=10000,20,IF(C788&lt;=300000,40,IF(C788&lt;=500000,70,IF(C788&lt;=1000000,150,350))))</f>
        <v>#REF!</v>
      </c>
      <c r="D798" s="1040"/>
      <c r="E798" s="1045"/>
      <c r="F798" s="1040"/>
      <c r="G798" s="1040"/>
      <c r="H798" s="1040"/>
      <c r="I798" s="1040"/>
      <c r="J798" s="1040"/>
      <c r="K798" s="1023"/>
      <c r="L798" s="1023"/>
      <c r="M798" s="1023"/>
      <c r="N798" s="1023"/>
      <c r="O798" s="1023"/>
      <c r="P798" s="1023"/>
      <c r="Q798" s="1023"/>
      <c r="R798" s="1023"/>
      <c r="S798" s="1023"/>
      <c r="T798" s="934"/>
      <c r="U798" s="934"/>
      <c r="V798" s="934"/>
      <c r="W798" s="934"/>
      <c r="X798" s="934"/>
      <c r="Y798" s="934"/>
      <c r="Z798" s="934"/>
    </row>
    <row r="799" spans="1:26" ht="16.5" customHeight="1">
      <c r="A799" s="1040"/>
      <c r="B799" s="1047" t="s">
        <v>1316</v>
      </c>
      <c r="C799" s="1046">
        <v>18</v>
      </c>
      <c r="D799" s="1040"/>
      <c r="E799" s="1045"/>
      <c r="F799" s="1040"/>
      <c r="G799" s="1040"/>
      <c r="H799" s="1040"/>
      <c r="I799" s="1040"/>
      <c r="J799" s="1040"/>
      <c r="K799" s="1023"/>
      <c r="L799" s="1023"/>
      <c r="M799" s="1023"/>
      <c r="N799" s="1023"/>
      <c r="O799" s="1023"/>
      <c r="P799" s="1023"/>
      <c r="Q799" s="1023"/>
      <c r="R799" s="1023"/>
      <c r="S799" s="1023"/>
      <c r="T799" s="934"/>
      <c r="U799" s="934"/>
      <c r="V799" s="934"/>
      <c r="W799" s="934"/>
      <c r="X799" s="934"/>
      <c r="Y799" s="934"/>
      <c r="Z799" s="934"/>
    </row>
    <row r="800" spans="1:26" ht="16.5" customHeight="1" thickBot="1">
      <c r="A800" s="1040"/>
      <c r="B800" s="1044" t="s">
        <v>1317</v>
      </c>
      <c r="C800" s="1043" t="e">
        <f>IF(C788=0,0,SUM(C797:C799))</f>
        <v>#REF!</v>
      </c>
      <c r="D800" s="1042"/>
      <c r="E800" s="1041"/>
      <c r="F800" s="1040"/>
      <c r="G800" s="1040"/>
      <c r="H800" s="1040"/>
      <c r="I800" s="1040"/>
      <c r="J800" s="1040"/>
      <c r="K800" s="1023"/>
      <c r="L800" s="1023"/>
      <c r="M800" s="1023"/>
      <c r="N800" s="1023"/>
      <c r="O800" s="1023"/>
      <c r="P800" s="1023"/>
      <c r="Q800" s="1023"/>
      <c r="R800" s="1023"/>
      <c r="S800" s="1023"/>
      <c r="T800" s="934"/>
      <c r="U800" s="934"/>
      <c r="V800" s="934"/>
      <c r="W800" s="934"/>
      <c r="X800" s="934"/>
      <c r="Y800" s="934"/>
      <c r="Z800" s="934"/>
    </row>
    <row r="801" spans="1:26" ht="16.5" customHeight="1">
      <c r="A801" s="1040"/>
      <c r="B801" s="1057" t="s">
        <v>1308</v>
      </c>
      <c r="C801" s="1056"/>
      <c r="D801" s="1055"/>
      <c r="E801" s="1054"/>
      <c r="F801" s="1040"/>
      <c r="G801" s="1040"/>
      <c r="H801" s="1040"/>
      <c r="I801" s="1040"/>
      <c r="J801" s="1040"/>
      <c r="K801" s="1023"/>
      <c r="L801" s="1023"/>
      <c r="M801" s="1023"/>
      <c r="N801" s="1023"/>
      <c r="O801" s="1023"/>
      <c r="P801" s="1023"/>
      <c r="Q801" s="1023"/>
      <c r="R801" s="1023"/>
      <c r="S801" s="1023"/>
      <c r="T801" s="934"/>
      <c r="U801" s="934"/>
      <c r="V801" s="934"/>
      <c r="W801" s="934"/>
      <c r="X801" s="934"/>
      <c r="Y801" s="934"/>
      <c r="Z801" s="934"/>
    </row>
    <row r="802" spans="1:26" ht="16.5" customHeight="1">
      <c r="A802" s="1040"/>
      <c r="B802" s="1053"/>
      <c r="C802" s="1046"/>
      <c r="D802" s="1040"/>
      <c r="E802" s="1045"/>
      <c r="F802" s="1040"/>
      <c r="G802" s="1040"/>
      <c r="H802" s="1040"/>
      <c r="I802" s="1040"/>
      <c r="J802" s="1040"/>
      <c r="K802" s="1023"/>
      <c r="L802" s="1023"/>
      <c r="M802" s="1023"/>
      <c r="N802" s="1023"/>
      <c r="O802" s="1023"/>
      <c r="P802" s="1023"/>
      <c r="Q802" s="1023"/>
      <c r="R802" s="1023"/>
      <c r="S802" s="1023"/>
      <c r="T802" s="934"/>
      <c r="U802" s="934"/>
      <c r="V802" s="934"/>
      <c r="W802" s="934"/>
      <c r="X802" s="934"/>
      <c r="Y802" s="934"/>
      <c r="Z802" s="934"/>
    </row>
    <row r="803" spans="1:26" ht="16.5" customHeight="1">
      <c r="A803" s="1040"/>
      <c r="B803" s="1052" t="s">
        <v>1309</v>
      </c>
      <c r="C803" s="1051" t="e">
        <f>#REF!*70%</f>
        <v>#REF!</v>
      </c>
      <c r="D803" s="1050" t="s">
        <v>1310</v>
      </c>
      <c r="E803" s="1045" t="s">
        <v>1311</v>
      </c>
      <c r="F803" s="1040"/>
      <c r="G803" s="1040"/>
      <c r="H803" s="1040"/>
      <c r="I803" s="1040"/>
      <c r="J803" s="1040"/>
      <c r="K803" s="1023"/>
      <c r="L803" s="1023"/>
      <c r="M803" s="1023"/>
      <c r="N803" s="1023"/>
      <c r="O803" s="1023"/>
      <c r="P803" s="1023"/>
      <c r="Q803" s="1023"/>
      <c r="R803" s="1023"/>
      <c r="S803" s="1023"/>
      <c r="T803" s="934"/>
      <c r="U803" s="934"/>
      <c r="V803" s="934"/>
      <c r="W803" s="934"/>
      <c r="X803" s="934"/>
      <c r="Y803" s="934"/>
      <c r="Z803" s="934"/>
    </row>
    <row r="804" spans="1:26" ht="16.5" customHeight="1">
      <c r="A804" s="1040"/>
      <c r="B804" s="1047">
        <v>50000</v>
      </c>
      <c r="C804" s="1046">
        <v>210</v>
      </c>
      <c r="D804" s="1049"/>
      <c r="E804" s="1048" t="e">
        <f>C803-B804</f>
        <v>#REF!</v>
      </c>
      <c r="F804" s="1040"/>
      <c r="G804" s="1040"/>
      <c r="H804" s="1040"/>
      <c r="I804" s="1040"/>
      <c r="J804" s="1040"/>
      <c r="K804" s="1023"/>
      <c r="L804" s="1023"/>
      <c r="M804" s="1023"/>
      <c r="N804" s="1023"/>
      <c r="O804" s="1023"/>
      <c r="P804" s="1023"/>
      <c r="Q804" s="1023"/>
      <c r="R804" s="1023"/>
      <c r="S804" s="1023"/>
      <c r="T804" s="934"/>
      <c r="U804" s="934"/>
      <c r="V804" s="934"/>
      <c r="W804" s="934"/>
      <c r="X804" s="934"/>
      <c r="Y804" s="934"/>
      <c r="Z804" s="934"/>
    </row>
    <row r="805" spans="1:26" ht="16.5" customHeight="1">
      <c r="A805" s="1040"/>
      <c r="B805" s="1047">
        <v>100000</v>
      </c>
      <c r="C805" s="1046" t="e">
        <f>IF(E804&lt;0,0,IF(D805&lt;E804,D805*10/10000,E804*10/10000))</f>
        <v>#REF!</v>
      </c>
      <c r="D805" s="1046">
        <f t="shared" ref="D805:D810" si="80">B805-B804</f>
        <v>50000</v>
      </c>
      <c r="E805" s="1048" t="e">
        <f t="shared" ref="E805:E810" si="81">E804-B805</f>
        <v>#REF!</v>
      </c>
      <c r="F805" s="1040"/>
      <c r="G805" s="1040"/>
      <c r="H805" s="1040"/>
      <c r="I805" s="1040"/>
      <c r="J805" s="1040"/>
      <c r="K805" s="1023"/>
      <c r="L805" s="1023"/>
      <c r="M805" s="1023"/>
      <c r="N805" s="1023"/>
      <c r="O805" s="1023"/>
      <c r="P805" s="1023"/>
      <c r="Q805" s="1023"/>
      <c r="R805" s="1023"/>
      <c r="S805" s="1023"/>
      <c r="T805" s="934"/>
      <c r="U805" s="934"/>
      <c r="V805" s="934"/>
      <c r="W805" s="934"/>
      <c r="X805" s="934"/>
      <c r="Y805" s="934"/>
      <c r="Z805" s="934"/>
    </row>
    <row r="806" spans="1:26" ht="16.5" customHeight="1">
      <c r="A806" s="1040"/>
      <c r="B806" s="1047">
        <v>300000</v>
      </c>
      <c r="C806" s="1046" t="e">
        <f>IF(E805&lt;0,0,IF(D806&lt;E805,D806*9/10000,E805*9/10000))</f>
        <v>#REF!</v>
      </c>
      <c r="D806" s="1046">
        <f t="shared" si="80"/>
        <v>200000</v>
      </c>
      <c r="E806" s="1048" t="e">
        <f t="shared" si="81"/>
        <v>#REF!</v>
      </c>
      <c r="F806" s="1040"/>
      <c r="G806" s="1040"/>
      <c r="H806" s="1040"/>
      <c r="I806" s="1040"/>
      <c r="J806" s="1040"/>
      <c r="K806" s="1023"/>
      <c r="L806" s="1023"/>
      <c r="M806" s="1023"/>
      <c r="N806" s="1023"/>
      <c r="O806" s="1023"/>
      <c r="P806" s="1023"/>
      <c r="Q806" s="1023"/>
      <c r="R806" s="1023"/>
      <c r="S806" s="1023"/>
      <c r="T806" s="934"/>
      <c r="U806" s="934"/>
      <c r="V806" s="934"/>
      <c r="W806" s="934"/>
      <c r="X806" s="934"/>
      <c r="Y806" s="934"/>
      <c r="Z806" s="934"/>
    </row>
    <row r="807" spans="1:26" ht="16.5" customHeight="1">
      <c r="A807" s="1040"/>
      <c r="B807" s="1047">
        <v>500000</v>
      </c>
      <c r="C807" s="1046" t="e">
        <f>IF(E806&lt;0,0,IF(D807&lt;E806,D807*8/10000,E806*8/10000))</f>
        <v>#REF!</v>
      </c>
      <c r="D807" s="1046">
        <f t="shared" si="80"/>
        <v>200000</v>
      </c>
      <c r="E807" s="1048" t="e">
        <f t="shared" si="81"/>
        <v>#REF!</v>
      </c>
      <c r="F807" s="1040"/>
      <c r="G807" s="1040"/>
      <c r="H807" s="1040"/>
      <c r="I807" s="1040"/>
      <c r="J807" s="1040"/>
      <c r="K807" s="1023"/>
      <c r="L807" s="1023"/>
      <c r="M807" s="1023"/>
      <c r="N807" s="1023"/>
      <c r="O807" s="1023"/>
      <c r="P807" s="1023"/>
      <c r="Q807" s="1023"/>
      <c r="R807" s="1023"/>
      <c r="S807" s="1023"/>
      <c r="T807" s="934"/>
      <c r="U807" s="934"/>
      <c r="V807" s="934"/>
      <c r="W807" s="934"/>
      <c r="X807" s="934"/>
      <c r="Y807" s="934"/>
      <c r="Z807" s="934"/>
    </row>
    <row r="808" spans="1:26" ht="16.5" customHeight="1">
      <c r="A808" s="1040"/>
      <c r="B808" s="1047">
        <v>1000000</v>
      </c>
      <c r="C808" s="1046" t="e">
        <f>IF(E807&lt;0,0,IF(D808&lt;E807,D808*7/10000,E807*7/10000))</f>
        <v>#REF!</v>
      </c>
      <c r="D808" s="1046">
        <f t="shared" si="80"/>
        <v>500000</v>
      </c>
      <c r="E808" s="1048" t="e">
        <f t="shared" si="81"/>
        <v>#REF!</v>
      </c>
      <c r="F808" s="1040"/>
      <c r="G808" s="1040"/>
      <c r="H808" s="1040"/>
      <c r="I808" s="1040"/>
      <c r="J808" s="1040"/>
      <c r="K808" s="1023"/>
      <c r="L808" s="1023"/>
      <c r="M808" s="1023"/>
      <c r="N808" s="1023"/>
      <c r="O808" s="1023"/>
      <c r="P808" s="1023"/>
      <c r="Q808" s="1023"/>
      <c r="R808" s="1023"/>
      <c r="S808" s="1023"/>
      <c r="T808" s="934"/>
      <c r="U808" s="934"/>
      <c r="V808" s="934"/>
      <c r="W808" s="934"/>
      <c r="X808" s="934"/>
      <c r="Y808" s="934"/>
      <c r="Z808" s="934"/>
    </row>
    <row r="809" spans="1:26" ht="16.5" customHeight="1">
      <c r="A809" s="1040"/>
      <c r="B809" s="1047">
        <v>2000000</v>
      </c>
      <c r="C809" s="1046" t="e">
        <f>IF(E808&lt;0,0,IF(D809&lt;E808,D809*5/10000,E808*5/10000))</f>
        <v>#REF!</v>
      </c>
      <c r="D809" s="1046">
        <f t="shared" si="80"/>
        <v>1000000</v>
      </c>
      <c r="E809" s="1048" t="e">
        <f t="shared" si="81"/>
        <v>#REF!</v>
      </c>
      <c r="F809" s="1040"/>
      <c r="G809" s="1040"/>
      <c r="H809" s="1040"/>
      <c r="I809" s="1040"/>
      <c r="J809" s="1040"/>
      <c r="K809" s="1023"/>
      <c r="L809" s="1023"/>
      <c r="M809" s="1023"/>
      <c r="N809" s="1023"/>
      <c r="O809" s="1023"/>
      <c r="P809" s="1023"/>
      <c r="Q809" s="1023"/>
      <c r="R809" s="1023"/>
      <c r="S809" s="1023"/>
      <c r="T809" s="934"/>
      <c r="U809" s="934"/>
      <c r="V809" s="934"/>
      <c r="W809" s="934"/>
      <c r="X809" s="934"/>
      <c r="Y809" s="934"/>
      <c r="Z809" s="934"/>
    </row>
    <row r="810" spans="1:26" ht="16.5" customHeight="1">
      <c r="A810" s="1040"/>
      <c r="B810" s="1047">
        <v>20000000</v>
      </c>
      <c r="C810" s="1046" t="e">
        <f>IF(E809&lt;0,0,IF(D810&lt;E809,D810*4/10000,E809*4/10000))</f>
        <v>#REF!</v>
      </c>
      <c r="D810" s="1046">
        <f t="shared" si="80"/>
        <v>18000000</v>
      </c>
      <c r="E810" s="1048" t="e">
        <f t="shared" si="81"/>
        <v>#REF!</v>
      </c>
      <c r="F810" s="1040"/>
      <c r="G810" s="1040"/>
      <c r="H810" s="1040"/>
      <c r="I810" s="1040"/>
      <c r="J810" s="1040"/>
      <c r="K810" s="1023"/>
      <c r="L810" s="1023"/>
      <c r="M810" s="1023"/>
      <c r="N810" s="1023"/>
      <c r="O810" s="1023"/>
      <c r="P810" s="1023"/>
      <c r="Q810" s="1023"/>
      <c r="R810" s="1023"/>
      <c r="S810" s="1023"/>
      <c r="T810" s="934"/>
      <c r="U810" s="934"/>
      <c r="V810" s="934"/>
      <c r="W810" s="934"/>
      <c r="X810" s="934"/>
      <c r="Y810" s="934"/>
      <c r="Z810" s="934"/>
    </row>
    <row r="811" spans="1:26" ht="16.5" customHeight="1">
      <c r="A811" s="1040"/>
      <c r="B811" s="1047" t="s">
        <v>1312</v>
      </c>
      <c r="C811" s="1046"/>
      <c r="D811" s="1046"/>
      <c r="E811" s="1048"/>
      <c r="F811" s="1040"/>
      <c r="G811" s="1040"/>
      <c r="H811" s="1040"/>
      <c r="I811" s="1040"/>
      <c r="J811" s="1040"/>
      <c r="K811" s="1023"/>
      <c r="L811" s="1023"/>
      <c r="M811" s="1023"/>
      <c r="N811" s="1023"/>
      <c r="O811" s="1023"/>
      <c r="P811" s="1023"/>
      <c r="Q811" s="1023"/>
      <c r="R811" s="1023"/>
      <c r="S811" s="1023"/>
      <c r="T811" s="934"/>
      <c r="U811" s="934"/>
      <c r="V811" s="934"/>
      <c r="W811" s="934"/>
      <c r="X811" s="934"/>
      <c r="Y811" s="934"/>
      <c r="Z811" s="934"/>
    </row>
    <row r="812" spans="1:26" ht="16.5" customHeight="1">
      <c r="A812" s="1040"/>
      <c r="B812" s="1047" t="s">
        <v>1313</v>
      </c>
      <c r="C812" s="1046" t="e">
        <f>ROUND(IF(C803&gt;20000000,8650+(C803-20000000)/10000,SUM(C804:C810)),0)</f>
        <v>#REF!</v>
      </c>
      <c r="D812" s="1040"/>
      <c r="E812" s="1045"/>
      <c r="F812" s="1040"/>
      <c r="G812" s="1040"/>
      <c r="H812" s="1040"/>
      <c r="I812" s="1040"/>
      <c r="J812" s="1040"/>
      <c r="K812" s="1023"/>
      <c r="L812" s="1023"/>
      <c r="M812" s="1023"/>
      <c r="N812" s="1023"/>
      <c r="O812" s="1023"/>
      <c r="P812" s="1023"/>
      <c r="Q812" s="1023"/>
      <c r="R812" s="1023"/>
      <c r="S812" s="1023"/>
      <c r="T812" s="934"/>
      <c r="U812" s="934"/>
      <c r="V812" s="934"/>
      <c r="W812" s="934"/>
      <c r="X812" s="934"/>
      <c r="Y812" s="934"/>
      <c r="Z812" s="934"/>
    </row>
    <row r="813" spans="1:26" ht="16.5" customHeight="1">
      <c r="A813" s="1040"/>
      <c r="B813" s="1047" t="s">
        <v>1314</v>
      </c>
      <c r="C813" s="936" t="e">
        <f>IF(C803&lt;=10000,20,IF(C803&lt;=300000,40,IF(C803&lt;=500000,70,IF(C803&lt;=1000000,150,350))))</f>
        <v>#REF!</v>
      </c>
      <c r="D813" s="1040"/>
      <c r="E813" s="1045"/>
      <c r="F813" s="1040"/>
      <c r="G813" s="1040"/>
      <c r="H813" s="1040"/>
      <c r="I813" s="1040"/>
      <c r="J813" s="1040"/>
      <c r="K813" s="1023"/>
      <c r="L813" s="1023"/>
      <c r="M813" s="1023"/>
      <c r="N813" s="1023"/>
      <c r="O813" s="1023"/>
      <c r="P813" s="1023"/>
      <c r="Q813" s="1023"/>
      <c r="R813" s="1023"/>
      <c r="S813" s="1023"/>
      <c r="T813" s="934"/>
      <c r="U813" s="934"/>
      <c r="V813" s="934"/>
      <c r="W813" s="934"/>
      <c r="X813" s="934"/>
      <c r="Y813" s="934"/>
      <c r="Z813" s="934"/>
    </row>
    <row r="814" spans="1:26" ht="16.5" customHeight="1">
      <c r="A814" s="1040"/>
      <c r="B814" s="1047" t="s">
        <v>1316</v>
      </c>
      <c r="C814" s="1046">
        <v>18</v>
      </c>
      <c r="D814" s="1040"/>
      <c r="E814" s="1045"/>
      <c r="F814" s="1040"/>
      <c r="G814" s="1040"/>
      <c r="H814" s="1040"/>
      <c r="I814" s="1040"/>
      <c r="J814" s="1040"/>
      <c r="K814" s="1023"/>
      <c r="L814" s="1023"/>
      <c r="M814" s="1023"/>
      <c r="N814" s="1023"/>
      <c r="O814" s="1023"/>
      <c r="P814" s="1023"/>
      <c r="Q814" s="1023"/>
      <c r="R814" s="1023"/>
      <c r="S814" s="1023"/>
      <c r="T814" s="934"/>
      <c r="U814" s="934"/>
      <c r="V814" s="934"/>
      <c r="W814" s="934"/>
      <c r="X814" s="934"/>
      <c r="Y814" s="934"/>
      <c r="Z814" s="934"/>
    </row>
    <row r="815" spans="1:26" ht="16.5" customHeight="1" thickBot="1">
      <c r="A815" s="1040"/>
      <c r="B815" s="1044" t="s">
        <v>1317</v>
      </c>
      <c r="C815" s="1043" t="e">
        <f>IF(C803=0,0,SUM(C812:C814))</f>
        <v>#REF!</v>
      </c>
      <c r="D815" s="1042"/>
      <c r="E815" s="1041"/>
      <c r="F815" s="1040"/>
      <c r="G815" s="1040"/>
      <c r="H815" s="1040"/>
      <c r="I815" s="1040"/>
      <c r="J815" s="1040"/>
      <c r="K815" s="1023"/>
      <c r="L815" s="1023"/>
      <c r="M815" s="1023"/>
      <c r="N815" s="1023"/>
      <c r="O815" s="1023"/>
      <c r="P815" s="1023"/>
      <c r="Q815" s="1023"/>
      <c r="R815" s="1023"/>
      <c r="S815" s="1023"/>
      <c r="T815" s="934"/>
      <c r="U815" s="934"/>
      <c r="V815" s="934"/>
      <c r="W815" s="934"/>
      <c r="X815" s="934"/>
      <c r="Y815" s="934"/>
      <c r="Z815" s="934"/>
    </row>
    <row r="816" spans="1:26" ht="16.5" customHeight="1">
      <c r="A816" s="1040"/>
      <c r="B816" s="1057" t="s">
        <v>1308</v>
      </c>
      <c r="C816" s="1056"/>
      <c r="D816" s="1055"/>
      <c r="E816" s="1054"/>
      <c r="F816" s="1040"/>
      <c r="G816" s="1040"/>
      <c r="H816" s="1040"/>
      <c r="I816" s="1040"/>
      <c r="J816" s="1040"/>
      <c r="K816" s="1023"/>
      <c r="L816" s="1023"/>
      <c r="M816" s="1023"/>
      <c r="N816" s="1023"/>
      <c r="O816" s="1023"/>
      <c r="P816" s="1023"/>
      <c r="Q816" s="1023"/>
      <c r="R816" s="1023"/>
      <c r="S816" s="1023"/>
      <c r="T816" s="934"/>
      <c r="U816" s="934"/>
      <c r="V816" s="934"/>
      <c r="W816" s="934"/>
      <c r="X816" s="934"/>
      <c r="Y816" s="934"/>
      <c r="Z816" s="934"/>
    </row>
    <row r="817" spans="1:26" ht="16.5" customHeight="1">
      <c r="A817" s="1040"/>
      <c r="B817" s="1053"/>
      <c r="C817" s="1046"/>
      <c r="D817" s="1040"/>
      <c r="E817" s="1045"/>
      <c r="F817" s="1040"/>
      <c r="G817" s="1040"/>
      <c r="H817" s="1040"/>
      <c r="I817" s="1040"/>
      <c r="J817" s="1040"/>
      <c r="K817" s="1023"/>
      <c r="L817" s="1023"/>
      <c r="M817" s="1023"/>
      <c r="N817" s="1023"/>
      <c r="O817" s="1023"/>
      <c r="P817" s="1023"/>
      <c r="Q817" s="1023"/>
      <c r="R817" s="1023"/>
      <c r="S817" s="1023"/>
      <c r="T817" s="934"/>
      <c r="U817" s="934"/>
      <c r="V817" s="934"/>
      <c r="W817" s="934"/>
      <c r="X817" s="934"/>
      <c r="Y817" s="934"/>
      <c r="Z817" s="934"/>
    </row>
    <row r="818" spans="1:26" ht="16.5" customHeight="1">
      <c r="A818" s="1040"/>
      <c r="B818" s="1052" t="s">
        <v>1309</v>
      </c>
      <c r="C818" s="1051" t="e">
        <f>#REF!*70%</f>
        <v>#REF!</v>
      </c>
      <c r="D818" s="1050" t="s">
        <v>1310</v>
      </c>
      <c r="E818" s="1045" t="s">
        <v>1311</v>
      </c>
      <c r="F818" s="1040"/>
      <c r="G818" s="1040"/>
      <c r="H818" s="1040"/>
      <c r="I818" s="1040"/>
      <c r="J818" s="1040"/>
      <c r="K818" s="1023"/>
      <c r="L818" s="1023"/>
      <c r="M818" s="1023"/>
      <c r="N818" s="1023"/>
      <c r="O818" s="1023"/>
      <c r="P818" s="1023"/>
      <c r="Q818" s="1023"/>
      <c r="R818" s="1023"/>
      <c r="S818" s="1023"/>
      <c r="T818" s="934"/>
      <c r="U818" s="934"/>
      <c r="V818" s="934"/>
      <c r="W818" s="934"/>
      <c r="X818" s="934"/>
      <c r="Y818" s="934"/>
      <c r="Z818" s="934"/>
    </row>
    <row r="819" spans="1:26" ht="16.5" customHeight="1">
      <c r="A819" s="1040"/>
      <c r="B819" s="1047">
        <v>50000</v>
      </c>
      <c r="C819" s="1046">
        <v>210</v>
      </c>
      <c r="D819" s="1049"/>
      <c r="E819" s="1048" t="e">
        <f>C818-B819</f>
        <v>#REF!</v>
      </c>
      <c r="F819" s="1040"/>
      <c r="G819" s="1040"/>
      <c r="H819" s="1040"/>
      <c r="I819" s="1040"/>
      <c r="J819" s="1040"/>
      <c r="K819" s="1023"/>
      <c r="L819" s="1023"/>
      <c r="M819" s="1023"/>
      <c r="N819" s="1023"/>
      <c r="O819" s="1023"/>
      <c r="P819" s="1023"/>
      <c r="Q819" s="1023"/>
      <c r="R819" s="1023"/>
      <c r="S819" s="1023"/>
      <c r="T819" s="934"/>
      <c r="U819" s="934"/>
      <c r="V819" s="934"/>
      <c r="W819" s="934"/>
      <c r="X819" s="934"/>
      <c r="Y819" s="934"/>
      <c r="Z819" s="934"/>
    </row>
    <row r="820" spans="1:26" ht="16.5" customHeight="1">
      <c r="A820" s="1040"/>
      <c r="B820" s="1047">
        <v>100000</v>
      </c>
      <c r="C820" s="1046" t="e">
        <f>IF(E819&lt;0,0,IF(D820&lt;E819,D820*10/10000,E819*10/10000))</f>
        <v>#REF!</v>
      </c>
      <c r="D820" s="1046">
        <f t="shared" ref="D820:D825" si="82">B820-B819</f>
        <v>50000</v>
      </c>
      <c r="E820" s="1048" t="e">
        <f t="shared" ref="E820:E825" si="83">E819-B820</f>
        <v>#REF!</v>
      </c>
      <c r="F820" s="1040"/>
      <c r="G820" s="1040"/>
      <c r="H820" s="1040"/>
      <c r="I820" s="1040"/>
      <c r="J820" s="1040"/>
      <c r="K820" s="1023"/>
      <c r="L820" s="1023"/>
      <c r="M820" s="1023"/>
      <c r="N820" s="1023"/>
      <c r="O820" s="1023"/>
      <c r="P820" s="1023"/>
      <c r="Q820" s="1023"/>
      <c r="R820" s="1023"/>
      <c r="S820" s="1023"/>
      <c r="T820" s="934"/>
      <c r="U820" s="934"/>
      <c r="V820" s="934"/>
      <c r="W820" s="934"/>
      <c r="X820" s="934"/>
      <c r="Y820" s="934"/>
      <c r="Z820" s="934"/>
    </row>
    <row r="821" spans="1:26" ht="16.5" customHeight="1">
      <c r="A821" s="1040"/>
      <c r="B821" s="1047">
        <v>300000</v>
      </c>
      <c r="C821" s="1046" t="e">
        <f>IF(E820&lt;0,0,IF(D821&lt;E820,D821*9/10000,E820*9/10000))</f>
        <v>#REF!</v>
      </c>
      <c r="D821" s="1046">
        <f t="shared" si="82"/>
        <v>200000</v>
      </c>
      <c r="E821" s="1048" t="e">
        <f t="shared" si="83"/>
        <v>#REF!</v>
      </c>
      <c r="F821" s="1040"/>
      <c r="G821" s="1040"/>
      <c r="H821" s="1040"/>
      <c r="I821" s="1040"/>
      <c r="J821" s="1040"/>
      <c r="K821" s="1023"/>
      <c r="L821" s="1023"/>
      <c r="M821" s="1023"/>
      <c r="N821" s="1023"/>
      <c r="O821" s="1023"/>
      <c r="P821" s="1023"/>
      <c r="Q821" s="1023"/>
      <c r="R821" s="1023"/>
      <c r="S821" s="1023"/>
      <c r="T821" s="934"/>
      <c r="U821" s="934"/>
      <c r="V821" s="934"/>
      <c r="W821" s="934"/>
      <c r="X821" s="934"/>
      <c r="Y821" s="934"/>
      <c r="Z821" s="934"/>
    </row>
    <row r="822" spans="1:26" ht="16.5" customHeight="1">
      <c r="A822" s="1040"/>
      <c r="B822" s="1047">
        <v>500000</v>
      </c>
      <c r="C822" s="1046" t="e">
        <f>IF(E821&lt;0,0,IF(D822&lt;E821,D822*8/10000,E821*8/10000))</f>
        <v>#REF!</v>
      </c>
      <c r="D822" s="1046">
        <f t="shared" si="82"/>
        <v>200000</v>
      </c>
      <c r="E822" s="1048" t="e">
        <f t="shared" si="83"/>
        <v>#REF!</v>
      </c>
      <c r="F822" s="1040"/>
      <c r="G822" s="1040"/>
      <c r="H822" s="1040"/>
      <c r="I822" s="1040"/>
      <c r="J822" s="1040"/>
      <c r="K822" s="1023"/>
      <c r="L822" s="1023"/>
      <c r="M822" s="1023"/>
      <c r="N822" s="1023"/>
      <c r="O822" s="1023"/>
      <c r="P822" s="1023"/>
      <c r="Q822" s="1023"/>
      <c r="R822" s="1023"/>
      <c r="S822" s="1023"/>
      <c r="T822" s="934"/>
      <c r="U822" s="934"/>
      <c r="V822" s="934"/>
      <c r="W822" s="934"/>
      <c r="X822" s="934"/>
      <c r="Y822" s="934"/>
      <c r="Z822" s="934"/>
    </row>
    <row r="823" spans="1:26" ht="16.5" customHeight="1">
      <c r="A823" s="1040"/>
      <c r="B823" s="1047">
        <v>1000000</v>
      </c>
      <c r="C823" s="1046" t="e">
        <f>IF(E822&lt;0,0,IF(D823&lt;E822,D823*7/10000,E822*7/10000))</f>
        <v>#REF!</v>
      </c>
      <c r="D823" s="1046">
        <f t="shared" si="82"/>
        <v>500000</v>
      </c>
      <c r="E823" s="1048" t="e">
        <f t="shared" si="83"/>
        <v>#REF!</v>
      </c>
      <c r="F823" s="1040"/>
      <c r="G823" s="1040"/>
      <c r="H823" s="1040"/>
      <c r="I823" s="1040"/>
      <c r="J823" s="1040"/>
      <c r="K823" s="1023"/>
      <c r="L823" s="1023"/>
      <c r="M823" s="1023"/>
      <c r="N823" s="1023"/>
      <c r="O823" s="1023"/>
      <c r="P823" s="1023"/>
      <c r="Q823" s="1023"/>
      <c r="R823" s="1023"/>
      <c r="S823" s="1023"/>
      <c r="T823" s="934"/>
      <c r="U823" s="934"/>
      <c r="V823" s="934"/>
      <c r="W823" s="934"/>
      <c r="X823" s="934"/>
      <c r="Y823" s="934"/>
      <c r="Z823" s="934"/>
    </row>
    <row r="824" spans="1:26" ht="16.5" customHeight="1">
      <c r="A824" s="1040"/>
      <c r="B824" s="1047">
        <v>2000000</v>
      </c>
      <c r="C824" s="1046" t="e">
        <f>IF(E823&lt;0,0,IF(D824&lt;E823,D824*5/10000,E823*5/10000))</f>
        <v>#REF!</v>
      </c>
      <c r="D824" s="1046">
        <f t="shared" si="82"/>
        <v>1000000</v>
      </c>
      <c r="E824" s="1048" t="e">
        <f t="shared" si="83"/>
        <v>#REF!</v>
      </c>
      <c r="F824" s="1040"/>
      <c r="G824" s="1040"/>
      <c r="H824" s="1040"/>
      <c r="I824" s="1040"/>
      <c r="J824" s="1040"/>
      <c r="K824" s="1023"/>
      <c r="L824" s="1023"/>
      <c r="M824" s="1023"/>
      <c r="N824" s="1023"/>
      <c r="O824" s="1023"/>
      <c r="P824" s="1023"/>
      <c r="Q824" s="1023"/>
      <c r="R824" s="1023"/>
      <c r="S824" s="1023"/>
      <c r="T824" s="934"/>
      <c r="U824" s="934"/>
      <c r="V824" s="934"/>
      <c r="W824" s="934"/>
      <c r="X824" s="934"/>
      <c r="Y824" s="934"/>
      <c r="Z824" s="934"/>
    </row>
    <row r="825" spans="1:26" ht="16.5" customHeight="1">
      <c r="A825" s="1040"/>
      <c r="B825" s="1047">
        <v>20000000</v>
      </c>
      <c r="C825" s="1046" t="e">
        <f>IF(E824&lt;0,0,IF(D825&lt;E824,D825*4/10000,E824*4/10000))</f>
        <v>#REF!</v>
      </c>
      <c r="D825" s="1046">
        <f t="shared" si="82"/>
        <v>18000000</v>
      </c>
      <c r="E825" s="1048" t="e">
        <f t="shared" si="83"/>
        <v>#REF!</v>
      </c>
      <c r="F825" s="1040"/>
      <c r="G825" s="1040"/>
      <c r="H825" s="1040"/>
      <c r="I825" s="1040"/>
      <c r="J825" s="1040"/>
      <c r="K825" s="1023"/>
      <c r="L825" s="1023"/>
      <c r="M825" s="1023"/>
      <c r="N825" s="1023"/>
      <c r="O825" s="1023"/>
      <c r="P825" s="1023"/>
      <c r="Q825" s="1023"/>
      <c r="R825" s="1023"/>
      <c r="S825" s="1023"/>
      <c r="T825" s="934"/>
      <c r="U825" s="934"/>
      <c r="V825" s="934"/>
      <c r="W825" s="934"/>
      <c r="X825" s="934"/>
      <c r="Y825" s="934"/>
      <c r="Z825" s="934"/>
    </row>
    <row r="826" spans="1:26" ht="16.5" customHeight="1">
      <c r="A826" s="1040"/>
      <c r="B826" s="1047" t="s">
        <v>1312</v>
      </c>
      <c r="C826" s="1046"/>
      <c r="D826" s="1046"/>
      <c r="E826" s="1048"/>
      <c r="F826" s="1040"/>
      <c r="G826" s="1040"/>
      <c r="H826" s="1040"/>
      <c r="I826" s="1040"/>
      <c r="J826" s="1040"/>
      <c r="K826" s="1023"/>
      <c r="L826" s="1023"/>
      <c r="M826" s="1023"/>
      <c r="N826" s="1023"/>
      <c r="O826" s="1023"/>
      <c r="P826" s="1023"/>
      <c r="Q826" s="1023"/>
      <c r="R826" s="1023"/>
      <c r="S826" s="1023"/>
      <c r="T826" s="934"/>
      <c r="U826" s="934"/>
      <c r="V826" s="934"/>
      <c r="W826" s="934"/>
      <c r="X826" s="934"/>
      <c r="Y826" s="934"/>
      <c r="Z826" s="934"/>
    </row>
    <row r="827" spans="1:26" ht="16.5" customHeight="1">
      <c r="A827" s="1040"/>
      <c r="B827" s="1047" t="s">
        <v>1313</v>
      </c>
      <c r="C827" s="1046" t="e">
        <f>ROUND(IF(C818&gt;20000000,8650+(C818-20000000)/10000,SUM(C819:C825)),0)</f>
        <v>#REF!</v>
      </c>
      <c r="D827" s="1040"/>
      <c r="E827" s="1045"/>
      <c r="F827" s="1040"/>
      <c r="G827" s="1040"/>
      <c r="H827" s="1040"/>
      <c r="I827" s="1040"/>
      <c r="J827" s="1040"/>
      <c r="K827" s="1023"/>
      <c r="L827" s="1023"/>
      <c r="M827" s="1023"/>
      <c r="N827" s="1023"/>
      <c r="O827" s="1023"/>
      <c r="P827" s="1023"/>
      <c r="Q827" s="1023"/>
      <c r="R827" s="1023"/>
      <c r="S827" s="1023"/>
      <c r="T827" s="934"/>
      <c r="U827" s="934"/>
      <c r="V827" s="934"/>
      <c r="W827" s="934"/>
      <c r="X827" s="934"/>
      <c r="Y827" s="934"/>
      <c r="Z827" s="934"/>
    </row>
    <row r="828" spans="1:26" ht="16.5" customHeight="1">
      <c r="A828" s="1040"/>
      <c r="B828" s="1047" t="s">
        <v>1314</v>
      </c>
      <c r="C828" s="936" t="e">
        <f>IF(C818&lt;=10000,20,IF(C818&lt;=300000,40,IF(C818&lt;=500000,70,IF(C818&lt;=1000000,150,350))))</f>
        <v>#REF!</v>
      </c>
      <c r="D828" s="1040"/>
      <c r="E828" s="1045"/>
      <c r="F828" s="1040"/>
      <c r="G828" s="1040"/>
      <c r="H828" s="1040"/>
      <c r="I828" s="1040"/>
      <c r="J828" s="1040"/>
      <c r="K828" s="1023"/>
      <c r="L828" s="1023"/>
      <c r="M828" s="1023"/>
      <c r="N828" s="1023"/>
      <c r="O828" s="1023"/>
      <c r="P828" s="1023"/>
      <c r="Q828" s="1023"/>
      <c r="R828" s="1023"/>
      <c r="S828" s="1023"/>
      <c r="T828" s="934"/>
      <c r="U828" s="934"/>
      <c r="V828" s="934"/>
      <c r="W828" s="934"/>
      <c r="X828" s="934"/>
      <c r="Y828" s="934"/>
      <c r="Z828" s="934"/>
    </row>
    <row r="829" spans="1:26" ht="16.5" customHeight="1">
      <c r="A829" s="1040"/>
      <c r="B829" s="1047" t="s">
        <v>1316</v>
      </c>
      <c r="C829" s="1046">
        <v>18</v>
      </c>
      <c r="D829" s="1040"/>
      <c r="E829" s="1045"/>
      <c r="F829" s="1040"/>
      <c r="G829" s="1040"/>
      <c r="H829" s="1040"/>
      <c r="I829" s="1040"/>
      <c r="J829" s="1040"/>
      <c r="K829" s="1023"/>
      <c r="L829" s="1023"/>
      <c r="M829" s="1023"/>
      <c r="N829" s="1023"/>
      <c r="O829" s="1023"/>
      <c r="P829" s="1023"/>
      <c r="Q829" s="1023"/>
      <c r="R829" s="1023"/>
      <c r="S829" s="1023"/>
      <c r="T829" s="934"/>
      <c r="U829" s="934"/>
      <c r="V829" s="934"/>
      <c r="W829" s="934"/>
      <c r="X829" s="934"/>
      <c r="Y829" s="934"/>
      <c r="Z829" s="934"/>
    </row>
    <row r="830" spans="1:26" ht="16.5" customHeight="1" thickBot="1">
      <c r="A830" s="1040"/>
      <c r="B830" s="1044" t="s">
        <v>1317</v>
      </c>
      <c r="C830" s="1043" t="e">
        <f>IF(C818=0,0,SUM(C827:C829))</f>
        <v>#REF!</v>
      </c>
      <c r="D830" s="1042"/>
      <c r="E830" s="1041"/>
      <c r="F830" s="1040"/>
      <c r="G830" s="1040"/>
      <c r="H830" s="1040"/>
      <c r="I830" s="1040"/>
      <c r="J830" s="1040"/>
      <c r="K830" s="1023"/>
      <c r="L830" s="1023"/>
      <c r="M830" s="1023"/>
      <c r="N830" s="1023"/>
      <c r="O830" s="1023"/>
      <c r="P830" s="1023"/>
      <c r="Q830" s="1023"/>
      <c r="R830" s="1023"/>
      <c r="S830" s="1023"/>
      <c r="T830" s="934"/>
      <c r="U830" s="934"/>
      <c r="V830" s="934"/>
      <c r="W830" s="934"/>
      <c r="X830" s="934"/>
      <c r="Y830" s="934"/>
      <c r="Z830" s="934"/>
    </row>
    <row r="831" spans="1:26" ht="16.5" customHeight="1">
      <c r="A831" s="1040"/>
      <c r="B831" s="1057" t="s">
        <v>1308</v>
      </c>
      <c r="C831" s="1056"/>
      <c r="D831" s="1055"/>
      <c r="E831" s="1054"/>
      <c r="F831" s="1040"/>
      <c r="G831" s="1040"/>
      <c r="H831" s="1040"/>
      <c r="I831" s="1040"/>
      <c r="J831" s="1040"/>
      <c r="K831" s="1023"/>
      <c r="L831" s="1023"/>
      <c r="M831" s="1023"/>
      <c r="N831" s="1023"/>
      <c r="O831" s="1023"/>
      <c r="P831" s="1023"/>
      <c r="Q831" s="1023"/>
      <c r="R831" s="1023"/>
      <c r="S831" s="1023"/>
      <c r="T831" s="934"/>
      <c r="U831" s="934"/>
      <c r="V831" s="934"/>
      <c r="W831" s="934"/>
      <c r="X831" s="934"/>
      <c r="Y831" s="934"/>
      <c r="Z831" s="934"/>
    </row>
    <row r="832" spans="1:26" ht="16.5" customHeight="1">
      <c r="A832" s="1040"/>
      <c r="B832" s="1053"/>
      <c r="C832" s="1046"/>
      <c r="D832" s="1040"/>
      <c r="E832" s="1045"/>
      <c r="F832" s="1040"/>
      <c r="G832" s="1040"/>
      <c r="H832" s="1040"/>
      <c r="I832" s="1040"/>
      <c r="J832" s="1040"/>
      <c r="K832" s="1023"/>
      <c r="L832" s="1023"/>
      <c r="M832" s="1023"/>
      <c r="N832" s="1023"/>
      <c r="O832" s="1023"/>
      <c r="P832" s="1023"/>
      <c r="Q832" s="1023"/>
      <c r="R832" s="1023"/>
      <c r="S832" s="1023"/>
      <c r="T832" s="934"/>
      <c r="U832" s="934"/>
      <c r="V832" s="934"/>
      <c r="W832" s="934"/>
      <c r="X832" s="934"/>
      <c r="Y832" s="934"/>
      <c r="Z832" s="934"/>
    </row>
    <row r="833" spans="1:26" ht="16.5" customHeight="1">
      <c r="A833" s="1040"/>
      <c r="B833" s="1052" t="s">
        <v>1309</v>
      </c>
      <c r="C833" s="1051" t="e">
        <f>#REF!*70%</f>
        <v>#REF!</v>
      </c>
      <c r="D833" s="1050" t="s">
        <v>1310</v>
      </c>
      <c r="E833" s="1045" t="s">
        <v>1311</v>
      </c>
      <c r="F833" s="1040"/>
      <c r="G833" s="1040"/>
      <c r="H833" s="1040"/>
      <c r="I833" s="1040"/>
      <c r="J833" s="1040"/>
      <c r="K833" s="1023"/>
      <c r="L833" s="1023"/>
      <c r="M833" s="1023"/>
      <c r="N833" s="1023"/>
      <c r="O833" s="1023"/>
      <c r="P833" s="1023"/>
      <c r="Q833" s="1023"/>
      <c r="R833" s="1023"/>
      <c r="S833" s="1023"/>
      <c r="T833" s="934"/>
      <c r="U833" s="934"/>
      <c r="V833" s="934"/>
      <c r="W833" s="934"/>
      <c r="X833" s="934"/>
      <c r="Y833" s="934"/>
      <c r="Z833" s="934"/>
    </row>
    <row r="834" spans="1:26" ht="16.5" customHeight="1">
      <c r="A834" s="1040"/>
      <c r="B834" s="1047">
        <v>50000</v>
      </c>
      <c r="C834" s="1046">
        <v>210</v>
      </c>
      <c r="D834" s="1049"/>
      <c r="E834" s="1048" t="e">
        <f>C833-B834</f>
        <v>#REF!</v>
      </c>
      <c r="F834" s="1040"/>
      <c r="G834" s="1040"/>
      <c r="H834" s="1040"/>
      <c r="I834" s="1040"/>
      <c r="J834" s="1040"/>
      <c r="K834" s="1023"/>
      <c r="L834" s="1023"/>
      <c r="M834" s="1023"/>
      <c r="N834" s="1023"/>
      <c r="O834" s="1023"/>
      <c r="P834" s="1023"/>
      <c r="Q834" s="1023"/>
      <c r="R834" s="1023"/>
      <c r="S834" s="1023"/>
      <c r="T834" s="934"/>
      <c r="U834" s="934"/>
      <c r="V834" s="934"/>
      <c r="W834" s="934"/>
      <c r="X834" s="934"/>
      <c r="Y834" s="934"/>
      <c r="Z834" s="934"/>
    </row>
    <row r="835" spans="1:26" ht="16.5" customHeight="1">
      <c r="A835" s="1040"/>
      <c r="B835" s="1047">
        <v>100000</v>
      </c>
      <c r="C835" s="1046" t="e">
        <f>IF(E834&lt;0,0,IF(D835&lt;E834,D835*10/10000,E834*10/10000))</f>
        <v>#REF!</v>
      </c>
      <c r="D835" s="1046">
        <f t="shared" ref="D835:D840" si="84">B835-B834</f>
        <v>50000</v>
      </c>
      <c r="E835" s="1048" t="e">
        <f t="shared" ref="E835:E840" si="85">E834-B835</f>
        <v>#REF!</v>
      </c>
      <c r="F835" s="1040"/>
      <c r="G835" s="1040"/>
      <c r="H835" s="1040"/>
      <c r="I835" s="1040"/>
      <c r="J835" s="1040"/>
      <c r="K835" s="1023"/>
      <c r="L835" s="1023"/>
      <c r="M835" s="1023"/>
      <c r="N835" s="1023"/>
      <c r="O835" s="1023"/>
      <c r="P835" s="1023"/>
      <c r="Q835" s="1023"/>
      <c r="R835" s="1023"/>
      <c r="S835" s="1023"/>
      <c r="T835" s="934"/>
      <c r="U835" s="934"/>
      <c r="V835" s="934"/>
      <c r="W835" s="934"/>
      <c r="X835" s="934"/>
      <c r="Y835" s="934"/>
      <c r="Z835" s="934"/>
    </row>
    <row r="836" spans="1:26" ht="16.5" customHeight="1">
      <c r="A836" s="1040"/>
      <c r="B836" s="1047">
        <v>300000</v>
      </c>
      <c r="C836" s="1046" t="e">
        <f>IF(E835&lt;0,0,IF(D836&lt;E835,D836*9/10000,E835*9/10000))</f>
        <v>#REF!</v>
      </c>
      <c r="D836" s="1046">
        <f t="shared" si="84"/>
        <v>200000</v>
      </c>
      <c r="E836" s="1048" t="e">
        <f t="shared" si="85"/>
        <v>#REF!</v>
      </c>
      <c r="F836" s="1040"/>
      <c r="G836" s="1040"/>
      <c r="H836" s="1040"/>
      <c r="I836" s="1040"/>
      <c r="J836" s="1040"/>
      <c r="K836" s="1023"/>
      <c r="L836" s="1023"/>
      <c r="M836" s="1023"/>
      <c r="N836" s="1023"/>
      <c r="O836" s="1023"/>
      <c r="P836" s="1023"/>
      <c r="Q836" s="1023"/>
      <c r="R836" s="1023"/>
      <c r="S836" s="1023"/>
      <c r="T836" s="934"/>
      <c r="U836" s="934"/>
      <c r="V836" s="934"/>
      <c r="W836" s="934"/>
      <c r="X836" s="934"/>
      <c r="Y836" s="934"/>
      <c r="Z836" s="934"/>
    </row>
    <row r="837" spans="1:26" ht="16.5" customHeight="1">
      <c r="A837" s="1040"/>
      <c r="B837" s="1047">
        <v>500000</v>
      </c>
      <c r="C837" s="1046" t="e">
        <f>IF(E836&lt;0,0,IF(D837&lt;E836,D837*8/10000,E836*8/10000))</f>
        <v>#REF!</v>
      </c>
      <c r="D837" s="1046">
        <f t="shared" si="84"/>
        <v>200000</v>
      </c>
      <c r="E837" s="1048" t="e">
        <f t="shared" si="85"/>
        <v>#REF!</v>
      </c>
      <c r="F837" s="1040"/>
      <c r="G837" s="1040"/>
      <c r="H837" s="1040"/>
      <c r="I837" s="1040"/>
      <c r="J837" s="1040"/>
      <c r="K837" s="1023"/>
      <c r="L837" s="1023"/>
      <c r="M837" s="1023"/>
      <c r="N837" s="1023"/>
      <c r="O837" s="1023"/>
      <c r="P837" s="1023"/>
      <c r="Q837" s="1023"/>
      <c r="R837" s="1023"/>
      <c r="S837" s="1023"/>
      <c r="T837" s="934"/>
      <c r="U837" s="934"/>
      <c r="V837" s="934"/>
      <c r="W837" s="934"/>
      <c r="X837" s="934"/>
      <c r="Y837" s="934"/>
      <c r="Z837" s="934"/>
    </row>
    <row r="838" spans="1:26" ht="16.5" customHeight="1">
      <c r="A838" s="1040"/>
      <c r="B838" s="1047">
        <v>1000000</v>
      </c>
      <c r="C838" s="1046" t="e">
        <f>IF(E837&lt;0,0,IF(D838&lt;E837,D838*7/10000,E837*7/10000))</f>
        <v>#REF!</v>
      </c>
      <c r="D838" s="1046">
        <f t="shared" si="84"/>
        <v>500000</v>
      </c>
      <c r="E838" s="1048" t="e">
        <f t="shared" si="85"/>
        <v>#REF!</v>
      </c>
      <c r="F838" s="1040"/>
      <c r="G838" s="1040"/>
      <c r="H838" s="1040"/>
      <c r="I838" s="1040"/>
      <c r="J838" s="1040"/>
      <c r="K838" s="1023"/>
      <c r="L838" s="1023"/>
      <c r="M838" s="1023"/>
      <c r="N838" s="1023"/>
      <c r="O838" s="1023"/>
      <c r="P838" s="1023"/>
      <c r="Q838" s="1023"/>
      <c r="R838" s="1023"/>
      <c r="S838" s="1023"/>
      <c r="T838" s="934"/>
      <c r="U838" s="934"/>
      <c r="V838" s="934"/>
      <c r="W838" s="934"/>
      <c r="X838" s="934"/>
      <c r="Y838" s="934"/>
      <c r="Z838" s="934"/>
    </row>
    <row r="839" spans="1:26" ht="16.5" customHeight="1">
      <c r="A839" s="1040"/>
      <c r="B839" s="1047">
        <v>2000000</v>
      </c>
      <c r="C839" s="1046" t="e">
        <f>IF(E838&lt;0,0,IF(D839&lt;E838,D839*5/10000,E838*5/10000))</f>
        <v>#REF!</v>
      </c>
      <c r="D839" s="1046">
        <f t="shared" si="84"/>
        <v>1000000</v>
      </c>
      <c r="E839" s="1048" t="e">
        <f t="shared" si="85"/>
        <v>#REF!</v>
      </c>
      <c r="F839" s="1040"/>
      <c r="G839" s="1040"/>
      <c r="H839" s="1040"/>
      <c r="I839" s="1040"/>
      <c r="J839" s="1040"/>
      <c r="K839" s="1023"/>
      <c r="L839" s="1023"/>
      <c r="M839" s="1023"/>
      <c r="N839" s="1023"/>
      <c r="O839" s="1023"/>
      <c r="P839" s="1023"/>
      <c r="Q839" s="1023"/>
      <c r="R839" s="1023"/>
      <c r="S839" s="1023"/>
      <c r="T839" s="934"/>
      <c r="U839" s="934"/>
      <c r="V839" s="934"/>
      <c r="W839" s="934"/>
      <c r="X839" s="934"/>
      <c r="Y839" s="934"/>
      <c r="Z839" s="934"/>
    </row>
    <row r="840" spans="1:26" ht="16.5" customHeight="1">
      <c r="A840" s="1040"/>
      <c r="B840" s="1047">
        <v>20000000</v>
      </c>
      <c r="C840" s="1046" t="e">
        <f>IF(E839&lt;0,0,IF(D840&lt;E839,D840*4/10000,E839*4/10000))</f>
        <v>#REF!</v>
      </c>
      <c r="D840" s="1046">
        <f t="shared" si="84"/>
        <v>18000000</v>
      </c>
      <c r="E840" s="1048" t="e">
        <f t="shared" si="85"/>
        <v>#REF!</v>
      </c>
      <c r="F840" s="1040"/>
      <c r="G840" s="1040"/>
      <c r="H840" s="1040"/>
      <c r="I840" s="1040"/>
      <c r="J840" s="1040"/>
      <c r="K840" s="1023"/>
      <c r="L840" s="1023"/>
      <c r="M840" s="1023"/>
      <c r="N840" s="1023"/>
      <c r="O840" s="1023"/>
      <c r="P840" s="1023"/>
      <c r="Q840" s="1023"/>
      <c r="R840" s="1023"/>
      <c r="S840" s="1023"/>
      <c r="T840" s="934"/>
      <c r="U840" s="934"/>
      <c r="V840" s="934"/>
      <c r="W840" s="934"/>
      <c r="X840" s="934"/>
      <c r="Y840" s="934"/>
      <c r="Z840" s="934"/>
    </row>
    <row r="841" spans="1:26" ht="16.5" customHeight="1">
      <c r="A841" s="1040"/>
      <c r="B841" s="1047" t="s">
        <v>1312</v>
      </c>
      <c r="C841" s="1046"/>
      <c r="D841" s="1046"/>
      <c r="E841" s="1048"/>
      <c r="F841" s="1040"/>
      <c r="G841" s="1040"/>
      <c r="H841" s="1040"/>
      <c r="I841" s="1040"/>
      <c r="J841" s="1040"/>
      <c r="K841" s="1023"/>
      <c r="L841" s="1023"/>
      <c r="M841" s="1023"/>
      <c r="N841" s="1023"/>
      <c r="O841" s="1023"/>
      <c r="P841" s="1023"/>
      <c r="Q841" s="1023"/>
      <c r="R841" s="1023"/>
      <c r="S841" s="1023"/>
      <c r="T841" s="934"/>
      <c r="U841" s="934"/>
      <c r="V841" s="934"/>
      <c r="W841" s="934"/>
      <c r="X841" s="934"/>
      <c r="Y841" s="934"/>
      <c r="Z841" s="934"/>
    </row>
    <row r="842" spans="1:26" ht="16.5" customHeight="1">
      <c r="A842" s="1040"/>
      <c r="B842" s="1047" t="s">
        <v>1313</v>
      </c>
      <c r="C842" s="1046" t="e">
        <f>ROUND(IF(C833&gt;20000000,8650+(C833-20000000)/10000,SUM(C834:C840)),0)</f>
        <v>#REF!</v>
      </c>
      <c r="D842" s="1040"/>
      <c r="E842" s="1045"/>
      <c r="F842" s="1040"/>
      <c r="G842" s="1040"/>
      <c r="H842" s="1040"/>
      <c r="I842" s="1040"/>
      <c r="J842" s="1040"/>
      <c r="K842" s="1023"/>
      <c r="L842" s="1023"/>
      <c r="M842" s="1023"/>
      <c r="N842" s="1023"/>
      <c r="O842" s="1023"/>
      <c r="P842" s="1023"/>
      <c r="Q842" s="1023"/>
      <c r="R842" s="1023"/>
      <c r="S842" s="1023"/>
      <c r="T842" s="934"/>
      <c r="U842" s="934"/>
      <c r="V842" s="934"/>
      <c r="W842" s="934"/>
      <c r="X842" s="934"/>
      <c r="Y842" s="934"/>
      <c r="Z842" s="934"/>
    </row>
    <row r="843" spans="1:26" ht="16.5" customHeight="1">
      <c r="A843" s="1040"/>
      <c r="B843" s="1047" t="s">
        <v>1314</v>
      </c>
      <c r="C843" s="936" t="e">
        <f>IF(C833&lt;=10000,20,IF(C833&lt;=300000,40,IF(C833&lt;=500000,70,IF(C833&lt;=1000000,150,350))))</f>
        <v>#REF!</v>
      </c>
      <c r="D843" s="1040"/>
      <c r="E843" s="1045"/>
      <c r="F843" s="1040"/>
      <c r="G843" s="1040"/>
      <c r="H843" s="1040"/>
      <c r="I843" s="1040"/>
      <c r="J843" s="1040"/>
      <c r="K843" s="1023"/>
      <c r="L843" s="1023"/>
      <c r="M843" s="1023"/>
      <c r="N843" s="1023"/>
      <c r="O843" s="1023"/>
      <c r="P843" s="1023"/>
      <c r="Q843" s="1023"/>
      <c r="R843" s="1023"/>
      <c r="S843" s="1023"/>
      <c r="T843" s="934"/>
      <c r="U843" s="934"/>
      <c r="V843" s="934"/>
      <c r="W843" s="934"/>
      <c r="X843" s="934"/>
      <c r="Y843" s="934"/>
      <c r="Z843" s="934"/>
    </row>
    <row r="844" spans="1:26" ht="16.5" customHeight="1">
      <c r="A844" s="1040"/>
      <c r="B844" s="1047" t="s">
        <v>1316</v>
      </c>
      <c r="C844" s="1046">
        <v>18</v>
      </c>
      <c r="D844" s="1040"/>
      <c r="E844" s="1045"/>
      <c r="F844" s="1040"/>
      <c r="G844" s="1040"/>
      <c r="H844" s="1040"/>
      <c r="I844" s="1040"/>
      <c r="J844" s="1040"/>
      <c r="K844" s="1023"/>
      <c r="L844" s="1023"/>
      <c r="M844" s="1023"/>
      <c r="N844" s="1023"/>
      <c r="O844" s="1023"/>
      <c r="P844" s="1023"/>
      <c r="Q844" s="1023"/>
      <c r="R844" s="1023"/>
      <c r="S844" s="1023"/>
      <c r="T844" s="934"/>
      <c r="U844" s="934"/>
      <c r="V844" s="934"/>
      <c r="W844" s="934"/>
      <c r="X844" s="934"/>
      <c r="Y844" s="934"/>
      <c r="Z844" s="934"/>
    </row>
    <row r="845" spans="1:26" ht="16.5" customHeight="1" thickBot="1">
      <c r="A845" s="1040"/>
      <c r="B845" s="1044" t="s">
        <v>1317</v>
      </c>
      <c r="C845" s="1043" t="e">
        <f>IF(C833=0,0,SUM(C842:C844))</f>
        <v>#REF!</v>
      </c>
      <c r="D845" s="1042"/>
      <c r="E845" s="1041"/>
      <c r="F845" s="1040"/>
      <c r="G845" s="1040"/>
      <c r="H845" s="1040"/>
      <c r="I845" s="1040"/>
      <c r="J845" s="1040"/>
      <c r="K845" s="1023"/>
      <c r="L845" s="1023"/>
      <c r="M845" s="1023"/>
      <c r="N845" s="1023"/>
      <c r="O845" s="1023"/>
      <c r="P845" s="1023"/>
      <c r="Q845" s="1023"/>
      <c r="R845" s="1023"/>
      <c r="S845" s="1023"/>
      <c r="T845" s="934"/>
      <c r="U845" s="934"/>
      <c r="V845" s="934"/>
      <c r="W845" s="934"/>
      <c r="X845" s="934"/>
      <c r="Y845" s="934"/>
      <c r="Z845" s="934"/>
    </row>
    <row r="846" spans="1:26" ht="16.5" customHeight="1">
      <c r="A846" s="1040"/>
      <c r="B846" s="1057" t="s">
        <v>1308</v>
      </c>
      <c r="C846" s="1056"/>
      <c r="D846" s="1055"/>
      <c r="E846" s="1054"/>
      <c r="F846" s="1040"/>
      <c r="G846" s="1040"/>
      <c r="H846" s="1040"/>
      <c r="I846" s="1040"/>
      <c r="J846" s="1040"/>
      <c r="K846" s="1023"/>
      <c r="L846" s="1023"/>
      <c r="M846" s="1023"/>
      <c r="N846" s="1023"/>
      <c r="O846" s="1023"/>
      <c r="P846" s="1023"/>
      <c r="Q846" s="1023"/>
      <c r="R846" s="1023"/>
      <c r="S846" s="1023"/>
      <c r="T846" s="934"/>
      <c r="U846" s="934"/>
      <c r="V846" s="934"/>
      <c r="W846" s="934"/>
      <c r="X846" s="934"/>
      <c r="Y846" s="934"/>
      <c r="Z846" s="934"/>
    </row>
    <row r="847" spans="1:26" ht="16.5" customHeight="1">
      <c r="A847" s="1040"/>
      <c r="B847" s="1053"/>
      <c r="C847" s="1046"/>
      <c r="D847" s="1040"/>
      <c r="E847" s="1045"/>
      <c r="F847" s="1040"/>
      <c r="G847" s="1040"/>
      <c r="H847" s="1040"/>
      <c r="I847" s="1040"/>
      <c r="J847" s="1040"/>
      <c r="K847" s="1023"/>
      <c r="L847" s="1023"/>
      <c r="M847" s="1023"/>
      <c r="N847" s="1023"/>
      <c r="O847" s="1023"/>
      <c r="P847" s="1023"/>
      <c r="Q847" s="1023"/>
      <c r="R847" s="1023"/>
      <c r="S847" s="1023"/>
      <c r="T847" s="934"/>
      <c r="U847" s="934"/>
      <c r="V847" s="934"/>
      <c r="W847" s="934"/>
      <c r="X847" s="934"/>
      <c r="Y847" s="934"/>
      <c r="Z847" s="934"/>
    </row>
    <row r="848" spans="1:26" ht="16.5" customHeight="1">
      <c r="A848" s="1040"/>
      <c r="B848" s="1052" t="s">
        <v>1309</v>
      </c>
      <c r="C848" s="1051" t="e">
        <f>#REF!*70%</f>
        <v>#REF!</v>
      </c>
      <c r="D848" s="1050" t="s">
        <v>1310</v>
      </c>
      <c r="E848" s="1045" t="s">
        <v>1311</v>
      </c>
      <c r="F848" s="1040"/>
      <c r="G848" s="1040"/>
      <c r="H848" s="1040"/>
      <c r="I848" s="1040"/>
      <c r="J848" s="1040"/>
      <c r="K848" s="1023"/>
      <c r="L848" s="1023"/>
      <c r="M848" s="1023"/>
      <c r="N848" s="1023"/>
      <c r="O848" s="1023"/>
      <c r="P848" s="1023"/>
      <c r="Q848" s="1023"/>
      <c r="R848" s="1023"/>
      <c r="S848" s="1023"/>
      <c r="T848" s="934"/>
      <c r="U848" s="934"/>
      <c r="V848" s="934"/>
      <c r="W848" s="934"/>
      <c r="X848" s="934"/>
      <c r="Y848" s="934"/>
      <c r="Z848" s="934"/>
    </row>
    <row r="849" spans="1:26" ht="16.5" customHeight="1">
      <c r="A849" s="1040"/>
      <c r="B849" s="1047">
        <v>50000</v>
      </c>
      <c r="C849" s="1046">
        <v>210</v>
      </c>
      <c r="D849" s="1049"/>
      <c r="E849" s="1048" t="e">
        <f>C848-B849</f>
        <v>#REF!</v>
      </c>
      <c r="F849" s="1040"/>
      <c r="G849" s="1040"/>
      <c r="H849" s="1040"/>
      <c r="I849" s="1040"/>
      <c r="J849" s="1040"/>
      <c r="K849" s="1023"/>
      <c r="L849" s="1023"/>
      <c r="M849" s="1023"/>
      <c r="N849" s="1023"/>
      <c r="O849" s="1023"/>
      <c r="P849" s="1023"/>
      <c r="Q849" s="1023"/>
      <c r="R849" s="1023"/>
      <c r="S849" s="1023"/>
      <c r="T849" s="934"/>
      <c r="U849" s="934"/>
      <c r="V849" s="934"/>
      <c r="W849" s="934"/>
      <c r="X849" s="934"/>
      <c r="Y849" s="934"/>
      <c r="Z849" s="934"/>
    </row>
    <row r="850" spans="1:26" ht="16.5" customHeight="1">
      <c r="A850" s="1040"/>
      <c r="B850" s="1047">
        <v>100000</v>
      </c>
      <c r="C850" s="1046" t="e">
        <f>IF(E849&lt;0,0,IF(D850&lt;E849,D850*10/10000,E849*10/10000))</f>
        <v>#REF!</v>
      </c>
      <c r="D850" s="1046">
        <f t="shared" ref="D850:D855" si="86">B850-B849</f>
        <v>50000</v>
      </c>
      <c r="E850" s="1048" t="e">
        <f t="shared" ref="E850:E855" si="87">E849-B850</f>
        <v>#REF!</v>
      </c>
      <c r="F850" s="1040"/>
      <c r="G850" s="1040"/>
      <c r="H850" s="1040"/>
      <c r="I850" s="1040"/>
      <c r="J850" s="1040"/>
      <c r="K850" s="1023"/>
      <c r="L850" s="1023"/>
      <c r="M850" s="1023"/>
      <c r="N850" s="1023"/>
      <c r="O850" s="1023"/>
      <c r="P850" s="1023"/>
      <c r="Q850" s="1023"/>
      <c r="R850" s="1023"/>
      <c r="S850" s="1023"/>
      <c r="T850" s="934"/>
      <c r="U850" s="934"/>
      <c r="V850" s="934"/>
      <c r="W850" s="934"/>
      <c r="X850" s="934"/>
      <c r="Y850" s="934"/>
      <c r="Z850" s="934"/>
    </row>
    <row r="851" spans="1:26" ht="16.5" customHeight="1">
      <c r="A851" s="1040"/>
      <c r="B851" s="1047">
        <v>300000</v>
      </c>
      <c r="C851" s="1046" t="e">
        <f>IF(E850&lt;0,0,IF(D851&lt;E850,D851*9/10000,E850*9/10000))</f>
        <v>#REF!</v>
      </c>
      <c r="D851" s="1046">
        <f t="shared" si="86"/>
        <v>200000</v>
      </c>
      <c r="E851" s="1048" t="e">
        <f t="shared" si="87"/>
        <v>#REF!</v>
      </c>
      <c r="F851" s="1040"/>
      <c r="G851" s="1040"/>
      <c r="H851" s="1040"/>
      <c r="I851" s="1040"/>
      <c r="J851" s="1040"/>
      <c r="K851" s="1023"/>
      <c r="L851" s="1023"/>
      <c r="M851" s="1023"/>
      <c r="N851" s="1023"/>
      <c r="O851" s="1023"/>
      <c r="P851" s="1023"/>
      <c r="Q851" s="1023"/>
      <c r="R851" s="1023"/>
      <c r="S851" s="1023"/>
      <c r="T851" s="934"/>
      <c r="U851" s="934"/>
      <c r="V851" s="934"/>
      <c r="W851" s="934"/>
      <c r="X851" s="934"/>
      <c r="Y851" s="934"/>
      <c r="Z851" s="934"/>
    </row>
    <row r="852" spans="1:26" ht="16.5" customHeight="1">
      <c r="A852" s="1040"/>
      <c r="B852" s="1047">
        <v>500000</v>
      </c>
      <c r="C852" s="1046" t="e">
        <f>IF(E851&lt;0,0,IF(D852&lt;E851,D852*8/10000,E851*8/10000))</f>
        <v>#REF!</v>
      </c>
      <c r="D852" s="1046">
        <f t="shared" si="86"/>
        <v>200000</v>
      </c>
      <c r="E852" s="1048" t="e">
        <f t="shared" si="87"/>
        <v>#REF!</v>
      </c>
      <c r="F852" s="1040"/>
      <c r="G852" s="1040"/>
      <c r="H852" s="1040"/>
      <c r="I852" s="1040"/>
      <c r="J852" s="1040"/>
      <c r="K852" s="1023"/>
      <c r="L852" s="1023"/>
      <c r="M852" s="1023"/>
      <c r="N852" s="1023"/>
      <c r="O852" s="1023"/>
      <c r="P852" s="1023"/>
      <c r="Q852" s="1023"/>
      <c r="R852" s="1023"/>
      <c r="S852" s="1023"/>
      <c r="T852" s="934"/>
      <c r="U852" s="934"/>
      <c r="V852" s="934"/>
      <c r="W852" s="934"/>
      <c r="X852" s="934"/>
      <c r="Y852" s="934"/>
      <c r="Z852" s="934"/>
    </row>
    <row r="853" spans="1:26" ht="16.5" customHeight="1">
      <c r="A853" s="1040"/>
      <c r="B853" s="1047">
        <v>1000000</v>
      </c>
      <c r="C853" s="1046" t="e">
        <f>IF(E852&lt;0,0,IF(D853&lt;E852,D853*7/10000,E852*7/10000))</f>
        <v>#REF!</v>
      </c>
      <c r="D853" s="1046">
        <f t="shared" si="86"/>
        <v>500000</v>
      </c>
      <c r="E853" s="1048" t="e">
        <f t="shared" si="87"/>
        <v>#REF!</v>
      </c>
      <c r="F853" s="1040"/>
      <c r="G853" s="1040"/>
      <c r="H853" s="1040"/>
      <c r="I853" s="1040"/>
      <c r="J853" s="1040"/>
      <c r="K853" s="1023"/>
      <c r="L853" s="1023"/>
      <c r="M853" s="1023"/>
      <c r="N853" s="1023"/>
      <c r="O853" s="1023"/>
      <c r="P853" s="1023"/>
      <c r="Q853" s="1023"/>
      <c r="R853" s="1023"/>
      <c r="S853" s="1023"/>
      <c r="T853" s="934"/>
      <c r="U853" s="934"/>
      <c r="V853" s="934"/>
      <c r="W853" s="934"/>
      <c r="X853" s="934"/>
      <c r="Y853" s="934"/>
      <c r="Z853" s="934"/>
    </row>
    <row r="854" spans="1:26" ht="16.5" customHeight="1">
      <c r="A854" s="1040"/>
      <c r="B854" s="1047">
        <v>2000000</v>
      </c>
      <c r="C854" s="1046" t="e">
        <f>IF(E853&lt;0,0,IF(D854&lt;E853,D854*5/10000,E853*5/10000))</f>
        <v>#REF!</v>
      </c>
      <c r="D854" s="1046">
        <f t="shared" si="86"/>
        <v>1000000</v>
      </c>
      <c r="E854" s="1048" t="e">
        <f t="shared" si="87"/>
        <v>#REF!</v>
      </c>
      <c r="F854" s="1040"/>
      <c r="G854" s="1040"/>
      <c r="H854" s="1040"/>
      <c r="I854" s="1040"/>
      <c r="J854" s="1040"/>
      <c r="K854" s="1023"/>
      <c r="L854" s="1023"/>
      <c r="M854" s="1023"/>
      <c r="N854" s="1023"/>
      <c r="O854" s="1023"/>
      <c r="P854" s="1023"/>
      <c r="Q854" s="1023"/>
      <c r="R854" s="1023"/>
      <c r="S854" s="1023"/>
      <c r="T854" s="934"/>
      <c r="U854" s="934"/>
      <c r="V854" s="934"/>
      <c r="W854" s="934"/>
      <c r="X854" s="934"/>
      <c r="Y854" s="934"/>
      <c r="Z854" s="934"/>
    </row>
    <row r="855" spans="1:26" ht="16.5" customHeight="1">
      <c r="A855" s="1040"/>
      <c r="B855" s="1047">
        <v>20000000</v>
      </c>
      <c r="C855" s="1046" t="e">
        <f>IF(E854&lt;0,0,IF(D855&lt;E854,D855*4/10000,E854*4/10000))</f>
        <v>#REF!</v>
      </c>
      <c r="D855" s="1046">
        <f t="shared" si="86"/>
        <v>18000000</v>
      </c>
      <c r="E855" s="1048" t="e">
        <f t="shared" si="87"/>
        <v>#REF!</v>
      </c>
      <c r="F855" s="1040"/>
      <c r="G855" s="1040"/>
      <c r="H855" s="1040"/>
      <c r="I855" s="1040"/>
      <c r="J855" s="1040"/>
      <c r="K855" s="1023"/>
      <c r="L855" s="1023"/>
      <c r="M855" s="1023"/>
      <c r="N855" s="1023"/>
      <c r="O855" s="1023"/>
      <c r="P855" s="1023"/>
      <c r="Q855" s="1023"/>
      <c r="R855" s="1023"/>
      <c r="S855" s="1023"/>
      <c r="T855" s="934"/>
      <c r="U855" s="934"/>
      <c r="V855" s="934"/>
      <c r="W855" s="934"/>
      <c r="X855" s="934"/>
      <c r="Y855" s="934"/>
      <c r="Z855" s="934"/>
    </row>
    <row r="856" spans="1:26" ht="16.5" customHeight="1">
      <c r="A856" s="1040"/>
      <c r="B856" s="1047" t="s">
        <v>1312</v>
      </c>
      <c r="C856" s="1046"/>
      <c r="D856" s="1046"/>
      <c r="E856" s="1048"/>
      <c r="F856" s="1040"/>
      <c r="G856" s="1040"/>
      <c r="H856" s="1040"/>
      <c r="I856" s="1040"/>
      <c r="J856" s="1040"/>
      <c r="K856" s="1023"/>
      <c r="L856" s="1023"/>
      <c r="M856" s="1023"/>
      <c r="N856" s="1023"/>
      <c r="O856" s="1023"/>
      <c r="P856" s="1023"/>
      <c r="Q856" s="1023"/>
      <c r="R856" s="1023"/>
      <c r="S856" s="1023"/>
      <c r="T856" s="934"/>
      <c r="U856" s="934"/>
      <c r="V856" s="934"/>
      <c r="W856" s="934"/>
      <c r="X856" s="934"/>
      <c r="Y856" s="934"/>
      <c r="Z856" s="934"/>
    </row>
    <row r="857" spans="1:26" ht="16.5" customHeight="1">
      <c r="A857" s="1040"/>
      <c r="B857" s="1047" t="s">
        <v>1313</v>
      </c>
      <c r="C857" s="1046" t="e">
        <f>ROUND(IF(C848&gt;20000000,8650+(C848-20000000)/10000,SUM(C849:C855)),0)</f>
        <v>#REF!</v>
      </c>
      <c r="D857" s="1040"/>
      <c r="E857" s="1045"/>
      <c r="F857" s="1040"/>
      <c r="G857" s="1040"/>
      <c r="H857" s="1040"/>
      <c r="I857" s="1040"/>
      <c r="J857" s="1040"/>
      <c r="K857" s="1023"/>
      <c r="L857" s="1023"/>
      <c r="M857" s="1023"/>
      <c r="N857" s="1023"/>
      <c r="O857" s="1023"/>
      <c r="P857" s="1023"/>
      <c r="Q857" s="1023"/>
      <c r="R857" s="1023"/>
      <c r="S857" s="1023"/>
      <c r="T857" s="934"/>
      <c r="U857" s="934"/>
      <c r="V857" s="934"/>
      <c r="W857" s="934"/>
      <c r="X857" s="934"/>
      <c r="Y857" s="934"/>
      <c r="Z857" s="934"/>
    </row>
    <row r="858" spans="1:26" ht="16.5" customHeight="1">
      <c r="A858" s="1040"/>
      <c r="B858" s="1047" t="s">
        <v>1314</v>
      </c>
      <c r="C858" s="936" t="e">
        <f>IF(C848&lt;=10000,20,IF(C848&lt;=300000,40,IF(C848&lt;=500000,70,IF(C848&lt;=1000000,150,350))))</f>
        <v>#REF!</v>
      </c>
      <c r="D858" s="1040"/>
      <c r="E858" s="1045"/>
      <c r="F858" s="1040"/>
      <c r="G858" s="1040"/>
      <c r="H858" s="1040"/>
      <c r="I858" s="1040"/>
      <c r="J858" s="1040"/>
      <c r="K858" s="1023"/>
      <c r="L858" s="1023"/>
      <c r="M858" s="1023"/>
      <c r="N858" s="1023"/>
      <c r="O858" s="1023"/>
      <c r="P858" s="1023"/>
      <c r="Q858" s="1023"/>
      <c r="R858" s="1023"/>
      <c r="S858" s="1023"/>
      <c r="T858" s="934"/>
      <c r="U858" s="934"/>
      <c r="V858" s="934"/>
      <c r="W858" s="934"/>
      <c r="X858" s="934"/>
      <c r="Y858" s="934"/>
      <c r="Z858" s="934"/>
    </row>
    <row r="859" spans="1:26" ht="16.5" customHeight="1">
      <c r="A859" s="1040"/>
      <c r="B859" s="1047" t="s">
        <v>1316</v>
      </c>
      <c r="C859" s="1046">
        <v>18</v>
      </c>
      <c r="D859" s="1040"/>
      <c r="E859" s="1045"/>
      <c r="F859" s="1040"/>
      <c r="G859" s="1040"/>
      <c r="H859" s="1040"/>
      <c r="I859" s="1040"/>
      <c r="J859" s="1040"/>
      <c r="K859" s="1023"/>
      <c r="L859" s="1023"/>
      <c r="M859" s="1023"/>
      <c r="N859" s="1023"/>
      <c r="O859" s="1023"/>
      <c r="P859" s="1023"/>
      <c r="Q859" s="1023"/>
      <c r="R859" s="1023"/>
      <c r="S859" s="1023"/>
      <c r="T859" s="934"/>
      <c r="U859" s="934"/>
      <c r="V859" s="934"/>
      <c r="W859" s="934"/>
      <c r="X859" s="934"/>
      <c r="Y859" s="934"/>
      <c r="Z859" s="934"/>
    </row>
    <row r="860" spans="1:26" ht="16.5" customHeight="1" thickBot="1">
      <c r="A860" s="1040"/>
      <c r="B860" s="1044" t="s">
        <v>1317</v>
      </c>
      <c r="C860" s="1043" t="e">
        <f>IF(C848=0,0,SUM(C857:C859))</f>
        <v>#REF!</v>
      </c>
      <c r="D860" s="1042"/>
      <c r="E860" s="1041"/>
      <c r="F860" s="1040"/>
      <c r="G860" s="1040"/>
      <c r="H860" s="1040"/>
      <c r="I860" s="1040"/>
      <c r="J860" s="1040"/>
      <c r="K860" s="1023"/>
      <c r="L860" s="1023"/>
      <c r="M860" s="1023"/>
      <c r="N860" s="1023"/>
      <c r="O860" s="1023"/>
      <c r="P860" s="1023"/>
      <c r="Q860" s="1023"/>
      <c r="R860" s="1023"/>
      <c r="S860" s="1023"/>
      <c r="T860" s="934"/>
      <c r="U860" s="934"/>
      <c r="V860" s="934"/>
      <c r="W860" s="934"/>
      <c r="X860" s="934"/>
      <c r="Y860" s="934"/>
      <c r="Z860" s="934"/>
    </row>
    <row r="861" spans="1:26" ht="16.5" customHeight="1">
      <c r="A861" s="1040"/>
      <c r="B861" s="1057" t="s">
        <v>1308</v>
      </c>
      <c r="C861" s="1056"/>
      <c r="D861" s="1055"/>
      <c r="E861" s="1054"/>
      <c r="F861" s="1040"/>
      <c r="G861" s="1040"/>
      <c r="H861" s="1040"/>
      <c r="I861" s="1040"/>
      <c r="J861" s="1040"/>
      <c r="K861" s="1023"/>
      <c r="L861" s="1023"/>
      <c r="M861" s="1023"/>
      <c r="N861" s="1023"/>
      <c r="O861" s="1023"/>
      <c r="P861" s="1023"/>
      <c r="Q861" s="1023"/>
      <c r="R861" s="1023"/>
      <c r="S861" s="1023"/>
      <c r="T861" s="934"/>
      <c r="U861" s="934"/>
      <c r="V861" s="934"/>
      <c r="W861" s="934"/>
      <c r="X861" s="934"/>
      <c r="Y861" s="934"/>
      <c r="Z861" s="934"/>
    </row>
    <row r="862" spans="1:26" ht="16.5" customHeight="1">
      <c r="A862" s="1040"/>
      <c r="B862" s="1053"/>
      <c r="C862" s="1046"/>
      <c r="D862" s="1040"/>
      <c r="E862" s="1045"/>
      <c r="F862" s="1040"/>
      <c r="G862" s="1040"/>
      <c r="H862" s="1040"/>
      <c r="I862" s="1040"/>
      <c r="J862" s="1040"/>
      <c r="K862" s="1023"/>
      <c r="L862" s="1023"/>
      <c r="M862" s="1023"/>
      <c r="N862" s="1023"/>
      <c r="O862" s="1023"/>
      <c r="P862" s="1023"/>
      <c r="Q862" s="1023"/>
      <c r="R862" s="1023"/>
      <c r="S862" s="1023"/>
      <c r="T862" s="934"/>
      <c r="U862" s="934"/>
      <c r="V862" s="934"/>
      <c r="W862" s="934"/>
      <c r="X862" s="934"/>
      <c r="Y862" s="934"/>
      <c r="Z862" s="934"/>
    </row>
    <row r="863" spans="1:26" ht="16.5" customHeight="1">
      <c r="A863" s="1040"/>
      <c r="B863" s="1052" t="s">
        <v>1309</v>
      </c>
      <c r="C863" s="1051" t="e">
        <f>#REF!*70%</f>
        <v>#REF!</v>
      </c>
      <c r="D863" s="1050" t="s">
        <v>1310</v>
      </c>
      <c r="E863" s="1045" t="s">
        <v>1311</v>
      </c>
      <c r="F863" s="1040"/>
      <c r="G863" s="1040"/>
      <c r="H863" s="1040"/>
      <c r="I863" s="1040"/>
      <c r="J863" s="1040"/>
      <c r="K863" s="1023"/>
      <c r="L863" s="1023"/>
      <c r="M863" s="1023"/>
      <c r="N863" s="1023"/>
      <c r="O863" s="1023"/>
      <c r="P863" s="1023"/>
      <c r="Q863" s="1023"/>
      <c r="R863" s="1023"/>
      <c r="S863" s="1023"/>
      <c r="T863" s="934"/>
      <c r="U863" s="934"/>
      <c r="V863" s="934"/>
      <c r="W863" s="934"/>
      <c r="X863" s="934"/>
      <c r="Y863" s="934"/>
      <c r="Z863" s="934"/>
    </row>
    <row r="864" spans="1:26" ht="16.5" customHeight="1">
      <c r="A864" s="1040"/>
      <c r="B864" s="1047">
        <v>50000</v>
      </c>
      <c r="C864" s="1046">
        <v>210</v>
      </c>
      <c r="D864" s="1049"/>
      <c r="E864" s="1048" t="e">
        <f>C863-B864</f>
        <v>#REF!</v>
      </c>
      <c r="F864" s="1040"/>
      <c r="G864" s="1040"/>
      <c r="H864" s="1040"/>
      <c r="I864" s="1040"/>
      <c r="J864" s="1040"/>
      <c r="K864" s="1023"/>
      <c r="L864" s="1023"/>
      <c r="M864" s="1023"/>
      <c r="N864" s="1023"/>
      <c r="O864" s="1023"/>
      <c r="P864" s="1023"/>
      <c r="Q864" s="1023"/>
      <c r="R864" s="1023"/>
      <c r="S864" s="1023"/>
      <c r="T864" s="934"/>
      <c r="U864" s="934"/>
      <c r="V864" s="934"/>
      <c r="W864" s="934"/>
      <c r="X864" s="934"/>
      <c r="Y864" s="934"/>
      <c r="Z864" s="934"/>
    </row>
    <row r="865" spans="1:26" ht="16.5" customHeight="1">
      <c r="A865" s="1040"/>
      <c r="B865" s="1047">
        <v>100000</v>
      </c>
      <c r="C865" s="1046" t="e">
        <f>IF(E864&lt;0,0,IF(D865&lt;E864,D865*10/10000,E864*10/10000))</f>
        <v>#REF!</v>
      </c>
      <c r="D865" s="1046">
        <f t="shared" ref="D865:D870" si="88">B865-B864</f>
        <v>50000</v>
      </c>
      <c r="E865" s="1048" t="e">
        <f t="shared" ref="E865:E870" si="89">E864-B865</f>
        <v>#REF!</v>
      </c>
      <c r="F865" s="1040"/>
      <c r="G865" s="1040"/>
      <c r="H865" s="1040"/>
      <c r="I865" s="1040"/>
      <c r="J865" s="1040"/>
      <c r="K865" s="1023"/>
      <c r="L865" s="1023"/>
      <c r="M865" s="1023"/>
      <c r="N865" s="1023"/>
      <c r="O865" s="1023"/>
      <c r="P865" s="1023"/>
      <c r="Q865" s="1023"/>
      <c r="R865" s="1023"/>
      <c r="S865" s="1023"/>
      <c r="T865" s="934"/>
      <c r="U865" s="934"/>
      <c r="V865" s="934"/>
      <c r="W865" s="934"/>
      <c r="X865" s="934"/>
      <c r="Y865" s="934"/>
      <c r="Z865" s="934"/>
    </row>
    <row r="866" spans="1:26" ht="16.5" customHeight="1">
      <c r="A866" s="1040"/>
      <c r="B866" s="1047">
        <v>300000</v>
      </c>
      <c r="C866" s="1046" t="e">
        <f>IF(E865&lt;0,0,IF(D866&lt;E865,D866*9/10000,E865*9/10000))</f>
        <v>#REF!</v>
      </c>
      <c r="D866" s="1046">
        <f t="shared" si="88"/>
        <v>200000</v>
      </c>
      <c r="E866" s="1048" t="e">
        <f t="shared" si="89"/>
        <v>#REF!</v>
      </c>
      <c r="F866" s="1040"/>
      <c r="G866" s="1040"/>
      <c r="H866" s="1040"/>
      <c r="I866" s="1040"/>
      <c r="J866" s="1040"/>
      <c r="K866" s="1023"/>
      <c r="L866" s="1023"/>
      <c r="M866" s="1023"/>
      <c r="N866" s="1023"/>
      <c r="O866" s="1023"/>
      <c r="P866" s="1023"/>
      <c r="Q866" s="1023"/>
      <c r="R866" s="1023"/>
      <c r="S866" s="1023"/>
      <c r="T866" s="934"/>
      <c r="U866" s="934"/>
      <c r="V866" s="934"/>
      <c r="W866" s="934"/>
      <c r="X866" s="934"/>
      <c r="Y866" s="934"/>
      <c r="Z866" s="934"/>
    </row>
    <row r="867" spans="1:26" ht="16.5" customHeight="1">
      <c r="A867" s="1040"/>
      <c r="B867" s="1047">
        <v>500000</v>
      </c>
      <c r="C867" s="1046" t="e">
        <f>IF(E866&lt;0,0,IF(D867&lt;E866,D867*8/10000,E866*8/10000))</f>
        <v>#REF!</v>
      </c>
      <c r="D867" s="1046">
        <f t="shared" si="88"/>
        <v>200000</v>
      </c>
      <c r="E867" s="1048" t="e">
        <f t="shared" si="89"/>
        <v>#REF!</v>
      </c>
      <c r="F867" s="1040"/>
      <c r="G867" s="1040"/>
      <c r="H867" s="1040"/>
      <c r="I867" s="1040"/>
      <c r="J867" s="1040"/>
      <c r="K867" s="1023"/>
      <c r="L867" s="1023"/>
      <c r="M867" s="1023"/>
      <c r="N867" s="1023"/>
      <c r="O867" s="1023"/>
      <c r="P867" s="1023"/>
      <c r="Q867" s="1023"/>
      <c r="R867" s="1023"/>
      <c r="S867" s="1023"/>
      <c r="T867" s="934"/>
      <c r="U867" s="934"/>
      <c r="V867" s="934"/>
      <c r="W867" s="934"/>
      <c r="X867" s="934"/>
      <c r="Y867" s="934"/>
      <c r="Z867" s="934"/>
    </row>
    <row r="868" spans="1:26" ht="16.5" customHeight="1">
      <c r="A868" s="1040"/>
      <c r="B868" s="1047">
        <v>1000000</v>
      </c>
      <c r="C868" s="1046" t="e">
        <f>IF(E867&lt;0,0,IF(D868&lt;E867,D868*7/10000,E867*7/10000))</f>
        <v>#REF!</v>
      </c>
      <c r="D868" s="1046">
        <f t="shared" si="88"/>
        <v>500000</v>
      </c>
      <c r="E868" s="1048" t="e">
        <f t="shared" si="89"/>
        <v>#REF!</v>
      </c>
      <c r="F868" s="1040"/>
      <c r="G868" s="1040"/>
      <c r="H868" s="1040"/>
      <c r="I868" s="1040"/>
      <c r="J868" s="1040"/>
      <c r="K868" s="1023"/>
      <c r="L868" s="1023"/>
      <c r="M868" s="1023"/>
      <c r="N868" s="1023"/>
      <c r="O868" s="1023"/>
      <c r="P868" s="1023"/>
      <c r="Q868" s="1023"/>
      <c r="R868" s="1023"/>
      <c r="S868" s="1023"/>
      <c r="T868" s="934"/>
      <c r="U868" s="934"/>
      <c r="V868" s="934"/>
      <c r="W868" s="934"/>
      <c r="X868" s="934"/>
      <c r="Y868" s="934"/>
      <c r="Z868" s="934"/>
    </row>
    <row r="869" spans="1:26" ht="16.5" customHeight="1">
      <c r="A869" s="1040"/>
      <c r="B869" s="1047">
        <v>2000000</v>
      </c>
      <c r="C869" s="1046" t="e">
        <f>IF(E868&lt;0,0,IF(D869&lt;E868,D869*5/10000,E868*5/10000))</f>
        <v>#REF!</v>
      </c>
      <c r="D869" s="1046">
        <f t="shared" si="88"/>
        <v>1000000</v>
      </c>
      <c r="E869" s="1048" t="e">
        <f t="shared" si="89"/>
        <v>#REF!</v>
      </c>
      <c r="F869" s="1040"/>
      <c r="G869" s="1040"/>
      <c r="H869" s="1040"/>
      <c r="I869" s="1040"/>
      <c r="J869" s="1040"/>
      <c r="K869" s="1023"/>
      <c r="L869" s="1023"/>
      <c r="M869" s="1023"/>
      <c r="N869" s="1023"/>
      <c r="O869" s="1023"/>
      <c r="P869" s="1023"/>
      <c r="Q869" s="1023"/>
      <c r="R869" s="1023"/>
      <c r="S869" s="1023"/>
      <c r="T869" s="934"/>
      <c r="U869" s="934"/>
      <c r="V869" s="934"/>
      <c r="W869" s="934"/>
      <c r="X869" s="934"/>
      <c r="Y869" s="934"/>
      <c r="Z869" s="934"/>
    </row>
    <row r="870" spans="1:26" ht="16.5" customHeight="1">
      <c r="A870" s="1040"/>
      <c r="B870" s="1047">
        <v>20000000</v>
      </c>
      <c r="C870" s="1046" t="e">
        <f>IF(E869&lt;0,0,IF(D870&lt;E869,D870*4/10000,E869*4/10000))</f>
        <v>#REF!</v>
      </c>
      <c r="D870" s="1046">
        <f t="shared" si="88"/>
        <v>18000000</v>
      </c>
      <c r="E870" s="1048" t="e">
        <f t="shared" si="89"/>
        <v>#REF!</v>
      </c>
      <c r="F870" s="1040"/>
      <c r="G870" s="1040"/>
      <c r="H870" s="1040"/>
      <c r="I870" s="1040"/>
      <c r="J870" s="1040"/>
      <c r="K870" s="1023"/>
      <c r="L870" s="1023"/>
      <c r="M870" s="1023"/>
      <c r="N870" s="1023"/>
      <c r="O870" s="1023"/>
      <c r="P870" s="1023"/>
      <c r="Q870" s="1023"/>
      <c r="R870" s="1023"/>
      <c r="S870" s="1023"/>
      <c r="T870" s="934"/>
      <c r="U870" s="934"/>
      <c r="V870" s="934"/>
      <c r="W870" s="934"/>
      <c r="X870" s="934"/>
      <c r="Y870" s="934"/>
      <c r="Z870" s="934"/>
    </row>
    <row r="871" spans="1:26" ht="16.5" customHeight="1">
      <c r="A871" s="1040"/>
      <c r="B871" s="1047" t="s">
        <v>1312</v>
      </c>
      <c r="C871" s="1046"/>
      <c r="D871" s="1046"/>
      <c r="E871" s="1048"/>
      <c r="F871" s="1040"/>
      <c r="G871" s="1040"/>
      <c r="H871" s="1040"/>
      <c r="I871" s="1040"/>
      <c r="J871" s="1040"/>
      <c r="K871" s="1023"/>
      <c r="L871" s="1023"/>
      <c r="M871" s="1023"/>
      <c r="N871" s="1023"/>
      <c r="O871" s="1023"/>
      <c r="P871" s="1023"/>
      <c r="Q871" s="1023"/>
      <c r="R871" s="1023"/>
      <c r="S871" s="1023"/>
      <c r="T871" s="934"/>
      <c r="U871" s="934"/>
      <c r="V871" s="934"/>
      <c r="W871" s="934"/>
      <c r="X871" s="934"/>
      <c r="Y871" s="934"/>
      <c r="Z871" s="934"/>
    </row>
    <row r="872" spans="1:26" ht="16.5" customHeight="1">
      <c r="A872" s="1040"/>
      <c r="B872" s="1047" t="s">
        <v>1313</v>
      </c>
      <c r="C872" s="1046" t="e">
        <f>ROUND(IF(C863&gt;20000000,8650+(C863-20000000)/10000,SUM(C864:C870)),0)</f>
        <v>#REF!</v>
      </c>
      <c r="D872" s="1040"/>
      <c r="E872" s="1045"/>
      <c r="F872" s="1040"/>
      <c r="G872" s="1040"/>
      <c r="H872" s="1040"/>
      <c r="I872" s="1040"/>
      <c r="J872" s="1040"/>
      <c r="K872" s="1023"/>
      <c r="L872" s="1023"/>
      <c r="M872" s="1023"/>
      <c r="N872" s="1023"/>
      <c r="O872" s="1023"/>
      <c r="P872" s="1023"/>
      <c r="Q872" s="1023"/>
      <c r="R872" s="1023"/>
      <c r="S872" s="1023"/>
      <c r="T872" s="934"/>
      <c r="U872" s="934"/>
      <c r="V872" s="934"/>
      <c r="W872" s="934"/>
      <c r="X872" s="934"/>
      <c r="Y872" s="934"/>
      <c r="Z872" s="934"/>
    </row>
    <row r="873" spans="1:26" ht="16.5" customHeight="1">
      <c r="A873" s="1040"/>
      <c r="B873" s="1047" t="s">
        <v>1314</v>
      </c>
      <c r="C873" s="936" t="e">
        <f>IF(C863&lt;=10000,20,IF(C863&lt;=300000,40,IF(C863&lt;=500000,70,IF(C863&lt;=1000000,150,350))))</f>
        <v>#REF!</v>
      </c>
      <c r="D873" s="1040"/>
      <c r="E873" s="1045"/>
      <c r="F873" s="1040"/>
      <c r="G873" s="1040"/>
      <c r="H873" s="1040"/>
      <c r="I873" s="1040"/>
      <c r="J873" s="1040"/>
      <c r="K873" s="1023"/>
      <c r="L873" s="1023"/>
      <c r="M873" s="1023"/>
      <c r="N873" s="1023"/>
      <c r="O873" s="1023"/>
      <c r="P873" s="1023"/>
      <c r="Q873" s="1023"/>
      <c r="R873" s="1023"/>
      <c r="S873" s="1023"/>
      <c r="T873" s="934"/>
      <c r="U873" s="934"/>
      <c r="V873" s="934"/>
      <c r="W873" s="934"/>
      <c r="X873" s="934"/>
      <c r="Y873" s="934"/>
      <c r="Z873" s="934"/>
    </row>
    <row r="874" spans="1:26" ht="16.5" customHeight="1">
      <c r="A874" s="1040"/>
      <c r="B874" s="1047" t="s">
        <v>1316</v>
      </c>
      <c r="C874" s="1046">
        <v>18</v>
      </c>
      <c r="D874" s="1040"/>
      <c r="E874" s="1045"/>
      <c r="F874" s="1040"/>
      <c r="G874" s="1040"/>
      <c r="H874" s="1040"/>
      <c r="I874" s="1040"/>
      <c r="J874" s="1040"/>
      <c r="K874" s="1023"/>
      <c r="L874" s="1023"/>
      <c r="M874" s="1023"/>
      <c r="N874" s="1023"/>
      <c r="O874" s="1023"/>
      <c r="P874" s="1023"/>
      <c r="Q874" s="1023"/>
      <c r="R874" s="1023"/>
      <c r="S874" s="1023"/>
      <c r="T874" s="934"/>
      <c r="U874" s="934"/>
      <c r="V874" s="934"/>
      <c r="W874" s="934"/>
      <c r="X874" s="934"/>
      <c r="Y874" s="934"/>
      <c r="Z874" s="934"/>
    </row>
    <row r="875" spans="1:26" ht="16.5" customHeight="1" thickBot="1">
      <c r="A875" s="1040"/>
      <c r="B875" s="1044" t="s">
        <v>1317</v>
      </c>
      <c r="C875" s="1043" t="e">
        <f>IF(C863=0,0,SUM(C872:C874))</f>
        <v>#REF!</v>
      </c>
      <c r="D875" s="1042"/>
      <c r="E875" s="1041"/>
      <c r="F875" s="1040"/>
      <c r="G875" s="1040"/>
      <c r="H875" s="1040"/>
      <c r="I875" s="1040"/>
      <c r="J875" s="1040"/>
      <c r="K875" s="1023"/>
      <c r="L875" s="1023"/>
      <c r="M875" s="1023"/>
      <c r="N875" s="1023"/>
      <c r="O875" s="1023"/>
      <c r="P875" s="1023"/>
      <c r="Q875" s="1023"/>
      <c r="R875" s="1023"/>
      <c r="S875" s="1023"/>
      <c r="T875" s="934"/>
      <c r="U875" s="934"/>
      <c r="V875" s="934"/>
      <c r="W875" s="934"/>
      <c r="X875" s="934"/>
      <c r="Y875" s="934"/>
      <c r="Z875" s="934"/>
    </row>
    <row r="876" spans="1:26" ht="16.5" customHeight="1">
      <c r="A876" s="1040"/>
      <c r="B876" s="1057" t="s">
        <v>1308</v>
      </c>
      <c r="C876" s="1056"/>
      <c r="D876" s="1055"/>
      <c r="E876" s="1054"/>
      <c r="F876" s="1040"/>
      <c r="G876" s="1040"/>
      <c r="H876" s="1040"/>
      <c r="I876" s="1040"/>
      <c r="J876" s="1040"/>
      <c r="K876" s="1023"/>
      <c r="L876" s="1023"/>
      <c r="M876" s="1023"/>
      <c r="N876" s="1023"/>
      <c r="O876" s="1023"/>
      <c r="P876" s="1023"/>
      <c r="Q876" s="1023"/>
      <c r="R876" s="1023"/>
      <c r="S876" s="1023"/>
      <c r="T876" s="934"/>
      <c r="U876" s="934"/>
      <c r="V876" s="934"/>
      <c r="W876" s="934"/>
      <c r="X876" s="934"/>
      <c r="Y876" s="934"/>
      <c r="Z876" s="934"/>
    </row>
    <row r="877" spans="1:26" ht="16.5" customHeight="1">
      <c r="A877" s="1040"/>
      <c r="B877" s="1053"/>
      <c r="C877" s="1046"/>
      <c r="D877" s="1040"/>
      <c r="E877" s="1045"/>
      <c r="F877" s="1040"/>
      <c r="G877" s="1040"/>
      <c r="H877" s="1040"/>
      <c r="I877" s="1040"/>
      <c r="J877" s="1040"/>
      <c r="K877" s="1023"/>
      <c r="L877" s="1023"/>
      <c r="M877" s="1023"/>
      <c r="N877" s="1023"/>
      <c r="O877" s="1023"/>
      <c r="P877" s="1023"/>
      <c r="Q877" s="1023"/>
      <c r="R877" s="1023"/>
      <c r="S877" s="1023"/>
      <c r="T877" s="934"/>
      <c r="U877" s="934"/>
      <c r="V877" s="934"/>
      <c r="W877" s="934"/>
      <c r="X877" s="934"/>
      <c r="Y877" s="934"/>
      <c r="Z877" s="934"/>
    </row>
    <row r="878" spans="1:26" ht="16.5" customHeight="1">
      <c r="A878" s="1040"/>
      <c r="B878" s="1052" t="s">
        <v>1309</v>
      </c>
      <c r="C878" s="1051" t="e">
        <f>#REF!*70%</f>
        <v>#REF!</v>
      </c>
      <c r="D878" s="1050" t="s">
        <v>1310</v>
      </c>
      <c r="E878" s="1045" t="s">
        <v>1311</v>
      </c>
      <c r="F878" s="1040"/>
      <c r="G878" s="1040"/>
      <c r="H878" s="1040"/>
      <c r="I878" s="1040"/>
      <c r="J878" s="1040"/>
      <c r="K878" s="1023"/>
      <c r="L878" s="1023"/>
      <c r="M878" s="1023"/>
      <c r="N878" s="1023"/>
      <c r="O878" s="1023"/>
      <c r="P878" s="1023"/>
      <c r="Q878" s="1023"/>
      <c r="R878" s="1023"/>
      <c r="S878" s="1023"/>
      <c r="T878" s="934"/>
      <c r="U878" s="934"/>
      <c r="V878" s="934"/>
      <c r="W878" s="934"/>
      <c r="X878" s="934"/>
      <c r="Y878" s="934"/>
      <c r="Z878" s="934"/>
    </row>
    <row r="879" spans="1:26" ht="16.5" customHeight="1">
      <c r="A879" s="1040"/>
      <c r="B879" s="1047">
        <v>50000</v>
      </c>
      <c r="C879" s="1046">
        <v>210</v>
      </c>
      <c r="D879" s="1049"/>
      <c r="E879" s="1048" t="e">
        <f>C878-B879</f>
        <v>#REF!</v>
      </c>
      <c r="F879" s="1040"/>
      <c r="G879" s="1040"/>
      <c r="H879" s="1040"/>
      <c r="I879" s="1040"/>
      <c r="J879" s="1040"/>
      <c r="K879" s="1023"/>
      <c r="L879" s="1023"/>
      <c r="M879" s="1023"/>
      <c r="N879" s="1023"/>
      <c r="O879" s="1023"/>
      <c r="P879" s="1023"/>
      <c r="Q879" s="1023"/>
      <c r="R879" s="1023"/>
      <c r="S879" s="1023"/>
      <c r="T879" s="934"/>
      <c r="U879" s="934"/>
      <c r="V879" s="934"/>
      <c r="W879" s="934"/>
      <c r="X879" s="934"/>
      <c r="Y879" s="934"/>
      <c r="Z879" s="934"/>
    </row>
    <row r="880" spans="1:26" ht="16.5" customHeight="1">
      <c r="A880" s="1040"/>
      <c r="B880" s="1047">
        <v>100000</v>
      </c>
      <c r="C880" s="1046" t="e">
        <f>IF(E879&lt;0,0,IF(D880&lt;E879,D880*10/10000,E879*10/10000))</f>
        <v>#REF!</v>
      </c>
      <c r="D880" s="1046">
        <f t="shared" ref="D880:D885" si="90">B880-B879</f>
        <v>50000</v>
      </c>
      <c r="E880" s="1048" t="e">
        <f t="shared" ref="E880:E885" si="91">E879-B880</f>
        <v>#REF!</v>
      </c>
      <c r="F880" s="1040"/>
      <c r="G880" s="1040"/>
      <c r="H880" s="1040"/>
      <c r="I880" s="1040"/>
      <c r="J880" s="1040"/>
      <c r="K880" s="1023"/>
      <c r="L880" s="1023"/>
      <c r="M880" s="1023"/>
      <c r="N880" s="1023"/>
      <c r="O880" s="1023"/>
      <c r="P880" s="1023"/>
      <c r="Q880" s="1023"/>
      <c r="R880" s="1023"/>
      <c r="S880" s="1023"/>
      <c r="T880" s="934"/>
      <c r="U880" s="934"/>
      <c r="V880" s="934"/>
      <c r="W880" s="934"/>
      <c r="X880" s="934"/>
      <c r="Y880" s="934"/>
      <c r="Z880" s="934"/>
    </row>
    <row r="881" spans="1:26" ht="16.5" customHeight="1">
      <c r="A881" s="1040"/>
      <c r="B881" s="1047">
        <v>300000</v>
      </c>
      <c r="C881" s="1046" t="e">
        <f>IF(E880&lt;0,0,IF(D881&lt;E880,D881*9/10000,E880*9/10000))</f>
        <v>#REF!</v>
      </c>
      <c r="D881" s="1046">
        <f t="shared" si="90"/>
        <v>200000</v>
      </c>
      <c r="E881" s="1048" t="e">
        <f t="shared" si="91"/>
        <v>#REF!</v>
      </c>
      <c r="F881" s="1040"/>
      <c r="G881" s="1040"/>
      <c r="H881" s="1040"/>
      <c r="I881" s="1040"/>
      <c r="J881" s="1040"/>
      <c r="K881" s="1023"/>
      <c r="L881" s="1023"/>
      <c r="M881" s="1023"/>
      <c r="N881" s="1023"/>
      <c r="O881" s="1023"/>
      <c r="P881" s="1023"/>
      <c r="Q881" s="1023"/>
      <c r="R881" s="1023"/>
      <c r="S881" s="1023"/>
      <c r="T881" s="934"/>
      <c r="U881" s="934"/>
      <c r="V881" s="934"/>
      <c r="W881" s="934"/>
      <c r="X881" s="934"/>
      <c r="Y881" s="934"/>
      <c r="Z881" s="934"/>
    </row>
    <row r="882" spans="1:26" ht="16.5" customHeight="1">
      <c r="A882" s="1040"/>
      <c r="B882" s="1047">
        <v>500000</v>
      </c>
      <c r="C882" s="1046" t="e">
        <f>IF(E881&lt;0,0,IF(D882&lt;E881,D882*8/10000,E881*8/10000))</f>
        <v>#REF!</v>
      </c>
      <c r="D882" s="1046">
        <f t="shared" si="90"/>
        <v>200000</v>
      </c>
      <c r="E882" s="1048" t="e">
        <f t="shared" si="91"/>
        <v>#REF!</v>
      </c>
      <c r="F882" s="1040"/>
      <c r="G882" s="1040"/>
      <c r="H882" s="1040"/>
      <c r="I882" s="1040"/>
      <c r="J882" s="1040"/>
      <c r="K882" s="1023"/>
      <c r="L882" s="1023"/>
      <c r="M882" s="1023"/>
      <c r="N882" s="1023"/>
      <c r="O882" s="1023"/>
      <c r="P882" s="1023"/>
      <c r="Q882" s="1023"/>
      <c r="R882" s="1023"/>
      <c r="S882" s="1023"/>
      <c r="T882" s="934"/>
      <c r="U882" s="934"/>
      <c r="V882" s="934"/>
      <c r="W882" s="934"/>
      <c r="X882" s="934"/>
      <c r="Y882" s="934"/>
      <c r="Z882" s="934"/>
    </row>
    <row r="883" spans="1:26" ht="16.5" customHeight="1">
      <c r="A883" s="1040"/>
      <c r="B883" s="1047">
        <v>1000000</v>
      </c>
      <c r="C883" s="1046" t="e">
        <f>IF(E882&lt;0,0,IF(D883&lt;E882,D883*7/10000,E882*7/10000))</f>
        <v>#REF!</v>
      </c>
      <c r="D883" s="1046">
        <f t="shared" si="90"/>
        <v>500000</v>
      </c>
      <c r="E883" s="1048" t="e">
        <f t="shared" si="91"/>
        <v>#REF!</v>
      </c>
      <c r="F883" s="1040"/>
      <c r="G883" s="1040"/>
      <c r="H883" s="1040"/>
      <c r="I883" s="1040"/>
      <c r="J883" s="1040"/>
      <c r="K883" s="1023"/>
      <c r="L883" s="1023"/>
      <c r="M883" s="1023"/>
      <c r="N883" s="1023"/>
      <c r="O883" s="1023"/>
      <c r="P883" s="1023"/>
      <c r="Q883" s="1023"/>
      <c r="R883" s="1023"/>
      <c r="S883" s="1023"/>
      <c r="T883" s="934"/>
      <c r="U883" s="934"/>
      <c r="V883" s="934"/>
      <c r="W883" s="934"/>
      <c r="X883" s="934"/>
      <c r="Y883" s="934"/>
      <c r="Z883" s="934"/>
    </row>
    <row r="884" spans="1:26" ht="16.5" customHeight="1">
      <c r="A884" s="1040"/>
      <c r="B884" s="1047">
        <v>2000000</v>
      </c>
      <c r="C884" s="1046" t="e">
        <f>IF(E883&lt;0,0,IF(D884&lt;E883,D884*5/10000,E883*5/10000))</f>
        <v>#REF!</v>
      </c>
      <c r="D884" s="1046">
        <f t="shared" si="90"/>
        <v>1000000</v>
      </c>
      <c r="E884" s="1048" t="e">
        <f t="shared" si="91"/>
        <v>#REF!</v>
      </c>
      <c r="F884" s="1040"/>
      <c r="G884" s="1040"/>
      <c r="H884" s="1040"/>
      <c r="I884" s="1040"/>
      <c r="J884" s="1040"/>
      <c r="K884" s="1023"/>
      <c r="L884" s="1023"/>
      <c r="M884" s="1023"/>
      <c r="N884" s="1023"/>
      <c r="O884" s="1023"/>
      <c r="P884" s="1023"/>
      <c r="Q884" s="1023"/>
      <c r="R884" s="1023"/>
      <c r="S884" s="1023"/>
      <c r="T884" s="934"/>
      <c r="U884" s="934"/>
      <c r="V884" s="934"/>
      <c r="W884" s="934"/>
      <c r="X884" s="934"/>
      <c r="Y884" s="934"/>
      <c r="Z884" s="934"/>
    </row>
    <row r="885" spans="1:26" ht="16.5" customHeight="1">
      <c r="A885" s="1040"/>
      <c r="B885" s="1047">
        <v>20000000</v>
      </c>
      <c r="C885" s="1046" t="e">
        <f>IF(E884&lt;0,0,IF(D885&lt;E884,D885*4/10000,E884*4/10000))</f>
        <v>#REF!</v>
      </c>
      <c r="D885" s="1046">
        <f t="shared" si="90"/>
        <v>18000000</v>
      </c>
      <c r="E885" s="1048" t="e">
        <f t="shared" si="91"/>
        <v>#REF!</v>
      </c>
      <c r="F885" s="1040"/>
      <c r="G885" s="1040"/>
      <c r="H885" s="1040"/>
      <c r="I885" s="1040"/>
      <c r="J885" s="1040"/>
      <c r="K885" s="1023"/>
      <c r="L885" s="1023"/>
      <c r="M885" s="1023"/>
      <c r="N885" s="1023"/>
      <c r="O885" s="1023"/>
      <c r="P885" s="1023"/>
      <c r="Q885" s="1023"/>
      <c r="R885" s="1023"/>
      <c r="S885" s="1023"/>
      <c r="T885" s="934"/>
      <c r="U885" s="934"/>
      <c r="V885" s="934"/>
      <c r="W885" s="934"/>
      <c r="X885" s="934"/>
      <c r="Y885" s="934"/>
      <c r="Z885" s="934"/>
    </row>
    <row r="886" spans="1:26" ht="16.5" customHeight="1">
      <c r="A886" s="1040"/>
      <c r="B886" s="1047" t="s">
        <v>1312</v>
      </c>
      <c r="C886" s="1046"/>
      <c r="D886" s="1046"/>
      <c r="E886" s="1048"/>
      <c r="F886" s="1040"/>
      <c r="G886" s="1040"/>
      <c r="H886" s="1040"/>
      <c r="I886" s="1040"/>
      <c r="J886" s="1040"/>
      <c r="K886" s="1023"/>
      <c r="L886" s="1023"/>
      <c r="M886" s="1023"/>
      <c r="N886" s="1023"/>
      <c r="O886" s="1023"/>
      <c r="P886" s="1023"/>
      <c r="Q886" s="1023"/>
      <c r="R886" s="1023"/>
      <c r="S886" s="1023"/>
      <c r="T886" s="934"/>
      <c r="U886" s="934"/>
      <c r="V886" s="934"/>
      <c r="W886" s="934"/>
      <c r="X886" s="934"/>
      <c r="Y886" s="934"/>
      <c r="Z886" s="934"/>
    </row>
    <row r="887" spans="1:26" ht="16.5" customHeight="1">
      <c r="A887" s="1040"/>
      <c r="B887" s="1047" t="s">
        <v>1313</v>
      </c>
      <c r="C887" s="1046" t="e">
        <f>ROUND(IF(C878&gt;20000000,8650+(C878-20000000)/10000,SUM(C879:C885)),0)</f>
        <v>#REF!</v>
      </c>
      <c r="D887" s="1040"/>
      <c r="E887" s="1045"/>
      <c r="F887" s="1040"/>
      <c r="G887" s="1040"/>
      <c r="H887" s="1040"/>
      <c r="I887" s="1040"/>
      <c r="J887" s="1040"/>
      <c r="K887" s="1023"/>
      <c r="L887" s="1023"/>
      <c r="M887" s="1023"/>
      <c r="N887" s="1023"/>
      <c r="O887" s="1023"/>
      <c r="P887" s="1023"/>
      <c r="Q887" s="1023"/>
      <c r="R887" s="1023"/>
      <c r="S887" s="1023"/>
      <c r="T887" s="934"/>
      <c r="U887" s="934"/>
      <c r="V887" s="934"/>
      <c r="W887" s="934"/>
      <c r="X887" s="934"/>
      <c r="Y887" s="934"/>
      <c r="Z887" s="934"/>
    </row>
    <row r="888" spans="1:26" ht="16.5" customHeight="1">
      <c r="A888" s="1040"/>
      <c r="B888" s="1047" t="s">
        <v>1314</v>
      </c>
      <c r="C888" s="936" t="e">
        <f>IF(C878&lt;=10000,20,IF(C878&lt;=300000,40,IF(C878&lt;=500000,70,IF(C878&lt;=1000000,150,350))))</f>
        <v>#REF!</v>
      </c>
      <c r="D888" s="1040"/>
      <c r="E888" s="1045"/>
      <c r="F888" s="1040"/>
      <c r="G888" s="1040"/>
      <c r="H888" s="1040"/>
      <c r="I888" s="1040"/>
      <c r="J888" s="1040"/>
      <c r="K888" s="1023"/>
      <c r="L888" s="1023"/>
      <c r="M888" s="1023"/>
      <c r="N888" s="1023"/>
      <c r="O888" s="1023"/>
      <c r="P888" s="1023"/>
      <c r="Q888" s="1023"/>
      <c r="R888" s="1023"/>
      <c r="S888" s="1023"/>
      <c r="T888" s="934"/>
      <c r="U888" s="934"/>
      <c r="V888" s="934"/>
      <c r="W888" s="934"/>
      <c r="X888" s="934"/>
      <c r="Y888" s="934"/>
      <c r="Z888" s="934"/>
    </row>
    <row r="889" spans="1:26" ht="16.5" customHeight="1">
      <c r="A889" s="1040"/>
      <c r="B889" s="1047" t="s">
        <v>1316</v>
      </c>
      <c r="C889" s="1046">
        <v>18</v>
      </c>
      <c r="D889" s="1040"/>
      <c r="E889" s="1045"/>
      <c r="F889" s="1040"/>
      <c r="G889" s="1040"/>
      <c r="H889" s="1040"/>
      <c r="I889" s="1040"/>
      <c r="J889" s="1040"/>
      <c r="K889" s="1023"/>
      <c r="L889" s="1023"/>
      <c r="M889" s="1023"/>
      <c r="N889" s="1023"/>
      <c r="O889" s="1023"/>
      <c r="P889" s="1023"/>
      <c r="Q889" s="1023"/>
      <c r="R889" s="1023"/>
      <c r="S889" s="1023"/>
      <c r="T889" s="934"/>
      <c r="U889" s="934"/>
      <c r="V889" s="934"/>
      <c r="W889" s="934"/>
      <c r="X889" s="934"/>
      <c r="Y889" s="934"/>
      <c r="Z889" s="934"/>
    </row>
    <row r="890" spans="1:26" ht="16.5" customHeight="1" thickBot="1">
      <c r="A890" s="1040"/>
      <c r="B890" s="1044" t="s">
        <v>1317</v>
      </c>
      <c r="C890" s="1043" t="e">
        <f>IF(C878=0,0,SUM(C887:C889))</f>
        <v>#REF!</v>
      </c>
      <c r="D890" s="1042"/>
      <c r="E890" s="1041"/>
      <c r="F890" s="1040"/>
      <c r="G890" s="1040"/>
      <c r="H890" s="1040"/>
      <c r="I890" s="1040"/>
      <c r="J890" s="1040"/>
      <c r="K890" s="1023"/>
      <c r="L890" s="1023"/>
      <c r="M890" s="1023"/>
      <c r="N890" s="1023"/>
      <c r="O890" s="1023"/>
      <c r="P890" s="1023"/>
      <c r="Q890" s="1023"/>
      <c r="R890" s="1023"/>
      <c r="S890" s="1023"/>
      <c r="T890" s="934"/>
      <c r="U890" s="934"/>
      <c r="V890" s="934"/>
      <c r="W890" s="934"/>
      <c r="X890" s="934"/>
      <c r="Y890" s="934"/>
      <c r="Z890" s="934"/>
    </row>
    <row r="891" spans="1:26" ht="16.5" customHeight="1">
      <c r="A891" s="1040"/>
      <c r="B891" s="1057" t="s">
        <v>1308</v>
      </c>
      <c r="C891" s="1056"/>
      <c r="D891" s="1055"/>
      <c r="E891" s="1054"/>
      <c r="F891" s="1040"/>
      <c r="G891" s="1040"/>
      <c r="H891" s="1040"/>
      <c r="I891" s="1040"/>
      <c r="J891" s="1040"/>
      <c r="K891" s="1023"/>
      <c r="L891" s="1023"/>
      <c r="M891" s="1023"/>
      <c r="N891" s="1023"/>
      <c r="O891" s="1023"/>
      <c r="P891" s="1023"/>
      <c r="Q891" s="1023"/>
      <c r="R891" s="1023"/>
      <c r="S891" s="1023"/>
      <c r="T891" s="934"/>
      <c r="U891" s="934"/>
      <c r="V891" s="934"/>
      <c r="W891" s="934"/>
      <c r="X891" s="934"/>
      <c r="Y891" s="934"/>
      <c r="Z891" s="934"/>
    </row>
    <row r="892" spans="1:26" ht="16.5" customHeight="1">
      <c r="A892" s="1040"/>
      <c r="B892" s="1053"/>
      <c r="C892" s="1046"/>
      <c r="D892" s="1040"/>
      <c r="E892" s="1045"/>
      <c r="F892" s="1040"/>
      <c r="G892" s="1040"/>
      <c r="H892" s="1040"/>
      <c r="I892" s="1040"/>
      <c r="J892" s="1040"/>
      <c r="K892" s="1023"/>
      <c r="L892" s="1023"/>
      <c r="M892" s="1023"/>
      <c r="N892" s="1023"/>
      <c r="O892" s="1023"/>
      <c r="P892" s="1023"/>
      <c r="Q892" s="1023"/>
      <c r="R892" s="1023"/>
      <c r="S892" s="1023"/>
      <c r="T892" s="934"/>
      <c r="U892" s="934"/>
      <c r="V892" s="934"/>
      <c r="W892" s="934"/>
      <c r="X892" s="934"/>
      <c r="Y892" s="934"/>
      <c r="Z892" s="934"/>
    </row>
    <row r="893" spans="1:26" ht="16.5" customHeight="1">
      <c r="A893" s="1040"/>
      <c r="B893" s="1052" t="s">
        <v>1309</v>
      </c>
      <c r="C893" s="1051" t="e">
        <f>#REF!*70%</f>
        <v>#REF!</v>
      </c>
      <c r="D893" s="1050" t="s">
        <v>1310</v>
      </c>
      <c r="E893" s="1045" t="s">
        <v>1311</v>
      </c>
      <c r="F893" s="1040"/>
      <c r="G893" s="1040"/>
      <c r="H893" s="1040"/>
      <c r="I893" s="1040"/>
      <c r="J893" s="1040"/>
      <c r="K893" s="1023"/>
      <c r="L893" s="1023"/>
      <c r="M893" s="1023"/>
      <c r="N893" s="1023"/>
      <c r="O893" s="1023"/>
      <c r="P893" s="1023"/>
      <c r="Q893" s="1023"/>
      <c r="R893" s="1023"/>
      <c r="S893" s="1023"/>
      <c r="T893" s="934"/>
      <c r="U893" s="934"/>
      <c r="V893" s="934"/>
      <c r="W893" s="934"/>
      <c r="X893" s="934"/>
      <c r="Y893" s="934"/>
      <c r="Z893" s="934"/>
    </row>
    <row r="894" spans="1:26" ht="16.5" customHeight="1">
      <c r="A894" s="1040"/>
      <c r="B894" s="1047">
        <v>50000</v>
      </c>
      <c r="C894" s="1046">
        <v>210</v>
      </c>
      <c r="D894" s="1049"/>
      <c r="E894" s="1048" t="e">
        <f>C893-B894</f>
        <v>#REF!</v>
      </c>
      <c r="F894" s="1040"/>
      <c r="G894" s="1040"/>
      <c r="H894" s="1040"/>
      <c r="I894" s="1040"/>
      <c r="J894" s="1040"/>
      <c r="K894" s="1023"/>
      <c r="L894" s="1023"/>
      <c r="M894" s="1023"/>
      <c r="N894" s="1023"/>
      <c r="O894" s="1023"/>
      <c r="P894" s="1023"/>
      <c r="Q894" s="1023"/>
      <c r="R894" s="1023"/>
      <c r="S894" s="1023"/>
      <c r="T894" s="934"/>
      <c r="U894" s="934"/>
      <c r="V894" s="934"/>
      <c r="W894" s="934"/>
      <c r="X894" s="934"/>
      <c r="Y894" s="934"/>
      <c r="Z894" s="934"/>
    </row>
    <row r="895" spans="1:26" ht="16.5" customHeight="1">
      <c r="A895" s="1040"/>
      <c r="B895" s="1047">
        <v>100000</v>
      </c>
      <c r="C895" s="1046" t="e">
        <f>IF(E894&lt;0,0,IF(D895&lt;E894,D895*10/10000,E894*10/10000))</f>
        <v>#REF!</v>
      </c>
      <c r="D895" s="1046">
        <f t="shared" ref="D895:D900" si="92">B895-B894</f>
        <v>50000</v>
      </c>
      <c r="E895" s="1048" t="e">
        <f t="shared" ref="E895:E900" si="93">E894-B895</f>
        <v>#REF!</v>
      </c>
      <c r="F895" s="1040"/>
      <c r="G895" s="1040"/>
      <c r="H895" s="1040"/>
      <c r="I895" s="1040"/>
      <c r="J895" s="1040"/>
      <c r="K895" s="1023"/>
      <c r="L895" s="1023"/>
      <c r="M895" s="1023"/>
      <c r="N895" s="1023"/>
      <c r="O895" s="1023"/>
      <c r="P895" s="1023"/>
      <c r="Q895" s="1023"/>
      <c r="R895" s="1023"/>
      <c r="S895" s="1023"/>
      <c r="T895" s="934"/>
      <c r="U895" s="934"/>
      <c r="V895" s="934"/>
      <c r="W895" s="934"/>
      <c r="X895" s="934"/>
      <c r="Y895" s="934"/>
      <c r="Z895" s="934"/>
    </row>
    <row r="896" spans="1:26" ht="16.5" customHeight="1">
      <c r="A896" s="1040"/>
      <c r="B896" s="1047">
        <v>300000</v>
      </c>
      <c r="C896" s="1046" t="e">
        <f>IF(E895&lt;0,0,IF(D896&lt;E895,D896*9/10000,E895*9/10000))</f>
        <v>#REF!</v>
      </c>
      <c r="D896" s="1046">
        <f t="shared" si="92"/>
        <v>200000</v>
      </c>
      <c r="E896" s="1048" t="e">
        <f t="shared" si="93"/>
        <v>#REF!</v>
      </c>
      <c r="F896" s="1040"/>
      <c r="G896" s="1040"/>
      <c r="H896" s="1040"/>
      <c r="I896" s="1040"/>
      <c r="J896" s="1040"/>
      <c r="K896" s="1023"/>
      <c r="L896" s="1023"/>
      <c r="M896" s="1023"/>
      <c r="N896" s="1023"/>
      <c r="O896" s="1023"/>
      <c r="P896" s="1023"/>
      <c r="Q896" s="1023"/>
      <c r="R896" s="1023"/>
      <c r="S896" s="1023"/>
      <c r="T896" s="934"/>
      <c r="U896" s="934"/>
      <c r="V896" s="934"/>
      <c r="W896" s="934"/>
      <c r="X896" s="934"/>
      <c r="Y896" s="934"/>
      <c r="Z896" s="934"/>
    </row>
    <row r="897" spans="1:26" ht="16.5" customHeight="1">
      <c r="A897" s="1040"/>
      <c r="B897" s="1047">
        <v>500000</v>
      </c>
      <c r="C897" s="1046" t="e">
        <f>IF(E896&lt;0,0,IF(D897&lt;E896,D897*8/10000,E896*8/10000))</f>
        <v>#REF!</v>
      </c>
      <c r="D897" s="1046">
        <f t="shared" si="92"/>
        <v>200000</v>
      </c>
      <c r="E897" s="1048" t="e">
        <f t="shared" si="93"/>
        <v>#REF!</v>
      </c>
      <c r="F897" s="1040"/>
      <c r="G897" s="1040"/>
      <c r="H897" s="1040"/>
      <c r="I897" s="1040"/>
      <c r="J897" s="1040"/>
      <c r="K897" s="1023"/>
      <c r="L897" s="1023"/>
      <c r="M897" s="1023"/>
      <c r="N897" s="1023"/>
      <c r="O897" s="1023"/>
      <c r="P897" s="1023"/>
      <c r="Q897" s="1023"/>
      <c r="R897" s="1023"/>
      <c r="S897" s="1023"/>
      <c r="T897" s="934"/>
      <c r="U897" s="934"/>
      <c r="V897" s="934"/>
      <c r="W897" s="934"/>
      <c r="X897" s="934"/>
      <c r="Y897" s="934"/>
      <c r="Z897" s="934"/>
    </row>
    <row r="898" spans="1:26" ht="16.5" customHeight="1">
      <c r="A898" s="1040"/>
      <c r="B898" s="1047">
        <v>1000000</v>
      </c>
      <c r="C898" s="1046" t="e">
        <f>IF(E897&lt;0,0,IF(D898&lt;E897,D898*7/10000,E897*7/10000))</f>
        <v>#REF!</v>
      </c>
      <c r="D898" s="1046">
        <f t="shared" si="92"/>
        <v>500000</v>
      </c>
      <c r="E898" s="1048" t="e">
        <f t="shared" si="93"/>
        <v>#REF!</v>
      </c>
      <c r="F898" s="1040"/>
      <c r="G898" s="1040"/>
      <c r="H898" s="1040"/>
      <c r="I898" s="1040"/>
      <c r="J898" s="1040"/>
      <c r="K898" s="1023"/>
      <c r="L898" s="1023"/>
      <c r="M898" s="1023"/>
      <c r="N898" s="1023"/>
      <c r="O898" s="1023"/>
      <c r="P898" s="1023"/>
      <c r="Q898" s="1023"/>
      <c r="R898" s="1023"/>
      <c r="S898" s="1023"/>
      <c r="T898" s="934"/>
      <c r="U898" s="934"/>
      <c r="V898" s="934"/>
      <c r="W898" s="934"/>
      <c r="X898" s="934"/>
      <c r="Y898" s="934"/>
      <c r="Z898" s="934"/>
    </row>
    <row r="899" spans="1:26" ht="16.5" customHeight="1">
      <c r="A899" s="1040"/>
      <c r="B899" s="1047">
        <v>2000000</v>
      </c>
      <c r="C899" s="1046" t="e">
        <f>IF(E898&lt;0,0,IF(D899&lt;E898,D899*5/10000,E898*5/10000))</f>
        <v>#REF!</v>
      </c>
      <c r="D899" s="1046">
        <f t="shared" si="92"/>
        <v>1000000</v>
      </c>
      <c r="E899" s="1048" t="e">
        <f t="shared" si="93"/>
        <v>#REF!</v>
      </c>
      <c r="F899" s="1040"/>
      <c r="G899" s="1040"/>
      <c r="H899" s="1040"/>
      <c r="I899" s="1040"/>
      <c r="J899" s="1040"/>
      <c r="K899" s="1023"/>
      <c r="L899" s="1023"/>
      <c r="M899" s="1023"/>
      <c r="N899" s="1023"/>
      <c r="O899" s="1023"/>
      <c r="P899" s="1023"/>
      <c r="Q899" s="1023"/>
      <c r="R899" s="1023"/>
      <c r="S899" s="1023"/>
      <c r="T899" s="934"/>
      <c r="U899" s="934"/>
      <c r="V899" s="934"/>
      <c r="W899" s="934"/>
      <c r="X899" s="934"/>
      <c r="Y899" s="934"/>
      <c r="Z899" s="934"/>
    </row>
    <row r="900" spans="1:26" ht="16.5" customHeight="1">
      <c r="A900" s="1040"/>
      <c r="B900" s="1047">
        <v>20000000</v>
      </c>
      <c r="C900" s="1046" t="e">
        <f>IF(E899&lt;0,0,IF(D900&lt;E899,D900*4/10000,E899*4/10000))</f>
        <v>#REF!</v>
      </c>
      <c r="D900" s="1046">
        <f t="shared" si="92"/>
        <v>18000000</v>
      </c>
      <c r="E900" s="1048" t="e">
        <f t="shared" si="93"/>
        <v>#REF!</v>
      </c>
      <c r="F900" s="1040"/>
      <c r="G900" s="1040"/>
      <c r="H900" s="1040"/>
      <c r="I900" s="1040"/>
      <c r="J900" s="1040"/>
      <c r="K900" s="1023"/>
      <c r="L900" s="1023"/>
      <c r="M900" s="1023"/>
      <c r="N900" s="1023"/>
      <c r="O900" s="1023"/>
      <c r="P900" s="1023"/>
      <c r="Q900" s="1023"/>
      <c r="R900" s="1023"/>
      <c r="S900" s="1023"/>
      <c r="T900" s="934"/>
      <c r="U900" s="934"/>
      <c r="V900" s="934"/>
      <c r="W900" s="934"/>
      <c r="X900" s="934"/>
      <c r="Y900" s="934"/>
      <c r="Z900" s="934"/>
    </row>
    <row r="901" spans="1:26" ht="16.5" customHeight="1">
      <c r="A901" s="1040"/>
      <c r="B901" s="1047" t="s">
        <v>1312</v>
      </c>
      <c r="C901" s="1046"/>
      <c r="D901" s="1046"/>
      <c r="E901" s="1048"/>
      <c r="F901" s="1040"/>
      <c r="G901" s="1040"/>
      <c r="H901" s="1040"/>
      <c r="I901" s="1040"/>
      <c r="J901" s="1040"/>
      <c r="K901" s="1023"/>
      <c r="L901" s="1023"/>
      <c r="M901" s="1023"/>
      <c r="N901" s="1023"/>
      <c r="O901" s="1023"/>
      <c r="P901" s="1023"/>
      <c r="Q901" s="1023"/>
      <c r="R901" s="1023"/>
      <c r="S901" s="1023"/>
      <c r="T901" s="934"/>
      <c r="U901" s="934"/>
      <c r="V901" s="934"/>
      <c r="W901" s="934"/>
      <c r="X901" s="934"/>
      <c r="Y901" s="934"/>
      <c r="Z901" s="934"/>
    </row>
    <row r="902" spans="1:26" ht="16.5" customHeight="1">
      <c r="A902" s="1040"/>
      <c r="B902" s="1047" t="s">
        <v>1313</v>
      </c>
      <c r="C902" s="1046" t="e">
        <f>ROUND(IF(C893&gt;20000000,8650+(C893-20000000)/10000,SUM(C894:C900)),0)</f>
        <v>#REF!</v>
      </c>
      <c r="D902" s="1040"/>
      <c r="E902" s="1045"/>
      <c r="F902" s="1040"/>
      <c r="G902" s="1040"/>
      <c r="H902" s="1040"/>
      <c r="I902" s="1040"/>
      <c r="J902" s="1040"/>
      <c r="K902" s="1023"/>
      <c r="L902" s="1023"/>
      <c r="M902" s="1023"/>
      <c r="N902" s="1023"/>
      <c r="O902" s="1023"/>
      <c r="P902" s="1023"/>
      <c r="Q902" s="1023"/>
      <c r="R902" s="1023"/>
      <c r="S902" s="1023"/>
      <c r="T902" s="934"/>
      <c r="U902" s="934"/>
      <c r="V902" s="934"/>
      <c r="W902" s="934"/>
      <c r="X902" s="934"/>
      <c r="Y902" s="934"/>
      <c r="Z902" s="934"/>
    </row>
    <row r="903" spans="1:26" ht="16.5" customHeight="1">
      <c r="A903" s="1040"/>
      <c r="B903" s="1047" t="s">
        <v>1314</v>
      </c>
      <c r="C903" s="936" t="e">
        <f>IF(C893&lt;=10000,20,IF(C893&lt;=300000,40,IF(C893&lt;=500000,70,IF(C893&lt;=1000000,150,350))))</f>
        <v>#REF!</v>
      </c>
      <c r="D903" s="1040"/>
      <c r="E903" s="1045"/>
      <c r="F903" s="1040"/>
      <c r="G903" s="1040"/>
      <c r="H903" s="1040"/>
      <c r="I903" s="1040"/>
      <c r="J903" s="1040"/>
      <c r="K903" s="1023"/>
      <c r="L903" s="1023"/>
      <c r="M903" s="1023"/>
      <c r="N903" s="1023"/>
      <c r="O903" s="1023"/>
      <c r="P903" s="1023"/>
      <c r="Q903" s="1023"/>
      <c r="R903" s="1023"/>
      <c r="S903" s="1023"/>
      <c r="T903" s="934"/>
      <c r="U903" s="934"/>
      <c r="V903" s="934"/>
      <c r="W903" s="934"/>
      <c r="X903" s="934"/>
      <c r="Y903" s="934"/>
      <c r="Z903" s="934"/>
    </row>
    <row r="904" spans="1:26" ht="16.5" customHeight="1">
      <c r="A904" s="1040"/>
      <c r="B904" s="1047" t="s">
        <v>1316</v>
      </c>
      <c r="C904" s="1046">
        <v>18</v>
      </c>
      <c r="D904" s="1040"/>
      <c r="E904" s="1045"/>
      <c r="F904" s="1040"/>
      <c r="G904" s="1040"/>
      <c r="H904" s="1040"/>
      <c r="I904" s="1040"/>
      <c r="J904" s="1040"/>
      <c r="K904" s="1023"/>
      <c r="L904" s="1023"/>
      <c r="M904" s="1023"/>
      <c r="N904" s="1023"/>
      <c r="O904" s="1023"/>
      <c r="P904" s="1023"/>
      <c r="Q904" s="1023"/>
      <c r="R904" s="1023"/>
      <c r="S904" s="1023"/>
      <c r="T904" s="934"/>
      <c r="U904" s="934"/>
      <c r="V904" s="934"/>
      <c r="W904" s="934"/>
      <c r="X904" s="934"/>
      <c r="Y904" s="934"/>
      <c r="Z904" s="934"/>
    </row>
    <row r="905" spans="1:26" ht="16.5" customHeight="1" thickBot="1">
      <c r="A905" s="1040"/>
      <c r="B905" s="1044" t="s">
        <v>1317</v>
      </c>
      <c r="C905" s="1043" t="e">
        <f>IF(C893=0,0,SUM(C902:C904))</f>
        <v>#REF!</v>
      </c>
      <c r="D905" s="1042"/>
      <c r="E905" s="1041"/>
      <c r="F905" s="1040"/>
      <c r="G905" s="1040"/>
      <c r="H905" s="1040"/>
      <c r="I905" s="1040"/>
      <c r="J905" s="1040"/>
      <c r="K905" s="1023"/>
      <c r="L905" s="1023"/>
      <c r="M905" s="1023"/>
      <c r="N905" s="1023"/>
      <c r="O905" s="1023"/>
      <c r="P905" s="1023"/>
      <c r="Q905" s="1023"/>
      <c r="R905" s="1023"/>
      <c r="S905" s="1023"/>
      <c r="T905" s="934"/>
      <c r="U905" s="934"/>
      <c r="V905" s="934"/>
      <c r="W905" s="934"/>
      <c r="X905" s="934"/>
      <c r="Y905" s="934"/>
      <c r="Z905" s="934"/>
    </row>
    <row r="906" spans="1:26" ht="16.5" customHeight="1">
      <c r="A906" s="1040"/>
      <c r="B906" s="1057" t="s">
        <v>1308</v>
      </c>
      <c r="C906" s="1056"/>
      <c r="D906" s="1055"/>
      <c r="E906" s="1054"/>
      <c r="F906" s="1040"/>
      <c r="G906" s="1040"/>
      <c r="H906" s="1040"/>
      <c r="I906" s="1040"/>
      <c r="J906" s="1040"/>
      <c r="K906" s="1023"/>
      <c r="L906" s="1023"/>
      <c r="M906" s="1023"/>
      <c r="N906" s="1023"/>
      <c r="O906" s="1023"/>
      <c r="P906" s="1023"/>
      <c r="Q906" s="1023"/>
      <c r="R906" s="1023"/>
      <c r="S906" s="1023"/>
      <c r="T906" s="934"/>
      <c r="U906" s="934"/>
      <c r="V906" s="934"/>
      <c r="W906" s="934"/>
      <c r="X906" s="934"/>
      <c r="Y906" s="934"/>
      <c r="Z906" s="934"/>
    </row>
    <row r="907" spans="1:26" ht="16.5" customHeight="1">
      <c r="A907" s="1040"/>
      <c r="B907" s="1053"/>
      <c r="C907" s="1046"/>
      <c r="D907" s="1040"/>
      <c r="E907" s="1045"/>
      <c r="F907" s="1040"/>
      <c r="G907" s="1040"/>
      <c r="H907" s="1040"/>
      <c r="I907" s="1040"/>
      <c r="J907" s="1040"/>
      <c r="K907" s="1023"/>
      <c r="L907" s="1023"/>
      <c r="M907" s="1023"/>
      <c r="N907" s="1023"/>
      <c r="O907" s="1023"/>
      <c r="P907" s="1023"/>
      <c r="Q907" s="1023"/>
      <c r="R907" s="1023"/>
      <c r="S907" s="1023"/>
      <c r="T907" s="934"/>
      <c r="U907" s="934"/>
      <c r="V907" s="934"/>
      <c r="W907" s="934"/>
      <c r="X907" s="934"/>
      <c r="Y907" s="934"/>
      <c r="Z907" s="934"/>
    </row>
    <row r="908" spans="1:26" ht="16.5" customHeight="1">
      <c r="A908" s="1040"/>
      <c r="B908" s="1052" t="s">
        <v>1309</v>
      </c>
      <c r="C908" s="1051" t="e">
        <f>#REF!*70%</f>
        <v>#REF!</v>
      </c>
      <c r="D908" s="1050" t="s">
        <v>1310</v>
      </c>
      <c r="E908" s="1045" t="s">
        <v>1311</v>
      </c>
      <c r="F908" s="1040"/>
      <c r="G908" s="1040"/>
      <c r="H908" s="1040"/>
      <c r="I908" s="1040"/>
      <c r="J908" s="1040"/>
      <c r="K908" s="1023"/>
      <c r="L908" s="1023"/>
      <c r="M908" s="1023"/>
      <c r="N908" s="1023"/>
      <c r="O908" s="1023"/>
      <c r="P908" s="1023"/>
      <c r="Q908" s="1023"/>
      <c r="R908" s="1023"/>
      <c r="S908" s="1023"/>
      <c r="T908" s="934"/>
      <c r="U908" s="934"/>
      <c r="V908" s="934"/>
      <c r="W908" s="934"/>
      <c r="X908" s="934"/>
      <c r="Y908" s="934"/>
      <c r="Z908" s="934"/>
    </row>
    <row r="909" spans="1:26" ht="16.5" customHeight="1">
      <c r="A909" s="1040"/>
      <c r="B909" s="1047">
        <v>50000</v>
      </c>
      <c r="C909" s="1046">
        <v>210</v>
      </c>
      <c r="D909" s="1049"/>
      <c r="E909" s="1048" t="e">
        <f>C908-B909</f>
        <v>#REF!</v>
      </c>
      <c r="F909" s="1040"/>
      <c r="G909" s="1040"/>
      <c r="H909" s="1040"/>
      <c r="I909" s="1040"/>
      <c r="J909" s="1040"/>
      <c r="K909" s="1023"/>
      <c r="L909" s="1023"/>
      <c r="M909" s="1023"/>
      <c r="N909" s="1023"/>
      <c r="O909" s="1023"/>
      <c r="P909" s="1023"/>
      <c r="Q909" s="1023"/>
      <c r="R909" s="1023"/>
      <c r="S909" s="1023"/>
      <c r="T909" s="934"/>
      <c r="U909" s="934"/>
      <c r="V909" s="934"/>
      <c r="W909" s="934"/>
      <c r="X909" s="934"/>
      <c r="Y909" s="934"/>
      <c r="Z909" s="934"/>
    </row>
    <row r="910" spans="1:26" ht="16.5" customHeight="1">
      <c r="A910" s="1040"/>
      <c r="B910" s="1047">
        <v>100000</v>
      </c>
      <c r="C910" s="1046" t="e">
        <f>IF(E909&lt;0,0,IF(D910&lt;E909,D910*10/10000,E909*10/10000))</f>
        <v>#REF!</v>
      </c>
      <c r="D910" s="1046">
        <f t="shared" ref="D910:D915" si="94">B910-B909</f>
        <v>50000</v>
      </c>
      <c r="E910" s="1048" t="e">
        <f t="shared" ref="E910:E915" si="95">E909-B910</f>
        <v>#REF!</v>
      </c>
      <c r="F910" s="1040"/>
      <c r="G910" s="1040"/>
      <c r="H910" s="1040"/>
      <c r="I910" s="1040"/>
      <c r="J910" s="1040"/>
      <c r="K910" s="1023"/>
      <c r="L910" s="1023"/>
      <c r="M910" s="1023"/>
      <c r="N910" s="1023"/>
      <c r="O910" s="1023"/>
      <c r="P910" s="1023"/>
      <c r="Q910" s="1023"/>
      <c r="R910" s="1023"/>
      <c r="S910" s="1023"/>
      <c r="T910" s="934"/>
      <c r="U910" s="934"/>
      <c r="V910" s="934"/>
      <c r="W910" s="934"/>
      <c r="X910" s="934"/>
      <c r="Y910" s="934"/>
      <c r="Z910" s="934"/>
    </row>
    <row r="911" spans="1:26" ht="16.5" customHeight="1">
      <c r="A911" s="1040"/>
      <c r="B911" s="1047">
        <v>300000</v>
      </c>
      <c r="C911" s="1046" t="e">
        <f>IF(E910&lt;0,0,IF(D911&lt;E910,D911*9/10000,E910*9/10000))</f>
        <v>#REF!</v>
      </c>
      <c r="D911" s="1046">
        <f t="shared" si="94"/>
        <v>200000</v>
      </c>
      <c r="E911" s="1048" t="e">
        <f t="shared" si="95"/>
        <v>#REF!</v>
      </c>
      <c r="F911" s="1040"/>
      <c r="G911" s="1040"/>
      <c r="H911" s="1040"/>
      <c r="I911" s="1040"/>
      <c r="J911" s="1040"/>
      <c r="K911" s="1023"/>
      <c r="L911" s="1023"/>
      <c r="M911" s="1023"/>
      <c r="N911" s="1023"/>
      <c r="O911" s="1023"/>
      <c r="P911" s="1023"/>
      <c r="Q911" s="1023"/>
      <c r="R911" s="1023"/>
      <c r="S911" s="1023"/>
      <c r="T911" s="934"/>
      <c r="U911" s="934"/>
      <c r="V911" s="934"/>
      <c r="W911" s="934"/>
      <c r="X911" s="934"/>
      <c r="Y911" s="934"/>
      <c r="Z911" s="934"/>
    </row>
    <row r="912" spans="1:26" ht="16.5" customHeight="1">
      <c r="A912" s="1040"/>
      <c r="B912" s="1047">
        <v>500000</v>
      </c>
      <c r="C912" s="1046" t="e">
        <f>IF(E911&lt;0,0,IF(D912&lt;E911,D912*8/10000,E911*8/10000))</f>
        <v>#REF!</v>
      </c>
      <c r="D912" s="1046">
        <f t="shared" si="94"/>
        <v>200000</v>
      </c>
      <c r="E912" s="1048" t="e">
        <f t="shared" si="95"/>
        <v>#REF!</v>
      </c>
      <c r="F912" s="1040"/>
      <c r="G912" s="1040"/>
      <c r="H912" s="1040"/>
      <c r="I912" s="1040"/>
      <c r="J912" s="1040"/>
      <c r="K912" s="1023"/>
      <c r="L912" s="1023"/>
      <c r="M912" s="1023"/>
      <c r="N912" s="1023"/>
      <c r="O912" s="1023"/>
      <c r="P912" s="1023"/>
      <c r="Q912" s="1023"/>
      <c r="R912" s="1023"/>
      <c r="S912" s="1023"/>
      <c r="T912" s="934"/>
      <c r="U912" s="934"/>
      <c r="V912" s="934"/>
      <c r="W912" s="934"/>
      <c r="X912" s="934"/>
      <c r="Y912" s="934"/>
      <c r="Z912" s="934"/>
    </row>
    <row r="913" spans="1:26" ht="16.5" customHeight="1">
      <c r="A913" s="1040"/>
      <c r="B913" s="1047">
        <v>1000000</v>
      </c>
      <c r="C913" s="1046" t="e">
        <f>IF(E912&lt;0,0,IF(D913&lt;E912,D913*7/10000,E912*7/10000))</f>
        <v>#REF!</v>
      </c>
      <c r="D913" s="1046">
        <f t="shared" si="94"/>
        <v>500000</v>
      </c>
      <c r="E913" s="1048" t="e">
        <f t="shared" si="95"/>
        <v>#REF!</v>
      </c>
      <c r="F913" s="1040"/>
      <c r="G913" s="1040"/>
      <c r="H913" s="1040"/>
      <c r="I913" s="1040"/>
      <c r="J913" s="1040"/>
      <c r="K913" s="1023"/>
      <c r="L913" s="1023"/>
      <c r="M913" s="1023"/>
      <c r="N913" s="1023"/>
      <c r="O913" s="1023"/>
      <c r="P913" s="1023"/>
      <c r="Q913" s="1023"/>
      <c r="R913" s="1023"/>
      <c r="S913" s="1023"/>
      <c r="T913" s="934"/>
      <c r="U913" s="934"/>
      <c r="V913" s="934"/>
      <c r="W913" s="934"/>
      <c r="X913" s="934"/>
      <c r="Y913" s="934"/>
      <c r="Z913" s="934"/>
    </row>
    <row r="914" spans="1:26" ht="16.5" customHeight="1">
      <c r="A914" s="1040"/>
      <c r="B914" s="1047">
        <v>2000000</v>
      </c>
      <c r="C914" s="1046" t="e">
        <f>IF(E913&lt;0,0,IF(D914&lt;E913,D914*5/10000,E913*5/10000))</f>
        <v>#REF!</v>
      </c>
      <c r="D914" s="1046">
        <f t="shared" si="94"/>
        <v>1000000</v>
      </c>
      <c r="E914" s="1048" t="e">
        <f t="shared" si="95"/>
        <v>#REF!</v>
      </c>
      <c r="F914" s="1040"/>
      <c r="G914" s="1040"/>
      <c r="H914" s="1040"/>
      <c r="I914" s="1040"/>
      <c r="J914" s="1040"/>
      <c r="K914" s="1023"/>
      <c r="L914" s="1023"/>
      <c r="M914" s="1023"/>
      <c r="N914" s="1023"/>
      <c r="O914" s="1023"/>
      <c r="P914" s="1023"/>
      <c r="Q914" s="1023"/>
      <c r="R914" s="1023"/>
      <c r="S914" s="1023"/>
      <c r="T914" s="934"/>
      <c r="U914" s="934"/>
      <c r="V914" s="934"/>
      <c r="W914" s="934"/>
      <c r="X914" s="934"/>
      <c r="Y914" s="934"/>
      <c r="Z914" s="934"/>
    </row>
    <row r="915" spans="1:26" ht="16.5" customHeight="1">
      <c r="A915" s="1040"/>
      <c r="B915" s="1047">
        <v>20000000</v>
      </c>
      <c r="C915" s="1046" t="e">
        <f>IF(E914&lt;0,0,IF(D915&lt;E914,D915*4/10000,E914*4/10000))</f>
        <v>#REF!</v>
      </c>
      <c r="D915" s="1046">
        <f t="shared" si="94"/>
        <v>18000000</v>
      </c>
      <c r="E915" s="1048" t="e">
        <f t="shared" si="95"/>
        <v>#REF!</v>
      </c>
      <c r="F915" s="1040"/>
      <c r="G915" s="1040"/>
      <c r="H915" s="1040"/>
      <c r="I915" s="1040"/>
      <c r="J915" s="1040"/>
      <c r="K915" s="1023"/>
      <c r="L915" s="1023"/>
      <c r="M915" s="1023"/>
      <c r="N915" s="1023"/>
      <c r="O915" s="1023"/>
      <c r="P915" s="1023"/>
      <c r="Q915" s="1023"/>
      <c r="R915" s="1023"/>
      <c r="S915" s="1023"/>
      <c r="T915" s="934"/>
      <c r="U915" s="934"/>
      <c r="V915" s="934"/>
      <c r="W915" s="934"/>
      <c r="X915" s="934"/>
      <c r="Y915" s="934"/>
      <c r="Z915" s="934"/>
    </row>
    <row r="916" spans="1:26" ht="16.5" customHeight="1">
      <c r="A916" s="1040"/>
      <c r="B916" s="1047" t="s">
        <v>1312</v>
      </c>
      <c r="C916" s="1046"/>
      <c r="D916" s="1046"/>
      <c r="E916" s="1048"/>
      <c r="F916" s="1040"/>
      <c r="G916" s="1040"/>
      <c r="H916" s="1040"/>
      <c r="I916" s="1040"/>
      <c r="J916" s="1040"/>
      <c r="K916" s="1023"/>
      <c r="L916" s="1023"/>
      <c r="M916" s="1023"/>
      <c r="N916" s="1023"/>
      <c r="O916" s="1023"/>
      <c r="P916" s="1023"/>
      <c r="Q916" s="1023"/>
      <c r="R916" s="1023"/>
      <c r="S916" s="1023"/>
      <c r="T916" s="934"/>
      <c r="U916" s="934"/>
      <c r="V916" s="934"/>
      <c r="W916" s="934"/>
      <c r="X916" s="934"/>
      <c r="Y916" s="934"/>
      <c r="Z916" s="934"/>
    </row>
    <row r="917" spans="1:26" ht="16.5" customHeight="1">
      <c r="A917" s="1040"/>
      <c r="B917" s="1047" t="s">
        <v>1313</v>
      </c>
      <c r="C917" s="1046" t="e">
        <f>ROUND(IF(C908&gt;20000000,8650+(C908-20000000)/10000,SUM(C909:C915)),0)</f>
        <v>#REF!</v>
      </c>
      <c r="D917" s="1040"/>
      <c r="E917" s="1045"/>
      <c r="F917" s="1040"/>
      <c r="G917" s="1040"/>
      <c r="H917" s="1040"/>
      <c r="I917" s="1040"/>
      <c r="J917" s="1040"/>
      <c r="K917" s="1023"/>
      <c r="L917" s="1023"/>
      <c r="M917" s="1023"/>
      <c r="N917" s="1023"/>
      <c r="O917" s="1023"/>
      <c r="P917" s="1023"/>
      <c r="Q917" s="1023"/>
      <c r="R917" s="1023"/>
      <c r="S917" s="1023"/>
      <c r="T917" s="934"/>
      <c r="U917" s="934"/>
      <c r="V917" s="934"/>
      <c r="W917" s="934"/>
      <c r="X917" s="934"/>
      <c r="Y917" s="934"/>
      <c r="Z917" s="934"/>
    </row>
    <row r="918" spans="1:26" ht="16.5" customHeight="1">
      <c r="A918" s="1040"/>
      <c r="B918" s="1047" t="s">
        <v>1314</v>
      </c>
      <c r="C918" s="936" t="e">
        <f>IF(C908&lt;=10000,20,IF(C908&lt;=300000,40,IF(C908&lt;=500000,70,IF(C908&lt;=1000000,150,350))))</f>
        <v>#REF!</v>
      </c>
      <c r="D918" s="1040"/>
      <c r="E918" s="1045"/>
      <c r="F918" s="1040"/>
      <c r="G918" s="1040"/>
      <c r="H918" s="1040"/>
      <c r="I918" s="1040"/>
      <c r="J918" s="1040"/>
      <c r="K918" s="1023"/>
      <c r="L918" s="1023"/>
      <c r="M918" s="1023"/>
      <c r="N918" s="1023"/>
      <c r="O918" s="1023"/>
      <c r="P918" s="1023"/>
      <c r="Q918" s="1023"/>
      <c r="R918" s="1023"/>
      <c r="S918" s="1023"/>
      <c r="T918" s="934"/>
      <c r="U918" s="934"/>
      <c r="V918" s="934"/>
      <c r="W918" s="934"/>
      <c r="X918" s="934"/>
      <c r="Y918" s="934"/>
      <c r="Z918" s="934"/>
    </row>
    <row r="919" spans="1:26" ht="16.5" customHeight="1">
      <c r="A919" s="1040"/>
      <c r="B919" s="1047" t="s">
        <v>1316</v>
      </c>
      <c r="C919" s="1046">
        <v>18</v>
      </c>
      <c r="D919" s="1040"/>
      <c r="E919" s="1045"/>
      <c r="F919" s="1040"/>
      <c r="G919" s="1040"/>
      <c r="H919" s="1040"/>
      <c r="I919" s="1040"/>
      <c r="J919" s="1040"/>
      <c r="K919" s="1023"/>
      <c r="L919" s="1023"/>
      <c r="M919" s="1023"/>
      <c r="N919" s="1023"/>
      <c r="O919" s="1023"/>
      <c r="P919" s="1023"/>
      <c r="Q919" s="1023"/>
      <c r="R919" s="1023"/>
      <c r="S919" s="1023"/>
      <c r="T919" s="934"/>
      <c r="U919" s="934"/>
      <c r="V919" s="934"/>
      <c r="W919" s="934"/>
      <c r="X919" s="934"/>
      <c r="Y919" s="934"/>
      <c r="Z919" s="934"/>
    </row>
    <row r="920" spans="1:26" ht="16.5" customHeight="1" thickBot="1">
      <c r="A920" s="1040"/>
      <c r="B920" s="1044" t="s">
        <v>1317</v>
      </c>
      <c r="C920" s="1043" t="e">
        <f>IF(C908=0,0,SUM(C917:C919))</f>
        <v>#REF!</v>
      </c>
      <c r="D920" s="1042"/>
      <c r="E920" s="1041"/>
      <c r="F920" s="1040"/>
      <c r="G920" s="1040"/>
      <c r="H920" s="1040"/>
      <c r="I920" s="1040"/>
      <c r="J920" s="1040"/>
      <c r="K920" s="1023"/>
      <c r="L920" s="1023"/>
      <c r="M920" s="1023"/>
      <c r="N920" s="1023"/>
      <c r="O920" s="1023"/>
      <c r="P920" s="1023"/>
      <c r="Q920" s="1023"/>
      <c r="R920" s="1023"/>
      <c r="S920" s="1023"/>
      <c r="T920" s="934"/>
      <c r="U920" s="934"/>
      <c r="V920" s="934"/>
      <c r="W920" s="934"/>
      <c r="X920" s="934"/>
      <c r="Y920" s="934"/>
      <c r="Z920" s="934"/>
    </row>
    <row r="921" spans="1:26" ht="16.5" customHeight="1">
      <c r="A921" s="1040"/>
      <c r="B921" s="1057" t="s">
        <v>1308</v>
      </c>
      <c r="C921" s="1056"/>
      <c r="D921" s="1055"/>
      <c r="E921" s="1054"/>
      <c r="F921" s="1040"/>
      <c r="G921" s="1040"/>
      <c r="H921" s="1040"/>
      <c r="I921" s="1040"/>
      <c r="J921" s="1040"/>
      <c r="K921" s="1023"/>
      <c r="L921" s="1023"/>
      <c r="M921" s="1023"/>
      <c r="N921" s="1023"/>
      <c r="O921" s="1023"/>
      <c r="P921" s="1023"/>
      <c r="Q921" s="1023"/>
      <c r="R921" s="1023"/>
      <c r="S921" s="1023"/>
      <c r="T921" s="934"/>
      <c r="U921" s="934"/>
      <c r="V921" s="934"/>
      <c r="W921" s="934"/>
      <c r="X921" s="934"/>
      <c r="Y921" s="934"/>
      <c r="Z921" s="934"/>
    </row>
    <row r="922" spans="1:26" ht="16.5" customHeight="1">
      <c r="A922" s="1040"/>
      <c r="B922" s="1053"/>
      <c r="C922" s="1046"/>
      <c r="D922" s="1040"/>
      <c r="E922" s="1045"/>
      <c r="F922" s="1040"/>
      <c r="G922" s="1040"/>
      <c r="H922" s="1040"/>
      <c r="I922" s="1040"/>
      <c r="J922" s="1040"/>
      <c r="K922" s="1023"/>
      <c r="L922" s="1023"/>
      <c r="M922" s="1023"/>
      <c r="N922" s="1023"/>
      <c r="O922" s="1023"/>
      <c r="P922" s="1023"/>
      <c r="Q922" s="1023"/>
      <c r="R922" s="1023"/>
      <c r="S922" s="1023"/>
      <c r="T922" s="934"/>
      <c r="U922" s="934"/>
      <c r="V922" s="934"/>
      <c r="W922" s="934"/>
      <c r="X922" s="934"/>
      <c r="Y922" s="934"/>
      <c r="Z922" s="934"/>
    </row>
    <row r="923" spans="1:26" ht="16.5" customHeight="1">
      <c r="A923" s="1040"/>
      <c r="B923" s="1052" t="s">
        <v>1309</v>
      </c>
      <c r="C923" s="1051" t="e">
        <f>#REF!*70%</f>
        <v>#REF!</v>
      </c>
      <c r="D923" s="1050" t="s">
        <v>1310</v>
      </c>
      <c r="E923" s="1045" t="s">
        <v>1311</v>
      </c>
      <c r="F923" s="1040"/>
      <c r="G923" s="1040"/>
      <c r="H923" s="1040"/>
      <c r="I923" s="1040"/>
      <c r="J923" s="1040"/>
      <c r="K923" s="1023"/>
      <c r="L923" s="1023"/>
      <c r="M923" s="1023"/>
      <c r="N923" s="1023"/>
      <c r="O923" s="1023"/>
      <c r="P923" s="1023"/>
      <c r="Q923" s="1023"/>
      <c r="R923" s="1023"/>
      <c r="S923" s="1023"/>
      <c r="T923" s="934"/>
      <c r="U923" s="934"/>
      <c r="V923" s="934"/>
      <c r="W923" s="934"/>
      <c r="X923" s="934"/>
      <c r="Y923" s="934"/>
      <c r="Z923" s="934"/>
    </row>
    <row r="924" spans="1:26" ht="16.5" customHeight="1">
      <c r="A924" s="1040"/>
      <c r="B924" s="1047">
        <v>50000</v>
      </c>
      <c r="C924" s="1046">
        <v>210</v>
      </c>
      <c r="D924" s="1049"/>
      <c r="E924" s="1048" t="e">
        <f>C923-B924</f>
        <v>#REF!</v>
      </c>
      <c r="F924" s="1040"/>
      <c r="G924" s="1040"/>
      <c r="H924" s="1040"/>
      <c r="I924" s="1040"/>
      <c r="J924" s="1040"/>
      <c r="K924" s="1023"/>
      <c r="L924" s="1023"/>
      <c r="M924" s="1023"/>
      <c r="N924" s="1023"/>
      <c r="O924" s="1023"/>
      <c r="P924" s="1023"/>
      <c r="Q924" s="1023"/>
      <c r="R924" s="1023"/>
      <c r="S924" s="1023"/>
      <c r="T924" s="934"/>
      <c r="U924" s="934"/>
      <c r="V924" s="934"/>
      <c r="W924" s="934"/>
      <c r="X924" s="934"/>
      <c r="Y924" s="934"/>
      <c r="Z924" s="934"/>
    </row>
    <row r="925" spans="1:26" ht="16.5" customHeight="1">
      <c r="A925" s="1040"/>
      <c r="B925" s="1047">
        <v>100000</v>
      </c>
      <c r="C925" s="1046" t="e">
        <f>IF(E924&lt;0,0,IF(D925&lt;E924,D925*10/10000,E924*10/10000))</f>
        <v>#REF!</v>
      </c>
      <c r="D925" s="1046">
        <f t="shared" ref="D925:D930" si="96">B925-B924</f>
        <v>50000</v>
      </c>
      <c r="E925" s="1048" t="e">
        <f t="shared" ref="E925:E930" si="97">E924-B925</f>
        <v>#REF!</v>
      </c>
      <c r="F925" s="1040"/>
      <c r="G925" s="1040"/>
      <c r="H925" s="1040"/>
      <c r="I925" s="1040"/>
      <c r="J925" s="1040"/>
      <c r="K925" s="1023"/>
      <c r="L925" s="1023"/>
      <c r="M925" s="1023"/>
      <c r="N925" s="1023"/>
      <c r="O925" s="1023"/>
      <c r="P925" s="1023"/>
      <c r="Q925" s="1023"/>
      <c r="R925" s="1023"/>
      <c r="S925" s="1023"/>
      <c r="T925" s="934"/>
      <c r="U925" s="934"/>
      <c r="V925" s="934"/>
      <c r="W925" s="934"/>
      <c r="X925" s="934"/>
      <c r="Y925" s="934"/>
      <c r="Z925" s="934"/>
    </row>
    <row r="926" spans="1:26" ht="16.5" customHeight="1">
      <c r="A926" s="1040"/>
      <c r="B926" s="1047">
        <v>300000</v>
      </c>
      <c r="C926" s="1046" t="e">
        <f>IF(E925&lt;0,0,IF(D926&lt;E925,D926*9/10000,E925*9/10000))</f>
        <v>#REF!</v>
      </c>
      <c r="D926" s="1046">
        <f t="shared" si="96"/>
        <v>200000</v>
      </c>
      <c r="E926" s="1048" t="e">
        <f t="shared" si="97"/>
        <v>#REF!</v>
      </c>
      <c r="F926" s="1040"/>
      <c r="G926" s="1040"/>
      <c r="H926" s="1040"/>
      <c r="I926" s="1040"/>
      <c r="J926" s="1040"/>
      <c r="K926" s="1023"/>
      <c r="L926" s="1023"/>
      <c r="M926" s="1023"/>
      <c r="N926" s="1023"/>
      <c r="O926" s="1023"/>
      <c r="P926" s="1023"/>
      <c r="Q926" s="1023"/>
      <c r="R926" s="1023"/>
      <c r="S926" s="1023"/>
      <c r="T926" s="934"/>
      <c r="U926" s="934"/>
      <c r="V926" s="934"/>
      <c r="W926" s="934"/>
      <c r="X926" s="934"/>
      <c r="Y926" s="934"/>
      <c r="Z926" s="934"/>
    </row>
    <row r="927" spans="1:26" ht="16.5" customHeight="1">
      <c r="A927" s="1040"/>
      <c r="B927" s="1047">
        <v>500000</v>
      </c>
      <c r="C927" s="1046" t="e">
        <f>IF(E926&lt;0,0,IF(D927&lt;E926,D927*8/10000,E926*8/10000))</f>
        <v>#REF!</v>
      </c>
      <c r="D927" s="1046">
        <f t="shared" si="96"/>
        <v>200000</v>
      </c>
      <c r="E927" s="1048" t="e">
        <f t="shared" si="97"/>
        <v>#REF!</v>
      </c>
      <c r="F927" s="1040"/>
      <c r="G927" s="1040"/>
      <c r="H927" s="1040"/>
      <c r="I927" s="1040"/>
      <c r="J927" s="1040"/>
      <c r="K927" s="1023"/>
      <c r="L927" s="1023"/>
      <c r="M927" s="1023"/>
      <c r="N927" s="1023"/>
      <c r="O927" s="1023"/>
      <c r="P927" s="1023"/>
      <c r="Q927" s="1023"/>
      <c r="R927" s="1023"/>
      <c r="S927" s="1023"/>
      <c r="T927" s="934"/>
      <c r="U927" s="934"/>
      <c r="V927" s="934"/>
      <c r="W927" s="934"/>
      <c r="X927" s="934"/>
      <c r="Y927" s="934"/>
      <c r="Z927" s="934"/>
    </row>
    <row r="928" spans="1:26" ht="16.5" customHeight="1">
      <c r="A928" s="1040"/>
      <c r="B928" s="1047">
        <v>1000000</v>
      </c>
      <c r="C928" s="1046" t="e">
        <f>IF(E927&lt;0,0,IF(D928&lt;E927,D928*7/10000,E927*7/10000))</f>
        <v>#REF!</v>
      </c>
      <c r="D928" s="1046">
        <f t="shared" si="96"/>
        <v>500000</v>
      </c>
      <c r="E928" s="1048" t="e">
        <f t="shared" si="97"/>
        <v>#REF!</v>
      </c>
      <c r="F928" s="1040"/>
      <c r="G928" s="1040"/>
      <c r="H928" s="1040"/>
      <c r="I928" s="1040"/>
      <c r="J928" s="1040"/>
      <c r="K928" s="1023"/>
      <c r="L928" s="1023"/>
      <c r="M928" s="1023"/>
      <c r="N928" s="1023"/>
      <c r="O928" s="1023"/>
      <c r="P928" s="1023"/>
      <c r="Q928" s="1023"/>
      <c r="R928" s="1023"/>
      <c r="S928" s="1023"/>
      <c r="T928" s="934"/>
      <c r="U928" s="934"/>
      <c r="V928" s="934"/>
      <c r="W928" s="934"/>
      <c r="X928" s="934"/>
      <c r="Y928" s="934"/>
      <c r="Z928" s="934"/>
    </row>
    <row r="929" spans="1:26" ht="16.5" customHeight="1">
      <c r="A929" s="1040"/>
      <c r="B929" s="1047">
        <v>2000000</v>
      </c>
      <c r="C929" s="1046" t="e">
        <f>IF(E928&lt;0,0,IF(D929&lt;E928,D929*5/10000,E928*5/10000))</f>
        <v>#REF!</v>
      </c>
      <c r="D929" s="1046">
        <f t="shared" si="96"/>
        <v>1000000</v>
      </c>
      <c r="E929" s="1048" t="e">
        <f t="shared" si="97"/>
        <v>#REF!</v>
      </c>
      <c r="F929" s="1040"/>
      <c r="G929" s="1040"/>
      <c r="H929" s="1040"/>
      <c r="I929" s="1040"/>
      <c r="J929" s="1040"/>
      <c r="K929" s="1023"/>
      <c r="L929" s="1023"/>
      <c r="M929" s="1023"/>
      <c r="N929" s="1023"/>
      <c r="O929" s="1023"/>
      <c r="P929" s="1023"/>
      <c r="Q929" s="1023"/>
      <c r="R929" s="1023"/>
      <c r="S929" s="1023"/>
      <c r="T929" s="934"/>
      <c r="U929" s="934"/>
      <c r="V929" s="934"/>
      <c r="W929" s="934"/>
      <c r="X929" s="934"/>
      <c r="Y929" s="934"/>
      <c r="Z929" s="934"/>
    </row>
    <row r="930" spans="1:26" ht="16.5" customHeight="1">
      <c r="A930" s="1040"/>
      <c r="B930" s="1047">
        <v>20000000</v>
      </c>
      <c r="C930" s="1046" t="e">
        <f>IF(E929&lt;0,0,IF(D930&lt;E929,D930*4/10000,E929*4/10000))</f>
        <v>#REF!</v>
      </c>
      <c r="D930" s="1046">
        <f t="shared" si="96"/>
        <v>18000000</v>
      </c>
      <c r="E930" s="1048" t="e">
        <f t="shared" si="97"/>
        <v>#REF!</v>
      </c>
      <c r="F930" s="1040"/>
      <c r="G930" s="1040"/>
      <c r="H930" s="1040"/>
      <c r="I930" s="1040"/>
      <c r="J930" s="1040"/>
      <c r="K930" s="1023"/>
      <c r="L930" s="1023"/>
      <c r="M930" s="1023"/>
      <c r="N930" s="1023"/>
      <c r="O930" s="1023"/>
      <c r="P930" s="1023"/>
      <c r="Q930" s="1023"/>
      <c r="R930" s="1023"/>
      <c r="S930" s="1023"/>
      <c r="T930" s="934"/>
      <c r="U930" s="934"/>
      <c r="V930" s="934"/>
      <c r="W930" s="934"/>
      <c r="X930" s="934"/>
      <c r="Y930" s="934"/>
      <c r="Z930" s="934"/>
    </row>
    <row r="931" spans="1:26" ht="16.5" customHeight="1">
      <c r="A931" s="1040"/>
      <c r="B931" s="1047" t="s">
        <v>1312</v>
      </c>
      <c r="C931" s="1046"/>
      <c r="D931" s="1046"/>
      <c r="E931" s="1048"/>
      <c r="F931" s="1040"/>
      <c r="G931" s="1040"/>
      <c r="H931" s="1040"/>
      <c r="I931" s="1040"/>
      <c r="J931" s="1040"/>
      <c r="K931" s="1023"/>
      <c r="L931" s="1023"/>
      <c r="M931" s="1023"/>
      <c r="N931" s="1023"/>
      <c r="O931" s="1023"/>
      <c r="P931" s="1023"/>
      <c r="Q931" s="1023"/>
      <c r="R931" s="1023"/>
      <c r="S931" s="1023"/>
      <c r="T931" s="934"/>
      <c r="U931" s="934"/>
      <c r="V931" s="934"/>
      <c r="W931" s="934"/>
      <c r="X931" s="934"/>
      <c r="Y931" s="934"/>
      <c r="Z931" s="934"/>
    </row>
    <row r="932" spans="1:26" ht="16.5" customHeight="1">
      <c r="A932" s="1040"/>
      <c r="B932" s="1047" t="s">
        <v>1313</v>
      </c>
      <c r="C932" s="1046" t="e">
        <f>ROUND(IF(C923&gt;20000000,8650+(C923-20000000)/10000,SUM(C924:C930)),0)</f>
        <v>#REF!</v>
      </c>
      <c r="D932" s="1040"/>
      <c r="E932" s="1045"/>
      <c r="F932" s="1040"/>
      <c r="G932" s="1040"/>
      <c r="H932" s="1040"/>
      <c r="I932" s="1040"/>
      <c r="J932" s="1040"/>
      <c r="K932" s="1023"/>
      <c r="L932" s="1023"/>
      <c r="M932" s="1023"/>
      <c r="N932" s="1023"/>
      <c r="O932" s="1023"/>
      <c r="P932" s="1023"/>
      <c r="Q932" s="1023"/>
      <c r="R932" s="1023"/>
      <c r="S932" s="1023"/>
      <c r="T932" s="934"/>
      <c r="U932" s="934"/>
      <c r="V932" s="934"/>
      <c r="W932" s="934"/>
      <c r="X932" s="934"/>
      <c r="Y932" s="934"/>
      <c r="Z932" s="934"/>
    </row>
    <row r="933" spans="1:26" ht="16.5" customHeight="1">
      <c r="A933" s="1040"/>
      <c r="B933" s="1047" t="s">
        <v>1314</v>
      </c>
      <c r="C933" s="936" t="e">
        <f>IF(C923&lt;=10000,20,IF(C923&lt;=300000,40,IF(C923&lt;=500000,70,IF(C923&lt;=1000000,150,350))))</f>
        <v>#REF!</v>
      </c>
      <c r="D933" s="1040"/>
      <c r="E933" s="1045"/>
      <c r="F933" s="1040"/>
      <c r="G933" s="1040"/>
      <c r="H933" s="1040"/>
      <c r="I933" s="1040"/>
      <c r="J933" s="1040"/>
      <c r="K933" s="1023"/>
      <c r="L933" s="1023"/>
      <c r="M933" s="1023"/>
      <c r="N933" s="1023"/>
      <c r="O933" s="1023"/>
      <c r="P933" s="1023"/>
      <c r="Q933" s="1023"/>
      <c r="R933" s="1023"/>
      <c r="S933" s="1023"/>
      <c r="T933" s="934"/>
      <c r="U933" s="934"/>
      <c r="V933" s="934"/>
      <c r="W933" s="934"/>
      <c r="X933" s="934"/>
      <c r="Y933" s="934"/>
      <c r="Z933" s="934"/>
    </row>
    <row r="934" spans="1:26" ht="16.5" customHeight="1">
      <c r="A934" s="1040"/>
      <c r="B934" s="1047" t="s">
        <v>1316</v>
      </c>
      <c r="C934" s="1046">
        <v>18</v>
      </c>
      <c r="D934" s="1040"/>
      <c r="E934" s="1045"/>
      <c r="F934" s="1040"/>
      <c r="G934" s="1040"/>
      <c r="H934" s="1040"/>
      <c r="I934" s="1040"/>
      <c r="J934" s="1040"/>
      <c r="K934" s="1023"/>
      <c r="L934" s="1023"/>
      <c r="M934" s="1023"/>
      <c r="N934" s="1023"/>
      <c r="O934" s="1023"/>
      <c r="P934" s="1023"/>
      <c r="Q934" s="1023"/>
      <c r="R934" s="1023"/>
      <c r="S934" s="1023"/>
      <c r="T934" s="934"/>
      <c r="U934" s="934"/>
      <c r="V934" s="934"/>
      <c r="W934" s="934"/>
      <c r="X934" s="934"/>
      <c r="Y934" s="934"/>
      <c r="Z934" s="934"/>
    </row>
    <row r="935" spans="1:26" ht="16.5" customHeight="1" thickBot="1">
      <c r="A935" s="1040"/>
      <c r="B935" s="1044" t="s">
        <v>1317</v>
      </c>
      <c r="C935" s="1043" t="e">
        <f>IF(C923=0,0,SUM(C932:C934))</f>
        <v>#REF!</v>
      </c>
      <c r="D935" s="1042"/>
      <c r="E935" s="1041"/>
      <c r="F935" s="1040"/>
      <c r="G935" s="1040"/>
      <c r="H935" s="1040"/>
      <c r="I935" s="1040"/>
      <c r="J935" s="1040"/>
      <c r="K935" s="1023"/>
      <c r="L935" s="1023"/>
      <c r="M935" s="1023"/>
      <c r="N935" s="1023"/>
      <c r="O935" s="1023"/>
      <c r="P935" s="1023"/>
      <c r="Q935" s="1023"/>
      <c r="R935" s="1023"/>
      <c r="S935" s="1023"/>
      <c r="T935" s="934"/>
      <c r="U935" s="934"/>
      <c r="V935" s="934"/>
      <c r="W935" s="934"/>
      <c r="X935" s="934"/>
      <c r="Y935" s="934"/>
      <c r="Z935" s="934"/>
    </row>
    <row r="936" spans="1:26" ht="16.5" customHeight="1">
      <c r="A936" s="1040"/>
      <c r="B936" s="1057" t="s">
        <v>1308</v>
      </c>
      <c r="C936" s="1056"/>
      <c r="D936" s="1055"/>
      <c r="E936" s="1054"/>
      <c r="F936" s="1040"/>
      <c r="G936" s="1040"/>
      <c r="H936" s="1040"/>
      <c r="I936" s="1040"/>
      <c r="J936" s="1040"/>
      <c r="K936" s="1023"/>
      <c r="L936" s="1023"/>
      <c r="M936" s="1023"/>
      <c r="N936" s="1023"/>
      <c r="O936" s="1023"/>
      <c r="P936" s="1023"/>
      <c r="Q936" s="1023"/>
      <c r="R936" s="1023"/>
      <c r="S936" s="1023"/>
      <c r="T936" s="934"/>
      <c r="U936" s="934"/>
      <c r="V936" s="934"/>
      <c r="W936" s="934"/>
      <c r="X936" s="934"/>
      <c r="Y936" s="934"/>
      <c r="Z936" s="934"/>
    </row>
    <row r="937" spans="1:26" ht="16.5" customHeight="1">
      <c r="A937" s="1040"/>
      <c r="B937" s="1053"/>
      <c r="C937" s="1046"/>
      <c r="D937" s="1040"/>
      <c r="E937" s="1045"/>
      <c r="F937" s="1040"/>
      <c r="G937" s="1040"/>
      <c r="H937" s="1040"/>
      <c r="I937" s="1040"/>
      <c r="J937" s="1040"/>
      <c r="K937" s="1023"/>
      <c r="L937" s="1023"/>
      <c r="M937" s="1023"/>
      <c r="N937" s="1023"/>
      <c r="O937" s="1023"/>
      <c r="P937" s="1023"/>
      <c r="Q937" s="1023"/>
      <c r="R937" s="1023"/>
      <c r="S937" s="1023"/>
      <c r="T937" s="934"/>
      <c r="U937" s="934"/>
      <c r="V937" s="934"/>
      <c r="W937" s="934"/>
      <c r="X937" s="934"/>
      <c r="Y937" s="934"/>
      <c r="Z937" s="934"/>
    </row>
    <row r="938" spans="1:26" ht="16.5" customHeight="1">
      <c r="A938" s="1040"/>
      <c r="B938" s="1052" t="s">
        <v>1309</v>
      </c>
      <c r="C938" s="1051" t="e">
        <f>#REF!*70%</f>
        <v>#REF!</v>
      </c>
      <c r="D938" s="1050" t="s">
        <v>1310</v>
      </c>
      <c r="E938" s="1045" t="s">
        <v>1311</v>
      </c>
      <c r="F938" s="1040"/>
      <c r="G938" s="1040"/>
      <c r="H938" s="1040"/>
      <c r="I938" s="1040"/>
      <c r="J938" s="1040"/>
      <c r="K938" s="1023"/>
      <c r="L938" s="1023"/>
      <c r="M938" s="1023"/>
      <c r="N938" s="1023"/>
      <c r="O938" s="1023"/>
      <c r="P938" s="1023"/>
      <c r="Q938" s="1023"/>
      <c r="R938" s="1023"/>
      <c r="S938" s="1023"/>
      <c r="T938" s="934"/>
      <c r="U938" s="934"/>
      <c r="V938" s="934"/>
      <c r="W938" s="934"/>
      <c r="X938" s="934"/>
      <c r="Y938" s="934"/>
      <c r="Z938" s="934"/>
    </row>
    <row r="939" spans="1:26" ht="16.5" customHeight="1">
      <c r="A939" s="1040"/>
      <c r="B939" s="1047">
        <v>50000</v>
      </c>
      <c r="C939" s="1046">
        <v>210</v>
      </c>
      <c r="D939" s="1049"/>
      <c r="E939" s="1048" t="e">
        <f>C938-B939</f>
        <v>#REF!</v>
      </c>
      <c r="F939" s="1040"/>
      <c r="G939" s="1040"/>
      <c r="H939" s="1040"/>
      <c r="I939" s="1040"/>
      <c r="J939" s="1040"/>
      <c r="K939" s="1023"/>
      <c r="L939" s="1023"/>
      <c r="M939" s="1023"/>
      <c r="N939" s="1023"/>
      <c r="O939" s="1023"/>
      <c r="P939" s="1023"/>
      <c r="Q939" s="1023"/>
      <c r="R939" s="1023"/>
      <c r="S939" s="1023"/>
      <c r="T939" s="934"/>
      <c r="U939" s="934"/>
      <c r="V939" s="934"/>
      <c r="W939" s="934"/>
      <c r="X939" s="934"/>
      <c r="Y939" s="934"/>
      <c r="Z939" s="934"/>
    </row>
    <row r="940" spans="1:26" ht="16.5" customHeight="1">
      <c r="A940" s="1040"/>
      <c r="B940" s="1047">
        <v>100000</v>
      </c>
      <c r="C940" s="1046" t="e">
        <f>IF(E939&lt;0,0,IF(D940&lt;E939,D940*10/10000,E939*10/10000))</f>
        <v>#REF!</v>
      </c>
      <c r="D940" s="1046">
        <f t="shared" ref="D940:D945" si="98">B940-B939</f>
        <v>50000</v>
      </c>
      <c r="E940" s="1048" t="e">
        <f t="shared" ref="E940:E945" si="99">E939-B940</f>
        <v>#REF!</v>
      </c>
      <c r="F940" s="1040"/>
      <c r="G940" s="1040"/>
      <c r="H940" s="1040"/>
      <c r="I940" s="1040"/>
      <c r="J940" s="1040"/>
      <c r="K940" s="1023"/>
      <c r="L940" s="1023"/>
      <c r="M940" s="1023"/>
      <c r="N940" s="1023"/>
      <c r="O940" s="1023"/>
      <c r="P940" s="1023"/>
      <c r="Q940" s="1023"/>
      <c r="R940" s="1023"/>
      <c r="S940" s="1023"/>
      <c r="T940" s="934"/>
      <c r="U940" s="934"/>
      <c r="V940" s="934"/>
      <c r="W940" s="934"/>
      <c r="X940" s="934"/>
      <c r="Y940" s="934"/>
      <c r="Z940" s="934"/>
    </row>
    <row r="941" spans="1:26" ht="16.5" customHeight="1">
      <c r="A941" s="1040"/>
      <c r="B941" s="1047">
        <v>300000</v>
      </c>
      <c r="C941" s="1046" t="e">
        <f>IF(E940&lt;0,0,IF(D941&lt;E940,D941*9/10000,E940*9/10000))</f>
        <v>#REF!</v>
      </c>
      <c r="D941" s="1046">
        <f t="shared" si="98"/>
        <v>200000</v>
      </c>
      <c r="E941" s="1048" t="e">
        <f t="shared" si="99"/>
        <v>#REF!</v>
      </c>
      <c r="F941" s="1040"/>
      <c r="G941" s="1040"/>
      <c r="H941" s="1040"/>
      <c r="I941" s="1040"/>
      <c r="J941" s="1040"/>
      <c r="K941" s="1023"/>
      <c r="L941" s="1023"/>
      <c r="M941" s="1023"/>
      <c r="N941" s="1023"/>
      <c r="O941" s="1023"/>
      <c r="P941" s="1023"/>
      <c r="Q941" s="1023"/>
      <c r="R941" s="1023"/>
      <c r="S941" s="1023"/>
      <c r="T941" s="934"/>
      <c r="U941" s="934"/>
      <c r="V941" s="934"/>
      <c r="W941" s="934"/>
      <c r="X941" s="934"/>
      <c r="Y941" s="934"/>
      <c r="Z941" s="934"/>
    </row>
    <row r="942" spans="1:26" ht="16.5" customHeight="1">
      <c r="A942" s="1040"/>
      <c r="B942" s="1047">
        <v>500000</v>
      </c>
      <c r="C942" s="1046" t="e">
        <f>IF(E941&lt;0,0,IF(D942&lt;E941,D942*8/10000,E941*8/10000))</f>
        <v>#REF!</v>
      </c>
      <c r="D942" s="1046">
        <f t="shared" si="98"/>
        <v>200000</v>
      </c>
      <c r="E942" s="1048" t="e">
        <f t="shared" si="99"/>
        <v>#REF!</v>
      </c>
      <c r="F942" s="1040"/>
      <c r="G942" s="1040"/>
      <c r="H942" s="1040"/>
      <c r="I942" s="1040"/>
      <c r="J942" s="1040"/>
      <c r="K942" s="1023"/>
      <c r="L942" s="1023"/>
      <c r="M942" s="1023"/>
      <c r="N942" s="1023"/>
      <c r="O942" s="1023"/>
      <c r="P942" s="1023"/>
      <c r="Q942" s="1023"/>
      <c r="R942" s="1023"/>
      <c r="S942" s="1023"/>
      <c r="T942" s="934"/>
      <c r="U942" s="934"/>
      <c r="V942" s="934"/>
      <c r="W942" s="934"/>
      <c r="X942" s="934"/>
      <c r="Y942" s="934"/>
      <c r="Z942" s="934"/>
    </row>
    <row r="943" spans="1:26" ht="16.5" customHeight="1">
      <c r="A943" s="1040"/>
      <c r="B943" s="1047">
        <v>1000000</v>
      </c>
      <c r="C943" s="1046" t="e">
        <f>IF(E942&lt;0,0,IF(D943&lt;E942,D943*7/10000,E942*7/10000))</f>
        <v>#REF!</v>
      </c>
      <c r="D943" s="1046">
        <f t="shared" si="98"/>
        <v>500000</v>
      </c>
      <c r="E943" s="1048" t="e">
        <f t="shared" si="99"/>
        <v>#REF!</v>
      </c>
      <c r="F943" s="1040"/>
      <c r="G943" s="1040"/>
      <c r="H943" s="1040"/>
      <c r="I943" s="1040"/>
      <c r="J943" s="1040"/>
      <c r="K943" s="1023"/>
      <c r="L943" s="1023"/>
      <c r="M943" s="1023"/>
      <c r="N943" s="1023"/>
      <c r="O943" s="1023"/>
      <c r="P943" s="1023"/>
      <c r="Q943" s="1023"/>
      <c r="R943" s="1023"/>
      <c r="S943" s="1023"/>
      <c r="T943" s="934"/>
      <c r="U943" s="934"/>
      <c r="V943" s="934"/>
      <c r="W943" s="934"/>
      <c r="X943" s="934"/>
      <c r="Y943" s="934"/>
      <c r="Z943" s="934"/>
    </row>
    <row r="944" spans="1:26" ht="16.5" customHeight="1">
      <c r="A944" s="1040"/>
      <c r="B944" s="1047">
        <v>2000000</v>
      </c>
      <c r="C944" s="1046" t="e">
        <f>IF(E943&lt;0,0,IF(D944&lt;E943,D944*5/10000,E943*5/10000))</f>
        <v>#REF!</v>
      </c>
      <c r="D944" s="1046">
        <f t="shared" si="98"/>
        <v>1000000</v>
      </c>
      <c r="E944" s="1048" t="e">
        <f t="shared" si="99"/>
        <v>#REF!</v>
      </c>
      <c r="F944" s="1040"/>
      <c r="G944" s="1040"/>
      <c r="H944" s="1040"/>
      <c r="I944" s="1040"/>
      <c r="J944" s="1040"/>
      <c r="K944" s="1023"/>
      <c r="L944" s="1023"/>
      <c r="M944" s="1023"/>
      <c r="N944" s="1023"/>
      <c r="O944" s="1023"/>
      <c r="P944" s="1023"/>
      <c r="Q944" s="1023"/>
      <c r="R944" s="1023"/>
      <c r="S944" s="1023"/>
      <c r="T944" s="934"/>
      <c r="U944" s="934"/>
      <c r="V944" s="934"/>
      <c r="W944" s="934"/>
      <c r="X944" s="934"/>
      <c r="Y944" s="934"/>
      <c r="Z944" s="934"/>
    </row>
    <row r="945" spans="1:26" ht="16.5" customHeight="1">
      <c r="A945" s="1040"/>
      <c r="B945" s="1047">
        <v>20000000</v>
      </c>
      <c r="C945" s="1046" t="e">
        <f>IF(E944&lt;0,0,IF(D945&lt;E944,D945*4/10000,E944*4/10000))</f>
        <v>#REF!</v>
      </c>
      <c r="D945" s="1046">
        <f t="shared" si="98"/>
        <v>18000000</v>
      </c>
      <c r="E945" s="1048" t="e">
        <f t="shared" si="99"/>
        <v>#REF!</v>
      </c>
      <c r="F945" s="1040"/>
      <c r="G945" s="1040"/>
      <c r="H945" s="1040"/>
      <c r="I945" s="1040"/>
      <c r="J945" s="1040"/>
      <c r="K945" s="1023"/>
      <c r="L945" s="1023"/>
      <c r="M945" s="1023"/>
      <c r="N945" s="1023"/>
      <c r="O945" s="1023"/>
      <c r="P945" s="1023"/>
      <c r="Q945" s="1023"/>
      <c r="R945" s="1023"/>
      <c r="S945" s="1023"/>
      <c r="T945" s="934"/>
      <c r="U945" s="934"/>
      <c r="V945" s="934"/>
      <c r="W945" s="934"/>
      <c r="X945" s="934"/>
      <c r="Y945" s="934"/>
      <c r="Z945" s="934"/>
    </row>
    <row r="946" spans="1:26" ht="16.5" customHeight="1">
      <c r="A946" s="1040"/>
      <c r="B946" s="1047" t="s">
        <v>1312</v>
      </c>
      <c r="C946" s="1046"/>
      <c r="D946" s="1046"/>
      <c r="E946" s="1048"/>
      <c r="F946" s="1040"/>
      <c r="G946" s="1040"/>
      <c r="H946" s="1040"/>
      <c r="I946" s="1040"/>
      <c r="J946" s="1040"/>
      <c r="K946" s="1023"/>
      <c r="L946" s="1023"/>
      <c r="M946" s="1023"/>
      <c r="N946" s="1023"/>
      <c r="O946" s="1023"/>
      <c r="P946" s="1023"/>
      <c r="Q946" s="1023"/>
      <c r="R946" s="1023"/>
      <c r="S946" s="1023"/>
      <c r="T946" s="934"/>
      <c r="U946" s="934"/>
      <c r="V946" s="934"/>
      <c r="W946" s="934"/>
      <c r="X946" s="934"/>
      <c r="Y946" s="934"/>
      <c r="Z946" s="934"/>
    </row>
    <row r="947" spans="1:26" ht="16.5" customHeight="1">
      <c r="A947" s="1040"/>
      <c r="B947" s="1047" t="s">
        <v>1313</v>
      </c>
      <c r="C947" s="1046" t="e">
        <f>ROUND(IF(C938&gt;20000000,8650+(C938-20000000)/10000,SUM(C939:C945)),0)</f>
        <v>#REF!</v>
      </c>
      <c r="D947" s="1040"/>
      <c r="E947" s="1045"/>
      <c r="F947" s="1040"/>
      <c r="G947" s="1040"/>
      <c r="H947" s="1040"/>
      <c r="I947" s="1040"/>
      <c r="J947" s="1040"/>
      <c r="K947" s="1023"/>
      <c r="L947" s="1023"/>
      <c r="M947" s="1023"/>
      <c r="N947" s="1023"/>
      <c r="O947" s="1023"/>
      <c r="P947" s="1023"/>
      <c r="Q947" s="1023"/>
      <c r="R947" s="1023"/>
      <c r="S947" s="1023"/>
      <c r="T947" s="934"/>
      <c r="U947" s="934"/>
      <c r="V947" s="934"/>
      <c r="W947" s="934"/>
      <c r="X947" s="934"/>
      <c r="Y947" s="934"/>
      <c r="Z947" s="934"/>
    </row>
    <row r="948" spans="1:26" ht="16.5" customHeight="1">
      <c r="A948" s="1040"/>
      <c r="B948" s="1047" t="s">
        <v>1314</v>
      </c>
      <c r="C948" s="936" t="e">
        <f>IF(C938&lt;=10000,20,IF(C938&lt;=300000,40,IF(C938&lt;=500000,70,IF(C938&lt;=1000000,150,350))))</f>
        <v>#REF!</v>
      </c>
      <c r="D948" s="1040"/>
      <c r="E948" s="1045"/>
      <c r="F948" s="1040"/>
      <c r="G948" s="1040"/>
      <c r="H948" s="1040"/>
      <c r="I948" s="1040"/>
      <c r="J948" s="1040"/>
      <c r="K948" s="1023"/>
      <c r="L948" s="1023"/>
      <c r="M948" s="1023"/>
      <c r="N948" s="1023"/>
      <c r="O948" s="1023"/>
      <c r="P948" s="1023"/>
      <c r="Q948" s="1023"/>
      <c r="R948" s="1023"/>
      <c r="S948" s="1023"/>
      <c r="T948" s="934"/>
      <c r="U948" s="934"/>
      <c r="V948" s="934"/>
      <c r="W948" s="934"/>
      <c r="X948" s="934"/>
      <c r="Y948" s="934"/>
      <c r="Z948" s="934"/>
    </row>
    <row r="949" spans="1:26" ht="16.5" customHeight="1">
      <c r="A949" s="1040"/>
      <c r="B949" s="1047" t="s">
        <v>1316</v>
      </c>
      <c r="C949" s="1046">
        <v>18</v>
      </c>
      <c r="D949" s="1040"/>
      <c r="E949" s="1045"/>
      <c r="F949" s="1040"/>
      <c r="G949" s="1040"/>
      <c r="H949" s="1040"/>
      <c r="I949" s="1040"/>
      <c r="J949" s="1040"/>
      <c r="K949" s="1023"/>
      <c r="L949" s="1023"/>
      <c r="M949" s="1023"/>
      <c r="N949" s="1023"/>
      <c r="O949" s="1023"/>
      <c r="P949" s="1023"/>
      <c r="Q949" s="1023"/>
      <c r="R949" s="1023"/>
      <c r="S949" s="1023"/>
      <c r="T949" s="934"/>
      <c r="U949" s="934"/>
      <c r="V949" s="934"/>
      <c r="W949" s="934"/>
      <c r="X949" s="934"/>
      <c r="Y949" s="934"/>
      <c r="Z949" s="934"/>
    </row>
    <row r="950" spans="1:26" ht="16.5" customHeight="1" thickBot="1">
      <c r="A950" s="1040"/>
      <c r="B950" s="1044" t="s">
        <v>1317</v>
      </c>
      <c r="C950" s="1043" t="e">
        <f>IF(C938=0,0,SUM(C947:C949))</f>
        <v>#REF!</v>
      </c>
      <c r="D950" s="1042"/>
      <c r="E950" s="1041"/>
      <c r="F950" s="1040"/>
      <c r="G950" s="1040"/>
      <c r="H950" s="1040"/>
      <c r="I950" s="1040"/>
      <c r="J950" s="1040"/>
      <c r="K950" s="1023"/>
      <c r="L950" s="1023"/>
      <c r="M950" s="1023"/>
      <c r="N950" s="1023"/>
      <c r="O950" s="1023"/>
      <c r="P950" s="1023"/>
      <c r="Q950" s="1023"/>
      <c r="R950" s="1023"/>
      <c r="S950" s="1023"/>
      <c r="T950" s="934"/>
      <c r="U950" s="934"/>
      <c r="V950" s="934"/>
      <c r="W950" s="934"/>
      <c r="X950" s="934"/>
      <c r="Y950" s="934"/>
      <c r="Z950" s="934"/>
    </row>
    <row r="951" spans="1:26" ht="16.5" customHeight="1">
      <c r="A951" s="1040"/>
      <c r="B951" s="1057" t="s">
        <v>1308</v>
      </c>
      <c r="C951" s="1056"/>
      <c r="D951" s="1055"/>
      <c r="E951" s="1054"/>
      <c r="F951" s="1040"/>
      <c r="G951" s="1040"/>
      <c r="H951" s="1040"/>
      <c r="I951" s="1040"/>
      <c r="J951" s="1040"/>
      <c r="K951" s="1023"/>
      <c r="L951" s="1023"/>
      <c r="M951" s="1023"/>
      <c r="N951" s="1023"/>
      <c r="O951" s="1023"/>
      <c r="P951" s="1023"/>
      <c r="Q951" s="1023"/>
      <c r="R951" s="1023"/>
      <c r="S951" s="1023"/>
      <c r="T951" s="934"/>
      <c r="U951" s="934"/>
      <c r="V951" s="934"/>
      <c r="W951" s="934"/>
      <c r="X951" s="934"/>
      <c r="Y951" s="934"/>
      <c r="Z951" s="934"/>
    </row>
    <row r="952" spans="1:26" ht="16.5" customHeight="1">
      <c r="A952" s="1040"/>
      <c r="B952" s="1053"/>
      <c r="C952" s="1046"/>
      <c r="D952" s="1040"/>
      <c r="E952" s="1045"/>
      <c r="F952" s="1040"/>
      <c r="G952" s="1040"/>
      <c r="H952" s="1040"/>
      <c r="I952" s="1040"/>
      <c r="J952" s="1040"/>
      <c r="K952" s="1023"/>
      <c r="L952" s="1023"/>
      <c r="M952" s="1023"/>
      <c r="N952" s="1023"/>
      <c r="O952" s="1023"/>
      <c r="P952" s="1023"/>
      <c r="Q952" s="1023"/>
      <c r="R952" s="1023"/>
      <c r="S952" s="1023"/>
      <c r="T952" s="934"/>
      <c r="U952" s="934"/>
      <c r="V952" s="934"/>
      <c r="W952" s="934"/>
      <c r="X952" s="934"/>
      <c r="Y952" s="934"/>
      <c r="Z952" s="934"/>
    </row>
    <row r="953" spans="1:26" ht="16.5" customHeight="1">
      <c r="A953" s="1040"/>
      <c r="B953" s="1052" t="s">
        <v>1309</v>
      </c>
      <c r="C953" s="1051" t="e">
        <f>#REF!*70%</f>
        <v>#REF!</v>
      </c>
      <c r="D953" s="1050" t="s">
        <v>1310</v>
      </c>
      <c r="E953" s="1045" t="s">
        <v>1311</v>
      </c>
      <c r="F953" s="1040"/>
      <c r="G953" s="1040"/>
      <c r="H953" s="1040"/>
      <c r="I953" s="1040"/>
      <c r="J953" s="1040"/>
      <c r="K953" s="1023"/>
      <c r="L953" s="1023"/>
      <c r="M953" s="1023"/>
      <c r="N953" s="1023"/>
      <c r="O953" s="1023"/>
      <c r="P953" s="1023"/>
      <c r="Q953" s="1023"/>
      <c r="R953" s="1023"/>
      <c r="S953" s="1023"/>
      <c r="T953" s="934"/>
      <c r="U953" s="934"/>
      <c r="V953" s="934"/>
      <c r="W953" s="934"/>
      <c r="X953" s="934"/>
      <c r="Y953" s="934"/>
      <c r="Z953" s="934"/>
    </row>
    <row r="954" spans="1:26" ht="16.5" customHeight="1">
      <c r="A954" s="1040"/>
      <c r="B954" s="1047">
        <v>50000</v>
      </c>
      <c r="C954" s="1046">
        <v>210</v>
      </c>
      <c r="D954" s="1049"/>
      <c r="E954" s="1048" t="e">
        <f>C953-B954</f>
        <v>#REF!</v>
      </c>
      <c r="F954" s="1040"/>
      <c r="G954" s="1040"/>
      <c r="H954" s="1040"/>
      <c r="I954" s="1040"/>
      <c r="J954" s="1040"/>
      <c r="K954" s="1023"/>
      <c r="L954" s="1023"/>
      <c r="M954" s="1023"/>
      <c r="N954" s="1023"/>
      <c r="O954" s="1023"/>
      <c r="P954" s="1023"/>
      <c r="Q954" s="1023"/>
      <c r="R954" s="1023"/>
      <c r="S954" s="1023"/>
      <c r="T954" s="934"/>
      <c r="U954" s="934"/>
      <c r="V954" s="934"/>
      <c r="W954" s="934"/>
      <c r="X954" s="934"/>
      <c r="Y954" s="934"/>
      <c r="Z954" s="934"/>
    </row>
    <row r="955" spans="1:26" ht="16.5" customHeight="1">
      <c r="A955" s="1040"/>
      <c r="B955" s="1047">
        <v>100000</v>
      </c>
      <c r="C955" s="1046" t="e">
        <f>IF(E954&lt;0,0,IF(D955&lt;E954,D955*10/10000,E954*10/10000))</f>
        <v>#REF!</v>
      </c>
      <c r="D955" s="1046">
        <f t="shared" ref="D955:D960" si="100">B955-B954</f>
        <v>50000</v>
      </c>
      <c r="E955" s="1048" t="e">
        <f t="shared" ref="E955:E960" si="101">E954-B955</f>
        <v>#REF!</v>
      </c>
      <c r="F955" s="1040"/>
      <c r="G955" s="1040"/>
      <c r="H955" s="1040"/>
      <c r="I955" s="1040"/>
      <c r="J955" s="1040"/>
      <c r="K955" s="1023"/>
      <c r="L955" s="1023"/>
      <c r="M955" s="1023"/>
      <c r="N955" s="1023"/>
      <c r="O955" s="1023"/>
      <c r="P955" s="1023"/>
      <c r="Q955" s="1023"/>
      <c r="R955" s="1023"/>
      <c r="S955" s="1023"/>
      <c r="T955" s="934"/>
      <c r="U955" s="934"/>
      <c r="V955" s="934"/>
      <c r="W955" s="934"/>
      <c r="X955" s="934"/>
      <c r="Y955" s="934"/>
      <c r="Z955" s="934"/>
    </row>
    <row r="956" spans="1:26" ht="16.5" customHeight="1">
      <c r="A956" s="1040"/>
      <c r="B956" s="1047">
        <v>300000</v>
      </c>
      <c r="C956" s="1046" t="e">
        <f>IF(E955&lt;0,0,IF(D956&lt;E955,D956*9/10000,E955*9/10000))</f>
        <v>#REF!</v>
      </c>
      <c r="D956" s="1046">
        <f t="shared" si="100"/>
        <v>200000</v>
      </c>
      <c r="E956" s="1048" t="e">
        <f t="shared" si="101"/>
        <v>#REF!</v>
      </c>
      <c r="F956" s="1040"/>
      <c r="G956" s="1040"/>
      <c r="H956" s="1040"/>
      <c r="I956" s="1040"/>
      <c r="J956" s="1040"/>
      <c r="K956" s="1023"/>
      <c r="L956" s="1023"/>
      <c r="M956" s="1023"/>
      <c r="N956" s="1023"/>
      <c r="O956" s="1023"/>
      <c r="P956" s="1023"/>
      <c r="Q956" s="1023"/>
      <c r="R956" s="1023"/>
      <c r="S956" s="1023"/>
      <c r="T956" s="934"/>
      <c r="U956" s="934"/>
      <c r="V956" s="934"/>
      <c r="W956" s="934"/>
      <c r="X956" s="934"/>
      <c r="Y956" s="934"/>
      <c r="Z956" s="934"/>
    </row>
    <row r="957" spans="1:26" ht="16.5" customHeight="1">
      <c r="A957" s="1040"/>
      <c r="B957" s="1047">
        <v>500000</v>
      </c>
      <c r="C957" s="1046" t="e">
        <f>IF(E956&lt;0,0,IF(D957&lt;E956,D957*8/10000,E956*8/10000))</f>
        <v>#REF!</v>
      </c>
      <c r="D957" s="1046">
        <f t="shared" si="100"/>
        <v>200000</v>
      </c>
      <c r="E957" s="1048" t="e">
        <f t="shared" si="101"/>
        <v>#REF!</v>
      </c>
      <c r="F957" s="1040"/>
      <c r="G957" s="1040"/>
      <c r="H957" s="1040"/>
      <c r="I957" s="1040"/>
      <c r="J957" s="1040"/>
      <c r="K957" s="1023"/>
      <c r="L957" s="1023"/>
      <c r="M957" s="1023"/>
      <c r="N957" s="1023"/>
      <c r="O957" s="1023"/>
      <c r="P957" s="1023"/>
      <c r="Q957" s="1023"/>
      <c r="R957" s="1023"/>
      <c r="S957" s="1023"/>
      <c r="T957" s="934"/>
      <c r="U957" s="934"/>
      <c r="V957" s="934"/>
      <c r="W957" s="934"/>
      <c r="X957" s="934"/>
      <c r="Y957" s="934"/>
      <c r="Z957" s="934"/>
    </row>
    <row r="958" spans="1:26" ht="16.5" customHeight="1">
      <c r="A958" s="1040"/>
      <c r="B958" s="1047">
        <v>1000000</v>
      </c>
      <c r="C958" s="1046" t="e">
        <f>IF(E957&lt;0,0,IF(D958&lt;E957,D958*7/10000,E957*7/10000))</f>
        <v>#REF!</v>
      </c>
      <c r="D958" s="1046">
        <f t="shared" si="100"/>
        <v>500000</v>
      </c>
      <c r="E958" s="1048" t="e">
        <f t="shared" si="101"/>
        <v>#REF!</v>
      </c>
      <c r="F958" s="1040"/>
      <c r="G958" s="1040"/>
      <c r="H958" s="1040"/>
      <c r="I958" s="1040"/>
      <c r="J958" s="1040"/>
      <c r="K958" s="1023"/>
      <c r="L958" s="1023"/>
      <c r="M958" s="1023"/>
      <c r="N958" s="1023"/>
      <c r="O958" s="1023"/>
      <c r="P958" s="1023"/>
      <c r="Q958" s="1023"/>
      <c r="R958" s="1023"/>
      <c r="S958" s="1023"/>
      <c r="T958" s="934"/>
      <c r="U958" s="934"/>
      <c r="V958" s="934"/>
      <c r="W958" s="934"/>
      <c r="X958" s="934"/>
      <c r="Y958" s="934"/>
      <c r="Z958" s="934"/>
    </row>
    <row r="959" spans="1:26" ht="16.5" customHeight="1">
      <c r="A959" s="1040"/>
      <c r="B959" s="1047">
        <v>2000000</v>
      </c>
      <c r="C959" s="1046" t="e">
        <f>IF(E958&lt;0,0,IF(D959&lt;E958,D959*5/10000,E958*5/10000))</f>
        <v>#REF!</v>
      </c>
      <c r="D959" s="1046">
        <f t="shared" si="100"/>
        <v>1000000</v>
      </c>
      <c r="E959" s="1048" t="e">
        <f t="shared" si="101"/>
        <v>#REF!</v>
      </c>
      <c r="F959" s="1040"/>
      <c r="G959" s="1040"/>
      <c r="H959" s="1040"/>
      <c r="I959" s="1040"/>
      <c r="J959" s="1040"/>
      <c r="K959" s="1023"/>
      <c r="L959" s="1023"/>
      <c r="M959" s="1023"/>
      <c r="N959" s="1023"/>
      <c r="O959" s="1023"/>
      <c r="P959" s="1023"/>
      <c r="Q959" s="1023"/>
      <c r="R959" s="1023"/>
      <c r="S959" s="1023"/>
      <c r="T959" s="934"/>
      <c r="U959" s="934"/>
      <c r="V959" s="934"/>
      <c r="W959" s="934"/>
      <c r="X959" s="934"/>
      <c r="Y959" s="934"/>
      <c r="Z959" s="934"/>
    </row>
    <row r="960" spans="1:26" ht="16.5" customHeight="1">
      <c r="A960" s="1040"/>
      <c r="B960" s="1047">
        <v>20000000</v>
      </c>
      <c r="C960" s="1046" t="e">
        <f>IF(E959&lt;0,0,IF(D960&lt;E959,D960*4/10000,E959*4/10000))</f>
        <v>#REF!</v>
      </c>
      <c r="D960" s="1046">
        <f t="shared" si="100"/>
        <v>18000000</v>
      </c>
      <c r="E960" s="1048" t="e">
        <f t="shared" si="101"/>
        <v>#REF!</v>
      </c>
      <c r="F960" s="1040"/>
      <c r="G960" s="1040"/>
      <c r="H960" s="1040"/>
      <c r="I960" s="1040"/>
      <c r="J960" s="1040"/>
      <c r="K960" s="1023"/>
      <c r="L960" s="1023"/>
      <c r="M960" s="1023"/>
      <c r="N960" s="1023"/>
      <c r="O960" s="1023"/>
      <c r="P960" s="1023"/>
      <c r="Q960" s="1023"/>
      <c r="R960" s="1023"/>
      <c r="S960" s="1023"/>
      <c r="T960" s="934"/>
      <c r="U960" s="934"/>
      <c r="V960" s="934"/>
      <c r="W960" s="934"/>
      <c r="X960" s="934"/>
      <c r="Y960" s="934"/>
      <c r="Z960" s="934"/>
    </row>
    <row r="961" spans="1:26" ht="16.5" customHeight="1">
      <c r="A961" s="1040"/>
      <c r="B961" s="1047" t="s">
        <v>1312</v>
      </c>
      <c r="C961" s="1046"/>
      <c r="D961" s="1046"/>
      <c r="E961" s="1048"/>
      <c r="F961" s="1040"/>
      <c r="G961" s="1040"/>
      <c r="H961" s="1040"/>
      <c r="I961" s="1040"/>
      <c r="J961" s="1040"/>
      <c r="K961" s="1023"/>
      <c r="L961" s="1023"/>
      <c r="M961" s="1023"/>
      <c r="N961" s="1023"/>
      <c r="O961" s="1023"/>
      <c r="P961" s="1023"/>
      <c r="Q961" s="1023"/>
      <c r="R961" s="1023"/>
      <c r="S961" s="1023"/>
      <c r="T961" s="934"/>
      <c r="U961" s="934"/>
      <c r="V961" s="934"/>
      <c r="W961" s="934"/>
      <c r="X961" s="934"/>
      <c r="Y961" s="934"/>
      <c r="Z961" s="934"/>
    </row>
    <row r="962" spans="1:26" ht="16.5" customHeight="1">
      <c r="A962" s="1040"/>
      <c r="B962" s="1047" t="s">
        <v>1313</v>
      </c>
      <c r="C962" s="1046" t="e">
        <f>ROUND(IF(C953&gt;20000000,8650+(C953-20000000)/10000,SUM(C954:C960)),0)</f>
        <v>#REF!</v>
      </c>
      <c r="D962" s="1040"/>
      <c r="E962" s="1045"/>
      <c r="F962" s="1040"/>
      <c r="G962" s="1040"/>
      <c r="H962" s="1040"/>
      <c r="I962" s="1040"/>
      <c r="J962" s="1040"/>
      <c r="K962" s="1023"/>
      <c r="L962" s="1023"/>
      <c r="M962" s="1023"/>
      <c r="N962" s="1023"/>
      <c r="O962" s="1023"/>
      <c r="P962" s="1023"/>
      <c r="Q962" s="1023"/>
      <c r="R962" s="1023"/>
      <c r="S962" s="1023"/>
      <c r="T962" s="934"/>
      <c r="U962" s="934"/>
      <c r="V962" s="934"/>
      <c r="W962" s="934"/>
      <c r="X962" s="934"/>
      <c r="Y962" s="934"/>
      <c r="Z962" s="934"/>
    </row>
    <row r="963" spans="1:26" ht="16.5" customHeight="1">
      <c r="A963" s="1040"/>
      <c r="B963" s="1047" t="s">
        <v>1314</v>
      </c>
      <c r="C963" s="936" t="e">
        <f>IF(C953&lt;=10000,20,IF(C953&lt;=300000,40,IF(C953&lt;=500000,70,IF(C953&lt;=1000000,150,350))))</f>
        <v>#REF!</v>
      </c>
      <c r="D963" s="1040"/>
      <c r="E963" s="1045"/>
      <c r="F963" s="1040"/>
      <c r="G963" s="1040"/>
      <c r="H963" s="1040"/>
      <c r="I963" s="1040"/>
      <c r="J963" s="1040"/>
      <c r="K963" s="1023"/>
      <c r="L963" s="1023"/>
      <c r="M963" s="1023"/>
      <c r="N963" s="1023"/>
      <c r="O963" s="1023"/>
      <c r="P963" s="1023"/>
      <c r="Q963" s="1023"/>
      <c r="R963" s="1023"/>
      <c r="S963" s="1023"/>
      <c r="T963" s="934"/>
      <c r="U963" s="934"/>
      <c r="V963" s="934"/>
      <c r="W963" s="934"/>
      <c r="X963" s="934"/>
      <c r="Y963" s="934"/>
      <c r="Z963" s="934"/>
    </row>
    <row r="964" spans="1:26" ht="16.5" customHeight="1">
      <c r="A964" s="1040"/>
      <c r="B964" s="1047" t="s">
        <v>1316</v>
      </c>
      <c r="C964" s="1046">
        <v>18</v>
      </c>
      <c r="D964" s="1040"/>
      <c r="E964" s="1045"/>
      <c r="F964" s="1040"/>
      <c r="G964" s="1040"/>
      <c r="H964" s="1040"/>
      <c r="I964" s="1040"/>
      <c r="J964" s="1040"/>
      <c r="K964" s="1023"/>
      <c r="L964" s="1023"/>
      <c r="M964" s="1023"/>
      <c r="N964" s="1023"/>
      <c r="O964" s="1023"/>
      <c r="P964" s="1023"/>
      <c r="Q964" s="1023"/>
      <c r="R964" s="1023"/>
      <c r="S964" s="1023"/>
      <c r="T964" s="934"/>
      <c r="U964" s="934"/>
      <c r="V964" s="934"/>
      <c r="W964" s="934"/>
      <c r="X964" s="934"/>
      <c r="Y964" s="934"/>
      <c r="Z964" s="934"/>
    </row>
    <row r="965" spans="1:26" ht="16.5" customHeight="1" thickBot="1">
      <c r="A965" s="1040"/>
      <c r="B965" s="1044" t="s">
        <v>1317</v>
      </c>
      <c r="C965" s="1043" t="e">
        <f>IF(C953=0,0,SUM(C962:C964))</f>
        <v>#REF!</v>
      </c>
      <c r="D965" s="1042"/>
      <c r="E965" s="1041"/>
      <c r="F965" s="1040"/>
      <c r="G965" s="1040"/>
      <c r="H965" s="1040"/>
      <c r="I965" s="1040"/>
      <c r="J965" s="1040"/>
      <c r="K965" s="1023"/>
      <c r="L965" s="1023"/>
      <c r="M965" s="1023"/>
      <c r="N965" s="1023"/>
      <c r="O965" s="1023"/>
      <c r="P965" s="1023"/>
      <c r="Q965" s="1023"/>
      <c r="R965" s="1023"/>
      <c r="S965" s="1023"/>
      <c r="T965" s="934"/>
      <c r="U965" s="934"/>
      <c r="V965" s="934"/>
      <c r="W965" s="934"/>
      <c r="X965" s="934"/>
      <c r="Y965" s="934"/>
      <c r="Z965" s="934"/>
    </row>
    <row r="966" spans="1:26" ht="16.5" customHeight="1">
      <c r="A966" s="1040"/>
      <c r="B966" s="1057" t="s">
        <v>1308</v>
      </c>
      <c r="C966" s="1056"/>
      <c r="D966" s="1055"/>
      <c r="E966" s="1054"/>
      <c r="F966" s="1040"/>
      <c r="G966" s="1040"/>
      <c r="H966" s="1040"/>
      <c r="I966" s="1040"/>
      <c r="J966" s="1040"/>
      <c r="K966" s="1023"/>
      <c r="L966" s="1023"/>
      <c r="M966" s="1023"/>
      <c r="N966" s="1023"/>
      <c r="O966" s="1023"/>
      <c r="P966" s="1023"/>
      <c r="Q966" s="1023"/>
      <c r="R966" s="1023"/>
      <c r="S966" s="1023"/>
      <c r="T966" s="934"/>
      <c r="U966" s="934"/>
      <c r="V966" s="934"/>
      <c r="W966" s="934"/>
      <c r="X966" s="934"/>
      <c r="Y966" s="934"/>
      <c r="Z966" s="934"/>
    </row>
    <row r="967" spans="1:26" ht="16.5" customHeight="1">
      <c r="A967" s="1040"/>
      <c r="B967" s="1053"/>
      <c r="C967" s="1046"/>
      <c r="D967" s="1040"/>
      <c r="E967" s="1045"/>
      <c r="F967" s="1040"/>
      <c r="G967" s="1040"/>
      <c r="H967" s="1040"/>
      <c r="I967" s="1040"/>
      <c r="J967" s="1040"/>
      <c r="K967" s="1023"/>
      <c r="L967" s="1023"/>
      <c r="M967" s="1023"/>
      <c r="N967" s="1023"/>
      <c r="O967" s="1023"/>
      <c r="P967" s="1023"/>
      <c r="Q967" s="1023"/>
      <c r="R967" s="1023"/>
      <c r="S967" s="1023"/>
      <c r="T967" s="934"/>
      <c r="U967" s="934"/>
      <c r="V967" s="934"/>
      <c r="W967" s="934"/>
      <c r="X967" s="934"/>
      <c r="Y967" s="934"/>
      <c r="Z967" s="934"/>
    </row>
    <row r="968" spans="1:26" ht="16.5" customHeight="1">
      <c r="A968" s="1040"/>
      <c r="B968" s="1052" t="s">
        <v>1309</v>
      </c>
      <c r="C968" s="1051" t="e">
        <f>#REF!*70%</f>
        <v>#REF!</v>
      </c>
      <c r="D968" s="1050" t="s">
        <v>1310</v>
      </c>
      <c r="E968" s="1045" t="s">
        <v>1311</v>
      </c>
      <c r="F968" s="1040"/>
      <c r="G968" s="1040"/>
      <c r="H968" s="1040"/>
      <c r="I968" s="1040"/>
      <c r="J968" s="1040"/>
      <c r="K968" s="1023"/>
      <c r="L968" s="1023"/>
      <c r="M968" s="1023"/>
      <c r="N968" s="1023"/>
      <c r="O968" s="1023"/>
      <c r="P968" s="1023"/>
      <c r="Q968" s="1023"/>
      <c r="R968" s="1023"/>
      <c r="S968" s="1023"/>
      <c r="T968" s="934"/>
      <c r="U968" s="934"/>
      <c r="V968" s="934"/>
      <c r="W968" s="934"/>
      <c r="X968" s="934"/>
      <c r="Y968" s="934"/>
      <c r="Z968" s="934"/>
    </row>
    <row r="969" spans="1:26" ht="16.5" customHeight="1">
      <c r="A969" s="1040"/>
      <c r="B969" s="1047">
        <v>50000</v>
      </c>
      <c r="C969" s="1046">
        <v>210</v>
      </c>
      <c r="D969" s="1049"/>
      <c r="E969" s="1048" t="e">
        <f>C968-B969</f>
        <v>#REF!</v>
      </c>
      <c r="F969" s="1040"/>
      <c r="G969" s="1040"/>
      <c r="H969" s="1040"/>
      <c r="I969" s="1040"/>
      <c r="J969" s="1040"/>
      <c r="K969" s="1023"/>
      <c r="L969" s="1023"/>
      <c r="M969" s="1023"/>
      <c r="N969" s="1023"/>
      <c r="O969" s="1023"/>
      <c r="P969" s="1023"/>
      <c r="Q969" s="1023"/>
      <c r="R969" s="1023"/>
      <c r="S969" s="1023"/>
      <c r="T969" s="934"/>
      <c r="U969" s="934"/>
      <c r="V969" s="934"/>
      <c r="W969" s="934"/>
      <c r="X969" s="934"/>
      <c r="Y969" s="934"/>
      <c r="Z969" s="934"/>
    </row>
    <row r="970" spans="1:26" ht="16.5" customHeight="1">
      <c r="A970" s="1040"/>
      <c r="B970" s="1047">
        <v>100000</v>
      </c>
      <c r="C970" s="1046" t="e">
        <f>IF(E969&lt;0,0,IF(D970&lt;E969,D970*10/10000,E969*10/10000))</f>
        <v>#REF!</v>
      </c>
      <c r="D970" s="1046">
        <f t="shared" ref="D970:D975" si="102">B970-B969</f>
        <v>50000</v>
      </c>
      <c r="E970" s="1048" t="e">
        <f t="shared" ref="E970:E975" si="103">E969-B970</f>
        <v>#REF!</v>
      </c>
      <c r="F970" s="1040"/>
      <c r="G970" s="1040"/>
      <c r="H970" s="1040"/>
      <c r="I970" s="1040"/>
      <c r="J970" s="1040"/>
      <c r="K970" s="1023"/>
      <c r="L970" s="1023"/>
      <c r="M970" s="1023"/>
      <c r="N970" s="1023"/>
      <c r="O970" s="1023"/>
      <c r="P970" s="1023"/>
      <c r="Q970" s="1023"/>
      <c r="R970" s="1023"/>
      <c r="S970" s="1023"/>
      <c r="T970" s="934"/>
      <c r="U970" s="934"/>
      <c r="V970" s="934"/>
      <c r="W970" s="934"/>
      <c r="X970" s="934"/>
      <c r="Y970" s="934"/>
      <c r="Z970" s="934"/>
    </row>
    <row r="971" spans="1:26" ht="16.5" customHeight="1">
      <c r="A971" s="1040"/>
      <c r="B971" s="1047">
        <v>300000</v>
      </c>
      <c r="C971" s="1046" t="e">
        <f>IF(E970&lt;0,0,IF(D971&lt;E970,D971*9/10000,E970*9/10000))</f>
        <v>#REF!</v>
      </c>
      <c r="D971" s="1046">
        <f t="shared" si="102"/>
        <v>200000</v>
      </c>
      <c r="E971" s="1048" t="e">
        <f t="shared" si="103"/>
        <v>#REF!</v>
      </c>
      <c r="F971" s="1040"/>
      <c r="G971" s="1040"/>
      <c r="H971" s="1040"/>
      <c r="I971" s="1040"/>
      <c r="J971" s="1040"/>
      <c r="K971" s="1023"/>
      <c r="L971" s="1023"/>
      <c r="M971" s="1023"/>
      <c r="N971" s="1023"/>
      <c r="O971" s="1023"/>
      <c r="P971" s="1023"/>
      <c r="Q971" s="1023"/>
      <c r="R971" s="1023"/>
      <c r="S971" s="1023"/>
      <c r="T971" s="934"/>
      <c r="U971" s="934"/>
      <c r="V971" s="934"/>
      <c r="W971" s="934"/>
      <c r="X971" s="934"/>
      <c r="Y971" s="934"/>
      <c r="Z971" s="934"/>
    </row>
    <row r="972" spans="1:26" ht="16.5" customHeight="1">
      <c r="A972" s="1040"/>
      <c r="B972" s="1047">
        <v>500000</v>
      </c>
      <c r="C972" s="1046" t="e">
        <f>IF(E971&lt;0,0,IF(D972&lt;E971,D972*8/10000,E971*8/10000))</f>
        <v>#REF!</v>
      </c>
      <c r="D972" s="1046">
        <f t="shared" si="102"/>
        <v>200000</v>
      </c>
      <c r="E972" s="1048" t="e">
        <f t="shared" si="103"/>
        <v>#REF!</v>
      </c>
      <c r="F972" s="1040"/>
      <c r="G972" s="1040"/>
      <c r="H972" s="1040"/>
      <c r="I972" s="1040"/>
      <c r="J972" s="1040"/>
      <c r="K972" s="1023"/>
      <c r="L972" s="1023"/>
      <c r="M972" s="1023"/>
      <c r="N972" s="1023"/>
      <c r="O972" s="1023"/>
      <c r="P972" s="1023"/>
      <c r="Q972" s="1023"/>
      <c r="R972" s="1023"/>
      <c r="S972" s="1023"/>
      <c r="T972" s="934"/>
      <c r="U972" s="934"/>
      <c r="V972" s="934"/>
      <c r="W972" s="934"/>
      <c r="X972" s="934"/>
      <c r="Y972" s="934"/>
      <c r="Z972" s="934"/>
    </row>
    <row r="973" spans="1:26" ht="16.5" customHeight="1">
      <c r="A973" s="1040"/>
      <c r="B973" s="1047">
        <v>1000000</v>
      </c>
      <c r="C973" s="1046" t="e">
        <f>IF(E972&lt;0,0,IF(D973&lt;E972,D973*7/10000,E972*7/10000))</f>
        <v>#REF!</v>
      </c>
      <c r="D973" s="1046">
        <f t="shared" si="102"/>
        <v>500000</v>
      </c>
      <c r="E973" s="1048" t="e">
        <f t="shared" si="103"/>
        <v>#REF!</v>
      </c>
      <c r="F973" s="1040"/>
      <c r="G973" s="1040"/>
      <c r="H973" s="1040"/>
      <c r="I973" s="1040"/>
      <c r="J973" s="1040"/>
      <c r="K973" s="1023"/>
      <c r="L973" s="1023"/>
      <c r="M973" s="1023"/>
      <c r="N973" s="1023"/>
      <c r="O973" s="1023"/>
      <c r="P973" s="1023"/>
      <c r="Q973" s="1023"/>
      <c r="R973" s="1023"/>
      <c r="S973" s="1023"/>
      <c r="T973" s="934"/>
      <c r="U973" s="934"/>
      <c r="V973" s="934"/>
      <c r="W973" s="934"/>
      <c r="X973" s="934"/>
      <c r="Y973" s="934"/>
      <c r="Z973" s="934"/>
    </row>
    <row r="974" spans="1:26" ht="16.5" customHeight="1">
      <c r="A974" s="1040"/>
      <c r="B974" s="1047">
        <v>2000000</v>
      </c>
      <c r="C974" s="1046" t="e">
        <f>IF(E973&lt;0,0,IF(D974&lt;E973,D974*5/10000,E973*5/10000))</f>
        <v>#REF!</v>
      </c>
      <c r="D974" s="1046">
        <f t="shared" si="102"/>
        <v>1000000</v>
      </c>
      <c r="E974" s="1048" t="e">
        <f t="shared" si="103"/>
        <v>#REF!</v>
      </c>
      <c r="F974" s="1040"/>
      <c r="G974" s="1040"/>
      <c r="H974" s="1040"/>
      <c r="I974" s="1040"/>
      <c r="J974" s="1040"/>
      <c r="K974" s="1023"/>
      <c r="L974" s="1023"/>
      <c r="M974" s="1023"/>
      <c r="N974" s="1023"/>
      <c r="O974" s="1023"/>
      <c r="P974" s="1023"/>
      <c r="Q974" s="1023"/>
      <c r="R974" s="1023"/>
      <c r="S974" s="1023"/>
      <c r="T974" s="934"/>
      <c r="U974" s="934"/>
      <c r="V974" s="934"/>
      <c r="W974" s="934"/>
      <c r="X974" s="934"/>
      <c r="Y974" s="934"/>
      <c r="Z974" s="934"/>
    </row>
    <row r="975" spans="1:26" ht="16.5" customHeight="1">
      <c r="A975" s="1040"/>
      <c r="B975" s="1047">
        <v>20000000</v>
      </c>
      <c r="C975" s="1046" t="e">
        <f>IF(E974&lt;0,0,IF(D975&lt;E974,D975*4/10000,E974*4/10000))</f>
        <v>#REF!</v>
      </c>
      <c r="D975" s="1046">
        <f t="shared" si="102"/>
        <v>18000000</v>
      </c>
      <c r="E975" s="1048" t="e">
        <f t="shared" si="103"/>
        <v>#REF!</v>
      </c>
      <c r="F975" s="1040"/>
      <c r="G975" s="1040"/>
      <c r="H975" s="1040"/>
      <c r="I975" s="1040"/>
      <c r="J975" s="1040"/>
      <c r="K975" s="1023"/>
      <c r="L975" s="1023"/>
      <c r="M975" s="1023"/>
      <c r="N975" s="1023"/>
      <c r="O975" s="1023"/>
      <c r="P975" s="1023"/>
      <c r="Q975" s="1023"/>
      <c r="R975" s="1023"/>
      <c r="S975" s="1023"/>
      <c r="T975" s="934"/>
      <c r="U975" s="934"/>
      <c r="V975" s="934"/>
      <c r="W975" s="934"/>
      <c r="X975" s="934"/>
      <c r="Y975" s="934"/>
      <c r="Z975" s="934"/>
    </row>
    <row r="976" spans="1:26" ht="16.5" customHeight="1">
      <c r="A976" s="1040"/>
      <c r="B976" s="1047" t="s">
        <v>1312</v>
      </c>
      <c r="C976" s="1046"/>
      <c r="D976" s="1046"/>
      <c r="E976" s="1048"/>
      <c r="F976" s="1040"/>
      <c r="G976" s="1040"/>
      <c r="H976" s="1040"/>
      <c r="I976" s="1040"/>
      <c r="J976" s="1040"/>
      <c r="K976" s="1023"/>
      <c r="L976" s="1023"/>
      <c r="M976" s="1023"/>
      <c r="N976" s="1023"/>
      <c r="O976" s="1023"/>
      <c r="P976" s="1023"/>
      <c r="Q976" s="1023"/>
      <c r="R976" s="1023"/>
      <c r="S976" s="1023"/>
      <c r="T976" s="934"/>
      <c r="U976" s="934"/>
      <c r="V976" s="934"/>
      <c r="W976" s="934"/>
      <c r="X976" s="934"/>
      <c r="Y976" s="934"/>
      <c r="Z976" s="934"/>
    </row>
    <row r="977" spans="1:26" ht="16.5" customHeight="1">
      <c r="A977" s="1040"/>
      <c r="B977" s="1047" t="s">
        <v>1313</v>
      </c>
      <c r="C977" s="1046" t="e">
        <f>ROUND(IF(C968&gt;20000000,8650+(C968-20000000)/10000,SUM(C969:C975)),0)</f>
        <v>#REF!</v>
      </c>
      <c r="D977" s="1040"/>
      <c r="E977" s="1045"/>
      <c r="F977" s="1040"/>
      <c r="G977" s="1040"/>
      <c r="H977" s="1040"/>
      <c r="I977" s="1040"/>
      <c r="J977" s="1040"/>
      <c r="K977" s="1023"/>
      <c r="L977" s="1023"/>
      <c r="M977" s="1023"/>
      <c r="N977" s="1023"/>
      <c r="O977" s="1023"/>
      <c r="P977" s="1023"/>
      <c r="Q977" s="1023"/>
      <c r="R977" s="1023"/>
      <c r="S977" s="1023"/>
      <c r="T977" s="934"/>
      <c r="U977" s="934"/>
      <c r="V977" s="934"/>
      <c r="W977" s="934"/>
      <c r="X977" s="934"/>
      <c r="Y977" s="934"/>
      <c r="Z977" s="934"/>
    </row>
    <row r="978" spans="1:26" ht="16.5" customHeight="1">
      <c r="A978" s="1040"/>
      <c r="B978" s="1047" t="s">
        <v>1314</v>
      </c>
      <c r="C978" s="936" t="e">
        <f>IF(C968&lt;=10000,20,IF(C968&lt;=300000,40,IF(C968&lt;=500000,70,IF(C968&lt;=1000000,150,350))))</f>
        <v>#REF!</v>
      </c>
      <c r="D978" s="1040"/>
      <c r="E978" s="1045"/>
      <c r="F978" s="1040"/>
      <c r="G978" s="1040"/>
      <c r="H978" s="1040"/>
      <c r="I978" s="1040"/>
      <c r="J978" s="1040"/>
      <c r="K978" s="1023"/>
      <c r="L978" s="1023"/>
      <c r="M978" s="1023"/>
      <c r="N978" s="1023"/>
      <c r="O978" s="1023"/>
      <c r="P978" s="1023"/>
      <c r="Q978" s="1023"/>
      <c r="R978" s="1023"/>
      <c r="S978" s="1023"/>
      <c r="T978" s="934"/>
      <c r="U978" s="934"/>
      <c r="V978" s="934"/>
      <c r="W978" s="934"/>
      <c r="X978" s="934"/>
      <c r="Y978" s="934"/>
      <c r="Z978" s="934"/>
    </row>
    <row r="979" spans="1:26" ht="16.5" customHeight="1">
      <c r="A979" s="1040"/>
      <c r="B979" s="1047" t="s">
        <v>1316</v>
      </c>
      <c r="C979" s="1046">
        <v>18</v>
      </c>
      <c r="D979" s="1040"/>
      <c r="E979" s="1045"/>
      <c r="F979" s="1040"/>
      <c r="G979" s="1040"/>
      <c r="H979" s="1040"/>
      <c r="I979" s="1040"/>
      <c r="J979" s="1040"/>
      <c r="K979" s="1023"/>
      <c r="L979" s="1023"/>
      <c r="M979" s="1023"/>
      <c r="N979" s="1023"/>
      <c r="O979" s="1023"/>
      <c r="P979" s="1023"/>
      <c r="Q979" s="1023"/>
      <c r="R979" s="1023"/>
      <c r="S979" s="1023"/>
      <c r="T979" s="934"/>
      <c r="U979" s="934"/>
      <c r="V979" s="934"/>
      <c r="W979" s="934"/>
      <c r="X979" s="934"/>
      <c r="Y979" s="934"/>
      <c r="Z979" s="934"/>
    </row>
    <row r="980" spans="1:26" ht="16.5" customHeight="1" thickBot="1">
      <c r="A980" s="1040"/>
      <c r="B980" s="1044" t="s">
        <v>1317</v>
      </c>
      <c r="C980" s="1043" t="e">
        <f>IF(C968=0,0,SUM(C977:C979))</f>
        <v>#REF!</v>
      </c>
      <c r="D980" s="1042"/>
      <c r="E980" s="1041"/>
      <c r="F980" s="1040"/>
      <c r="G980" s="1040"/>
      <c r="H980" s="1040"/>
      <c r="I980" s="1040"/>
      <c r="J980" s="1040"/>
      <c r="K980" s="1023"/>
      <c r="L980" s="1023"/>
      <c r="M980" s="1023"/>
      <c r="N980" s="1023"/>
      <c r="O980" s="1023"/>
      <c r="P980" s="1023"/>
      <c r="Q980" s="1023"/>
      <c r="R980" s="1023"/>
      <c r="S980" s="1023"/>
      <c r="T980" s="934"/>
      <c r="U980" s="934"/>
      <c r="V980" s="934"/>
      <c r="W980" s="934"/>
      <c r="X980" s="934"/>
      <c r="Y980" s="934"/>
      <c r="Z980" s="934"/>
    </row>
    <row r="981" spans="1:26" ht="16.5" customHeight="1">
      <c r="A981" s="1040"/>
      <c r="B981" s="1057" t="s">
        <v>1308</v>
      </c>
      <c r="C981" s="1056"/>
      <c r="D981" s="1055"/>
      <c r="E981" s="1054"/>
      <c r="F981" s="1040"/>
      <c r="G981" s="1040"/>
      <c r="H981" s="1040"/>
      <c r="I981" s="1040"/>
      <c r="J981" s="1040"/>
      <c r="K981" s="1023"/>
      <c r="L981" s="1023"/>
      <c r="M981" s="1023"/>
      <c r="N981" s="1023"/>
      <c r="O981" s="1023"/>
      <c r="P981" s="1023"/>
      <c r="Q981" s="1023"/>
      <c r="R981" s="1023"/>
      <c r="S981" s="1023"/>
      <c r="T981" s="934"/>
      <c r="U981" s="934"/>
      <c r="V981" s="934"/>
      <c r="W981" s="934"/>
      <c r="X981" s="934"/>
      <c r="Y981" s="934"/>
      <c r="Z981" s="934"/>
    </row>
    <row r="982" spans="1:26" ht="16.5" customHeight="1">
      <c r="A982" s="1040"/>
      <c r="B982" s="1053"/>
      <c r="C982" s="1046"/>
      <c r="D982" s="1040"/>
      <c r="E982" s="1045"/>
      <c r="F982" s="1040"/>
      <c r="G982" s="1040"/>
      <c r="H982" s="1040"/>
      <c r="I982" s="1040"/>
      <c r="J982" s="1040"/>
      <c r="K982" s="1023"/>
      <c r="L982" s="1023"/>
      <c r="M982" s="1023"/>
      <c r="N982" s="1023"/>
      <c r="O982" s="1023"/>
      <c r="P982" s="1023"/>
      <c r="Q982" s="1023"/>
      <c r="R982" s="1023"/>
      <c r="S982" s="1023"/>
      <c r="T982" s="934"/>
      <c r="U982" s="934"/>
      <c r="V982" s="934"/>
      <c r="W982" s="934"/>
      <c r="X982" s="934"/>
      <c r="Y982" s="934"/>
      <c r="Z982" s="934"/>
    </row>
    <row r="983" spans="1:26" ht="16.5" customHeight="1">
      <c r="A983" s="1040"/>
      <c r="B983" s="1052" t="s">
        <v>1309</v>
      </c>
      <c r="C983" s="1051" t="e">
        <f>#REF!*70%</f>
        <v>#REF!</v>
      </c>
      <c r="D983" s="1050" t="s">
        <v>1310</v>
      </c>
      <c r="E983" s="1045" t="s">
        <v>1311</v>
      </c>
      <c r="F983" s="1040"/>
      <c r="G983" s="1040"/>
      <c r="H983" s="1040"/>
      <c r="I983" s="1040"/>
      <c r="J983" s="1040"/>
      <c r="K983" s="1023"/>
      <c r="L983" s="1023"/>
      <c r="M983" s="1023"/>
      <c r="N983" s="1023"/>
      <c r="O983" s="1023"/>
      <c r="P983" s="1023"/>
      <c r="Q983" s="1023"/>
      <c r="R983" s="1023"/>
      <c r="S983" s="1023"/>
      <c r="T983" s="934"/>
      <c r="U983" s="934"/>
      <c r="V983" s="934"/>
      <c r="W983" s="934"/>
      <c r="X983" s="934"/>
      <c r="Y983" s="934"/>
      <c r="Z983" s="934"/>
    </row>
    <row r="984" spans="1:26" ht="16.5" customHeight="1">
      <c r="A984" s="1040"/>
      <c r="B984" s="1047">
        <v>50000</v>
      </c>
      <c r="C984" s="1046">
        <v>210</v>
      </c>
      <c r="D984" s="1049"/>
      <c r="E984" s="1048" t="e">
        <f>C983-B984</f>
        <v>#REF!</v>
      </c>
      <c r="F984" s="1040"/>
      <c r="G984" s="1040"/>
      <c r="H984" s="1040"/>
      <c r="I984" s="1040"/>
      <c r="J984" s="1040"/>
      <c r="K984" s="1023"/>
      <c r="L984" s="1023"/>
      <c r="M984" s="1023"/>
      <c r="N984" s="1023"/>
      <c r="O984" s="1023"/>
      <c r="P984" s="1023"/>
      <c r="Q984" s="1023"/>
      <c r="R984" s="1023"/>
      <c r="S984" s="1023"/>
      <c r="T984" s="934"/>
      <c r="U984" s="934"/>
      <c r="V984" s="934"/>
      <c r="W984" s="934"/>
      <c r="X984" s="934"/>
      <c r="Y984" s="934"/>
      <c r="Z984" s="934"/>
    </row>
    <row r="985" spans="1:26" ht="16.5" customHeight="1">
      <c r="A985" s="1040"/>
      <c r="B985" s="1047">
        <v>100000</v>
      </c>
      <c r="C985" s="1046" t="e">
        <f>IF(E984&lt;0,0,IF(D985&lt;E984,D985*10/10000,E984*10/10000))</f>
        <v>#REF!</v>
      </c>
      <c r="D985" s="1046">
        <f t="shared" ref="D985:D990" si="104">B985-B984</f>
        <v>50000</v>
      </c>
      <c r="E985" s="1048" t="e">
        <f t="shared" ref="E985:E990" si="105">E984-B985</f>
        <v>#REF!</v>
      </c>
      <c r="F985" s="1040"/>
      <c r="G985" s="1040"/>
      <c r="H985" s="1040"/>
      <c r="I985" s="1040"/>
      <c r="J985" s="1040"/>
      <c r="K985" s="1023"/>
      <c r="L985" s="1023"/>
      <c r="M985" s="1023"/>
      <c r="N985" s="1023"/>
      <c r="O985" s="1023"/>
      <c r="P985" s="1023"/>
      <c r="Q985" s="1023"/>
      <c r="R985" s="1023"/>
      <c r="S985" s="1023"/>
      <c r="T985" s="934"/>
      <c r="U985" s="934"/>
      <c r="V985" s="934"/>
      <c r="W985" s="934"/>
      <c r="X985" s="934"/>
      <c r="Y985" s="934"/>
      <c r="Z985" s="934"/>
    </row>
    <row r="986" spans="1:26" ht="16.5" customHeight="1">
      <c r="A986" s="1040"/>
      <c r="B986" s="1047">
        <v>300000</v>
      </c>
      <c r="C986" s="1046" t="e">
        <f>IF(E985&lt;0,0,IF(D986&lt;E985,D986*9/10000,E985*9/10000))</f>
        <v>#REF!</v>
      </c>
      <c r="D986" s="1046">
        <f t="shared" si="104"/>
        <v>200000</v>
      </c>
      <c r="E986" s="1048" t="e">
        <f t="shared" si="105"/>
        <v>#REF!</v>
      </c>
      <c r="F986" s="1040"/>
      <c r="G986" s="1040"/>
      <c r="H986" s="1040"/>
      <c r="I986" s="1040"/>
      <c r="J986" s="1040"/>
      <c r="K986" s="1023"/>
      <c r="L986" s="1023"/>
      <c r="M986" s="1023"/>
      <c r="N986" s="1023"/>
      <c r="O986" s="1023"/>
      <c r="P986" s="1023"/>
      <c r="Q986" s="1023"/>
      <c r="R986" s="1023"/>
      <c r="S986" s="1023"/>
      <c r="T986" s="934"/>
      <c r="U986" s="934"/>
      <c r="V986" s="934"/>
      <c r="W986" s="934"/>
      <c r="X986" s="934"/>
      <c r="Y986" s="934"/>
      <c r="Z986" s="934"/>
    </row>
    <row r="987" spans="1:26" ht="16.5" customHeight="1">
      <c r="A987" s="1040"/>
      <c r="B987" s="1047">
        <v>500000</v>
      </c>
      <c r="C987" s="1046" t="e">
        <f>IF(E986&lt;0,0,IF(D987&lt;E986,D987*8/10000,E986*8/10000))</f>
        <v>#REF!</v>
      </c>
      <c r="D987" s="1046">
        <f t="shared" si="104"/>
        <v>200000</v>
      </c>
      <c r="E987" s="1048" t="e">
        <f t="shared" si="105"/>
        <v>#REF!</v>
      </c>
      <c r="F987" s="1040"/>
      <c r="G987" s="1040"/>
      <c r="H987" s="1040"/>
      <c r="I987" s="1040"/>
      <c r="J987" s="1040"/>
      <c r="K987" s="1023"/>
      <c r="L987" s="1023"/>
      <c r="M987" s="1023"/>
      <c r="N987" s="1023"/>
      <c r="O987" s="1023"/>
      <c r="P987" s="1023"/>
      <c r="Q987" s="1023"/>
      <c r="R987" s="1023"/>
      <c r="S987" s="1023"/>
      <c r="T987" s="934"/>
      <c r="U987" s="934"/>
      <c r="V987" s="934"/>
      <c r="W987" s="934"/>
      <c r="X987" s="934"/>
      <c r="Y987" s="934"/>
      <c r="Z987" s="934"/>
    </row>
    <row r="988" spans="1:26" ht="16.5" customHeight="1">
      <c r="A988" s="1040"/>
      <c r="B988" s="1047">
        <v>1000000</v>
      </c>
      <c r="C988" s="1046" t="e">
        <f>IF(E987&lt;0,0,IF(D988&lt;E987,D988*7/10000,E987*7/10000))</f>
        <v>#REF!</v>
      </c>
      <c r="D988" s="1046">
        <f t="shared" si="104"/>
        <v>500000</v>
      </c>
      <c r="E988" s="1048" t="e">
        <f t="shared" si="105"/>
        <v>#REF!</v>
      </c>
      <c r="F988" s="1040"/>
      <c r="G988" s="1040"/>
      <c r="H988" s="1040"/>
      <c r="I988" s="1040"/>
      <c r="J988" s="1040"/>
      <c r="K988" s="1023"/>
      <c r="L988" s="1023"/>
      <c r="M988" s="1023"/>
      <c r="N988" s="1023"/>
      <c r="O988" s="1023"/>
      <c r="P988" s="1023"/>
      <c r="Q988" s="1023"/>
      <c r="R988" s="1023"/>
      <c r="S988" s="1023"/>
      <c r="T988" s="934"/>
      <c r="U988" s="934"/>
      <c r="V988" s="934"/>
      <c r="W988" s="934"/>
      <c r="X988" s="934"/>
      <c r="Y988" s="934"/>
      <c r="Z988" s="934"/>
    </row>
    <row r="989" spans="1:26" ht="16.5" customHeight="1">
      <c r="A989" s="1040"/>
      <c r="B989" s="1047">
        <v>2000000</v>
      </c>
      <c r="C989" s="1046" t="e">
        <f>IF(E988&lt;0,0,IF(D989&lt;E988,D989*5/10000,E988*5/10000))</f>
        <v>#REF!</v>
      </c>
      <c r="D989" s="1046">
        <f t="shared" si="104"/>
        <v>1000000</v>
      </c>
      <c r="E989" s="1048" t="e">
        <f t="shared" si="105"/>
        <v>#REF!</v>
      </c>
      <c r="F989" s="1040"/>
      <c r="G989" s="1040"/>
      <c r="H989" s="1040"/>
      <c r="I989" s="1040"/>
      <c r="J989" s="1040"/>
      <c r="K989" s="1023"/>
      <c r="L989" s="1023"/>
      <c r="M989" s="1023"/>
      <c r="N989" s="1023"/>
      <c r="O989" s="1023"/>
      <c r="P989" s="1023"/>
      <c r="Q989" s="1023"/>
      <c r="R989" s="1023"/>
      <c r="S989" s="1023"/>
      <c r="T989" s="934"/>
      <c r="U989" s="934"/>
      <c r="V989" s="934"/>
      <c r="W989" s="934"/>
      <c r="X989" s="934"/>
      <c r="Y989" s="934"/>
      <c r="Z989" s="934"/>
    </row>
    <row r="990" spans="1:26" ht="16.5" customHeight="1">
      <c r="A990" s="1040"/>
      <c r="B990" s="1047">
        <v>20000000</v>
      </c>
      <c r="C990" s="1046" t="e">
        <f>IF(E989&lt;0,0,IF(D990&lt;E989,D990*4/10000,E989*4/10000))</f>
        <v>#REF!</v>
      </c>
      <c r="D990" s="1046">
        <f t="shared" si="104"/>
        <v>18000000</v>
      </c>
      <c r="E990" s="1048" t="e">
        <f t="shared" si="105"/>
        <v>#REF!</v>
      </c>
      <c r="F990" s="1040"/>
      <c r="G990" s="1040"/>
      <c r="H990" s="1040"/>
      <c r="I990" s="1040"/>
      <c r="J990" s="1040"/>
      <c r="K990" s="1023"/>
      <c r="L990" s="1023"/>
      <c r="M990" s="1023"/>
      <c r="N990" s="1023"/>
      <c r="O990" s="1023"/>
      <c r="P990" s="1023"/>
      <c r="Q990" s="1023"/>
      <c r="R990" s="1023"/>
      <c r="S990" s="1023"/>
      <c r="T990" s="934"/>
      <c r="U990" s="934"/>
      <c r="V990" s="934"/>
      <c r="W990" s="934"/>
      <c r="X990" s="934"/>
      <c r="Y990" s="934"/>
      <c r="Z990" s="934"/>
    </row>
    <row r="991" spans="1:26" ht="16.5" customHeight="1">
      <c r="A991" s="1040"/>
      <c r="B991" s="1047" t="s">
        <v>1312</v>
      </c>
      <c r="C991" s="1046"/>
      <c r="D991" s="1046"/>
      <c r="E991" s="1048"/>
      <c r="F991" s="1040"/>
      <c r="G991" s="1040"/>
      <c r="H991" s="1040"/>
      <c r="I991" s="1040"/>
      <c r="J991" s="1040"/>
      <c r="K991" s="1023"/>
      <c r="L991" s="1023"/>
      <c r="M991" s="1023"/>
      <c r="N991" s="1023"/>
      <c r="O991" s="1023"/>
      <c r="P991" s="1023"/>
      <c r="Q991" s="1023"/>
      <c r="R991" s="1023"/>
      <c r="S991" s="1023"/>
      <c r="T991" s="934"/>
      <c r="U991" s="934"/>
      <c r="V991" s="934"/>
      <c r="W991" s="934"/>
      <c r="X991" s="934"/>
      <c r="Y991" s="934"/>
      <c r="Z991" s="934"/>
    </row>
    <row r="992" spans="1:26" ht="16.5" customHeight="1">
      <c r="A992" s="1040"/>
      <c r="B992" s="1047" t="s">
        <v>1313</v>
      </c>
      <c r="C992" s="1046" t="e">
        <f>ROUND(IF(C983&gt;20000000,8650+(C983-20000000)/10000,SUM(C984:C990)),0)</f>
        <v>#REF!</v>
      </c>
      <c r="D992" s="1040"/>
      <c r="E992" s="1045"/>
      <c r="F992" s="1040"/>
      <c r="G992" s="1040"/>
      <c r="H992" s="1040"/>
      <c r="I992" s="1040"/>
      <c r="J992" s="1040"/>
      <c r="K992" s="1023"/>
      <c r="L992" s="1023"/>
      <c r="M992" s="1023"/>
      <c r="N992" s="1023"/>
      <c r="O992" s="1023"/>
      <c r="P992" s="1023"/>
      <c r="Q992" s="1023"/>
      <c r="R992" s="1023"/>
      <c r="S992" s="1023"/>
      <c r="T992" s="934"/>
      <c r="U992" s="934"/>
      <c r="V992" s="934"/>
      <c r="W992" s="934"/>
      <c r="X992" s="934"/>
      <c r="Y992" s="934"/>
      <c r="Z992" s="934"/>
    </row>
    <row r="993" spans="1:26" ht="16.5" customHeight="1">
      <c r="A993" s="1040"/>
      <c r="B993" s="1047" t="s">
        <v>1314</v>
      </c>
      <c r="C993" s="936" t="e">
        <f>IF(C983&lt;=10000,20,IF(C983&lt;=300000,40,IF(C983&lt;=500000,70,IF(C983&lt;=1000000,150,350))))</f>
        <v>#REF!</v>
      </c>
      <c r="D993" s="1040"/>
      <c r="E993" s="1045"/>
      <c r="F993" s="1040"/>
      <c r="G993" s="1040"/>
      <c r="H993" s="1040"/>
      <c r="I993" s="1040"/>
      <c r="J993" s="1040"/>
      <c r="K993" s="1023"/>
      <c r="L993" s="1023"/>
      <c r="M993" s="1023"/>
      <c r="N993" s="1023"/>
      <c r="O993" s="1023"/>
      <c r="P993" s="1023"/>
      <c r="Q993" s="1023"/>
      <c r="R993" s="1023"/>
      <c r="S993" s="1023"/>
      <c r="T993" s="934"/>
      <c r="U993" s="934"/>
      <c r="V993" s="934"/>
      <c r="W993" s="934"/>
      <c r="X993" s="934"/>
      <c r="Y993" s="934"/>
      <c r="Z993" s="934"/>
    </row>
    <row r="994" spans="1:26" ht="16.5" customHeight="1">
      <c r="A994" s="1040"/>
      <c r="B994" s="1047" t="s">
        <v>1316</v>
      </c>
      <c r="C994" s="1046">
        <v>18</v>
      </c>
      <c r="D994" s="1040"/>
      <c r="E994" s="1045"/>
      <c r="F994" s="1040"/>
      <c r="G994" s="1040"/>
      <c r="H994" s="1040"/>
      <c r="I994" s="1040"/>
      <c r="J994" s="1040"/>
      <c r="K994" s="1023"/>
      <c r="L994" s="1023"/>
      <c r="M994" s="1023"/>
      <c r="N994" s="1023"/>
      <c r="O994" s="1023"/>
      <c r="P994" s="1023"/>
      <c r="Q994" s="1023"/>
      <c r="R994" s="1023"/>
      <c r="S994" s="1023"/>
      <c r="T994" s="934"/>
      <c r="U994" s="934"/>
      <c r="V994" s="934"/>
      <c r="W994" s="934"/>
      <c r="X994" s="934"/>
      <c r="Y994" s="934"/>
      <c r="Z994" s="934"/>
    </row>
    <row r="995" spans="1:26" ht="16.5" customHeight="1" thickBot="1">
      <c r="A995" s="1040"/>
      <c r="B995" s="1044" t="s">
        <v>1317</v>
      </c>
      <c r="C995" s="1043" t="e">
        <f>IF(C983=0,0,SUM(C992:C994))</f>
        <v>#REF!</v>
      </c>
      <c r="D995" s="1042"/>
      <c r="E995" s="1041"/>
      <c r="F995" s="1040"/>
      <c r="G995" s="1040"/>
      <c r="H995" s="1040"/>
      <c r="I995" s="1040"/>
      <c r="J995" s="1040"/>
      <c r="K995" s="1023"/>
      <c r="L995" s="1023"/>
      <c r="M995" s="1023"/>
      <c r="N995" s="1023"/>
      <c r="O995" s="1023"/>
      <c r="P995" s="1023"/>
      <c r="Q995" s="1023"/>
      <c r="R995" s="1023"/>
      <c r="S995" s="1023"/>
      <c r="T995" s="934"/>
      <c r="U995" s="934"/>
      <c r="V995" s="934"/>
      <c r="W995" s="934"/>
      <c r="X995" s="934"/>
      <c r="Y995" s="934"/>
      <c r="Z995" s="934"/>
    </row>
    <row r="996" spans="1:26" ht="16.5" customHeight="1">
      <c r="A996" s="1040"/>
      <c r="B996" s="1057" t="s">
        <v>1308</v>
      </c>
      <c r="C996" s="1056"/>
      <c r="D996" s="1055"/>
      <c r="E996" s="1054"/>
      <c r="F996" s="1040"/>
      <c r="G996" s="1040"/>
      <c r="H996" s="1040"/>
      <c r="I996" s="1040"/>
      <c r="J996" s="1040"/>
      <c r="K996" s="1022"/>
      <c r="L996" s="1023"/>
      <c r="M996" s="1023"/>
      <c r="N996" s="1023"/>
      <c r="O996" s="1023"/>
      <c r="P996" s="1023"/>
      <c r="Q996" s="1023"/>
      <c r="R996" s="1023"/>
      <c r="S996" s="1023"/>
      <c r="T996" s="934"/>
      <c r="U996" s="934"/>
      <c r="V996" s="934"/>
      <c r="W996" s="934"/>
      <c r="X996" s="934"/>
      <c r="Y996" s="934"/>
      <c r="Z996" s="934"/>
    </row>
    <row r="997" spans="1:26" ht="16.5" customHeight="1">
      <c r="A997" s="1040"/>
      <c r="B997" s="1053"/>
      <c r="C997" s="1046"/>
      <c r="D997" s="1040"/>
      <c r="E997" s="1045"/>
      <c r="F997" s="1040"/>
      <c r="G997" s="1040"/>
      <c r="H997" s="1040"/>
      <c r="I997" s="1040"/>
      <c r="J997" s="1040"/>
      <c r="K997" s="1022"/>
      <c r="L997" s="1023"/>
      <c r="M997" s="1023"/>
      <c r="N997" s="1023"/>
      <c r="O997" s="1023"/>
      <c r="P997" s="1023"/>
      <c r="Q997" s="1023"/>
      <c r="R997" s="1023"/>
      <c r="S997" s="1023"/>
      <c r="T997" s="934"/>
      <c r="U997" s="934"/>
      <c r="V997" s="934"/>
      <c r="W997" s="934"/>
      <c r="X997" s="934"/>
      <c r="Y997" s="934"/>
      <c r="Z997" s="934"/>
    </row>
    <row r="998" spans="1:26" ht="16.5" customHeight="1">
      <c r="A998" s="1040"/>
      <c r="B998" s="1052" t="s">
        <v>1309</v>
      </c>
      <c r="C998" s="1051" t="e">
        <f>#REF!*70%</f>
        <v>#REF!</v>
      </c>
      <c r="D998" s="1050" t="s">
        <v>1310</v>
      </c>
      <c r="E998" s="1045" t="s">
        <v>1311</v>
      </c>
      <c r="F998" s="1040"/>
      <c r="G998" s="1040"/>
      <c r="H998" s="1040"/>
      <c r="I998" s="1040"/>
      <c r="J998" s="1040"/>
      <c r="K998" s="1022"/>
      <c r="L998" s="1023"/>
      <c r="M998" s="1023"/>
      <c r="N998" s="1023"/>
      <c r="O998" s="1023"/>
      <c r="P998" s="1023"/>
      <c r="Q998" s="1023"/>
      <c r="R998" s="1023"/>
      <c r="S998" s="1023"/>
      <c r="T998" s="934"/>
      <c r="U998" s="934"/>
      <c r="V998" s="934"/>
      <c r="W998" s="934"/>
      <c r="X998" s="934"/>
      <c r="Y998" s="934"/>
      <c r="Z998" s="934"/>
    </row>
    <row r="999" spans="1:26" ht="16.5" customHeight="1">
      <c r="A999" s="1040"/>
      <c r="B999" s="1047">
        <v>50000</v>
      </c>
      <c r="C999" s="1046">
        <v>210</v>
      </c>
      <c r="D999" s="1049"/>
      <c r="E999" s="1048" t="e">
        <f>C998-B999</f>
        <v>#REF!</v>
      </c>
      <c r="F999" s="1040"/>
      <c r="G999" s="1040"/>
      <c r="H999" s="1040"/>
      <c r="I999" s="1040"/>
      <c r="J999" s="1040"/>
      <c r="K999" s="1022"/>
      <c r="L999" s="1023"/>
      <c r="M999" s="1023"/>
      <c r="N999" s="1023"/>
      <c r="O999" s="1023"/>
      <c r="P999" s="1023"/>
      <c r="Q999" s="1023"/>
      <c r="R999" s="1023"/>
      <c r="S999" s="1023"/>
      <c r="T999" s="934"/>
      <c r="U999" s="934"/>
      <c r="V999" s="934"/>
      <c r="W999" s="934"/>
      <c r="X999" s="934"/>
      <c r="Y999" s="934"/>
      <c r="Z999" s="934"/>
    </row>
    <row r="1000" spans="1:26" ht="16.5" customHeight="1">
      <c r="A1000" s="1040"/>
      <c r="B1000" s="1047">
        <v>100000</v>
      </c>
      <c r="C1000" s="1046" t="e">
        <f>IF(E999&lt;0,0,IF(D1000&lt;E999,D1000*10/10000,E999*10/10000))</f>
        <v>#REF!</v>
      </c>
      <c r="D1000" s="1046">
        <f t="shared" ref="D1000:D1005" si="106">B1000-B999</f>
        <v>50000</v>
      </c>
      <c r="E1000" s="1048" t="e">
        <f t="shared" ref="E1000:E1005" si="107">E999-B1000</f>
        <v>#REF!</v>
      </c>
      <c r="F1000" s="1040"/>
      <c r="G1000" s="1040"/>
      <c r="H1000" s="1040"/>
      <c r="I1000" s="1040"/>
      <c r="J1000" s="1040"/>
      <c r="K1000" s="1022"/>
      <c r="L1000" s="1023"/>
      <c r="M1000" s="1023"/>
      <c r="N1000" s="1023"/>
      <c r="O1000" s="1023"/>
      <c r="P1000" s="1023"/>
      <c r="Q1000" s="1023"/>
      <c r="R1000" s="1023"/>
      <c r="S1000" s="1023"/>
      <c r="T1000" s="934"/>
      <c r="U1000" s="934"/>
      <c r="V1000" s="934"/>
      <c r="W1000" s="934"/>
      <c r="X1000" s="934"/>
      <c r="Y1000" s="934"/>
      <c r="Z1000" s="934"/>
    </row>
    <row r="1001" spans="1:26" ht="15" customHeight="1">
      <c r="A1001" s="1040"/>
      <c r="B1001" s="1047">
        <v>300000</v>
      </c>
      <c r="C1001" s="1046" t="e">
        <f>IF(E1000&lt;0,0,IF(D1001&lt;E1000,D1001*9/10000,E1000*9/10000))</f>
        <v>#REF!</v>
      </c>
      <c r="D1001" s="1046">
        <f t="shared" si="106"/>
        <v>200000</v>
      </c>
      <c r="E1001" s="1048" t="e">
        <f t="shared" si="107"/>
        <v>#REF!</v>
      </c>
      <c r="F1001" s="1040"/>
      <c r="G1001" s="1040"/>
      <c r="H1001" s="1040"/>
      <c r="I1001" s="1040"/>
      <c r="J1001" s="1040"/>
      <c r="K1001" s="1022"/>
      <c r="L1001" s="1022"/>
      <c r="M1001" s="1022"/>
      <c r="N1001" s="1022"/>
      <c r="O1001" s="1022"/>
      <c r="P1001" s="1022"/>
      <c r="Q1001" s="1022"/>
      <c r="R1001" s="1022"/>
      <c r="S1001" s="1022"/>
    </row>
    <row r="1002" spans="1:26" ht="15" customHeight="1">
      <c r="A1002" s="1040"/>
      <c r="B1002" s="1047">
        <v>500000</v>
      </c>
      <c r="C1002" s="1046" t="e">
        <f>IF(E1001&lt;0,0,IF(D1002&lt;E1001,D1002*8/10000,E1001*8/10000))</f>
        <v>#REF!</v>
      </c>
      <c r="D1002" s="1046">
        <f t="shared" si="106"/>
        <v>200000</v>
      </c>
      <c r="E1002" s="1048" t="e">
        <f t="shared" si="107"/>
        <v>#REF!</v>
      </c>
      <c r="F1002" s="1040"/>
      <c r="G1002" s="1040"/>
      <c r="H1002" s="1040"/>
      <c r="I1002" s="1040"/>
      <c r="J1002" s="1040"/>
      <c r="K1002" s="1022"/>
      <c r="L1002" s="1022"/>
      <c r="M1002" s="1022"/>
      <c r="N1002" s="1022"/>
      <c r="O1002" s="1022"/>
      <c r="P1002" s="1022"/>
      <c r="Q1002" s="1022"/>
      <c r="R1002" s="1022"/>
      <c r="S1002" s="1022"/>
    </row>
    <row r="1003" spans="1:26" ht="15" customHeight="1">
      <c r="A1003" s="1040"/>
      <c r="B1003" s="1047">
        <v>1000000</v>
      </c>
      <c r="C1003" s="1046" t="e">
        <f>IF(E1002&lt;0,0,IF(D1003&lt;E1002,D1003*7/10000,E1002*7/10000))</f>
        <v>#REF!</v>
      </c>
      <c r="D1003" s="1046">
        <f t="shared" si="106"/>
        <v>500000</v>
      </c>
      <c r="E1003" s="1048" t="e">
        <f t="shared" si="107"/>
        <v>#REF!</v>
      </c>
      <c r="F1003" s="1040"/>
      <c r="G1003" s="1040"/>
      <c r="H1003" s="1040"/>
      <c r="I1003" s="1040"/>
      <c r="J1003" s="1040"/>
      <c r="K1003" s="1022"/>
      <c r="L1003" s="1022"/>
      <c r="M1003" s="1022"/>
      <c r="N1003" s="1022"/>
      <c r="O1003" s="1022"/>
      <c r="P1003" s="1022"/>
      <c r="Q1003" s="1022"/>
      <c r="R1003" s="1022"/>
      <c r="S1003" s="1022"/>
    </row>
    <row r="1004" spans="1:26" ht="15" customHeight="1">
      <c r="A1004" s="1040"/>
      <c r="B1004" s="1047">
        <v>2000000</v>
      </c>
      <c r="C1004" s="1046" t="e">
        <f>IF(E1003&lt;0,0,IF(D1004&lt;E1003,D1004*5/10000,E1003*5/10000))</f>
        <v>#REF!</v>
      </c>
      <c r="D1004" s="1046">
        <f t="shared" si="106"/>
        <v>1000000</v>
      </c>
      <c r="E1004" s="1048" t="e">
        <f t="shared" si="107"/>
        <v>#REF!</v>
      </c>
      <c r="F1004" s="1040"/>
      <c r="G1004" s="1040"/>
      <c r="H1004" s="1040"/>
      <c r="I1004" s="1040"/>
      <c r="J1004" s="1040"/>
      <c r="K1004" s="1022"/>
      <c r="L1004" s="1022"/>
      <c r="M1004" s="1022"/>
      <c r="N1004" s="1022"/>
      <c r="O1004" s="1022"/>
      <c r="P1004" s="1022"/>
      <c r="Q1004" s="1022"/>
      <c r="R1004" s="1022"/>
      <c r="S1004" s="1022"/>
    </row>
    <row r="1005" spans="1:26" ht="15" customHeight="1">
      <c r="A1005" s="1040"/>
      <c r="B1005" s="1047">
        <v>20000000</v>
      </c>
      <c r="C1005" s="1046" t="e">
        <f>IF(E1004&lt;0,0,IF(D1005&lt;E1004,D1005*4/10000,E1004*4/10000))</f>
        <v>#REF!</v>
      </c>
      <c r="D1005" s="1046">
        <f t="shared" si="106"/>
        <v>18000000</v>
      </c>
      <c r="E1005" s="1048" t="e">
        <f t="shared" si="107"/>
        <v>#REF!</v>
      </c>
      <c r="F1005" s="1040"/>
      <c r="G1005" s="1040"/>
      <c r="H1005" s="1040"/>
      <c r="I1005" s="1040"/>
      <c r="J1005" s="1040"/>
      <c r="K1005" s="1022"/>
      <c r="L1005" s="1022"/>
      <c r="M1005" s="1022"/>
      <c r="N1005" s="1022"/>
      <c r="O1005" s="1022"/>
      <c r="P1005" s="1022"/>
      <c r="Q1005" s="1022"/>
      <c r="R1005" s="1022"/>
      <c r="S1005" s="1022"/>
    </row>
    <row r="1006" spans="1:26" ht="15" customHeight="1">
      <c r="A1006" s="1040"/>
      <c r="B1006" s="1047" t="s">
        <v>1312</v>
      </c>
      <c r="C1006" s="1046"/>
      <c r="D1006" s="1046"/>
      <c r="E1006" s="1048"/>
      <c r="F1006" s="1040"/>
      <c r="G1006" s="1040"/>
      <c r="H1006" s="1040"/>
      <c r="I1006" s="1040"/>
      <c r="J1006" s="1040"/>
      <c r="K1006" s="1022"/>
      <c r="L1006" s="1022"/>
      <c r="M1006" s="1022"/>
      <c r="N1006" s="1022"/>
      <c r="O1006" s="1022"/>
      <c r="P1006" s="1022"/>
      <c r="Q1006" s="1022"/>
      <c r="R1006" s="1022"/>
      <c r="S1006" s="1022"/>
    </row>
    <row r="1007" spans="1:26" ht="15" customHeight="1">
      <c r="A1007" s="1040"/>
      <c r="B1007" s="1047" t="s">
        <v>1313</v>
      </c>
      <c r="C1007" s="1046" t="e">
        <f>ROUND(IF(C998&gt;20000000,8650+(C998-20000000)/10000,SUM(C999:C1005)),0)</f>
        <v>#REF!</v>
      </c>
      <c r="D1007" s="1040"/>
      <c r="E1007" s="1045"/>
      <c r="F1007" s="1040"/>
      <c r="G1007" s="1040"/>
      <c r="H1007" s="1040"/>
      <c r="I1007" s="1040"/>
      <c r="J1007" s="1040"/>
      <c r="K1007" s="1022"/>
      <c r="L1007" s="1022"/>
      <c r="M1007" s="1022"/>
      <c r="N1007" s="1022"/>
      <c r="O1007" s="1022"/>
      <c r="P1007" s="1022"/>
      <c r="Q1007" s="1022"/>
      <c r="R1007" s="1022"/>
      <c r="S1007" s="1022"/>
    </row>
    <row r="1008" spans="1:26" ht="15" customHeight="1">
      <c r="A1008" s="1040"/>
      <c r="B1008" s="1047" t="s">
        <v>1314</v>
      </c>
      <c r="C1008" s="936" t="e">
        <f>IF(C998&lt;=10000,20,IF(C998&lt;=300000,40,IF(C998&lt;=500000,70,IF(C998&lt;=1000000,150,350))))</f>
        <v>#REF!</v>
      </c>
      <c r="D1008" s="1040"/>
      <c r="E1008" s="1045"/>
      <c r="F1008" s="1040"/>
      <c r="G1008" s="1040"/>
      <c r="H1008" s="1040"/>
      <c r="I1008" s="1040"/>
      <c r="J1008" s="1040"/>
      <c r="K1008" s="1022"/>
      <c r="L1008" s="1022"/>
      <c r="M1008" s="1022"/>
      <c r="N1008" s="1022"/>
      <c r="O1008" s="1022"/>
      <c r="P1008" s="1022"/>
      <c r="Q1008" s="1022"/>
      <c r="R1008" s="1022"/>
      <c r="S1008" s="1022"/>
    </row>
    <row r="1009" spans="1:19" ht="15" customHeight="1">
      <c r="A1009" s="1040"/>
      <c r="B1009" s="1047" t="s">
        <v>1316</v>
      </c>
      <c r="C1009" s="1046">
        <v>18</v>
      </c>
      <c r="D1009" s="1040"/>
      <c r="E1009" s="1045"/>
      <c r="F1009" s="1040"/>
      <c r="G1009" s="1040"/>
      <c r="H1009" s="1040"/>
      <c r="I1009" s="1040"/>
      <c r="J1009" s="1040"/>
      <c r="K1009" s="1022"/>
      <c r="L1009" s="1022"/>
      <c r="M1009" s="1022"/>
      <c r="N1009" s="1022"/>
      <c r="O1009" s="1022"/>
      <c r="P1009" s="1022"/>
      <c r="Q1009" s="1022"/>
      <c r="R1009" s="1022"/>
      <c r="S1009" s="1022"/>
    </row>
    <row r="1010" spans="1:19" ht="15" customHeight="1" thickBot="1">
      <c r="A1010" s="1040"/>
      <c r="B1010" s="1044" t="s">
        <v>1317</v>
      </c>
      <c r="C1010" s="1043" t="e">
        <f>IF(C998=0,0,SUM(C1007:C1009))</f>
        <v>#REF!</v>
      </c>
      <c r="D1010" s="1042"/>
      <c r="E1010" s="1041"/>
      <c r="F1010" s="1040"/>
      <c r="G1010" s="1040"/>
      <c r="H1010" s="1040"/>
      <c r="I1010" s="1040"/>
      <c r="J1010" s="1040"/>
      <c r="K1010" s="1022"/>
      <c r="L1010" s="1022"/>
      <c r="M1010" s="1022"/>
      <c r="N1010" s="1022"/>
      <c r="O1010" s="1022"/>
      <c r="P1010" s="1022"/>
      <c r="Q1010" s="1022"/>
      <c r="R1010" s="1022"/>
      <c r="S1010" s="1022"/>
    </row>
    <row r="1011" spans="1:19" ht="15" customHeight="1">
      <c r="A1011" s="1040"/>
      <c r="B1011" s="1057" t="s">
        <v>1308</v>
      </c>
      <c r="C1011" s="1056"/>
      <c r="D1011" s="1055"/>
      <c r="E1011" s="1054"/>
      <c r="F1011" s="1040"/>
      <c r="G1011" s="1040"/>
      <c r="H1011" s="1040"/>
      <c r="I1011" s="1040"/>
      <c r="J1011" s="1040"/>
      <c r="K1011" s="1022"/>
      <c r="L1011" s="1022"/>
      <c r="M1011" s="1022"/>
      <c r="N1011" s="1022"/>
      <c r="O1011" s="1022"/>
      <c r="P1011" s="1022"/>
      <c r="Q1011" s="1022"/>
      <c r="R1011" s="1022"/>
      <c r="S1011" s="1022"/>
    </row>
    <row r="1012" spans="1:19" ht="15" customHeight="1">
      <c r="A1012" s="1040"/>
      <c r="B1012" s="1053"/>
      <c r="C1012" s="1046"/>
      <c r="D1012" s="1040"/>
      <c r="E1012" s="1045"/>
      <c r="F1012" s="1040"/>
      <c r="G1012" s="1040"/>
      <c r="H1012" s="1040"/>
      <c r="I1012" s="1040"/>
      <c r="J1012" s="1040"/>
      <c r="K1012" s="1022"/>
      <c r="L1012" s="1022"/>
      <c r="M1012" s="1022"/>
      <c r="N1012" s="1022"/>
      <c r="O1012" s="1022"/>
      <c r="P1012" s="1022"/>
      <c r="Q1012" s="1022"/>
      <c r="R1012" s="1022"/>
      <c r="S1012" s="1022"/>
    </row>
    <row r="1013" spans="1:19" ht="15" customHeight="1">
      <c r="A1013" s="1040"/>
      <c r="B1013" s="1052" t="s">
        <v>1309</v>
      </c>
      <c r="C1013" s="1051" t="e">
        <f>#REF!*70%</f>
        <v>#REF!</v>
      </c>
      <c r="D1013" s="1050" t="s">
        <v>1310</v>
      </c>
      <c r="E1013" s="1045" t="s">
        <v>1311</v>
      </c>
      <c r="F1013" s="1040"/>
      <c r="G1013" s="1040"/>
      <c r="H1013" s="1040"/>
      <c r="I1013" s="1040"/>
      <c r="J1013" s="1040"/>
      <c r="K1013" s="1022"/>
      <c r="L1013" s="1022"/>
      <c r="M1013" s="1022"/>
      <c r="N1013" s="1022"/>
      <c r="O1013" s="1022"/>
      <c r="P1013" s="1022"/>
      <c r="Q1013" s="1022"/>
      <c r="R1013" s="1022"/>
      <c r="S1013" s="1022"/>
    </row>
    <row r="1014" spans="1:19" ht="15" customHeight="1">
      <c r="A1014" s="1040"/>
      <c r="B1014" s="1047">
        <v>50000</v>
      </c>
      <c r="C1014" s="1046">
        <v>210</v>
      </c>
      <c r="D1014" s="1049"/>
      <c r="E1014" s="1048" t="e">
        <f>C1013-B1014</f>
        <v>#REF!</v>
      </c>
      <c r="F1014" s="1040"/>
      <c r="G1014" s="1040"/>
      <c r="H1014" s="1040"/>
      <c r="I1014" s="1040"/>
      <c r="J1014" s="1040"/>
      <c r="K1014" s="1022"/>
      <c r="L1014" s="1022"/>
      <c r="M1014" s="1022"/>
      <c r="N1014" s="1022"/>
      <c r="O1014" s="1022"/>
      <c r="P1014" s="1022"/>
      <c r="Q1014" s="1022"/>
      <c r="R1014" s="1022"/>
      <c r="S1014" s="1022"/>
    </row>
    <row r="1015" spans="1:19" ht="15" customHeight="1">
      <c r="A1015" s="1040"/>
      <c r="B1015" s="1047">
        <v>100000</v>
      </c>
      <c r="C1015" s="1046" t="e">
        <f>IF(E1014&lt;0,0,IF(D1015&lt;E1014,D1015*10/10000,E1014*10/10000))</f>
        <v>#REF!</v>
      </c>
      <c r="D1015" s="1046">
        <f t="shared" ref="D1015:D1020" si="108">B1015-B1014</f>
        <v>50000</v>
      </c>
      <c r="E1015" s="1048" t="e">
        <f t="shared" ref="E1015:E1020" si="109">E1014-B1015</f>
        <v>#REF!</v>
      </c>
      <c r="F1015" s="1040"/>
      <c r="G1015" s="1040"/>
      <c r="H1015" s="1040"/>
      <c r="I1015" s="1040"/>
      <c r="J1015" s="1040"/>
      <c r="K1015" s="1022"/>
      <c r="L1015" s="1022"/>
      <c r="M1015" s="1022"/>
      <c r="N1015" s="1022"/>
      <c r="O1015" s="1022"/>
      <c r="P1015" s="1022"/>
      <c r="Q1015" s="1022"/>
      <c r="R1015" s="1022"/>
      <c r="S1015" s="1022"/>
    </row>
    <row r="1016" spans="1:19" ht="15" customHeight="1">
      <c r="A1016" s="1040"/>
      <c r="B1016" s="1047">
        <v>300000</v>
      </c>
      <c r="C1016" s="1046" t="e">
        <f>IF(E1015&lt;0,0,IF(D1016&lt;E1015,D1016*9/10000,E1015*9/10000))</f>
        <v>#REF!</v>
      </c>
      <c r="D1016" s="1046">
        <f t="shared" si="108"/>
        <v>200000</v>
      </c>
      <c r="E1016" s="1048" t="e">
        <f t="shared" si="109"/>
        <v>#REF!</v>
      </c>
      <c r="F1016" s="1040"/>
      <c r="G1016" s="1040"/>
      <c r="H1016" s="1040"/>
      <c r="I1016" s="1040"/>
      <c r="J1016" s="1040"/>
      <c r="K1016" s="1022"/>
      <c r="L1016" s="1022"/>
      <c r="M1016" s="1022"/>
      <c r="N1016" s="1022"/>
      <c r="O1016" s="1022"/>
      <c r="P1016" s="1022"/>
      <c r="Q1016" s="1022"/>
      <c r="R1016" s="1022"/>
      <c r="S1016" s="1022"/>
    </row>
    <row r="1017" spans="1:19" ht="15" customHeight="1">
      <c r="A1017" s="1040"/>
      <c r="B1017" s="1047">
        <v>500000</v>
      </c>
      <c r="C1017" s="1046" t="e">
        <f>IF(E1016&lt;0,0,IF(D1017&lt;E1016,D1017*8/10000,E1016*8/10000))</f>
        <v>#REF!</v>
      </c>
      <c r="D1017" s="1046">
        <f t="shared" si="108"/>
        <v>200000</v>
      </c>
      <c r="E1017" s="1048" t="e">
        <f t="shared" si="109"/>
        <v>#REF!</v>
      </c>
      <c r="F1017" s="1040"/>
      <c r="G1017" s="1040"/>
      <c r="H1017" s="1040"/>
      <c r="I1017" s="1040"/>
      <c r="J1017" s="1040"/>
      <c r="K1017" s="1022"/>
      <c r="L1017" s="1022"/>
      <c r="M1017" s="1022"/>
      <c r="N1017" s="1022"/>
      <c r="O1017" s="1022"/>
      <c r="P1017" s="1022"/>
      <c r="Q1017" s="1022"/>
      <c r="R1017" s="1022"/>
      <c r="S1017" s="1022"/>
    </row>
    <row r="1018" spans="1:19" ht="15" customHeight="1">
      <c r="A1018" s="1040"/>
      <c r="B1018" s="1047">
        <v>1000000</v>
      </c>
      <c r="C1018" s="1046" t="e">
        <f>IF(E1017&lt;0,0,IF(D1018&lt;E1017,D1018*7/10000,E1017*7/10000))</f>
        <v>#REF!</v>
      </c>
      <c r="D1018" s="1046">
        <f t="shared" si="108"/>
        <v>500000</v>
      </c>
      <c r="E1018" s="1048" t="e">
        <f t="shared" si="109"/>
        <v>#REF!</v>
      </c>
      <c r="F1018" s="1040"/>
      <c r="G1018" s="1040"/>
      <c r="H1018" s="1040"/>
      <c r="I1018" s="1040"/>
      <c r="J1018" s="1040"/>
      <c r="K1018" s="1022"/>
      <c r="L1018" s="1022"/>
      <c r="M1018" s="1022"/>
      <c r="N1018" s="1022"/>
      <c r="O1018" s="1022"/>
      <c r="P1018" s="1022"/>
      <c r="Q1018" s="1022"/>
      <c r="R1018" s="1022"/>
      <c r="S1018" s="1022"/>
    </row>
    <row r="1019" spans="1:19" ht="15" customHeight="1">
      <c r="A1019" s="1040"/>
      <c r="B1019" s="1047">
        <v>2000000</v>
      </c>
      <c r="C1019" s="1046" t="e">
        <f>IF(E1018&lt;0,0,IF(D1019&lt;E1018,D1019*5/10000,E1018*5/10000))</f>
        <v>#REF!</v>
      </c>
      <c r="D1019" s="1046">
        <f t="shared" si="108"/>
        <v>1000000</v>
      </c>
      <c r="E1019" s="1048" t="e">
        <f t="shared" si="109"/>
        <v>#REF!</v>
      </c>
      <c r="F1019" s="1040"/>
      <c r="G1019" s="1040"/>
      <c r="H1019" s="1040"/>
      <c r="I1019" s="1040"/>
      <c r="J1019" s="1040"/>
      <c r="K1019" s="1022"/>
      <c r="L1019" s="1022"/>
      <c r="M1019" s="1022"/>
      <c r="N1019" s="1022"/>
      <c r="O1019" s="1022"/>
      <c r="P1019" s="1022"/>
      <c r="Q1019" s="1022"/>
      <c r="R1019" s="1022"/>
      <c r="S1019" s="1022"/>
    </row>
    <row r="1020" spans="1:19" ht="15" customHeight="1">
      <c r="A1020" s="1040"/>
      <c r="B1020" s="1047">
        <v>20000000</v>
      </c>
      <c r="C1020" s="1046" t="e">
        <f>IF(E1019&lt;0,0,IF(D1020&lt;E1019,D1020*4/10000,E1019*4/10000))</f>
        <v>#REF!</v>
      </c>
      <c r="D1020" s="1046">
        <f t="shared" si="108"/>
        <v>18000000</v>
      </c>
      <c r="E1020" s="1048" t="e">
        <f t="shared" si="109"/>
        <v>#REF!</v>
      </c>
      <c r="F1020" s="1040"/>
      <c r="G1020" s="1040"/>
      <c r="H1020" s="1040"/>
      <c r="I1020" s="1040"/>
      <c r="J1020" s="1040"/>
      <c r="K1020" s="1022"/>
      <c r="L1020" s="1022"/>
      <c r="M1020" s="1022"/>
      <c r="N1020" s="1022"/>
      <c r="O1020" s="1022"/>
      <c r="P1020" s="1022"/>
      <c r="Q1020" s="1022"/>
      <c r="R1020" s="1022"/>
      <c r="S1020" s="1022"/>
    </row>
    <row r="1021" spans="1:19" ht="15" customHeight="1">
      <c r="A1021" s="1040"/>
      <c r="B1021" s="1047" t="s">
        <v>1312</v>
      </c>
      <c r="C1021" s="1046"/>
      <c r="D1021" s="1046"/>
      <c r="E1021" s="1048"/>
      <c r="F1021" s="1040"/>
      <c r="G1021" s="1040"/>
      <c r="H1021" s="1040"/>
      <c r="I1021" s="1040"/>
      <c r="J1021" s="1040"/>
      <c r="K1021" s="1022"/>
      <c r="L1021" s="1022"/>
      <c r="M1021" s="1022"/>
      <c r="N1021" s="1022"/>
      <c r="O1021" s="1022"/>
      <c r="P1021" s="1022"/>
      <c r="Q1021" s="1022"/>
      <c r="R1021" s="1022"/>
      <c r="S1021" s="1022"/>
    </row>
    <row r="1022" spans="1:19" ht="15" customHeight="1">
      <c r="A1022" s="1040"/>
      <c r="B1022" s="1047" t="s">
        <v>1313</v>
      </c>
      <c r="C1022" s="1046" t="e">
        <f>ROUND(IF(C1013&gt;20000000,8650+(C1013-20000000)/10000,SUM(C1014:C1020)),0)</f>
        <v>#REF!</v>
      </c>
      <c r="D1022" s="1040"/>
      <c r="E1022" s="1045"/>
      <c r="F1022" s="1040"/>
      <c r="G1022" s="1040"/>
      <c r="H1022" s="1040"/>
      <c r="I1022" s="1040"/>
      <c r="J1022" s="1040"/>
      <c r="K1022" s="1022"/>
      <c r="L1022" s="1022"/>
      <c r="M1022" s="1022"/>
      <c r="N1022" s="1022"/>
      <c r="O1022" s="1022"/>
      <c r="P1022" s="1022"/>
      <c r="Q1022" s="1022"/>
      <c r="R1022" s="1022"/>
      <c r="S1022" s="1022"/>
    </row>
    <row r="1023" spans="1:19" ht="15" customHeight="1">
      <c r="A1023" s="1040"/>
      <c r="B1023" s="1047" t="s">
        <v>1314</v>
      </c>
      <c r="C1023" s="936" t="e">
        <f>IF(C1013&lt;=10000,20,IF(C1013&lt;=300000,40,IF(C1013&lt;=500000,70,IF(C1013&lt;=1000000,150,350))))</f>
        <v>#REF!</v>
      </c>
      <c r="D1023" s="1040"/>
      <c r="E1023" s="1045"/>
      <c r="F1023" s="1040"/>
      <c r="G1023" s="1040"/>
      <c r="H1023" s="1040"/>
      <c r="I1023" s="1040"/>
      <c r="J1023" s="1040"/>
      <c r="K1023" s="1022"/>
      <c r="L1023" s="1022"/>
      <c r="M1023" s="1022"/>
      <c r="N1023" s="1022"/>
      <c r="O1023" s="1022"/>
      <c r="P1023" s="1022"/>
      <c r="Q1023" s="1022"/>
      <c r="R1023" s="1022"/>
      <c r="S1023" s="1022"/>
    </row>
    <row r="1024" spans="1:19" ht="15" customHeight="1">
      <c r="A1024" s="1040"/>
      <c r="B1024" s="1047" t="s">
        <v>1316</v>
      </c>
      <c r="C1024" s="1046">
        <v>18</v>
      </c>
      <c r="D1024" s="1040"/>
      <c r="E1024" s="1045"/>
      <c r="F1024" s="1040"/>
      <c r="G1024" s="1040"/>
      <c r="H1024" s="1040"/>
      <c r="I1024" s="1040"/>
      <c r="J1024" s="1040"/>
      <c r="K1024" s="1022"/>
      <c r="L1024" s="1022"/>
      <c r="M1024" s="1022"/>
      <c r="N1024" s="1022"/>
      <c r="O1024" s="1022"/>
      <c r="P1024" s="1022"/>
      <c r="Q1024" s="1022"/>
      <c r="R1024" s="1022"/>
      <c r="S1024" s="1022"/>
    </row>
    <row r="1025" spans="1:19" ht="15" customHeight="1" thickBot="1">
      <c r="A1025" s="1040"/>
      <c r="B1025" s="1044" t="s">
        <v>1317</v>
      </c>
      <c r="C1025" s="1043" t="e">
        <f>IF(C1013=0,0,SUM(C1022:C1024))</f>
        <v>#REF!</v>
      </c>
      <c r="D1025" s="1042"/>
      <c r="E1025" s="1041"/>
      <c r="F1025" s="1040"/>
      <c r="G1025" s="1040"/>
      <c r="H1025" s="1040"/>
      <c r="I1025" s="1040"/>
      <c r="J1025" s="1040"/>
      <c r="K1025" s="1022"/>
      <c r="L1025" s="1022"/>
      <c r="M1025" s="1022"/>
      <c r="N1025" s="1022"/>
      <c r="O1025" s="1022"/>
      <c r="P1025" s="1022"/>
      <c r="Q1025" s="1022"/>
      <c r="R1025" s="1022"/>
      <c r="S1025" s="1022"/>
    </row>
    <row r="1026" spans="1:19" ht="15" customHeight="1">
      <c r="A1026" s="1040"/>
      <c r="B1026" s="1057" t="s">
        <v>1308</v>
      </c>
      <c r="C1026" s="1056"/>
      <c r="D1026" s="1055"/>
      <c r="E1026" s="1054"/>
      <c r="F1026" s="1040"/>
      <c r="G1026" s="1040"/>
      <c r="H1026" s="1040"/>
      <c r="I1026" s="1040"/>
      <c r="J1026" s="1040"/>
      <c r="K1026" s="1022"/>
      <c r="L1026" s="1022"/>
      <c r="M1026" s="1022"/>
      <c r="N1026" s="1022"/>
      <c r="O1026" s="1022"/>
      <c r="P1026" s="1022"/>
      <c r="Q1026" s="1022"/>
      <c r="R1026" s="1022"/>
      <c r="S1026" s="1022"/>
    </row>
    <row r="1027" spans="1:19" ht="15" customHeight="1">
      <c r="A1027" s="1040"/>
      <c r="B1027" s="1053"/>
      <c r="C1027" s="1046"/>
      <c r="D1027" s="1040"/>
      <c r="E1027" s="1045"/>
      <c r="F1027" s="1040"/>
      <c r="G1027" s="1040"/>
      <c r="H1027" s="1040"/>
      <c r="I1027" s="1040"/>
      <c r="J1027" s="1040"/>
      <c r="K1027" s="1022"/>
      <c r="L1027" s="1022"/>
      <c r="M1027" s="1022"/>
      <c r="N1027" s="1022"/>
      <c r="O1027" s="1022"/>
      <c r="P1027" s="1022"/>
      <c r="Q1027" s="1022"/>
      <c r="R1027" s="1022"/>
      <c r="S1027" s="1022"/>
    </row>
    <row r="1028" spans="1:19" ht="15" customHeight="1">
      <c r="A1028" s="1040"/>
      <c r="B1028" s="1052" t="s">
        <v>1309</v>
      </c>
      <c r="C1028" s="1051" t="e">
        <f>#REF!*70%</f>
        <v>#REF!</v>
      </c>
      <c r="D1028" s="1050" t="s">
        <v>1310</v>
      </c>
      <c r="E1028" s="1045" t="s">
        <v>1311</v>
      </c>
      <c r="F1028" s="1040"/>
      <c r="G1028" s="1040"/>
      <c r="H1028" s="1040"/>
      <c r="I1028" s="1040"/>
      <c r="J1028" s="1040"/>
      <c r="K1028" s="1022"/>
      <c r="L1028" s="1022"/>
      <c r="M1028" s="1022"/>
      <c r="N1028" s="1022"/>
      <c r="O1028" s="1022"/>
      <c r="P1028" s="1022"/>
      <c r="Q1028" s="1022"/>
      <c r="R1028" s="1022"/>
      <c r="S1028" s="1022"/>
    </row>
    <row r="1029" spans="1:19" ht="15" customHeight="1">
      <c r="A1029" s="1040"/>
      <c r="B1029" s="1047">
        <v>50000</v>
      </c>
      <c r="C1029" s="1046">
        <v>210</v>
      </c>
      <c r="D1029" s="1049"/>
      <c r="E1029" s="1048" t="e">
        <f>C1028-B1029</f>
        <v>#REF!</v>
      </c>
      <c r="F1029" s="1040"/>
      <c r="G1029" s="1040"/>
      <c r="H1029" s="1040"/>
      <c r="I1029" s="1040"/>
      <c r="J1029" s="1040"/>
      <c r="K1029" s="1022"/>
      <c r="L1029" s="1022"/>
      <c r="M1029" s="1022"/>
      <c r="N1029" s="1022"/>
      <c r="O1029" s="1022"/>
      <c r="P1029" s="1022"/>
      <c r="Q1029" s="1022"/>
      <c r="R1029" s="1022"/>
      <c r="S1029" s="1022"/>
    </row>
    <row r="1030" spans="1:19" ht="15" customHeight="1">
      <c r="A1030" s="1040"/>
      <c r="B1030" s="1047">
        <v>100000</v>
      </c>
      <c r="C1030" s="1046" t="e">
        <f>IF(E1029&lt;0,0,IF(D1030&lt;E1029,D1030*10/10000,E1029*10/10000))</f>
        <v>#REF!</v>
      </c>
      <c r="D1030" s="1046">
        <f t="shared" ref="D1030:D1035" si="110">B1030-B1029</f>
        <v>50000</v>
      </c>
      <c r="E1030" s="1048" t="e">
        <f t="shared" ref="E1030:E1035" si="111">E1029-B1030</f>
        <v>#REF!</v>
      </c>
      <c r="F1030" s="1040"/>
      <c r="G1030" s="1040"/>
      <c r="H1030" s="1040"/>
      <c r="I1030" s="1040"/>
      <c r="J1030" s="1040"/>
      <c r="K1030" s="1022"/>
      <c r="L1030" s="1022"/>
      <c r="M1030" s="1022"/>
      <c r="N1030" s="1022"/>
      <c r="O1030" s="1022"/>
      <c r="P1030" s="1022"/>
      <c r="Q1030" s="1022"/>
      <c r="R1030" s="1022"/>
      <c r="S1030" s="1022"/>
    </row>
    <row r="1031" spans="1:19" ht="15" customHeight="1">
      <c r="A1031" s="1040"/>
      <c r="B1031" s="1047">
        <v>300000</v>
      </c>
      <c r="C1031" s="1046" t="e">
        <f>IF(E1030&lt;0,0,IF(D1031&lt;E1030,D1031*9/10000,E1030*9/10000))</f>
        <v>#REF!</v>
      </c>
      <c r="D1031" s="1046">
        <f t="shared" si="110"/>
        <v>200000</v>
      </c>
      <c r="E1031" s="1048" t="e">
        <f t="shared" si="111"/>
        <v>#REF!</v>
      </c>
      <c r="F1031" s="1040"/>
      <c r="G1031" s="1040"/>
      <c r="H1031" s="1040"/>
      <c r="I1031" s="1040"/>
      <c r="J1031" s="1040"/>
      <c r="K1031" s="1022"/>
      <c r="L1031" s="1022"/>
      <c r="M1031" s="1022"/>
      <c r="N1031" s="1022"/>
      <c r="O1031" s="1022"/>
      <c r="P1031" s="1022"/>
      <c r="Q1031" s="1022"/>
      <c r="R1031" s="1022"/>
      <c r="S1031" s="1022"/>
    </row>
    <row r="1032" spans="1:19" ht="15" customHeight="1">
      <c r="A1032" s="1040"/>
      <c r="B1032" s="1047">
        <v>500000</v>
      </c>
      <c r="C1032" s="1046" t="e">
        <f>IF(E1031&lt;0,0,IF(D1032&lt;E1031,D1032*8/10000,E1031*8/10000))</f>
        <v>#REF!</v>
      </c>
      <c r="D1032" s="1046">
        <f t="shared" si="110"/>
        <v>200000</v>
      </c>
      <c r="E1032" s="1048" t="e">
        <f t="shared" si="111"/>
        <v>#REF!</v>
      </c>
      <c r="F1032" s="1040"/>
      <c r="G1032" s="1040"/>
      <c r="H1032" s="1040"/>
      <c r="I1032" s="1040"/>
      <c r="J1032" s="1040"/>
      <c r="K1032" s="1022"/>
      <c r="L1032" s="1022"/>
      <c r="M1032" s="1022"/>
      <c r="N1032" s="1022"/>
      <c r="O1032" s="1022"/>
      <c r="P1032" s="1022"/>
      <c r="Q1032" s="1022"/>
      <c r="R1032" s="1022"/>
      <c r="S1032" s="1022"/>
    </row>
    <row r="1033" spans="1:19" ht="15" customHeight="1">
      <c r="A1033" s="1040"/>
      <c r="B1033" s="1047">
        <v>1000000</v>
      </c>
      <c r="C1033" s="1046" t="e">
        <f>IF(E1032&lt;0,0,IF(D1033&lt;E1032,D1033*7/10000,E1032*7/10000))</f>
        <v>#REF!</v>
      </c>
      <c r="D1033" s="1046">
        <f t="shared" si="110"/>
        <v>500000</v>
      </c>
      <c r="E1033" s="1048" t="e">
        <f t="shared" si="111"/>
        <v>#REF!</v>
      </c>
      <c r="F1033" s="1040"/>
      <c r="G1033" s="1040"/>
      <c r="H1033" s="1040"/>
      <c r="I1033" s="1040"/>
      <c r="J1033" s="1040"/>
      <c r="K1033" s="1022"/>
      <c r="L1033" s="1022"/>
      <c r="M1033" s="1022"/>
      <c r="N1033" s="1022"/>
      <c r="O1033" s="1022"/>
      <c r="P1033" s="1022"/>
      <c r="Q1033" s="1022"/>
      <c r="R1033" s="1022"/>
      <c r="S1033" s="1022"/>
    </row>
    <row r="1034" spans="1:19" ht="15" customHeight="1">
      <c r="A1034" s="1040"/>
      <c r="B1034" s="1047">
        <v>2000000</v>
      </c>
      <c r="C1034" s="1046" t="e">
        <f>IF(E1033&lt;0,0,IF(D1034&lt;E1033,D1034*5/10000,E1033*5/10000))</f>
        <v>#REF!</v>
      </c>
      <c r="D1034" s="1046">
        <f t="shared" si="110"/>
        <v>1000000</v>
      </c>
      <c r="E1034" s="1048" t="e">
        <f t="shared" si="111"/>
        <v>#REF!</v>
      </c>
      <c r="F1034" s="1040"/>
      <c r="G1034" s="1040"/>
      <c r="H1034" s="1040"/>
      <c r="I1034" s="1040"/>
      <c r="J1034" s="1040"/>
      <c r="K1034" s="1022"/>
      <c r="L1034" s="1022"/>
      <c r="M1034" s="1022"/>
      <c r="N1034" s="1022"/>
      <c r="O1034" s="1022"/>
      <c r="P1034" s="1022"/>
      <c r="Q1034" s="1022"/>
      <c r="R1034" s="1022"/>
      <c r="S1034" s="1022"/>
    </row>
    <row r="1035" spans="1:19" ht="15" customHeight="1">
      <c r="A1035" s="1040"/>
      <c r="B1035" s="1047">
        <v>20000000</v>
      </c>
      <c r="C1035" s="1046" t="e">
        <f>IF(E1034&lt;0,0,IF(D1035&lt;E1034,D1035*4/10000,E1034*4/10000))</f>
        <v>#REF!</v>
      </c>
      <c r="D1035" s="1046">
        <f t="shared" si="110"/>
        <v>18000000</v>
      </c>
      <c r="E1035" s="1048" t="e">
        <f t="shared" si="111"/>
        <v>#REF!</v>
      </c>
      <c r="F1035" s="1040"/>
      <c r="G1035" s="1040"/>
      <c r="H1035" s="1040"/>
      <c r="I1035" s="1040"/>
      <c r="J1035" s="1040"/>
      <c r="K1035" s="1022"/>
      <c r="L1035" s="1022"/>
      <c r="M1035" s="1022"/>
      <c r="N1035" s="1022"/>
      <c r="O1035" s="1022"/>
      <c r="P1035" s="1022"/>
      <c r="Q1035" s="1022"/>
      <c r="R1035" s="1022"/>
      <c r="S1035" s="1022"/>
    </row>
    <row r="1036" spans="1:19" ht="15" customHeight="1">
      <c r="A1036" s="1040"/>
      <c r="B1036" s="1047" t="s">
        <v>1312</v>
      </c>
      <c r="C1036" s="1046"/>
      <c r="D1036" s="1046"/>
      <c r="E1036" s="1048"/>
      <c r="F1036" s="1040"/>
      <c r="G1036" s="1040"/>
      <c r="H1036" s="1040"/>
      <c r="I1036" s="1040"/>
      <c r="J1036" s="1040"/>
      <c r="K1036" s="1022"/>
      <c r="L1036" s="1022"/>
      <c r="M1036" s="1022"/>
      <c r="N1036" s="1022"/>
      <c r="O1036" s="1022"/>
      <c r="P1036" s="1022"/>
      <c r="Q1036" s="1022"/>
      <c r="R1036" s="1022"/>
      <c r="S1036" s="1022"/>
    </row>
    <row r="1037" spans="1:19" ht="15" customHeight="1">
      <c r="A1037" s="1040"/>
      <c r="B1037" s="1047" t="s">
        <v>1313</v>
      </c>
      <c r="C1037" s="1046" t="e">
        <f>ROUND(IF(C1028&gt;20000000,8650+(C1028-20000000)/10000,SUM(C1029:C1035)),0)</f>
        <v>#REF!</v>
      </c>
      <c r="D1037" s="1040"/>
      <c r="E1037" s="1045"/>
      <c r="F1037" s="1040"/>
      <c r="G1037" s="1040"/>
      <c r="H1037" s="1040"/>
      <c r="I1037" s="1040"/>
      <c r="J1037" s="1040"/>
      <c r="K1037" s="1022"/>
      <c r="L1037" s="1022"/>
      <c r="M1037" s="1022"/>
      <c r="N1037" s="1022"/>
      <c r="O1037" s="1022"/>
      <c r="P1037" s="1022"/>
      <c r="Q1037" s="1022"/>
      <c r="R1037" s="1022"/>
      <c r="S1037" s="1022"/>
    </row>
    <row r="1038" spans="1:19" ht="15" customHeight="1">
      <c r="A1038" s="1040"/>
      <c r="B1038" s="1047" t="s">
        <v>1314</v>
      </c>
      <c r="C1038" s="936" t="e">
        <f>IF(C1028&lt;=10000,20,IF(C1028&lt;=300000,40,IF(C1028&lt;=500000,70,IF(C1028&lt;=1000000,150,350))))</f>
        <v>#REF!</v>
      </c>
      <c r="D1038" s="1040"/>
      <c r="E1038" s="1045"/>
      <c r="F1038" s="1040"/>
      <c r="G1038" s="1040"/>
      <c r="H1038" s="1040"/>
      <c r="I1038" s="1040"/>
      <c r="J1038" s="1040"/>
      <c r="K1038" s="1022"/>
      <c r="L1038" s="1022"/>
      <c r="M1038" s="1022"/>
      <c r="N1038" s="1022"/>
      <c r="O1038" s="1022"/>
      <c r="P1038" s="1022"/>
      <c r="Q1038" s="1022"/>
      <c r="R1038" s="1022"/>
      <c r="S1038" s="1022"/>
    </row>
    <row r="1039" spans="1:19" ht="15" customHeight="1">
      <c r="A1039" s="1040"/>
      <c r="B1039" s="1047" t="s">
        <v>1316</v>
      </c>
      <c r="C1039" s="1046">
        <v>18</v>
      </c>
      <c r="D1039" s="1040"/>
      <c r="E1039" s="1045"/>
      <c r="F1039" s="1040"/>
      <c r="G1039" s="1040"/>
      <c r="H1039" s="1040"/>
      <c r="I1039" s="1040"/>
      <c r="J1039" s="1040"/>
      <c r="K1039" s="1022"/>
      <c r="L1039" s="1022"/>
      <c r="M1039" s="1022"/>
      <c r="N1039" s="1022"/>
      <c r="O1039" s="1022"/>
      <c r="P1039" s="1022"/>
      <c r="Q1039" s="1022"/>
      <c r="R1039" s="1022"/>
      <c r="S1039" s="1022"/>
    </row>
    <row r="1040" spans="1:19" ht="15" customHeight="1" thickBot="1">
      <c r="A1040" s="1040"/>
      <c r="B1040" s="1044" t="s">
        <v>1317</v>
      </c>
      <c r="C1040" s="1043" t="e">
        <f>IF(C1028=0,0,SUM(C1037:C1039))</f>
        <v>#REF!</v>
      </c>
      <c r="D1040" s="1042"/>
      <c r="E1040" s="1041"/>
      <c r="F1040" s="1040"/>
      <c r="G1040" s="1040"/>
      <c r="H1040" s="1040"/>
      <c r="I1040" s="1040"/>
      <c r="J1040" s="1040"/>
      <c r="K1040" s="1022"/>
      <c r="L1040" s="1022"/>
      <c r="M1040" s="1022"/>
      <c r="N1040" s="1022"/>
      <c r="O1040" s="1022"/>
      <c r="P1040" s="1022"/>
      <c r="Q1040" s="1022"/>
      <c r="R1040" s="1022"/>
      <c r="S1040" s="1022"/>
    </row>
    <row r="1041" spans="1:19" ht="15" customHeight="1">
      <c r="A1041" s="1040"/>
      <c r="B1041" s="1057" t="s">
        <v>1308</v>
      </c>
      <c r="C1041" s="1056"/>
      <c r="D1041" s="1055"/>
      <c r="E1041" s="1054"/>
      <c r="F1041" s="1040"/>
      <c r="G1041" s="1040"/>
      <c r="H1041" s="1040"/>
      <c r="I1041" s="1040"/>
      <c r="J1041" s="1040"/>
      <c r="K1041" s="1022"/>
      <c r="L1041" s="1022"/>
      <c r="M1041" s="1022"/>
      <c r="N1041" s="1022"/>
      <c r="O1041" s="1022"/>
      <c r="P1041" s="1022"/>
      <c r="Q1041" s="1022"/>
      <c r="R1041" s="1022"/>
      <c r="S1041" s="1022"/>
    </row>
    <row r="1042" spans="1:19" ht="15" customHeight="1">
      <c r="A1042" s="1040"/>
      <c r="B1042" s="1053"/>
      <c r="C1042" s="1046"/>
      <c r="D1042" s="1040"/>
      <c r="E1042" s="1045"/>
      <c r="F1042" s="1040"/>
      <c r="G1042" s="1040"/>
      <c r="H1042" s="1040"/>
      <c r="I1042" s="1040"/>
      <c r="J1042" s="1040"/>
      <c r="K1042" s="1022"/>
      <c r="L1042" s="1022"/>
      <c r="M1042" s="1022"/>
      <c r="N1042" s="1022"/>
      <c r="O1042" s="1022"/>
      <c r="P1042" s="1022"/>
      <c r="Q1042" s="1022"/>
      <c r="R1042" s="1022"/>
      <c r="S1042" s="1022"/>
    </row>
    <row r="1043" spans="1:19" ht="15" customHeight="1">
      <c r="A1043" s="1040"/>
      <c r="B1043" s="1052" t="s">
        <v>1309</v>
      </c>
      <c r="C1043" s="1051" t="e">
        <f>#REF!*70%</f>
        <v>#REF!</v>
      </c>
      <c r="D1043" s="1050" t="s">
        <v>1310</v>
      </c>
      <c r="E1043" s="1045" t="s">
        <v>1311</v>
      </c>
      <c r="F1043" s="1040"/>
      <c r="G1043" s="1040"/>
      <c r="H1043" s="1040"/>
      <c r="I1043" s="1040"/>
      <c r="J1043" s="1040"/>
      <c r="K1043" s="1022"/>
      <c r="L1043" s="1022"/>
      <c r="M1043" s="1022"/>
      <c r="N1043" s="1022"/>
      <c r="O1043" s="1022"/>
      <c r="P1043" s="1022"/>
      <c r="Q1043" s="1022"/>
      <c r="R1043" s="1022"/>
      <c r="S1043" s="1022"/>
    </row>
    <row r="1044" spans="1:19" ht="15" customHeight="1">
      <c r="A1044" s="1040"/>
      <c r="B1044" s="1047">
        <v>50000</v>
      </c>
      <c r="C1044" s="1046">
        <v>210</v>
      </c>
      <c r="D1044" s="1049"/>
      <c r="E1044" s="1048" t="e">
        <f>C1043-B1044</f>
        <v>#REF!</v>
      </c>
      <c r="F1044" s="1040"/>
      <c r="G1044" s="1040"/>
      <c r="H1044" s="1040"/>
      <c r="I1044" s="1040"/>
      <c r="J1044" s="1040"/>
      <c r="K1044" s="1022"/>
      <c r="L1044" s="1022"/>
      <c r="M1044" s="1022"/>
      <c r="N1044" s="1022"/>
      <c r="O1044" s="1022"/>
      <c r="P1044" s="1022"/>
      <c r="Q1044" s="1022"/>
      <c r="R1044" s="1022"/>
      <c r="S1044" s="1022"/>
    </row>
    <row r="1045" spans="1:19" ht="15" customHeight="1">
      <c r="A1045" s="1040"/>
      <c r="B1045" s="1047">
        <v>100000</v>
      </c>
      <c r="C1045" s="1046" t="e">
        <f>IF(E1044&lt;0,0,IF(D1045&lt;E1044,D1045*10/10000,E1044*10/10000))</f>
        <v>#REF!</v>
      </c>
      <c r="D1045" s="1046">
        <f t="shared" ref="D1045:D1050" si="112">B1045-B1044</f>
        <v>50000</v>
      </c>
      <c r="E1045" s="1048" t="e">
        <f t="shared" ref="E1045:E1050" si="113">E1044-B1045</f>
        <v>#REF!</v>
      </c>
      <c r="F1045" s="1040"/>
      <c r="G1045" s="1040"/>
      <c r="H1045" s="1040"/>
      <c r="I1045" s="1040"/>
      <c r="J1045" s="1040"/>
      <c r="K1045" s="1022"/>
      <c r="L1045" s="1022"/>
      <c r="M1045" s="1022"/>
      <c r="N1045" s="1022"/>
      <c r="O1045" s="1022"/>
      <c r="P1045" s="1022"/>
      <c r="Q1045" s="1022"/>
      <c r="R1045" s="1022"/>
      <c r="S1045" s="1022"/>
    </row>
    <row r="1046" spans="1:19" ht="15" customHeight="1">
      <c r="A1046" s="1040"/>
      <c r="B1046" s="1047">
        <v>300000</v>
      </c>
      <c r="C1046" s="1046" t="e">
        <f>IF(E1045&lt;0,0,IF(D1046&lt;E1045,D1046*9/10000,E1045*9/10000))</f>
        <v>#REF!</v>
      </c>
      <c r="D1046" s="1046">
        <f t="shared" si="112"/>
        <v>200000</v>
      </c>
      <c r="E1046" s="1048" t="e">
        <f t="shared" si="113"/>
        <v>#REF!</v>
      </c>
      <c r="F1046" s="1040"/>
      <c r="G1046" s="1040"/>
      <c r="H1046" s="1040"/>
      <c r="I1046" s="1040"/>
      <c r="J1046" s="1040"/>
      <c r="K1046" s="1022"/>
      <c r="L1046" s="1022"/>
      <c r="M1046" s="1022"/>
      <c r="N1046" s="1022"/>
      <c r="O1046" s="1022"/>
      <c r="P1046" s="1022"/>
      <c r="Q1046" s="1022"/>
      <c r="R1046" s="1022"/>
      <c r="S1046" s="1022"/>
    </row>
    <row r="1047" spans="1:19" ht="15" customHeight="1">
      <c r="A1047" s="1040"/>
      <c r="B1047" s="1047">
        <v>500000</v>
      </c>
      <c r="C1047" s="1046" t="e">
        <f>IF(E1046&lt;0,0,IF(D1047&lt;E1046,D1047*8/10000,E1046*8/10000))</f>
        <v>#REF!</v>
      </c>
      <c r="D1047" s="1046">
        <f t="shared" si="112"/>
        <v>200000</v>
      </c>
      <c r="E1047" s="1048" t="e">
        <f t="shared" si="113"/>
        <v>#REF!</v>
      </c>
      <c r="F1047" s="1040"/>
      <c r="G1047" s="1040"/>
      <c r="H1047" s="1040"/>
      <c r="I1047" s="1040"/>
      <c r="J1047" s="1040"/>
      <c r="K1047" s="1022"/>
      <c r="L1047" s="1022"/>
      <c r="M1047" s="1022"/>
      <c r="N1047" s="1022"/>
      <c r="O1047" s="1022"/>
      <c r="P1047" s="1022"/>
      <c r="Q1047" s="1022"/>
      <c r="R1047" s="1022"/>
      <c r="S1047" s="1022"/>
    </row>
    <row r="1048" spans="1:19" ht="15" customHeight="1">
      <c r="A1048" s="1040"/>
      <c r="B1048" s="1047">
        <v>1000000</v>
      </c>
      <c r="C1048" s="1046" t="e">
        <f>IF(E1047&lt;0,0,IF(D1048&lt;E1047,D1048*7/10000,E1047*7/10000))</f>
        <v>#REF!</v>
      </c>
      <c r="D1048" s="1046">
        <f t="shared" si="112"/>
        <v>500000</v>
      </c>
      <c r="E1048" s="1048" t="e">
        <f t="shared" si="113"/>
        <v>#REF!</v>
      </c>
      <c r="F1048" s="1040"/>
      <c r="G1048" s="1040"/>
      <c r="H1048" s="1040"/>
      <c r="I1048" s="1040"/>
      <c r="J1048" s="1040"/>
      <c r="K1048" s="1022"/>
      <c r="L1048" s="1022"/>
      <c r="M1048" s="1022"/>
      <c r="N1048" s="1022"/>
      <c r="O1048" s="1022"/>
      <c r="P1048" s="1022"/>
      <c r="Q1048" s="1022"/>
      <c r="R1048" s="1022"/>
      <c r="S1048" s="1022"/>
    </row>
    <row r="1049" spans="1:19" ht="15" customHeight="1">
      <c r="A1049" s="1040"/>
      <c r="B1049" s="1047">
        <v>2000000</v>
      </c>
      <c r="C1049" s="1046" t="e">
        <f>IF(E1048&lt;0,0,IF(D1049&lt;E1048,D1049*5/10000,E1048*5/10000))</f>
        <v>#REF!</v>
      </c>
      <c r="D1049" s="1046">
        <f t="shared" si="112"/>
        <v>1000000</v>
      </c>
      <c r="E1049" s="1048" t="e">
        <f t="shared" si="113"/>
        <v>#REF!</v>
      </c>
      <c r="F1049" s="1040"/>
      <c r="G1049" s="1040"/>
      <c r="H1049" s="1040"/>
      <c r="I1049" s="1040"/>
      <c r="J1049" s="1040"/>
      <c r="K1049" s="1022"/>
      <c r="L1049" s="1022"/>
      <c r="M1049" s="1022"/>
      <c r="N1049" s="1022"/>
      <c r="O1049" s="1022"/>
      <c r="P1049" s="1022"/>
      <c r="Q1049" s="1022"/>
      <c r="R1049" s="1022"/>
      <c r="S1049" s="1022"/>
    </row>
    <row r="1050" spans="1:19" ht="15" customHeight="1">
      <c r="A1050" s="1040"/>
      <c r="B1050" s="1047">
        <v>20000000</v>
      </c>
      <c r="C1050" s="1046" t="e">
        <f>IF(E1049&lt;0,0,IF(D1050&lt;E1049,D1050*4/10000,E1049*4/10000))</f>
        <v>#REF!</v>
      </c>
      <c r="D1050" s="1046">
        <f t="shared" si="112"/>
        <v>18000000</v>
      </c>
      <c r="E1050" s="1048" t="e">
        <f t="shared" si="113"/>
        <v>#REF!</v>
      </c>
      <c r="F1050" s="1040"/>
      <c r="G1050" s="1040"/>
      <c r="H1050" s="1040"/>
      <c r="I1050" s="1040"/>
      <c r="J1050" s="1040"/>
      <c r="K1050" s="1022"/>
      <c r="L1050" s="1022"/>
      <c r="M1050" s="1022"/>
      <c r="N1050" s="1022"/>
      <c r="O1050" s="1022"/>
      <c r="P1050" s="1022"/>
      <c r="Q1050" s="1022"/>
      <c r="R1050" s="1022"/>
      <c r="S1050" s="1022"/>
    </row>
    <row r="1051" spans="1:19" ht="15" customHeight="1">
      <c r="A1051" s="1040"/>
      <c r="B1051" s="1047" t="s">
        <v>1312</v>
      </c>
      <c r="C1051" s="1046"/>
      <c r="D1051" s="1046"/>
      <c r="E1051" s="1048"/>
      <c r="F1051" s="1040"/>
      <c r="G1051" s="1040"/>
      <c r="H1051" s="1040"/>
      <c r="I1051" s="1040"/>
      <c r="J1051" s="1040"/>
      <c r="K1051" s="1022"/>
      <c r="L1051" s="1022"/>
      <c r="M1051" s="1022"/>
      <c r="N1051" s="1022"/>
      <c r="O1051" s="1022"/>
      <c r="P1051" s="1022"/>
      <c r="Q1051" s="1022"/>
      <c r="R1051" s="1022"/>
      <c r="S1051" s="1022"/>
    </row>
    <row r="1052" spans="1:19" ht="15" customHeight="1">
      <c r="A1052" s="1040"/>
      <c r="B1052" s="1047" t="s">
        <v>1313</v>
      </c>
      <c r="C1052" s="1046" t="e">
        <f>ROUND(IF(C1043&gt;20000000,8650+(C1043-20000000)/10000,SUM(C1044:C1050)),0)</f>
        <v>#REF!</v>
      </c>
      <c r="D1052" s="1040"/>
      <c r="E1052" s="1045"/>
      <c r="F1052" s="1040"/>
      <c r="G1052" s="1040"/>
      <c r="H1052" s="1040"/>
      <c r="I1052" s="1040"/>
      <c r="J1052" s="1040"/>
      <c r="K1052" s="1022"/>
      <c r="L1052" s="1022"/>
      <c r="M1052" s="1022"/>
      <c r="N1052" s="1022"/>
      <c r="O1052" s="1022"/>
      <c r="P1052" s="1022"/>
      <c r="Q1052" s="1022"/>
      <c r="R1052" s="1022"/>
      <c r="S1052" s="1022"/>
    </row>
    <row r="1053" spans="1:19" ht="15" customHeight="1">
      <c r="A1053" s="1040"/>
      <c r="B1053" s="1047" t="s">
        <v>1314</v>
      </c>
      <c r="C1053" s="936" t="e">
        <f>IF(C1043&lt;=10000,20,IF(C1043&lt;=300000,40,IF(C1043&lt;=500000,70,IF(C1043&lt;=1000000,150,350))))</f>
        <v>#REF!</v>
      </c>
      <c r="D1053" s="1040"/>
      <c r="E1053" s="1045"/>
      <c r="F1053" s="1040"/>
      <c r="G1053" s="1040"/>
      <c r="H1053" s="1040"/>
      <c r="I1053" s="1040"/>
      <c r="J1053" s="1040"/>
      <c r="K1053" s="1022"/>
      <c r="L1053" s="1022"/>
      <c r="M1053" s="1022"/>
      <c r="N1053" s="1022"/>
      <c r="O1053" s="1022"/>
      <c r="P1053" s="1022"/>
      <c r="Q1053" s="1022"/>
      <c r="R1053" s="1022"/>
      <c r="S1053" s="1022"/>
    </row>
    <row r="1054" spans="1:19" ht="15" customHeight="1">
      <c r="A1054" s="1040"/>
      <c r="B1054" s="1047" t="s">
        <v>1316</v>
      </c>
      <c r="C1054" s="1046">
        <v>18</v>
      </c>
      <c r="D1054" s="1040"/>
      <c r="E1054" s="1045"/>
      <c r="F1054" s="1040"/>
      <c r="G1054" s="1040"/>
      <c r="H1054" s="1040"/>
      <c r="I1054" s="1040"/>
      <c r="J1054" s="1040"/>
      <c r="K1054" s="1022"/>
      <c r="L1054" s="1022"/>
      <c r="M1054" s="1022"/>
      <c r="N1054" s="1022"/>
      <c r="O1054" s="1022"/>
      <c r="P1054" s="1022"/>
      <c r="Q1054" s="1022"/>
      <c r="R1054" s="1022"/>
      <c r="S1054" s="1022"/>
    </row>
    <row r="1055" spans="1:19" ht="15" customHeight="1" thickBot="1">
      <c r="A1055" s="1040"/>
      <c r="B1055" s="1044" t="s">
        <v>1317</v>
      </c>
      <c r="C1055" s="1043" t="e">
        <f>IF(C1043=0,0,SUM(C1052:C1054))</f>
        <v>#REF!</v>
      </c>
      <c r="D1055" s="1042"/>
      <c r="E1055" s="1041"/>
      <c r="F1055" s="1040"/>
      <c r="G1055" s="1040"/>
      <c r="H1055" s="1040"/>
      <c r="I1055" s="1040"/>
      <c r="J1055" s="1040"/>
      <c r="K1055" s="1022"/>
      <c r="L1055" s="1022"/>
      <c r="M1055" s="1022"/>
      <c r="N1055" s="1022"/>
      <c r="O1055" s="1022"/>
      <c r="P1055" s="1022"/>
      <c r="Q1055" s="1022"/>
      <c r="R1055" s="1022"/>
      <c r="S1055" s="1022"/>
    </row>
    <row r="1056" spans="1:19" ht="15" customHeight="1">
      <c r="A1056" s="1040"/>
      <c r="B1056" s="1057" t="s">
        <v>1308</v>
      </c>
      <c r="C1056" s="1056"/>
      <c r="D1056" s="1055"/>
      <c r="E1056" s="1054"/>
      <c r="F1056" s="1040"/>
      <c r="G1056" s="1040"/>
      <c r="H1056" s="1040"/>
      <c r="I1056" s="1040"/>
      <c r="J1056" s="1040"/>
      <c r="K1056" s="1022"/>
      <c r="L1056" s="1022"/>
      <c r="M1056" s="1022"/>
      <c r="N1056" s="1022"/>
      <c r="O1056" s="1022"/>
      <c r="P1056" s="1022"/>
      <c r="Q1056" s="1022"/>
      <c r="R1056" s="1022"/>
      <c r="S1056" s="1022"/>
    </row>
    <row r="1057" spans="1:19" ht="15" customHeight="1">
      <c r="A1057" s="1040"/>
      <c r="B1057" s="1053"/>
      <c r="C1057" s="1046"/>
      <c r="D1057" s="1040"/>
      <c r="E1057" s="1045"/>
      <c r="F1057" s="1040"/>
      <c r="G1057" s="1040"/>
      <c r="H1057" s="1040"/>
      <c r="I1057" s="1040"/>
      <c r="J1057" s="1040"/>
      <c r="K1057" s="1022"/>
      <c r="L1057" s="1022"/>
      <c r="M1057" s="1022"/>
      <c r="N1057" s="1022"/>
      <c r="O1057" s="1022"/>
      <c r="P1057" s="1022"/>
      <c r="Q1057" s="1022"/>
      <c r="R1057" s="1022"/>
      <c r="S1057" s="1022"/>
    </row>
    <row r="1058" spans="1:19" ht="15" customHeight="1">
      <c r="A1058" s="1040"/>
      <c r="B1058" s="1052" t="s">
        <v>1309</v>
      </c>
      <c r="C1058" s="1051" t="e">
        <f>#REF!*70%</f>
        <v>#REF!</v>
      </c>
      <c r="D1058" s="1050" t="s">
        <v>1310</v>
      </c>
      <c r="E1058" s="1045" t="s">
        <v>1311</v>
      </c>
      <c r="F1058" s="1040"/>
      <c r="G1058" s="1040"/>
      <c r="H1058" s="1040"/>
      <c r="I1058" s="1040"/>
      <c r="J1058" s="1040"/>
      <c r="K1058" s="1022"/>
      <c r="L1058" s="1022"/>
      <c r="M1058" s="1022"/>
      <c r="N1058" s="1022"/>
      <c r="O1058" s="1022"/>
      <c r="P1058" s="1022"/>
      <c r="Q1058" s="1022"/>
      <c r="R1058" s="1022"/>
      <c r="S1058" s="1022"/>
    </row>
    <row r="1059" spans="1:19" ht="15" customHeight="1">
      <c r="A1059" s="1040"/>
      <c r="B1059" s="1047">
        <v>50000</v>
      </c>
      <c r="C1059" s="1046">
        <v>210</v>
      </c>
      <c r="D1059" s="1049"/>
      <c r="E1059" s="1048" t="e">
        <f>C1058-B1059</f>
        <v>#REF!</v>
      </c>
      <c r="F1059" s="1040"/>
      <c r="G1059" s="1040"/>
      <c r="H1059" s="1040"/>
      <c r="I1059" s="1040"/>
      <c r="J1059" s="1040"/>
      <c r="K1059" s="1022"/>
      <c r="L1059" s="1022"/>
      <c r="M1059" s="1022"/>
      <c r="N1059" s="1022"/>
      <c r="O1059" s="1022"/>
      <c r="P1059" s="1022"/>
      <c r="Q1059" s="1022"/>
      <c r="R1059" s="1022"/>
      <c r="S1059" s="1022"/>
    </row>
    <row r="1060" spans="1:19" ht="15" customHeight="1">
      <c r="A1060" s="1040"/>
      <c r="B1060" s="1047">
        <v>100000</v>
      </c>
      <c r="C1060" s="1046" t="e">
        <f>IF(E1059&lt;0,0,IF(D1060&lt;E1059,D1060*10/10000,E1059*10/10000))</f>
        <v>#REF!</v>
      </c>
      <c r="D1060" s="1046">
        <f t="shared" ref="D1060:D1065" si="114">B1060-B1059</f>
        <v>50000</v>
      </c>
      <c r="E1060" s="1048" t="e">
        <f t="shared" ref="E1060:E1065" si="115">E1059-B1060</f>
        <v>#REF!</v>
      </c>
      <c r="F1060" s="1040"/>
      <c r="G1060" s="1040"/>
      <c r="H1060" s="1040"/>
      <c r="I1060" s="1040"/>
      <c r="J1060" s="1040"/>
      <c r="K1060" s="1022"/>
      <c r="L1060" s="1022"/>
      <c r="M1060" s="1022"/>
      <c r="N1060" s="1022"/>
      <c r="O1060" s="1022"/>
      <c r="P1060" s="1022"/>
      <c r="Q1060" s="1022"/>
      <c r="R1060" s="1022"/>
      <c r="S1060" s="1022"/>
    </row>
    <row r="1061" spans="1:19" ht="15" customHeight="1">
      <c r="A1061" s="1040"/>
      <c r="B1061" s="1047">
        <v>300000</v>
      </c>
      <c r="C1061" s="1046" t="e">
        <f>IF(E1060&lt;0,0,IF(D1061&lt;E1060,D1061*9/10000,E1060*9/10000))</f>
        <v>#REF!</v>
      </c>
      <c r="D1061" s="1046">
        <f t="shared" si="114"/>
        <v>200000</v>
      </c>
      <c r="E1061" s="1048" t="e">
        <f t="shared" si="115"/>
        <v>#REF!</v>
      </c>
      <c r="F1061" s="1040"/>
      <c r="G1061" s="1040"/>
      <c r="H1061" s="1040"/>
      <c r="I1061" s="1040"/>
      <c r="J1061" s="1040"/>
      <c r="K1061" s="1022"/>
      <c r="L1061" s="1022"/>
      <c r="M1061" s="1022"/>
      <c r="N1061" s="1022"/>
      <c r="O1061" s="1022"/>
      <c r="P1061" s="1022"/>
      <c r="Q1061" s="1022"/>
      <c r="R1061" s="1022"/>
      <c r="S1061" s="1022"/>
    </row>
    <row r="1062" spans="1:19" ht="15" customHeight="1">
      <c r="A1062" s="1040"/>
      <c r="B1062" s="1047">
        <v>500000</v>
      </c>
      <c r="C1062" s="1046" t="e">
        <f>IF(E1061&lt;0,0,IF(D1062&lt;E1061,D1062*8/10000,E1061*8/10000))</f>
        <v>#REF!</v>
      </c>
      <c r="D1062" s="1046">
        <f t="shared" si="114"/>
        <v>200000</v>
      </c>
      <c r="E1062" s="1048" t="e">
        <f t="shared" si="115"/>
        <v>#REF!</v>
      </c>
      <c r="F1062" s="1040"/>
      <c r="G1062" s="1040"/>
      <c r="H1062" s="1040"/>
      <c r="I1062" s="1040"/>
      <c r="J1062" s="1040"/>
      <c r="K1062" s="1022"/>
      <c r="L1062" s="1022"/>
      <c r="M1062" s="1022"/>
      <c r="N1062" s="1022"/>
      <c r="O1062" s="1022"/>
      <c r="P1062" s="1022"/>
      <c r="Q1062" s="1022"/>
      <c r="R1062" s="1022"/>
      <c r="S1062" s="1022"/>
    </row>
    <row r="1063" spans="1:19" ht="15" customHeight="1">
      <c r="A1063" s="1040"/>
      <c r="B1063" s="1047">
        <v>1000000</v>
      </c>
      <c r="C1063" s="1046" t="e">
        <f>IF(E1062&lt;0,0,IF(D1063&lt;E1062,D1063*7/10000,E1062*7/10000))</f>
        <v>#REF!</v>
      </c>
      <c r="D1063" s="1046">
        <f t="shared" si="114"/>
        <v>500000</v>
      </c>
      <c r="E1063" s="1048" t="e">
        <f t="shared" si="115"/>
        <v>#REF!</v>
      </c>
      <c r="F1063" s="1040"/>
      <c r="G1063" s="1040"/>
      <c r="H1063" s="1040"/>
      <c r="I1063" s="1040"/>
      <c r="J1063" s="1040"/>
      <c r="K1063" s="1022"/>
      <c r="L1063" s="1022"/>
      <c r="M1063" s="1022"/>
      <c r="N1063" s="1022"/>
      <c r="O1063" s="1022"/>
      <c r="P1063" s="1022"/>
      <c r="Q1063" s="1022"/>
      <c r="R1063" s="1022"/>
      <c r="S1063" s="1022"/>
    </row>
    <row r="1064" spans="1:19" ht="15" customHeight="1">
      <c r="A1064" s="1040"/>
      <c r="B1064" s="1047">
        <v>2000000</v>
      </c>
      <c r="C1064" s="1046" t="e">
        <f>IF(E1063&lt;0,0,IF(D1064&lt;E1063,D1064*5/10000,E1063*5/10000))</f>
        <v>#REF!</v>
      </c>
      <c r="D1064" s="1046">
        <f t="shared" si="114"/>
        <v>1000000</v>
      </c>
      <c r="E1064" s="1048" t="e">
        <f t="shared" si="115"/>
        <v>#REF!</v>
      </c>
      <c r="F1064" s="1040"/>
      <c r="G1064" s="1040"/>
      <c r="H1064" s="1040"/>
      <c r="I1064" s="1040"/>
      <c r="J1064" s="1040"/>
      <c r="K1064" s="1022"/>
      <c r="L1064" s="1022"/>
      <c r="M1064" s="1022"/>
      <c r="N1064" s="1022"/>
      <c r="O1064" s="1022"/>
      <c r="P1064" s="1022"/>
      <c r="Q1064" s="1022"/>
      <c r="R1064" s="1022"/>
      <c r="S1064" s="1022"/>
    </row>
    <row r="1065" spans="1:19" ht="15" customHeight="1">
      <c r="A1065" s="1040"/>
      <c r="B1065" s="1047">
        <v>20000000</v>
      </c>
      <c r="C1065" s="1046" t="e">
        <f>IF(E1064&lt;0,0,IF(D1065&lt;E1064,D1065*4/10000,E1064*4/10000))</f>
        <v>#REF!</v>
      </c>
      <c r="D1065" s="1046">
        <f t="shared" si="114"/>
        <v>18000000</v>
      </c>
      <c r="E1065" s="1048" t="e">
        <f t="shared" si="115"/>
        <v>#REF!</v>
      </c>
      <c r="F1065" s="1040"/>
      <c r="G1065" s="1040"/>
      <c r="H1065" s="1040"/>
      <c r="I1065" s="1040"/>
      <c r="J1065" s="1040"/>
      <c r="K1065" s="1022"/>
      <c r="L1065" s="1022"/>
      <c r="M1065" s="1022"/>
      <c r="N1065" s="1022"/>
      <c r="O1065" s="1022"/>
      <c r="P1065" s="1022"/>
      <c r="Q1065" s="1022"/>
      <c r="R1065" s="1022"/>
      <c r="S1065" s="1022"/>
    </row>
    <row r="1066" spans="1:19" ht="15" customHeight="1">
      <c r="A1066" s="1040"/>
      <c r="B1066" s="1047" t="s">
        <v>1312</v>
      </c>
      <c r="C1066" s="1046"/>
      <c r="D1066" s="1046"/>
      <c r="E1066" s="1048"/>
      <c r="F1066" s="1040"/>
      <c r="G1066" s="1040"/>
      <c r="H1066" s="1040"/>
      <c r="I1066" s="1040"/>
      <c r="J1066" s="1040"/>
      <c r="K1066" s="1022"/>
      <c r="L1066" s="1022"/>
      <c r="M1066" s="1022"/>
      <c r="N1066" s="1022"/>
      <c r="O1066" s="1022"/>
      <c r="P1066" s="1022"/>
      <c r="Q1066" s="1022"/>
      <c r="R1066" s="1022"/>
      <c r="S1066" s="1022"/>
    </row>
    <row r="1067" spans="1:19" ht="15" customHeight="1">
      <c r="A1067" s="1040"/>
      <c r="B1067" s="1047" t="s">
        <v>1313</v>
      </c>
      <c r="C1067" s="1046" t="e">
        <f>ROUND(IF(C1058&gt;20000000,8650+(C1058-20000000)/10000,SUM(C1059:C1065)),0)</f>
        <v>#REF!</v>
      </c>
      <c r="D1067" s="1040"/>
      <c r="E1067" s="1045"/>
      <c r="F1067" s="1040"/>
      <c r="G1067" s="1040"/>
      <c r="H1067" s="1040"/>
      <c r="I1067" s="1040"/>
      <c r="J1067" s="1040"/>
      <c r="K1067" s="1022"/>
      <c r="L1067" s="1022"/>
      <c r="M1067" s="1022"/>
      <c r="N1067" s="1022"/>
      <c r="O1067" s="1022"/>
      <c r="P1067" s="1022"/>
      <c r="Q1067" s="1022"/>
      <c r="R1067" s="1022"/>
      <c r="S1067" s="1022"/>
    </row>
    <row r="1068" spans="1:19" ht="15" customHeight="1">
      <c r="A1068" s="1040"/>
      <c r="B1068" s="1047" t="s">
        <v>1314</v>
      </c>
      <c r="C1068" s="936" t="e">
        <f>IF(C1058&lt;=10000,20,IF(C1058&lt;=300000,40,IF(C1058&lt;=500000,70,IF(C1058&lt;=1000000,150,350))))</f>
        <v>#REF!</v>
      </c>
      <c r="D1068" s="1040"/>
      <c r="E1068" s="1045"/>
      <c r="F1068" s="1040"/>
      <c r="G1068" s="1040"/>
      <c r="H1068" s="1040"/>
      <c r="I1068" s="1040"/>
      <c r="J1068" s="1040"/>
      <c r="K1068" s="1022"/>
      <c r="L1068" s="1022"/>
      <c r="M1068" s="1022"/>
      <c r="N1068" s="1022"/>
      <c r="O1068" s="1022"/>
      <c r="P1068" s="1022"/>
      <c r="Q1068" s="1022"/>
      <c r="R1068" s="1022"/>
      <c r="S1068" s="1022"/>
    </row>
    <row r="1069" spans="1:19" ht="15" customHeight="1">
      <c r="A1069" s="1040"/>
      <c r="B1069" s="1047" t="s">
        <v>1316</v>
      </c>
      <c r="C1069" s="1046">
        <v>18</v>
      </c>
      <c r="D1069" s="1040"/>
      <c r="E1069" s="1045"/>
      <c r="F1069" s="1040"/>
      <c r="G1069" s="1040"/>
      <c r="H1069" s="1040"/>
      <c r="I1069" s="1040"/>
      <c r="J1069" s="1040"/>
      <c r="K1069" s="1022"/>
      <c r="L1069" s="1022"/>
      <c r="M1069" s="1022"/>
      <c r="N1069" s="1022"/>
      <c r="O1069" s="1022"/>
      <c r="P1069" s="1022"/>
      <c r="Q1069" s="1022"/>
      <c r="R1069" s="1022"/>
      <c r="S1069" s="1022"/>
    </row>
    <row r="1070" spans="1:19" ht="15" customHeight="1" thickBot="1">
      <c r="A1070" s="1040"/>
      <c r="B1070" s="1044" t="s">
        <v>1317</v>
      </c>
      <c r="C1070" s="1043" t="e">
        <f>IF(C1058=0,0,SUM(C1067:C1069))</f>
        <v>#REF!</v>
      </c>
      <c r="D1070" s="1042"/>
      <c r="E1070" s="1041"/>
      <c r="F1070" s="1040"/>
      <c r="G1070" s="1040"/>
      <c r="H1070" s="1040"/>
      <c r="I1070" s="1040"/>
      <c r="J1070" s="1040"/>
      <c r="K1070" s="1022"/>
      <c r="L1070" s="1022"/>
      <c r="M1070" s="1022"/>
      <c r="N1070" s="1022"/>
      <c r="O1070" s="1022"/>
      <c r="P1070" s="1022"/>
      <c r="Q1070" s="1022"/>
      <c r="R1070" s="1022"/>
      <c r="S1070" s="1022"/>
    </row>
    <row r="1071" spans="1:19" ht="15" customHeight="1">
      <c r="A1071" s="1040"/>
      <c r="B1071" s="1057" t="s">
        <v>1308</v>
      </c>
      <c r="C1071" s="1056"/>
      <c r="D1071" s="1055"/>
      <c r="E1071" s="1054"/>
      <c r="F1071" s="1040"/>
      <c r="G1071" s="1040"/>
      <c r="H1071" s="1040"/>
      <c r="I1071" s="1040"/>
      <c r="J1071" s="1040"/>
      <c r="K1071" s="1022"/>
      <c r="L1071" s="1022"/>
      <c r="M1071" s="1022"/>
      <c r="N1071" s="1022"/>
      <c r="O1071" s="1022"/>
      <c r="P1071" s="1022"/>
      <c r="Q1071" s="1022"/>
      <c r="R1071" s="1022"/>
      <c r="S1071" s="1022"/>
    </row>
    <row r="1072" spans="1:19" ht="15" customHeight="1">
      <c r="A1072" s="1040"/>
      <c r="B1072" s="1053"/>
      <c r="C1072" s="1046"/>
      <c r="D1072" s="1040"/>
      <c r="E1072" s="1045"/>
      <c r="F1072" s="1040"/>
      <c r="G1072" s="1040"/>
      <c r="H1072" s="1040"/>
      <c r="I1072" s="1040"/>
      <c r="J1072" s="1040"/>
      <c r="K1072" s="1022"/>
      <c r="L1072" s="1022"/>
      <c r="M1072" s="1022"/>
      <c r="N1072" s="1022"/>
      <c r="O1072" s="1022"/>
      <c r="P1072" s="1022"/>
      <c r="Q1072" s="1022"/>
      <c r="R1072" s="1022"/>
      <c r="S1072" s="1022"/>
    </row>
    <row r="1073" spans="1:19" ht="15" customHeight="1">
      <c r="A1073" s="1040"/>
      <c r="B1073" s="1052" t="s">
        <v>1309</v>
      </c>
      <c r="C1073" s="1051" t="e">
        <f>#REF!*70%</f>
        <v>#REF!</v>
      </c>
      <c r="D1073" s="1050" t="s">
        <v>1310</v>
      </c>
      <c r="E1073" s="1045" t="s">
        <v>1311</v>
      </c>
      <c r="F1073" s="1040"/>
      <c r="G1073" s="1040"/>
      <c r="H1073" s="1040"/>
      <c r="I1073" s="1040"/>
      <c r="J1073" s="1040"/>
      <c r="K1073" s="1022"/>
      <c r="L1073" s="1022"/>
      <c r="M1073" s="1022"/>
      <c r="N1073" s="1022"/>
      <c r="O1073" s="1022"/>
      <c r="P1073" s="1022"/>
      <c r="Q1073" s="1022"/>
      <c r="R1073" s="1022"/>
      <c r="S1073" s="1022"/>
    </row>
    <row r="1074" spans="1:19" ht="15" customHeight="1">
      <c r="A1074" s="1040"/>
      <c r="B1074" s="1047">
        <v>50000</v>
      </c>
      <c r="C1074" s="1046">
        <v>210</v>
      </c>
      <c r="D1074" s="1049"/>
      <c r="E1074" s="1048" t="e">
        <f>C1073-B1074</f>
        <v>#REF!</v>
      </c>
      <c r="F1074" s="1040"/>
      <c r="G1074" s="1040"/>
      <c r="H1074" s="1040"/>
      <c r="I1074" s="1040"/>
      <c r="J1074" s="1040"/>
      <c r="K1074" s="1022"/>
      <c r="L1074" s="1022"/>
      <c r="M1074" s="1022"/>
      <c r="N1074" s="1022"/>
      <c r="O1074" s="1022"/>
      <c r="P1074" s="1022"/>
      <c r="Q1074" s="1022"/>
      <c r="R1074" s="1022"/>
      <c r="S1074" s="1022"/>
    </row>
    <row r="1075" spans="1:19" ht="15" customHeight="1">
      <c r="A1075" s="1040"/>
      <c r="B1075" s="1047">
        <v>100000</v>
      </c>
      <c r="C1075" s="1046" t="e">
        <f>IF(E1074&lt;0,0,IF(D1075&lt;E1074,D1075*10/10000,E1074*10/10000))</f>
        <v>#REF!</v>
      </c>
      <c r="D1075" s="1046">
        <f t="shared" ref="D1075:D1080" si="116">B1075-B1074</f>
        <v>50000</v>
      </c>
      <c r="E1075" s="1048" t="e">
        <f t="shared" ref="E1075:E1080" si="117">E1074-B1075</f>
        <v>#REF!</v>
      </c>
      <c r="F1075" s="1040"/>
      <c r="G1075" s="1040"/>
      <c r="H1075" s="1040"/>
      <c r="I1075" s="1040"/>
      <c r="J1075" s="1040"/>
      <c r="K1075" s="1022"/>
      <c r="L1075" s="1022"/>
      <c r="M1075" s="1022"/>
      <c r="N1075" s="1022"/>
      <c r="O1075" s="1022"/>
      <c r="P1075" s="1022"/>
      <c r="Q1075" s="1022"/>
      <c r="R1075" s="1022"/>
      <c r="S1075" s="1022"/>
    </row>
    <row r="1076" spans="1:19" ht="15" customHeight="1">
      <c r="A1076" s="1040"/>
      <c r="B1076" s="1047">
        <v>300000</v>
      </c>
      <c r="C1076" s="1046" t="e">
        <f>IF(E1075&lt;0,0,IF(D1076&lt;E1075,D1076*9/10000,E1075*9/10000))</f>
        <v>#REF!</v>
      </c>
      <c r="D1076" s="1046">
        <f t="shared" si="116"/>
        <v>200000</v>
      </c>
      <c r="E1076" s="1048" t="e">
        <f t="shared" si="117"/>
        <v>#REF!</v>
      </c>
      <c r="F1076" s="1040"/>
      <c r="G1076" s="1040"/>
      <c r="H1076" s="1040"/>
      <c r="I1076" s="1040"/>
      <c r="J1076" s="1040"/>
      <c r="K1076" s="1022"/>
      <c r="L1076" s="1022"/>
      <c r="M1076" s="1022"/>
      <c r="N1076" s="1022"/>
      <c r="O1076" s="1022"/>
      <c r="P1076" s="1022"/>
      <c r="Q1076" s="1022"/>
      <c r="R1076" s="1022"/>
      <c r="S1076" s="1022"/>
    </row>
    <row r="1077" spans="1:19" ht="15" customHeight="1">
      <c r="A1077" s="1040"/>
      <c r="B1077" s="1047">
        <v>500000</v>
      </c>
      <c r="C1077" s="1046" t="e">
        <f>IF(E1076&lt;0,0,IF(D1077&lt;E1076,D1077*8/10000,E1076*8/10000))</f>
        <v>#REF!</v>
      </c>
      <c r="D1077" s="1046">
        <f t="shared" si="116"/>
        <v>200000</v>
      </c>
      <c r="E1077" s="1048" t="e">
        <f t="shared" si="117"/>
        <v>#REF!</v>
      </c>
      <c r="F1077" s="1040"/>
      <c r="G1077" s="1040"/>
      <c r="H1077" s="1040"/>
      <c r="I1077" s="1040"/>
      <c r="J1077" s="1040"/>
      <c r="K1077" s="1022"/>
      <c r="L1077" s="1022"/>
      <c r="M1077" s="1022"/>
      <c r="N1077" s="1022"/>
      <c r="O1077" s="1022"/>
      <c r="P1077" s="1022"/>
      <c r="Q1077" s="1022"/>
      <c r="R1077" s="1022"/>
      <c r="S1077" s="1022"/>
    </row>
    <row r="1078" spans="1:19" ht="15" customHeight="1">
      <c r="A1078" s="1040"/>
      <c r="B1078" s="1047">
        <v>1000000</v>
      </c>
      <c r="C1078" s="1046" t="e">
        <f>IF(E1077&lt;0,0,IF(D1078&lt;E1077,D1078*7/10000,E1077*7/10000))</f>
        <v>#REF!</v>
      </c>
      <c r="D1078" s="1046">
        <f t="shared" si="116"/>
        <v>500000</v>
      </c>
      <c r="E1078" s="1048" t="e">
        <f t="shared" si="117"/>
        <v>#REF!</v>
      </c>
      <c r="F1078" s="1040"/>
      <c r="G1078" s="1040"/>
      <c r="H1078" s="1040"/>
      <c r="I1078" s="1040"/>
      <c r="J1078" s="1040"/>
      <c r="K1078" s="1022"/>
      <c r="L1078" s="1022"/>
      <c r="M1078" s="1022"/>
      <c r="N1078" s="1022"/>
      <c r="O1078" s="1022"/>
      <c r="P1078" s="1022"/>
      <c r="Q1078" s="1022"/>
      <c r="R1078" s="1022"/>
      <c r="S1078" s="1022"/>
    </row>
    <row r="1079" spans="1:19" ht="15" customHeight="1">
      <c r="A1079" s="1040"/>
      <c r="B1079" s="1047">
        <v>2000000</v>
      </c>
      <c r="C1079" s="1046" t="e">
        <f>IF(E1078&lt;0,0,IF(D1079&lt;E1078,D1079*5/10000,E1078*5/10000))</f>
        <v>#REF!</v>
      </c>
      <c r="D1079" s="1046">
        <f t="shared" si="116"/>
        <v>1000000</v>
      </c>
      <c r="E1079" s="1048" t="e">
        <f t="shared" si="117"/>
        <v>#REF!</v>
      </c>
      <c r="F1079" s="1040"/>
      <c r="G1079" s="1040"/>
      <c r="H1079" s="1040"/>
      <c r="I1079" s="1040"/>
      <c r="J1079" s="1040"/>
      <c r="K1079" s="1022"/>
      <c r="L1079" s="1022"/>
      <c r="M1079" s="1022"/>
      <c r="N1079" s="1022"/>
      <c r="O1079" s="1022"/>
      <c r="P1079" s="1022"/>
      <c r="Q1079" s="1022"/>
      <c r="R1079" s="1022"/>
      <c r="S1079" s="1022"/>
    </row>
    <row r="1080" spans="1:19" ht="15" customHeight="1">
      <c r="A1080" s="1040"/>
      <c r="B1080" s="1047">
        <v>20000000</v>
      </c>
      <c r="C1080" s="1046" t="e">
        <f>IF(E1079&lt;0,0,IF(D1080&lt;E1079,D1080*4/10000,E1079*4/10000))</f>
        <v>#REF!</v>
      </c>
      <c r="D1080" s="1046">
        <f t="shared" si="116"/>
        <v>18000000</v>
      </c>
      <c r="E1080" s="1048" t="e">
        <f t="shared" si="117"/>
        <v>#REF!</v>
      </c>
      <c r="F1080" s="1040"/>
      <c r="G1080" s="1040"/>
      <c r="H1080" s="1040"/>
      <c r="I1080" s="1040"/>
      <c r="J1080" s="1040"/>
      <c r="K1080" s="1022"/>
      <c r="L1080" s="1022"/>
      <c r="M1080" s="1022"/>
      <c r="N1080" s="1022"/>
      <c r="O1080" s="1022"/>
      <c r="P1080" s="1022"/>
      <c r="Q1080" s="1022"/>
      <c r="R1080" s="1022"/>
      <c r="S1080" s="1022"/>
    </row>
    <row r="1081" spans="1:19" ht="15" customHeight="1">
      <c r="A1081" s="1040"/>
      <c r="B1081" s="1047" t="s">
        <v>1312</v>
      </c>
      <c r="C1081" s="1046"/>
      <c r="D1081" s="1046"/>
      <c r="E1081" s="1048"/>
      <c r="F1081" s="1040"/>
      <c r="G1081" s="1040"/>
      <c r="H1081" s="1040"/>
      <c r="I1081" s="1040"/>
      <c r="J1081" s="1040"/>
      <c r="K1081" s="1022"/>
      <c r="L1081" s="1022"/>
      <c r="M1081" s="1022"/>
      <c r="N1081" s="1022"/>
      <c r="O1081" s="1022"/>
      <c r="P1081" s="1022"/>
      <c r="Q1081" s="1022"/>
      <c r="R1081" s="1022"/>
      <c r="S1081" s="1022"/>
    </row>
    <row r="1082" spans="1:19" ht="15" customHeight="1">
      <c r="A1082" s="1040"/>
      <c r="B1082" s="1047" t="s">
        <v>1313</v>
      </c>
      <c r="C1082" s="1046" t="e">
        <f>ROUND(IF(C1073&gt;20000000,8650+(C1073-20000000)/10000,SUM(C1074:C1080)),0)</f>
        <v>#REF!</v>
      </c>
      <c r="D1082" s="1040"/>
      <c r="E1082" s="1045"/>
      <c r="F1082" s="1040"/>
      <c r="G1082" s="1040"/>
      <c r="H1082" s="1040"/>
      <c r="I1082" s="1040"/>
      <c r="J1082" s="1040"/>
      <c r="K1082" s="1022"/>
      <c r="L1082" s="1022"/>
      <c r="M1082" s="1022"/>
      <c r="N1082" s="1022"/>
      <c r="O1082" s="1022"/>
      <c r="P1082" s="1022"/>
      <c r="Q1082" s="1022"/>
      <c r="R1082" s="1022"/>
      <c r="S1082" s="1022"/>
    </row>
    <row r="1083" spans="1:19" ht="15" customHeight="1">
      <c r="A1083" s="1040"/>
      <c r="B1083" s="1047" t="s">
        <v>1314</v>
      </c>
      <c r="C1083" s="936" t="e">
        <f>IF(C1073&lt;=10000,20,IF(C1073&lt;=300000,40,IF(C1073&lt;=500000,70,IF(C1073&lt;=1000000,150,350))))</f>
        <v>#REF!</v>
      </c>
      <c r="D1083" s="1040"/>
      <c r="E1083" s="1045"/>
      <c r="F1083" s="1040"/>
      <c r="G1083" s="1040"/>
      <c r="H1083" s="1040"/>
      <c r="I1083" s="1040"/>
      <c r="J1083" s="1040"/>
      <c r="K1083" s="1022"/>
      <c r="L1083" s="1022"/>
      <c r="M1083" s="1022"/>
      <c r="N1083" s="1022"/>
      <c r="O1083" s="1022"/>
      <c r="P1083" s="1022"/>
      <c r="Q1083" s="1022"/>
      <c r="R1083" s="1022"/>
      <c r="S1083" s="1022"/>
    </row>
    <row r="1084" spans="1:19" ht="15" customHeight="1">
      <c r="A1084" s="1040"/>
      <c r="B1084" s="1047" t="s">
        <v>1316</v>
      </c>
      <c r="C1084" s="1046">
        <v>18</v>
      </c>
      <c r="D1084" s="1040"/>
      <c r="E1084" s="1045"/>
      <c r="F1084" s="1040"/>
      <c r="G1084" s="1040"/>
      <c r="H1084" s="1040"/>
      <c r="I1084" s="1040"/>
      <c r="J1084" s="1040"/>
      <c r="K1084" s="1022"/>
      <c r="L1084" s="1022"/>
      <c r="M1084" s="1022"/>
      <c r="N1084" s="1022"/>
      <c r="O1084" s="1022"/>
      <c r="P1084" s="1022"/>
      <c r="Q1084" s="1022"/>
      <c r="R1084" s="1022"/>
      <c r="S1084" s="1022"/>
    </row>
    <row r="1085" spans="1:19" ht="15" customHeight="1" thickBot="1">
      <c r="A1085" s="1040"/>
      <c r="B1085" s="1044" t="s">
        <v>1317</v>
      </c>
      <c r="C1085" s="1043" t="e">
        <f>IF(C1073=0,0,SUM(C1082:C1084))</f>
        <v>#REF!</v>
      </c>
      <c r="D1085" s="1042"/>
      <c r="E1085" s="1041"/>
      <c r="F1085" s="1040"/>
      <c r="G1085" s="1040"/>
      <c r="H1085" s="1040"/>
      <c r="I1085" s="1040"/>
      <c r="J1085" s="1040"/>
      <c r="K1085" s="1022"/>
      <c r="L1085" s="1022"/>
      <c r="M1085" s="1022"/>
      <c r="N1085" s="1022"/>
      <c r="O1085" s="1022"/>
      <c r="P1085" s="1022"/>
      <c r="Q1085" s="1022"/>
      <c r="R1085" s="1022"/>
      <c r="S1085" s="1022"/>
    </row>
    <row r="1086" spans="1:19" ht="15" customHeight="1">
      <c r="A1086" s="1040"/>
      <c r="B1086" s="1057" t="s">
        <v>1308</v>
      </c>
      <c r="C1086" s="1056"/>
      <c r="D1086" s="1055"/>
      <c r="E1086" s="1054"/>
      <c r="F1086" s="1040"/>
      <c r="G1086" s="1040"/>
      <c r="H1086" s="1040"/>
      <c r="I1086" s="1040"/>
      <c r="J1086" s="1040"/>
      <c r="K1086" s="1022"/>
      <c r="L1086" s="1022"/>
      <c r="M1086" s="1022"/>
      <c r="N1086" s="1022"/>
      <c r="O1086" s="1022"/>
      <c r="P1086" s="1022"/>
      <c r="Q1086" s="1022"/>
      <c r="R1086" s="1022"/>
      <c r="S1086" s="1022"/>
    </row>
    <row r="1087" spans="1:19" ht="15" customHeight="1">
      <c r="A1087" s="1040"/>
      <c r="B1087" s="1053"/>
      <c r="C1087" s="1046"/>
      <c r="D1087" s="1040"/>
      <c r="E1087" s="1045"/>
      <c r="F1087" s="1040"/>
      <c r="G1087" s="1040"/>
      <c r="H1087" s="1040"/>
      <c r="I1087" s="1040"/>
      <c r="J1087" s="1040"/>
      <c r="K1087" s="1022"/>
      <c r="L1087" s="1022"/>
      <c r="M1087" s="1022"/>
      <c r="N1087" s="1022"/>
      <c r="O1087" s="1022"/>
      <c r="P1087" s="1022"/>
      <c r="Q1087" s="1022"/>
      <c r="R1087" s="1022"/>
      <c r="S1087" s="1022"/>
    </row>
    <row r="1088" spans="1:19" ht="15" customHeight="1">
      <c r="A1088" s="1040"/>
      <c r="B1088" s="1052" t="s">
        <v>1309</v>
      </c>
      <c r="C1088" s="1051" t="e">
        <f>#REF!*70%</f>
        <v>#REF!</v>
      </c>
      <c r="D1088" s="1050" t="s">
        <v>1310</v>
      </c>
      <c r="E1088" s="1045" t="s">
        <v>1311</v>
      </c>
      <c r="F1088" s="1040"/>
      <c r="G1088" s="1040"/>
      <c r="H1088" s="1040"/>
      <c r="I1088" s="1040"/>
      <c r="J1088" s="1040"/>
      <c r="K1088" s="1022"/>
      <c r="L1088" s="1022"/>
      <c r="M1088" s="1022"/>
      <c r="N1088" s="1022"/>
      <c r="O1088" s="1022"/>
      <c r="P1088" s="1022"/>
      <c r="Q1088" s="1022"/>
      <c r="R1088" s="1022"/>
      <c r="S1088" s="1022"/>
    </row>
    <row r="1089" spans="1:19" ht="15" customHeight="1">
      <c r="A1089" s="1040"/>
      <c r="B1089" s="1047">
        <v>50000</v>
      </c>
      <c r="C1089" s="1046">
        <v>210</v>
      </c>
      <c r="D1089" s="1049"/>
      <c r="E1089" s="1048" t="e">
        <f>C1088-B1089</f>
        <v>#REF!</v>
      </c>
      <c r="F1089" s="1040"/>
      <c r="G1089" s="1040"/>
      <c r="H1089" s="1040"/>
      <c r="I1089" s="1040"/>
      <c r="J1089" s="1040"/>
      <c r="K1089" s="1022"/>
      <c r="L1089" s="1022"/>
      <c r="M1089" s="1022"/>
      <c r="N1089" s="1022"/>
      <c r="O1089" s="1022"/>
      <c r="P1089" s="1022"/>
      <c r="Q1089" s="1022"/>
      <c r="R1089" s="1022"/>
      <c r="S1089" s="1022"/>
    </row>
    <row r="1090" spans="1:19" ht="15" customHeight="1">
      <c r="A1090" s="1040"/>
      <c r="B1090" s="1047">
        <v>100000</v>
      </c>
      <c r="C1090" s="1046" t="e">
        <f>IF(E1089&lt;0,0,IF(D1090&lt;E1089,D1090*10/10000,E1089*10/10000))</f>
        <v>#REF!</v>
      </c>
      <c r="D1090" s="1046">
        <f t="shared" ref="D1090:D1095" si="118">B1090-B1089</f>
        <v>50000</v>
      </c>
      <c r="E1090" s="1048" t="e">
        <f t="shared" ref="E1090:E1095" si="119">E1089-B1090</f>
        <v>#REF!</v>
      </c>
      <c r="F1090" s="1040"/>
      <c r="G1090" s="1040"/>
      <c r="H1090" s="1040"/>
      <c r="I1090" s="1040"/>
      <c r="J1090" s="1040"/>
      <c r="K1090" s="1022"/>
      <c r="L1090" s="1022"/>
      <c r="M1090" s="1022"/>
      <c r="N1090" s="1022"/>
      <c r="O1090" s="1022"/>
      <c r="P1090" s="1022"/>
      <c r="Q1090" s="1022"/>
      <c r="R1090" s="1022"/>
      <c r="S1090" s="1022"/>
    </row>
    <row r="1091" spans="1:19" ht="15" customHeight="1">
      <c r="A1091" s="1040"/>
      <c r="B1091" s="1047">
        <v>300000</v>
      </c>
      <c r="C1091" s="1046" t="e">
        <f>IF(E1090&lt;0,0,IF(D1091&lt;E1090,D1091*9/10000,E1090*9/10000))</f>
        <v>#REF!</v>
      </c>
      <c r="D1091" s="1046">
        <f t="shared" si="118"/>
        <v>200000</v>
      </c>
      <c r="E1091" s="1048" t="e">
        <f t="shared" si="119"/>
        <v>#REF!</v>
      </c>
      <c r="F1091" s="1040"/>
      <c r="G1091" s="1040"/>
      <c r="H1091" s="1040"/>
      <c r="I1091" s="1040"/>
      <c r="J1091" s="1040"/>
      <c r="K1091" s="1022"/>
      <c r="L1091" s="1022"/>
      <c r="M1091" s="1022"/>
      <c r="N1091" s="1022"/>
      <c r="O1091" s="1022"/>
      <c r="P1091" s="1022"/>
      <c r="Q1091" s="1022"/>
      <c r="R1091" s="1022"/>
      <c r="S1091" s="1022"/>
    </row>
    <row r="1092" spans="1:19" ht="15" customHeight="1">
      <c r="A1092" s="1040"/>
      <c r="B1092" s="1047">
        <v>500000</v>
      </c>
      <c r="C1092" s="1046" t="e">
        <f>IF(E1091&lt;0,0,IF(D1092&lt;E1091,D1092*8/10000,E1091*8/10000))</f>
        <v>#REF!</v>
      </c>
      <c r="D1092" s="1046">
        <f t="shared" si="118"/>
        <v>200000</v>
      </c>
      <c r="E1092" s="1048" t="e">
        <f t="shared" si="119"/>
        <v>#REF!</v>
      </c>
      <c r="F1092" s="1040"/>
      <c r="G1092" s="1040"/>
      <c r="H1092" s="1040"/>
      <c r="I1092" s="1040"/>
      <c r="J1092" s="1040"/>
      <c r="K1092" s="1022"/>
      <c r="L1092" s="1022"/>
      <c r="M1092" s="1022"/>
      <c r="N1092" s="1022"/>
      <c r="O1092" s="1022"/>
      <c r="P1092" s="1022"/>
      <c r="Q1092" s="1022"/>
      <c r="R1092" s="1022"/>
      <c r="S1092" s="1022"/>
    </row>
    <row r="1093" spans="1:19" ht="15" customHeight="1">
      <c r="A1093" s="1040"/>
      <c r="B1093" s="1047">
        <v>1000000</v>
      </c>
      <c r="C1093" s="1046" t="e">
        <f>IF(E1092&lt;0,0,IF(D1093&lt;E1092,D1093*7/10000,E1092*7/10000))</f>
        <v>#REF!</v>
      </c>
      <c r="D1093" s="1046">
        <f t="shared" si="118"/>
        <v>500000</v>
      </c>
      <c r="E1093" s="1048" t="e">
        <f t="shared" si="119"/>
        <v>#REF!</v>
      </c>
      <c r="F1093" s="1040"/>
      <c r="G1093" s="1040"/>
      <c r="H1093" s="1040"/>
      <c r="I1093" s="1040"/>
      <c r="J1093" s="1040"/>
      <c r="K1093" s="1022"/>
      <c r="L1093" s="1022"/>
      <c r="M1093" s="1022"/>
      <c r="N1093" s="1022"/>
      <c r="O1093" s="1022"/>
      <c r="P1093" s="1022"/>
      <c r="Q1093" s="1022"/>
      <c r="R1093" s="1022"/>
      <c r="S1093" s="1022"/>
    </row>
    <row r="1094" spans="1:19" ht="15" customHeight="1">
      <c r="A1094" s="1040"/>
      <c r="B1094" s="1047">
        <v>2000000</v>
      </c>
      <c r="C1094" s="1046" t="e">
        <f>IF(E1093&lt;0,0,IF(D1094&lt;E1093,D1094*5/10000,E1093*5/10000))</f>
        <v>#REF!</v>
      </c>
      <c r="D1094" s="1046">
        <f t="shared" si="118"/>
        <v>1000000</v>
      </c>
      <c r="E1094" s="1048" t="e">
        <f t="shared" si="119"/>
        <v>#REF!</v>
      </c>
      <c r="F1094" s="1040"/>
      <c r="G1094" s="1040"/>
      <c r="H1094" s="1040"/>
      <c r="I1094" s="1040"/>
      <c r="J1094" s="1040"/>
      <c r="K1094" s="1022"/>
      <c r="L1094" s="1022"/>
      <c r="M1094" s="1022"/>
      <c r="N1094" s="1022"/>
      <c r="O1094" s="1022"/>
      <c r="P1094" s="1022"/>
      <c r="Q1094" s="1022"/>
      <c r="R1094" s="1022"/>
      <c r="S1094" s="1022"/>
    </row>
    <row r="1095" spans="1:19" ht="15" customHeight="1">
      <c r="A1095" s="1040"/>
      <c r="B1095" s="1047">
        <v>20000000</v>
      </c>
      <c r="C1095" s="1046" t="e">
        <f>IF(E1094&lt;0,0,IF(D1095&lt;E1094,D1095*4/10000,E1094*4/10000))</f>
        <v>#REF!</v>
      </c>
      <c r="D1095" s="1046">
        <f t="shared" si="118"/>
        <v>18000000</v>
      </c>
      <c r="E1095" s="1048" t="e">
        <f t="shared" si="119"/>
        <v>#REF!</v>
      </c>
      <c r="F1095" s="1040"/>
      <c r="G1095" s="1040"/>
      <c r="H1095" s="1040"/>
      <c r="I1095" s="1040"/>
      <c r="J1095" s="1040"/>
      <c r="K1095" s="1022"/>
      <c r="L1095" s="1022"/>
      <c r="M1095" s="1022"/>
      <c r="N1095" s="1022"/>
      <c r="O1095" s="1022"/>
      <c r="P1095" s="1022"/>
      <c r="Q1095" s="1022"/>
      <c r="R1095" s="1022"/>
      <c r="S1095" s="1022"/>
    </row>
    <row r="1096" spans="1:19" ht="15" customHeight="1">
      <c r="A1096" s="1040"/>
      <c r="B1096" s="1047" t="s">
        <v>1312</v>
      </c>
      <c r="C1096" s="1046"/>
      <c r="D1096" s="1046"/>
      <c r="E1096" s="1048"/>
      <c r="F1096" s="1040"/>
      <c r="G1096" s="1040"/>
      <c r="H1096" s="1040"/>
      <c r="I1096" s="1040"/>
      <c r="J1096" s="1040"/>
      <c r="K1096" s="1022"/>
      <c r="L1096" s="1022"/>
      <c r="M1096" s="1022"/>
      <c r="N1096" s="1022"/>
      <c r="O1096" s="1022"/>
      <c r="P1096" s="1022"/>
      <c r="Q1096" s="1022"/>
      <c r="R1096" s="1022"/>
      <c r="S1096" s="1022"/>
    </row>
    <row r="1097" spans="1:19" ht="15" customHeight="1">
      <c r="A1097" s="1040"/>
      <c r="B1097" s="1047" t="s">
        <v>1313</v>
      </c>
      <c r="C1097" s="1046" t="e">
        <f>ROUND(IF(C1088&gt;20000000,8650+(C1088-20000000)/10000,SUM(C1089:C1095)),0)</f>
        <v>#REF!</v>
      </c>
      <c r="D1097" s="1040"/>
      <c r="E1097" s="1045"/>
      <c r="F1097" s="1040"/>
      <c r="G1097" s="1040"/>
      <c r="H1097" s="1040"/>
      <c r="I1097" s="1040"/>
      <c r="J1097" s="1040"/>
      <c r="K1097" s="1022"/>
      <c r="L1097" s="1022"/>
      <c r="M1097" s="1022"/>
      <c r="N1097" s="1022"/>
      <c r="O1097" s="1022"/>
      <c r="P1097" s="1022"/>
      <c r="Q1097" s="1022"/>
      <c r="R1097" s="1022"/>
      <c r="S1097" s="1022"/>
    </row>
    <row r="1098" spans="1:19" ht="15" customHeight="1">
      <c r="A1098" s="1040"/>
      <c r="B1098" s="1047" t="s">
        <v>1314</v>
      </c>
      <c r="C1098" s="936" t="e">
        <f>IF(C1088&lt;=10000,20,IF(C1088&lt;=300000,40,IF(C1088&lt;=500000,70,IF(C1088&lt;=1000000,150,350))))</f>
        <v>#REF!</v>
      </c>
      <c r="D1098" s="1040"/>
      <c r="E1098" s="1045"/>
      <c r="F1098" s="1040"/>
      <c r="G1098" s="1040"/>
      <c r="H1098" s="1040"/>
      <c r="I1098" s="1040"/>
      <c r="J1098" s="1040"/>
      <c r="K1098" s="1022"/>
      <c r="L1098" s="1022"/>
      <c r="M1098" s="1022"/>
      <c r="N1098" s="1022"/>
      <c r="O1098" s="1022"/>
      <c r="P1098" s="1022"/>
      <c r="Q1098" s="1022"/>
      <c r="R1098" s="1022"/>
      <c r="S1098" s="1022"/>
    </row>
    <row r="1099" spans="1:19" ht="15" customHeight="1">
      <c r="A1099" s="1040"/>
      <c r="B1099" s="1047" t="s">
        <v>1316</v>
      </c>
      <c r="C1099" s="1046">
        <v>18</v>
      </c>
      <c r="D1099" s="1040"/>
      <c r="E1099" s="1045"/>
      <c r="F1099" s="1040"/>
      <c r="G1099" s="1040"/>
      <c r="H1099" s="1040"/>
      <c r="I1099" s="1040"/>
      <c r="J1099" s="1040"/>
      <c r="K1099" s="1022"/>
      <c r="L1099" s="1022"/>
      <c r="M1099" s="1022"/>
      <c r="N1099" s="1022"/>
      <c r="O1099" s="1022"/>
      <c r="P1099" s="1022"/>
      <c r="Q1099" s="1022"/>
      <c r="R1099" s="1022"/>
      <c r="S1099" s="1022"/>
    </row>
    <row r="1100" spans="1:19" ht="15" customHeight="1" thickBot="1">
      <c r="A1100" s="1040"/>
      <c r="B1100" s="1044" t="s">
        <v>1317</v>
      </c>
      <c r="C1100" s="1043" t="e">
        <f>IF(C1088=0,0,SUM(C1097:C1099))</f>
        <v>#REF!</v>
      </c>
      <c r="D1100" s="1042"/>
      <c r="E1100" s="1041"/>
      <c r="F1100" s="1040"/>
      <c r="G1100" s="1040"/>
      <c r="H1100" s="1040"/>
      <c r="I1100" s="1040"/>
      <c r="J1100" s="1040"/>
      <c r="K1100" s="1022"/>
      <c r="L1100" s="1022"/>
      <c r="M1100" s="1022"/>
      <c r="N1100" s="1022"/>
      <c r="O1100" s="1022"/>
      <c r="P1100" s="1022"/>
      <c r="Q1100" s="1022"/>
      <c r="R1100" s="1022"/>
      <c r="S1100" s="1022"/>
    </row>
    <row r="1101" spans="1:19" ht="15" customHeight="1">
      <c r="A1101" s="1040"/>
      <c r="B1101" s="1057" t="s">
        <v>1308</v>
      </c>
      <c r="C1101" s="1056"/>
      <c r="D1101" s="1055"/>
      <c r="E1101" s="1054"/>
      <c r="F1101" s="1040"/>
      <c r="G1101" s="1040"/>
      <c r="H1101" s="1040"/>
      <c r="I1101" s="1040"/>
      <c r="J1101" s="1040"/>
      <c r="K1101" s="1022"/>
      <c r="L1101" s="1022"/>
      <c r="M1101" s="1022"/>
      <c r="N1101" s="1022"/>
      <c r="O1101" s="1022"/>
      <c r="P1101" s="1022"/>
      <c r="Q1101" s="1022"/>
      <c r="R1101" s="1022"/>
      <c r="S1101" s="1022"/>
    </row>
    <row r="1102" spans="1:19" ht="15" customHeight="1">
      <c r="A1102" s="1040"/>
      <c r="B1102" s="1053"/>
      <c r="C1102" s="1046"/>
      <c r="D1102" s="1040"/>
      <c r="E1102" s="1045"/>
      <c r="F1102" s="1040"/>
      <c r="G1102" s="1040"/>
      <c r="H1102" s="1040"/>
      <c r="I1102" s="1040"/>
      <c r="J1102" s="1040"/>
      <c r="K1102" s="1022"/>
      <c r="L1102" s="1022"/>
      <c r="M1102" s="1022"/>
      <c r="N1102" s="1022"/>
      <c r="O1102" s="1022"/>
      <c r="P1102" s="1022"/>
      <c r="Q1102" s="1022"/>
      <c r="R1102" s="1022"/>
      <c r="S1102" s="1022"/>
    </row>
    <row r="1103" spans="1:19" ht="15" customHeight="1">
      <c r="A1103" s="1040"/>
      <c r="B1103" s="1052" t="s">
        <v>1309</v>
      </c>
      <c r="C1103" s="1051" t="e">
        <f>#REF!*70%</f>
        <v>#REF!</v>
      </c>
      <c r="D1103" s="1050" t="s">
        <v>1310</v>
      </c>
      <c r="E1103" s="1045" t="s">
        <v>1311</v>
      </c>
      <c r="F1103" s="1040"/>
      <c r="G1103" s="1040"/>
      <c r="H1103" s="1040"/>
      <c r="I1103" s="1040"/>
      <c r="J1103" s="1040"/>
      <c r="K1103" s="1022"/>
      <c r="L1103" s="1022"/>
      <c r="M1103" s="1022"/>
      <c r="N1103" s="1022"/>
      <c r="O1103" s="1022"/>
      <c r="P1103" s="1022"/>
      <c r="Q1103" s="1022"/>
      <c r="R1103" s="1022"/>
      <c r="S1103" s="1022"/>
    </row>
    <row r="1104" spans="1:19" ht="15" customHeight="1">
      <c r="A1104" s="1040"/>
      <c r="B1104" s="1047">
        <v>50000</v>
      </c>
      <c r="C1104" s="1046">
        <v>210</v>
      </c>
      <c r="D1104" s="1049"/>
      <c r="E1104" s="1048" t="e">
        <f>C1103-B1104</f>
        <v>#REF!</v>
      </c>
      <c r="F1104" s="1040"/>
      <c r="G1104" s="1040"/>
      <c r="H1104" s="1040"/>
      <c r="I1104" s="1040"/>
      <c r="J1104" s="1040"/>
      <c r="K1104" s="1022"/>
      <c r="L1104" s="1022"/>
      <c r="M1104" s="1022"/>
      <c r="N1104" s="1022"/>
      <c r="O1104" s="1022"/>
      <c r="P1104" s="1022"/>
      <c r="Q1104" s="1022"/>
      <c r="R1104" s="1022"/>
      <c r="S1104" s="1022"/>
    </row>
    <row r="1105" spans="1:19" ht="15" customHeight="1">
      <c r="A1105" s="1040"/>
      <c r="B1105" s="1047">
        <v>100000</v>
      </c>
      <c r="C1105" s="1046" t="e">
        <f>IF(E1104&lt;0,0,IF(D1105&lt;E1104,D1105*10/10000,E1104*10/10000))</f>
        <v>#REF!</v>
      </c>
      <c r="D1105" s="1046">
        <f t="shared" ref="D1105:D1110" si="120">B1105-B1104</f>
        <v>50000</v>
      </c>
      <c r="E1105" s="1048" t="e">
        <f t="shared" ref="E1105:E1110" si="121">E1104-B1105</f>
        <v>#REF!</v>
      </c>
      <c r="F1105" s="1040"/>
      <c r="G1105" s="1040"/>
      <c r="H1105" s="1040"/>
      <c r="I1105" s="1040"/>
      <c r="J1105" s="1040"/>
      <c r="K1105" s="1022"/>
      <c r="L1105" s="1022"/>
      <c r="M1105" s="1022"/>
      <c r="N1105" s="1022"/>
      <c r="O1105" s="1022"/>
      <c r="P1105" s="1022"/>
      <c r="Q1105" s="1022"/>
      <c r="R1105" s="1022"/>
      <c r="S1105" s="1022"/>
    </row>
    <row r="1106" spans="1:19" ht="15" customHeight="1">
      <c r="A1106" s="1040"/>
      <c r="B1106" s="1047">
        <v>300000</v>
      </c>
      <c r="C1106" s="1046" t="e">
        <f>IF(E1105&lt;0,0,IF(D1106&lt;E1105,D1106*9/10000,E1105*9/10000))</f>
        <v>#REF!</v>
      </c>
      <c r="D1106" s="1046">
        <f t="shared" si="120"/>
        <v>200000</v>
      </c>
      <c r="E1106" s="1048" t="e">
        <f t="shared" si="121"/>
        <v>#REF!</v>
      </c>
      <c r="F1106" s="1040"/>
      <c r="G1106" s="1040"/>
      <c r="H1106" s="1040"/>
      <c r="I1106" s="1040"/>
      <c r="J1106" s="1040"/>
      <c r="K1106" s="1022"/>
      <c r="L1106" s="1022"/>
      <c r="M1106" s="1022"/>
      <c r="N1106" s="1022"/>
      <c r="O1106" s="1022"/>
      <c r="P1106" s="1022"/>
      <c r="Q1106" s="1022"/>
      <c r="R1106" s="1022"/>
      <c r="S1106" s="1022"/>
    </row>
    <row r="1107" spans="1:19" ht="15" customHeight="1">
      <c r="A1107" s="1040"/>
      <c r="B1107" s="1047">
        <v>500000</v>
      </c>
      <c r="C1107" s="1046" t="e">
        <f>IF(E1106&lt;0,0,IF(D1107&lt;E1106,D1107*8/10000,E1106*8/10000))</f>
        <v>#REF!</v>
      </c>
      <c r="D1107" s="1046">
        <f t="shared" si="120"/>
        <v>200000</v>
      </c>
      <c r="E1107" s="1048" t="e">
        <f t="shared" si="121"/>
        <v>#REF!</v>
      </c>
      <c r="F1107" s="1040"/>
      <c r="G1107" s="1040"/>
      <c r="H1107" s="1040"/>
      <c r="I1107" s="1040"/>
      <c r="J1107" s="1040"/>
      <c r="K1107" s="1022"/>
      <c r="L1107" s="1022"/>
      <c r="M1107" s="1022"/>
      <c r="N1107" s="1022"/>
      <c r="O1107" s="1022"/>
      <c r="P1107" s="1022"/>
      <c r="Q1107" s="1022"/>
      <c r="R1107" s="1022"/>
      <c r="S1107" s="1022"/>
    </row>
    <row r="1108" spans="1:19" ht="15" customHeight="1">
      <c r="A1108" s="1040"/>
      <c r="B1108" s="1047">
        <v>1000000</v>
      </c>
      <c r="C1108" s="1046" t="e">
        <f>IF(E1107&lt;0,0,IF(D1108&lt;E1107,D1108*7/10000,E1107*7/10000))</f>
        <v>#REF!</v>
      </c>
      <c r="D1108" s="1046">
        <f t="shared" si="120"/>
        <v>500000</v>
      </c>
      <c r="E1108" s="1048" t="e">
        <f t="shared" si="121"/>
        <v>#REF!</v>
      </c>
      <c r="F1108" s="1040"/>
      <c r="G1108" s="1040"/>
      <c r="H1108" s="1040"/>
      <c r="I1108" s="1040"/>
      <c r="J1108" s="1040"/>
      <c r="K1108" s="1022"/>
      <c r="L1108" s="1022"/>
      <c r="M1108" s="1022"/>
      <c r="N1108" s="1022"/>
      <c r="O1108" s="1022"/>
      <c r="P1108" s="1022"/>
      <c r="Q1108" s="1022"/>
      <c r="R1108" s="1022"/>
      <c r="S1108" s="1022"/>
    </row>
    <row r="1109" spans="1:19" ht="15" customHeight="1">
      <c r="A1109" s="1040"/>
      <c r="B1109" s="1047">
        <v>2000000</v>
      </c>
      <c r="C1109" s="1046" t="e">
        <f>IF(E1108&lt;0,0,IF(D1109&lt;E1108,D1109*5/10000,E1108*5/10000))</f>
        <v>#REF!</v>
      </c>
      <c r="D1109" s="1046">
        <f t="shared" si="120"/>
        <v>1000000</v>
      </c>
      <c r="E1109" s="1048" t="e">
        <f t="shared" si="121"/>
        <v>#REF!</v>
      </c>
      <c r="F1109" s="1040"/>
      <c r="G1109" s="1040"/>
      <c r="H1109" s="1040"/>
      <c r="I1109" s="1040"/>
      <c r="J1109" s="1040"/>
      <c r="K1109" s="1022"/>
      <c r="L1109" s="1022"/>
      <c r="M1109" s="1022"/>
      <c r="N1109" s="1022"/>
      <c r="O1109" s="1022"/>
      <c r="P1109" s="1022"/>
      <c r="Q1109" s="1022"/>
      <c r="R1109" s="1022"/>
      <c r="S1109" s="1022"/>
    </row>
    <row r="1110" spans="1:19" ht="15" customHeight="1">
      <c r="A1110" s="1040"/>
      <c r="B1110" s="1047">
        <v>20000000</v>
      </c>
      <c r="C1110" s="1046" t="e">
        <f>IF(E1109&lt;0,0,IF(D1110&lt;E1109,D1110*4/10000,E1109*4/10000))</f>
        <v>#REF!</v>
      </c>
      <c r="D1110" s="1046">
        <f t="shared" si="120"/>
        <v>18000000</v>
      </c>
      <c r="E1110" s="1048" t="e">
        <f t="shared" si="121"/>
        <v>#REF!</v>
      </c>
      <c r="F1110" s="1040"/>
      <c r="G1110" s="1040"/>
      <c r="H1110" s="1040"/>
      <c r="I1110" s="1040"/>
      <c r="J1110" s="1040"/>
      <c r="K1110" s="1022"/>
      <c r="L1110" s="1022"/>
      <c r="M1110" s="1022"/>
      <c r="N1110" s="1022"/>
      <c r="O1110" s="1022"/>
      <c r="P1110" s="1022"/>
      <c r="Q1110" s="1022"/>
      <c r="R1110" s="1022"/>
      <c r="S1110" s="1022"/>
    </row>
    <row r="1111" spans="1:19" ht="15" customHeight="1">
      <c r="A1111" s="1040"/>
      <c r="B1111" s="1047" t="s">
        <v>1312</v>
      </c>
      <c r="C1111" s="1046"/>
      <c r="D1111" s="1046"/>
      <c r="E1111" s="1048"/>
      <c r="F1111" s="1040"/>
      <c r="G1111" s="1040"/>
      <c r="H1111" s="1040"/>
      <c r="I1111" s="1040"/>
      <c r="J1111" s="1040"/>
      <c r="K1111" s="1022"/>
      <c r="L1111" s="1022"/>
      <c r="M1111" s="1022"/>
      <c r="N1111" s="1022"/>
      <c r="O1111" s="1022"/>
      <c r="P1111" s="1022"/>
      <c r="Q1111" s="1022"/>
      <c r="R1111" s="1022"/>
      <c r="S1111" s="1022"/>
    </row>
    <row r="1112" spans="1:19" ht="15" customHeight="1">
      <c r="A1112" s="1040"/>
      <c r="B1112" s="1047" t="s">
        <v>1313</v>
      </c>
      <c r="C1112" s="1046" t="e">
        <f>ROUND(IF(C1103&gt;20000000,8650+(C1103-20000000)/10000,SUM(C1104:C1110)),0)</f>
        <v>#REF!</v>
      </c>
      <c r="D1112" s="1040"/>
      <c r="E1112" s="1045"/>
      <c r="F1112" s="1040"/>
      <c r="G1112" s="1040"/>
      <c r="H1112" s="1040"/>
      <c r="I1112" s="1040"/>
      <c r="J1112" s="1040"/>
      <c r="K1112" s="1022"/>
      <c r="L1112" s="1022"/>
      <c r="M1112" s="1022"/>
      <c r="N1112" s="1022"/>
      <c r="O1112" s="1022"/>
      <c r="P1112" s="1022"/>
      <c r="Q1112" s="1022"/>
      <c r="R1112" s="1022"/>
      <c r="S1112" s="1022"/>
    </row>
    <row r="1113" spans="1:19" ht="15" customHeight="1">
      <c r="A1113" s="1040"/>
      <c r="B1113" s="1047" t="s">
        <v>1314</v>
      </c>
      <c r="C1113" s="936" t="e">
        <f>IF(C1103&lt;=10000,20,IF(C1103&lt;=300000,40,IF(C1103&lt;=500000,70,IF(C1103&lt;=1000000,150,350))))</f>
        <v>#REF!</v>
      </c>
      <c r="D1113" s="1040"/>
      <c r="E1113" s="1045"/>
      <c r="F1113" s="1040"/>
      <c r="G1113" s="1040"/>
      <c r="H1113" s="1040"/>
      <c r="I1113" s="1040"/>
      <c r="J1113" s="1040"/>
      <c r="K1113" s="1022"/>
      <c r="L1113" s="1022"/>
      <c r="M1113" s="1022"/>
      <c r="N1113" s="1022"/>
      <c r="O1113" s="1022"/>
      <c r="P1113" s="1022"/>
      <c r="Q1113" s="1022"/>
      <c r="R1113" s="1022"/>
      <c r="S1113" s="1022"/>
    </row>
    <row r="1114" spans="1:19" ht="15" customHeight="1">
      <c r="A1114" s="1040"/>
      <c r="B1114" s="1047" t="s">
        <v>1316</v>
      </c>
      <c r="C1114" s="1046">
        <v>18</v>
      </c>
      <c r="D1114" s="1040"/>
      <c r="E1114" s="1045"/>
      <c r="F1114" s="1040"/>
      <c r="G1114" s="1040"/>
      <c r="H1114" s="1040"/>
      <c r="I1114" s="1040"/>
      <c r="J1114" s="1040"/>
      <c r="K1114" s="1022"/>
      <c r="L1114" s="1022"/>
      <c r="M1114" s="1022"/>
      <c r="N1114" s="1022"/>
      <c r="O1114" s="1022"/>
      <c r="P1114" s="1022"/>
      <c r="Q1114" s="1022"/>
      <c r="R1114" s="1022"/>
      <c r="S1114" s="1022"/>
    </row>
    <row r="1115" spans="1:19" ht="15" customHeight="1" thickBot="1">
      <c r="A1115" s="1040"/>
      <c r="B1115" s="1044" t="s">
        <v>1317</v>
      </c>
      <c r="C1115" s="1043" t="e">
        <f>IF(C1103=0,0,SUM(C1112:C1114))</f>
        <v>#REF!</v>
      </c>
      <c r="D1115" s="1042"/>
      <c r="E1115" s="1041"/>
      <c r="F1115" s="1040"/>
      <c r="G1115" s="1040"/>
      <c r="H1115" s="1040"/>
      <c r="I1115" s="1040"/>
      <c r="J1115" s="1040"/>
      <c r="K1115" s="1022"/>
      <c r="L1115" s="1022"/>
      <c r="M1115" s="1022"/>
      <c r="N1115" s="1022"/>
      <c r="O1115" s="1022"/>
      <c r="P1115" s="1022"/>
      <c r="Q1115" s="1022"/>
      <c r="R1115" s="1022"/>
      <c r="S1115" s="1022"/>
    </row>
    <row r="1116" spans="1:19" ht="15" customHeight="1">
      <c r="A1116" s="1040"/>
      <c r="B1116" s="1057" t="s">
        <v>1308</v>
      </c>
      <c r="C1116" s="1056"/>
      <c r="D1116" s="1055"/>
      <c r="E1116" s="1054"/>
      <c r="F1116" s="1040"/>
      <c r="G1116" s="1040"/>
      <c r="H1116" s="1040"/>
      <c r="I1116" s="1040"/>
      <c r="J1116" s="1040"/>
      <c r="K1116" s="1022"/>
      <c r="L1116" s="1022"/>
      <c r="M1116" s="1022"/>
      <c r="N1116" s="1022"/>
      <c r="O1116" s="1022"/>
      <c r="P1116" s="1022"/>
      <c r="Q1116" s="1022"/>
      <c r="R1116" s="1022"/>
      <c r="S1116" s="1022"/>
    </row>
    <row r="1117" spans="1:19" ht="15" customHeight="1">
      <c r="A1117" s="1040"/>
      <c r="B1117" s="1053"/>
      <c r="C1117" s="1046"/>
      <c r="D1117" s="1040"/>
      <c r="E1117" s="1045"/>
      <c r="F1117" s="1040"/>
      <c r="G1117" s="1040"/>
      <c r="H1117" s="1040"/>
      <c r="I1117" s="1040"/>
      <c r="J1117" s="1040"/>
      <c r="K1117" s="1022"/>
      <c r="L1117" s="1022"/>
      <c r="M1117" s="1022"/>
      <c r="N1117" s="1022"/>
      <c r="O1117" s="1022"/>
      <c r="P1117" s="1022"/>
      <c r="Q1117" s="1022"/>
      <c r="R1117" s="1022"/>
      <c r="S1117" s="1022"/>
    </row>
    <row r="1118" spans="1:19" ht="15" customHeight="1">
      <c r="A1118" s="1040"/>
      <c r="B1118" s="1052" t="s">
        <v>1309</v>
      </c>
      <c r="C1118" s="1051" t="e">
        <f>#REF!*70%</f>
        <v>#REF!</v>
      </c>
      <c r="D1118" s="1050" t="s">
        <v>1310</v>
      </c>
      <c r="E1118" s="1045" t="s">
        <v>1311</v>
      </c>
      <c r="F1118" s="1040"/>
      <c r="G1118" s="1040"/>
      <c r="H1118" s="1040"/>
      <c r="I1118" s="1040"/>
      <c r="J1118" s="1040"/>
      <c r="K1118" s="1022"/>
      <c r="L1118" s="1022"/>
      <c r="M1118" s="1022"/>
      <c r="N1118" s="1022"/>
      <c r="O1118" s="1022"/>
      <c r="P1118" s="1022"/>
      <c r="Q1118" s="1022"/>
      <c r="R1118" s="1022"/>
      <c r="S1118" s="1022"/>
    </row>
    <row r="1119" spans="1:19" ht="15" customHeight="1">
      <c r="A1119" s="1040"/>
      <c r="B1119" s="1047">
        <v>50000</v>
      </c>
      <c r="C1119" s="1046">
        <v>210</v>
      </c>
      <c r="D1119" s="1049"/>
      <c r="E1119" s="1048" t="e">
        <f>C1118-B1119</f>
        <v>#REF!</v>
      </c>
      <c r="F1119" s="1040"/>
      <c r="G1119" s="1040"/>
      <c r="H1119" s="1040"/>
      <c r="I1119" s="1040"/>
      <c r="J1119" s="1040"/>
      <c r="K1119" s="1022"/>
      <c r="L1119" s="1022"/>
      <c r="M1119" s="1022"/>
      <c r="N1119" s="1022"/>
      <c r="O1119" s="1022"/>
      <c r="P1119" s="1022"/>
      <c r="Q1119" s="1022"/>
      <c r="R1119" s="1022"/>
      <c r="S1119" s="1022"/>
    </row>
    <row r="1120" spans="1:19" ht="15" customHeight="1">
      <c r="A1120" s="1040"/>
      <c r="B1120" s="1047">
        <v>100000</v>
      </c>
      <c r="C1120" s="1046" t="e">
        <f>IF(E1119&lt;0,0,IF(D1120&lt;E1119,D1120*10/10000,E1119*10/10000))</f>
        <v>#REF!</v>
      </c>
      <c r="D1120" s="1046">
        <f t="shared" ref="D1120:D1125" si="122">B1120-B1119</f>
        <v>50000</v>
      </c>
      <c r="E1120" s="1048" t="e">
        <f t="shared" ref="E1120:E1125" si="123">E1119-B1120</f>
        <v>#REF!</v>
      </c>
      <c r="F1120" s="1040"/>
      <c r="G1120" s="1040"/>
      <c r="H1120" s="1040"/>
      <c r="I1120" s="1040"/>
      <c r="J1120" s="1040"/>
      <c r="K1120" s="1022"/>
      <c r="L1120" s="1022"/>
      <c r="M1120" s="1022"/>
      <c r="N1120" s="1022"/>
      <c r="O1120" s="1022"/>
      <c r="P1120" s="1022"/>
      <c r="Q1120" s="1022"/>
      <c r="R1120" s="1022"/>
      <c r="S1120" s="1022"/>
    </row>
    <row r="1121" spans="1:19" ht="15" customHeight="1">
      <c r="A1121" s="1040"/>
      <c r="B1121" s="1047">
        <v>300000</v>
      </c>
      <c r="C1121" s="1046" t="e">
        <f>IF(E1120&lt;0,0,IF(D1121&lt;E1120,D1121*9/10000,E1120*9/10000))</f>
        <v>#REF!</v>
      </c>
      <c r="D1121" s="1046">
        <f t="shared" si="122"/>
        <v>200000</v>
      </c>
      <c r="E1121" s="1048" t="e">
        <f t="shared" si="123"/>
        <v>#REF!</v>
      </c>
      <c r="F1121" s="1040"/>
      <c r="G1121" s="1040"/>
      <c r="H1121" s="1040"/>
      <c r="I1121" s="1040"/>
      <c r="J1121" s="1040"/>
      <c r="K1121" s="1022"/>
      <c r="L1121" s="1022"/>
      <c r="M1121" s="1022"/>
      <c r="N1121" s="1022"/>
      <c r="O1121" s="1022"/>
      <c r="P1121" s="1022"/>
      <c r="Q1121" s="1022"/>
      <c r="R1121" s="1022"/>
      <c r="S1121" s="1022"/>
    </row>
    <row r="1122" spans="1:19" ht="15" customHeight="1">
      <c r="A1122" s="1040"/>
      <c r="B1122" s="1047">
        <v>500000</v>
      </c>
      <c r="C1122" s="1046" t="e">
        <f>IF(E1121&lt;0,0,IF(D1122&lt;E1121,D1122*8/10000,E1121*8/10000))</f>
        <v>#REF!</v>
      </c>
      <c r="D1122" s="1046">
        <f t="shared" si="122"/>
        <v>200000</v>
      </c>
      <c r="E1122" s="1048" t="e">
        <f t="shared" si="123"/>
        <v>#REF!</v>
      </c>
      <c r="F1122" s="1040"/>
      <c r="G1122" s="1040"/>
      <c r="H1122" s="1040"/>
      <c r="I1122" s="1040"/>
      <c r="J1122" s="1040"/>
      <c r="K1122" s="1022"/>
      <c r="L1122" s="1022"/>
      <c r="M1122" s="1022"/>
      <c r="N1122" s="1022"/>
      <c r="O1122" s="1022"/>
      <c r="P1122" s="1022"/>
      <c r="Q1122" s="1022"/>
      <c r="R1122" s="1022"/>
      <c r="S1122" s="1022"/>
    </row>
    <row r="1123" spans="1:19" ht="15" customHeight="1">
      <c r="A1123" s="1040"/>
      <c r="B1123" s="1047">
        <v>1000000</v>
      </c>
      <c r="C1123" s="1046" t="e">
        <f>IF(E1122&lt;0,0,IF(D1123&lt;E1122,D1123*7/10000,E1122*7/10000))</f>
        <v>#REF!</v>
      </c>
      <c r="D1123" s="1046">
        <f t="shared" si="122"/>
        <v>500000</v>
      </c>
      <c r="E1123" s="1048" t="e">
        <f t="shared" si="123"/>
        <v>#REF!</v>
      </c>
      <c r="F1123" s="1040"/>
      <c r="G1123" s="1040"/>
      <c r="H1123" s="1040"/>
      <c r="I1123" s="1040"/>
      <c r="J1123" s="1040"/>
      <c r="K1123" s="1022"/>
      <c r="L1123" s="1022"/>
      <c r="M1123" s="1022"/>
      <c r="N1123" s="1022"/>
      <c r="O1123" s="1022"/>
      <c r="P1123" s="1022"/>
      <c r="Q1123" s="1022"/>
      <c r="R1123" s="1022"/>
      <c r="S1123" s="1022"/>
    </row>
    <row r="1124" spans="1:19" ht="15" customHeight="1">
      <c r="A1124" s="1040"/>
      <c r="B1124" s="1047">
        <v>2000000</v>
      </c>
      <c r="C1124" s="1046" t="e">
        <f>IF(E1123&lt;0,0,IF(D1124&lt;E1123,D1124*5/10000,E1123*5/10000))</f>
        <v>#REF!</v>
      </c>
      <c r="D1124" s="1046">
        <f t="shared" si="122"/>
        <v>1000000</v>
      </c>
      <c r="E1124" s="1048" t="e">
        <f t="shared" si="123"/>
        <v>#REF!</v>
      </c>
      <c r="F1124" s="1040"/>
      <c r="G1124" s="1040"/>
      <c r="H1124" s="1040"/>
      <c r="I1124" s="1040"/>
      <c r="J1124" s="1040"/>
      <c r="K1124" s="1022"/>
      <c r="L1124" s="1022"/>
      <c r="M1124" s="1022"/>
      <c r="N1124" s="1022"/>
      <c r="O1124" s="1022"/>
      <c r="P1124" s="1022"/>
      <c r="Q1124" s="1022"/>
      <c r="R1124" s="1022"/>
      <c r="S1124" s="1022"/>
    </row>
    <row r="1125" spans="1:19" ht="15" customHeight="1">
      <c r="A1125" s="1040"/>
      <c r="B1125" s="1047">
        <v>20000000</v>
      </c>
      <c r="C1125" s="1046" t="e">
        <f>IF(E1124&lt;0,0,IF(D1125&lt;E1124,D1125*4/10000,E1124*4/10000))</f>
        <v>#REF!</v>
      </c>
      <c r="D1125" s="1046">
        <f t="shared" si="122"/>
        <v>18000000</v>
      </c>
      <c r="E1125" s="1048" t="e">
        <f t="shared" si="123"/>
        <v>#REF!</v>
      </c>
      <c r="F1125" s="1040"/>
      <c r="G1125" s="1040"/>
      <c r="H1125" s="1040"/>
      <c r="I1125" s="1040"/>
      <c r="J1125" s="1040"/>
      <c r="K1125" s="1022"/>
      <c r="L1125" s="1022"/>
      <c r="M1125" s="1022"/>
      <c r="N1125" s="1022"/>
      <c r="O1125" s="1022"/>
      <c r="P1125" s="1022"/>
      <c r="Q1125" s="1022"/>
      <c r="R1125" s="1022"/>
      <c r="S1125" s="1022"/>
    </row>
    <row r="1126" spans="1:19" ht="15" customHeight="1">
      <c r="A1126" s="1040"/>
      <c r="B1126" s="1047" t="s">
        <v>1312</v>
      </c>
      <c r="C1126" s="1046"/>
      <c r="D1126" s="1046"/>
      <c r="E1126" s="1048"/>
      <c r="F1126" s="1040"/>
      <c r="G1126" s="1040"/>
      <c r="H1126" s="1040"/>
      <c r="I1126" s="1040"/>
      <c r="J1126" s="1040"/>
      <c r="K1126" s="1022"/>
      <c r="L1126" s="1022"/>
      <c r="M1126" s="1022"/>
      <c r="N1126" s="1022"/>
      <c r="O1126" s="1022"/>
      <c r="P1126" s="1022"/>
      <c r="Q1126" s="1022"/>
      <c r="R1126" s="1022"/>
      <c r="S1126" s="1022"/>
    </row>
    <row r="1127" spans="1:19" ht="15" customHeight="1">
      <c r="A1127" s="1040"/>
      <c r="B1127" s="1047" t="s">
        <v>1313</v>
      </c>
      <c r="C1127" s="1046" t="e">
        <f>ROUND(IF(C1118&gt;20000000,8650+(C1118-20000000)/10000,SUM(C1119:C1125)),0)</f>
        <v>#REF!</v>
      </c>
      <c r="D1127" s="1040"/>
      <c r="E1127" s="1045"/>
      <c r="F1127" s="1040"/>
      <c r="G1127" s="1040"/>
      <c r="H1127" s="1040"/>
      <c r="I1127" s="1040"/>
      <c r="J1127" s="1040"/>
      <c r="K1127" s="1022"/>
      <c r="L1127" s="1022"/>
      <c r="M1127" s="1022"/>
      <c r="N1127" s="1022"/>
      <c r="O1127" s="1022"/>
      <c r="P1127" s="1022"/>
      <c r="Q1127" s="1022"/>
      <c r="R1127" s="1022"/>
      <c r="S1127" s="1022"/>
    </row>
    <row r="1128" spans="1:19" ht="15" customHeight="1">
      <c r="A1128" s="1040"/>
      <c r="B1128" s="1047" t="s">
        <v>1314</v>
      </c>
      <c r="C1128" s="936" t="e">
        <f>IF(C1118&lt;=10000,20,IF(C1118&lt;=300000,40,IF(C1118&lt;=500000,70,IF(C1118&lt;=1000000,150,350))))</f>
        <v>#REF!</v>
      </c>
      <c r="D1128" s="1040"/>
      <c r="E1128" s="1045"/>
      <c r="F1128" s="1040"/>
      <c r="G1128" s="1040"/>
      <c r="H1128" s="1040"/>
      <c r="I1128" s="1040"/>
      <c r="J1128" s="1040"/>
      <c r="K1128" s="1022"/>
      <c r="L1128" s="1022"/>
      <c r="M1128" s="1022"/>
      <c r="N1128" s="1022"/>
      <c r="O1128" s="1022"/>
      <c r="P1128" s="1022"/>
      <c r="Q1128" s="1022"/>
      <c r="R1128" s="1022"/>
      <c r="S1128" s="1022"/>
    </row>
    <row r="1129" spans="1:19" ht="15" customHeight="1">
      <c r="A1129" s="1040"/>
      <c r="B1129" s="1047" t="s">
        <v>1316</v>
      </c>
      <c r="C1129" s="1046">
        <v>18</v>
      </c>
      <c r="D1129" s="1040"/>
      <c r="E1129" s="1045"/>
      <c r="F1129" s="1040"/>
      <c r="G1129" s="1040"/>
      <c r="H1129" s="1040"/>
      <c r="I1129" s="1040"/>
      <c r="J1129" s="1040"/>
      <c r="K1129" s="1022"/>
      <c r="L1129" s="1022"/>
      <c r="M1129" s="1022"/>
      <c r="N1129" s="1022"/>
      <c r="O1129" s="1022"/>
      <c r="P1129" s="1022"/>
      <c r="Q1129" s="1022"/>
      <c r="R1129" s="1022"/>
      <c r="S1129" s="1022"/>
    </row>
    <row r="1130" spans="1:19" ht="15" customHeight="1" thickBot="1">
      <c r="A1130" s="1040"/>
      <c r="B1130" s="1044" t="s">
        <v>1317</v>
      </c>
      <c r="C1130" s="1043" t="e">
        <f>IF(C1118=0,0,SUM(C1127:C1129))</f>
        <v>#REF!</v>
      </c>
      <c r="D1130" s="1042"/>
      <c r="E1130" s="1041"/>
      <c r="F1130" s="1040"/>
      <c r="G1130" s="1040"/>
      <c r="H1130" s="1040"/>
      <c r="I1130" s="1040"/>
      <c r="J1130" s="1040"/>
      <c r="K1130" s="1022"/>
      <c r="L1130" s="1022"/>
      <c r="M1130" s="1022"/>
      <c r="N1130" s="1022"/>
      <c r="O1130" s="1022"/>
      <c r="P1130" s="1022"/>
      <c r="Q1130" s="1022"/>
      <c r="R1130" s="1022"/>
      <c r="S1130" s="1022"/>
    </row>
    <row r="1131" spans="1:19" ht="15" customHeight="1">
      <c r="A1131" s="1040"/>
      <c r="B1131" s="1057" t="s">
        <v>1308</v>
      </c>
      <c r="C1131" s="1056"/>
      <c r="D1131" s="1055"/>
      <c r="E1131" s="1054"/>
      <c r="F1131" s="1040"/>
      <c r="G1131" s="1040"/>
      <c r="H1131" s="1040"/>
      <c r="I1131" s="1040"/>
      <c r="J1131" s="1040"/>
      <c r="K1131" s="1022"/>
      <c r="L1131" s="1022"/>
      <c r="M1131" s="1022"/>
      <c r="N1131" s="1022"/>
      <c r="O1131" s="1022"/>
      <c r="P1131" s="1022"/>
      <c r="Q1131" s="1022"/>
      <c r="R1131" s="1022"/>
      <c r="S1131" s="1022"/>
    </row>
    <row r="1132" spans="1:19" ht="15" customHeight="1">
      <c r="A1132" s="1040"/>
      <c r="B1132" s="1053"/>
      <c r="C1132" s="1046"/>
      <c r="D1132" s="1040"/>
      <c r="E1132" s="1045"/>
      <c r="F1132" s="1040"/>
      <c r="G1132" s="1040"/>
      <c r="H1132" s="1040"/>
      <c r="I1132" s="1040"/>
      <c r="J1132" s="1040"/>
      <c r="K1132" s="1022"/>
      <c r="L1132" s="1022"/>
      <c r="M1132" s="1022"/>
      <c r="N1132" s="1022"/>
      <c r="O1132" s="1022"/>
      <c r="P1132" s="1022"/>
      <c r="Q1132" s="1022"/>
      <c r="R1132" s="1022"/>
      <c r="S1132" s="1022"/>
    </row>
    <row r="1133" spans="1:19" ht="15" customHeight="1">
      <c r="A1133" s="1040"/>
      <c r="B1133" s="1052" t="s">
        <v>1309</v>
      </c>
      <c r="C1133" s="1051" t="e">
        <f>#REF!*70%</f>
        <v>#REF!</v>
      </c>
      <c r="D1133" s="1050" t="s">
        <v>1310</v>
      </c>
      <c r="E1133" s="1045" t="s">
        <v>1311</v>
      </c>
      <c r="F1133" s="1040"/>
      <c r="G1133" s="1040"/>
      <c r="H1133" s="1040"/>
      <c r="I1133" s="1040"/>
      <c r="J1133" s="1040"/>
      <c r="K1133" s="1022"/>
      <c r="L1133" s="1022"/>
      <c r="M1133" s="1022"/>
      <c r="N1133" s="1022"/>
      <c r="O1133" s="1022"/>
      <c r="P1133" s="1022"/>
      <c r="Q1133" s="1022"/>
      <c r="R1133" s="1022"/>
      <c r="S1133" s="1022"/>
    </row>
    <row r="1134" spans="1:19" ht="15" customHeight="1">
      <c r="A1134" s="1040"/>
      <c r="B1134" s="1047">
        <v>50000</v>
      </c>
      <c r="C1134" s="1046">
        <v>210</v>
      </c>
      <c r="D1134" s="1049"/>
      <c r="E1134" s="1048" t="e">
        <f>C1133-B1134</f>
        <v>#REF!</v>
      </c>
      <c r="F1134" s="1040"/>
      <c r="G1134" s="1040"/>
      <c r="H1134" s="1040"/>
      <c r="I1134" s="1040"/>
      <c r="J1134" s="1040"/>
      <c r="K1134" s="1022"/>
      <c r="L1134" s="1022"/>
      <c r="M1134" s="1022"/>
      <c r="N1134" s="1022"/>
      <c r="O1134" s="1022"/>
      <c r="P1134" s="1022"/>
      <c r="Q1134" s="1022"/>
      <c r="R1134" s="1022"/>
      <c r="S1134" s="1022"/>
    </row>
    <row r="1135" spans="1:19" ht="15" customHeight="1">
      <c r="A1135" s="1040"/>
      <c r="B1135" s="1047">
        <v>100000</v>
      </c>
      <c r="C1135" s="1046" t="e">
        <f>IF(E1134&lt;0,0,IF(D1135&lt;E1134,D1135*10/10000,E1134*10/10000))</f>
        <v>#REF!</v>
      </c>
      <c r="D1135" s="1046">
        <f t="shared" ref="D1135:D1140" si="124">B1135-B1134</f>
        <v>50000</v>
      </c>
      <c r="E1135" s="1048" t="e">
        <f t="shared" ref="E1135:E1140" si="125">E1134-B1135</f>
        <v>#REF!</v>
      </c>
      <c r="F1135" s="1040"/>
      <c r="G1135" s="1040"/>
      <c r="H1135" s="1040"/>
      <c r="I1135" s="1040"/>
      <c r="J1135" s="1040"/>
      <c r="K1135" s="1022"/>
      <c r="L1135" s="1022"/>
      <c r="M1135" s="1022"/>
      <c r="N1135" s="1022"/>
      <c r="O1135" s="1022"/>
      <c r="P1135" s="1022"/>
      <c r="Q1135" s="1022"/>
      <c r="R1135" s="1022"/>
      <c r="S1135" s="1022"/>
    </row>
    <row r="1136" spans="1:19" ht="15" customHeight="1">
      <c r="A1136" s="1040"/>
      <c r="B1136" s="1047">
        <v>300000</v>
      </c>
      <c r="C1136" s="1046" t="e">
        <f>IF(E1135&lt;0,0,IF(D1136&lt;E1135,D1136*9/10000,E1135*9/10000))</f>
        <v>#REF!</v>
      </c>
      <c r="D1136" s="1046">
        <f t="shared" si="124"/>
        <v>200000</v>
      </c>
      <c r="E1136" s="1048" t="e">
        <f t="shared" si="125"/>
        <v>#REF!</v>
      </c>
      <c r="F1136" s="1040"/>
      <c r="G1136" s="1040"/>
      <c r="H1136" s="1040"/>
      <c r="I1136" s="1040"/>
      <c r="J1136" s="1040"/>
      <c r="K1136" s="1022"/>
      <c r="L1136" s="1022"/>
      <c r="M1136" s="1022"/>
      <c r="N1136" s="1022"/>
      <c r="O1136" s="1022"/>
      <c r="P1136" s="1022"/>
      <c r="Q1136" s="1022"/>
      <c r="R1136" s="1022"/>
      <c r="S1136" s="1022"/>
    </row>
    <row r="1137" spans="1:19" ht="15" customHeight="1">
      <c r="A1137" s="1040"/>
      <c r="B1137" s="1047">
        <v>500000</v>
      </c>
      <c r="C1137" s="1046" t="e">
        <f>IF(E1136&lt;0,0,IF(D1137&lt;E1136,D1137*8/10000,E1136*8/10000))</f>
        <v>#REF!</v>
      </c>
      <c r="D1137" s="1046">
        <f t="shared" si="124"/>
        <v>200000</v>
      </c>
      <c r="E1137" s="1048" t="e">
        <f t="shared" si="125"/>
        <v>#REF!</v>
      </c>
      <c r="F1137" s="1040"/>
      <c r="G1137" s="1040"/>
      <c r="H1137" s="1040"/>
      <c r="I1137" s="1040"/>
      <c r="J1137" s="1040"/>
      <c r="K1137" s="1022"/>
      <c r="L1137" s="1022"/>
      <c r="M1137" s="1022"/>
      <c r="N1137" s="1022"/>
      <c r="O1137" s="1022"/>
      <c r="P1137" s="1022"/>
      <c r="Q1137" s="1022"/>
      <c r="R1137" s="1022"/>
      <c r="S1137" s="1022"/>
    </row>
    <row r="1138" spans="1:19" ht="15" customHeight="1">
      <c r="A1138" s="1040"/>
      <c r="B1138" s="1047">
        <v>1000000</v>
      </c>
      <c r="C1138" s="1046" t="e">
        <f>IF(E1137&lt;0,0,IF(D1138&lt;E1137,D1138*7/10000,E1137*7/10000))</f>
        <v>#REF!</v>
      </c>
      <c r="D1138" s="1046">
        <f t="shared" si="124"/>
        <v>500000</v>
      </c>
      <c r="E1138" s="1048" t="e">
        <f t="shared" si="125"/>
        <v>#REF!</v>
      </c>
      <c r="F1138" s="1040"/>
      <c r="G1138" s="1040"/>
      <c r="H1138" s="1040"/>
      <c r="I1138" s="1040"/>
      <c r="J1138" s="1040"/>
      <c r="K1138" s="1022"/>
      <c r="L1138" s="1022"/>
      <c r="M1138" s="1022"/>
      <c r="N1138" s="1022"/>
      <c r="O1138" s="1022"/>
      <c r="P1138" s="1022"/>
      <c r="Q1138" s="1022"/>
      <c r="R1138" s="1022"/>
      <c r="S1138" s="1022"/>
    </row>
    <row r="1139" spans="1:19" ht="15" customHeight="1">
      <c r="A1139" s="1040"/>
      <c r="B1139" s="1047">
        <v>2000000</v>
      </c>
      <c r="C1139" s="1046" t="e">
        <f>IF(E1138&lt;0,0,IF(D1139&lt;E1138,D1139*5/10000,E1138*5/10000))</f>
        <v>#REF!</v>
      </c>
      <c r="D1139" s="1046">
        <f t="shared" si="124"/>
        <v>1000000</v>
      </c>
      <c r="E1139" s="1048" t="e">
        <f t="shared" si="125"/>
        <v>#REF!</v>
      </c>
      <c r="F1139" s="1040"/>
      <c r="G1139" s="1040"/>
      <c r="H1139" s="1040"/>
      <c r="I1139" s="1040"/>
      <c r="J1139" s="1040"/>
      <c r="K1139" s="1022"/>
      <c r="L1139" s="1022"/>
      <c r="M1139" s="1022"/>
      <c r="N1139" s="1022"/>
      <c r="O1139" s="1022"/>
      <c r="P1139" s="1022"/>
      <c r="Q1139" s="1022"/>
      <c r="R1139" s="1022"/>
      <c r="S1139" s="1022"/>
    </row>
    <row r="1140" spans="1:19" ht="15" customHeight="1">
      <c r="A1140" s="1040"/>
      <c r="B1140" s="1047">
        <v>20000000</v>
      </c>
      <c r="C1140" s="1046" t="e">
        <f>IF(E1139&lt;0,0,IF(D1140&lt;E1139,D1140*4/10000,E1139*4/10000))</f>
        <v>#REF!</v>
      </c>
      <c r="D1140" s="1046">
        <f t="shared" si="124"/>
        <v>18000000</v>
      </c>
      <c r="E1140" s="1048" t="e">
        <f t="shared" si="125"/>
        <v>#REF!</v>
      </c>
      <c r="F1140" s="1040"/>
      <c r="G1140" s="1040"/>
      <c r="H1140" s="1040"/>
      <c r="I1140" s="1040"/>
      <c r="J1140" s="1040"/>
      <c r="K1140" s="1022"/>
      <c r="L1140" s="1022"/>
      <c r="M1140" s="1022"/>
      <c r="N1140" s="1022"/>
      <c r="O1140" s="1022"/>
      <c r="P1140" s="1022"/>
      <c r="Q1140" s="1022"/>
      <c r="R1140" s="1022"/>
      <c r="S1140" s="1022"/>
    </row>
    <row r="1141" spans="1:19" ht="15" customHeight="1">
      <c r="A1141" s="1040"/>
      <c r="B1141" s="1047" t="s">
        <v>1312</v>
      </c>
      <c r="C1141" s="1046"/>
      <c r="D1141" s="1046"/>
      <c r="E1141" s="1048"/>
      <c r="F1141" s="1040"/>
      <c r="G1141" s="1040"/>
      <c r="H1141" s="1040"/>
      <c r="I1141" s="1040"/>
      <c r="J1141" s="1040"/>
      <c r="K1141" s="1022"/>
      <c r="L1141" s="1022"/>
      <c r="M1141" s="1022"/>
      <c r="N1141" s="1022"/>
      <c r="O1141" s="1022"/>
      <c r="P1141" s="1022"/>
      <c r="Q1141" s="1022"/>
      <c r="R1141" s="1022"/>
      <c r="S1141" s="1022"/>
    </row>
    <row r="1142" spans="1:19" ht="15" customHeight="1">
      <c r="A1142" s="1040"/>
      <c r="B1142" s="1047" t="s">
        <v>1313</v>
      </c>
      <c r="C1142" s="1046" t="e">
        <f>ROUND(IF(C1133&gt;20000000,8650+(C1133-20000000)/10000,SUM(C1134:C1140)),0)</f>
        <v>#REF!</v>
      </c>
      <c r="D1142" s="1040"/>
      <c r="E1142" s="1045"/>
      <c r="F1142" s="1040"/>
      <c r="G1142" s="1040"/>
      <c r="H1142" s="1040"/>
      <c r="I1142" s="1040"/>
      <c r="J1142" s="1040"/>
      <c r="K1142" s="1022"/>
      <c r="L1142" s="1022"/>
      <c r="M1142" s="1022"/>
      <c r="N1142" s="1022"/>
      <c r="O1142" s="1022"/>
      <c r="P1142" s="1022"/>
      <c r="Q1142" s="1022"/>
      <c r="R1142" s="1022"/>
      <c r="S1142" s="1022"/>
    </row>
    <row r="1143" spans="1:19" ht="15" customHeight="1">
      <c r="A1143" s="1040"/>
      <c r="B1143" s="1047" t="s">
        <v>1314</v>
      </c>
      <c r="C1143" s="936" t="e">
        <f>IF(C1133&lt;=10000,20,IF(C1133&lt;=300000,40,IF(C1133&lt;=500000,70,IF(C1133&lt;=1000000,150,350))))</f>
        <v>#REF!</v>
      </c>
      <c r="D1143" s="1040"/>
      <c r="E1143" s="1045"/>
      <c r="F1143" s="1040"/>
      <c r="G1143" s="1040"/>
      <c r="H1143" s="1040"/>
      <c r="I1143" s="1040"/>
      <c r="J1143" s="1040"/>
      <c r="K1143" s="1022"/>
      <c r="L1143" s="1022"/>
      <c r="M1143" s="1022"/>
      <c r="N1143" s="1022"/>
      <c r="O1143" s="1022"/>
      <c r="P1143" s="1022"/>
      <c r="Q1143" s="1022"/>
      <c r="R1143" s="1022"/>
      <c r="S1143" s="1022"/>
    </row>
    <row r="1144" spans="1:19" ht="15" customHeight="1">
      <c r="A1144" s="1040"/>
      <c r="B1144" s="1047" t="s">
        <v>1316</v>
      </c>
      <c r="C1144" s="1046">
        <v>18</v>
      </c>
      <c r="D1144" s="1040"/>
      <c r="E1144" s="1045"/>
      <c r="F1144" s="1040"/>
      <c r="G1144" s="1040"/>
      <c r="H1144" s="1040"/>
      <c r="I1144" s="1040"/>
      <c r="J1144" s="1040"/>
      <c r="K1144" s="1022"/>
      <c r="L1144" s="1022"/>
      <c r="M1144" s="1022"/>
      <c r="N1144" s="1022"/>
      <c r="O1144" s="1022"/>
      <c r="P1144" s="1022"/>
      <c r="Q1144" s="1022"/>
      <c r="R1144" s="1022"/>
      <c r="S1144" s="1022"/>
    </row>
    <row r="1145" spans="1:19" ht="15" customHeight="1" thickBot="1">
      <c r="A1145" s="1040"/>
      <c r="B1145" s="1044" t="s">
        <v>1317</v>
      </c>
      <c r="C1145" s="1043" t="e">
        <f>IF(C1133=0,0,SUM(C1142:C1144))</f>
        <v>#REF!</v>
      </c>
      <c r="D1145" s="1042"/>
      <c r="E1145" s="1041"/>
      <c r="F1145" s="1040"/>
      <c r="G1145" s="1040"/>
      <c r="H1145" s="1040"/>
      <c r="I1145" s="1040"/>
      <c r="J1145" s="1040"/>
      <c r="K1145" s="1022"/>
      <c r="L1145" s="1022"/>
      <c r="M1145" s="1022"/>
      <c r="N1145" s="1022"/>
      <c r="O1145" s="1022"/>
      <c r="P1145" s="1022"/>
      <c r="Q1145" s="1022"/>
      <c r="R1145" s="1022"/>
      <c r="S1145" s="1022"/>
    </row>
    <row r="1146" spans="1:19" ht="15" customHeight="1">
      <c r="A1146" s="1040"/>
      <c r="B1146" s="1057" t="s">
        <v>1308</v>
      </c>
      <c r="C1146" s="1056"/>
      <c r="D1146" s="1055"/>
      <c r="E1146" s="1054"/>
      <c r="F1146" s="1040"/>
      <c r="G1146" s="1040"/>
      <c r="H1146" s="1040"/>
      <c r="I1146" s="1040"/>
      <c r="J1146" s="1040"/>
      <c r="K1146" s="1022"/>
      <c r="L1146" s="1022"/>
      <c r="M1146" s="1022"/>
      <c r="N1146" s="1022"/>
      <c r="O1146" s="1022"/>
      <c r="P1146" s="1022"/>
      <c r="Q1146" s="1022"/>
      <c r="R1146" s="1022"/>
      <c r="S1146" s="1022"/>
    </row>
    <row r="1147" spans="1:19" ht="15" customHeight="1">
      <c r="A1147" s="1040"/>
      <c r="B1147" s="1053"/>
      <c r="C1147" s="1046"/>
      <c r="D1147" s="1040"/>
      <c r="E1147" s="1045"/>
      <c r="F1147" s="1040"/>
      <c r="G1147" s="1040"/>
      <c r="H1147" s="1040"/>
      <c r="I1147" s="1040"/>
      <c r="J1147" s="1040"/>
      <c r="K1147" s="1022"/>
      <c r="L1147" s="1022"/>
      <c r="M1147" s="1022"/>
      <c r="N1147" s="1022"/>
      <c r="O1147" s="1022"/>
      <c r="P1147" s="1022"/>
      <c r="Q1147" s="1022"/>
      <c r="R1147" s="1022"/>
      <c r="S1147" s="1022"/>
    </row>
    <row r="1148" spans="1:19" ht="15" customHeight="1">
      <c r="A1148" s="1040"/>
      <c r="B1148" s="1052" t="s">
        <v>1309</v>
      </c>
      <c r="C1148" s="1051" t="e">
        <f>#REF!*70%</f>
        <v>#REF!</v>
      </c>
      <c r="D1148" s="1050" t="s">
        <v>1310</v>
      </c>
      <c r="E1148" s="1045" t="s">
        <v>1311</v>
      </c>
      <c r="F1148" s="1040"/>
      <c r="G1148" s="1040"/>
      <c r="H1148" s="1040"/>
      <c r="I1148" s="1040"/>
      <c r="J1148" s="1040"/>
      <c r="K1148" s="1022"/>
      <c r="L1148" s="1022"/>
      <c r="M1148" s="1022"/>
      <c r="N1148" s="1022"/>
      <c r="O1148" s="1022"/>
      <c r="P1148" s="1022"/>
      <c r="Q1148" s="1022"/>
      <c r="R1148" s="1022"/>
      <c r="S1148" s="1022"/>
    </row>
    <row r="1149" spans="1:19" ht="15" customHeight="1">
      <c r="A1149" s="1040"/>
      <c r="B1149" s="1047">
        <v>50000</v>
      </c>
      <c r="C1149" s="1046">
        <v>210</v>
      </c>
      <c r="D1149" s="1049"/>
      <c r="E1149" s="1048" t="e">
        <f>C1148-B1149</f>
        <v>#REF!</v>
      </c>
      <c r="F1149" s="1040"/>
      <c r="G1149" s="1040"/>
      <c r="H1149" s="1040"/>
      <c r="I1149" s="1040"/>
      <c r="J1149" s="1040"/>
      <c r="K1149" s="1022"/>
      <c r="L1149" s="1022"/>
      <c r="M1149" s="1022"/>
      <c r="N1149" s="1022"/>
      <c r="O1149" s="1022"/>
      <c r="P1149" s="1022"/>
      <c r="Q1149" s="1022"/>
      <c r="R1149" s="1022"/>
      <c r="S1149" s="1022"/>
    </row>
    <row r="1150" spans="1:19" ht="15" customHeight="1">
      <c r="A1150" s="1040"/>
      <c r="B1150" s="1047">
        <v>100000</v>
      </c>
      <c r="C1150" s="1046" t="e">
        <f>IF(E1149&lt;0,0,IF(D1150&lt;E1149,D1150*10/10000,E1149*10/10000))</f>
        <v>#REF!</v>
      </c>
      <c r="D1150" s="1046">
        <f t="shared" ref="D1150:D1155" si="126">B1150-B1149</f>
        <v>50000</v>
      </c>
      <c r="E1150" s="1048" t="e">
        <f t="shared" ref="E1150:E1155" si="127">E1149-B1150</f>
        <v>#REF!</v>
      </c>
      <c r="F1150" s="1040"/>
      <c r="G1150" s="1040"/>
      <c r="H1150" s="1040"/>
      <c r="I1150" s="1040"/>
      <c r="J1150" s="1040"/>
      <c r="K1150" s="1022"/>
      <c r="L1150" s="1022"/>
      <c r="M1150" s="1022"/>
      <c r="N1150" s="1022"/>
      <c r="O1150" s="1022"/>
      <c r="P1150" s="1022"/>
      <c r="Q1150" s="1022"/>
      <c r="R1150" s="1022"/>
      <c r="S1150" s="1022"/>
    </row>
    <row r="1151" spans="1:19" ht="15" customHeight="1">
      <c r="A1151" s="1040"/>
      <c r="B1151" s="1047">
        <v>300000</v>
      </c>
      <c r="C1151" s="1046" t="e">
        <f>IF(E1150&lt;0,0,IF(D1151&lt;E1150,D1151*9/10000,E1150*9/10000))</f>
        <v>#REF!</v>
      </c>
      <c r="D1151" s="1046">
        <f t="shared" si="126"/>
        <v>200000</v>
      </c>
      <c r="E1151" s="1048" t="e">
        <f t="shared" si="127"/>
        <v>#REF!</v>
      </c>
      <c r="F1151" s="1040"/>
      <c r="G1151" s="1040"/>
      <c r="H1151" s="1040"/>
      <c r="I1151" s="1040"/>
      <c r="J1151" s="1040"/>
      <c r="K1151" s="1022"/>
      <c r="L1151" s="1022"/>
      <c r="M1151" s="1022"/>
      <c r="N1151" s="1022"/>
      <c r="O1151" s="1022"/>
      <c r="P1151" s="1022"/>
      <c r="Q1151" s="1022"/>
      <c r="R1151" s="1022"/>
      <c r="S1151" s="1022"/>
    </row>
    <row r="1152" spans="1:19" ht="15" customHeight="1">
      <c r="A1152" s="1040"/>
      <c r="B1152" s="1047">
        <v>500000</v>
      </c>
      <c r="C1152" s="1046" t="e">
        <f>IF(E1151&lt;0,0,IF(D1152&lt;E1151,D1152*8/10000,E1151*8/10000))</f>
        <v>#REF!</v>
      </c>
      <c r="D1152" s="1046">
        <f t="shared" si="126"/>
        <v>200000</v>
      </c>
      <c r="E1152" s="1048" t="e">
        <f t="shared" si="127"/>
        <v>#REF!</v>
      </c>
      <c r="F1152" s="1040"/>
      <c r="G1152" s="1040"/>
      <c r="H1152" s="1040"/>
      <c r="I1152" s="1040"/>
      <c r="J1152" s="1040"/>
      <c r="K1152" s="1022"/>
      <c r="L1152" s="1022"/>
      <c r="M1152" s="1022"/>
      <c r="N1152" s="1022"/>
      <c r="O1152" s="1022"/>
      <c r="P1152" s="1022"/>
      <c r="Q1152" s="1022"/>
      <c r="R1152" s="1022"/>
      <c r="S1152" s="1022"/>
    </row>
    <row r="1153" spans="1:19" ht="15" customHeight="1">
      <c r="A1153" s="1040"/>
      <c r="B1153" s="1047">
        <v>1000000</v>
      </c>
      <c r="C1153" s="1046" t="e">
        <f>IF(E1152&lt;0,0,IF(D1153&lt;E1152,D1153*7/10000,E1152*7/10000))</f>
        <v>#REF!</v>
      </c>
      <c r="D1153" s="1046">
        <f t="shared" si="126"/>
        <v>500000</v>
      </c>
      <c r="E1153" s="1048" t="e">
        <f t="shared" si="127"/>
        <v>#REF!</v>
      </c>
      <c r="F1153" s="1040"/>
      <c r="G1153" s="1040"/>
      <c r="H1153" s="1040"/>
      <c r="I1153" s="1040"/>
      <c r="J1153" s="1040"/>
      <c r="K1153" s="1022"/>
      <c r="L1153" s="1022"/>
      <c r="M1153" s="1022"/>
      <c r="N1153" s="1022"/>
      <c r="O1153" s="1022"/>
      <c r="P1153" s="1022"/>
      <c r="Q1153" s="1022"/>
      <c r="R1153" s="1022"/>
      <c r="S1153" s="1022"/>
    </row>
    <row r="1154" spans="1:19" ht="15" customHeight="1">
      <c r="A1154" s="1040"/>
      <c r="B1154" s="1047">
        <v>2000000</v>
      </c>
      <c r="C1154" s="1046" t="e">
        <f>IF(E1153&lt;0,0,IF(D1154&lt;E1153,D1154*5/10000,E1153*5/10000))</f>
        <v>#REF!</v>
      </c>
      <c r="D1154" s="1046">
        <f t="shared" si="126"/>
        <v>1000000</v>
      </c>
      <c r="E1154" s="1048" t="e">
        <f t="shared" si="127"/>
        <v>#REF!</v>
      </c>
      <c r="F1154" s="1040"/>
      <c r="G1154" s="1040"/>
      <c r="H1154" s="1040"/>
      <c r="I1154" s="1040"/>
      <c r="J1154" s="1040"/>
      <c r="K1154" s="1022"/>
      <c r="L1154" s="1022"/>
      <c r="M1154" s="1022"/>
      <c r="N1154" s="1022"/>
      <c r="O1154" s="1022"/>
      <c r="P1154" s="1022"/>
      <c r="Q1154" s="1022"/>
      <c r="R1154" s="1022"/>
      <c r="S1154" s="1022"/>
    </row>
    <row r="1155" spans="1:19" ht="15" customHeight="1">
      <c r="A1155" s="1040"/>
      <c r="B1155" s="1047">
        <v>20000000</v>
      </c>
      <c r="C1155" s="1046" t="e">
        <f>IF(E1154&lt;0,0,IF(D1155&lt;E1154,D1155*4/10000,E1154*4/10000))</f>
        <v>#REF!</v>
      </c>
      <c r="D1155" s="1046">
        <f t="shared" si="126"/>
        <v>18000000</v>
      </c>
      <c r="E1155" s="1048" t="e">
        <f t="shared" si="127"/>
        <v>#REF!</v>
      </c>
      <c r="F1155" s="1040"/>
      <c r="G1155" s="1040"/>
      <c r="H1155" s="1040"/>
      <c r="I1155" s="1040"/>
      <c r="J1155" s="1040"/>
      <c r="K1155" s="1022"/>
      <c r="L1155" s="1022"/>
      <c r="M1155" s="1022"/>
      <c r="N1155" s="1022"/>
      <c r="O1155" s="1022"/>
      <c r="P1155" s="1022"/>
      <c r="Q1155" s="1022"/>
      <c r="R1155" s="1022"/>
      <c r="S1155" s="1022"/>
    </row>
    <row r="1156" spans="1:19" ht="15" customHeight="1">
      <c r="A1156" s="1040"/>
      <c r="B1156" s="1047" t="s">
        <v>1312</v>
      </c>
      <c r="C1156" s="1046"/>
      <c r="D1156" s="1046"/>
      <c r="E1156" s="1048"/>
      <c r="F1156" s="1040"/>
      <c r="G1156" s="1040"/>
      <c r="H1156" s="1040"/>
      <c r="I1156" s="1040"/>
      <c r="J1156" s="1040"/>
      <c r="K1156" s="1022"/>
      <c r="L1156" s="1022"/>
      <c r="M1156" s="1022"/>
      <c r="N1156" s="1022"/>
      <c r="O1156" s="1022"/>
      <c r="P1156" s="1022"/>
      <c r="Q1156" s="1022"/>
      <c r="R1156" s="1022"/>
      <c r="S1156" s="1022"/>
    </row>
    <row r="1157" spans="1:19" ht="15" customHeight="1">
      <c r="A1157" s="1040"/>
      <c r="B1157" s="1047" t="s">
        <v>1313</v>
      </c>
      <c r="C1157" s="1046" t="e">
        <f>ROUND(IF(C1148&gt;20000000,8650+(C1148-20000000)/10000,SUM(C1149:C1155)),0)</f>
        <v>#REF!</v>
      </c>
      <c r="D1157" s="1040"/>
      <c r="E1157" s="1045"/>
      <c r="F1157" s="1040"/>
      <c r="G1157" s="1040"/>
      <c r="H1157" s="1040"/>
      <c r="I1157" s="1040"/>
      <c r="J1157" s="1040"/>
      <c r="K1157" s="1022"/>
      <c r="L1157" s="1022"/>
      <c r="M1157" s="1022"/>
      <c r="N1157" s="1022"/>
      <c r="O1157" s="1022"/>
      <c r="P1157" s="1022"/>
      <c r="Q1157" s="1022"/>
      <c r="R1157" s="1022"/>
      <c r="S1157" s="1022"/>
    </row>
    <row r="1158" spans="1:19" ht="15" customHeight="1">
      <c r="A1158" s="1040"/>
      <c r="B1158" s="1047" t="s">
        <v>1314</v>
      </c>
      <c r="C1158" s="936" t="e">
        <f>IF(C1148&lt;=10000,20,IF(C1148&lt;=300000,40,IF(C1148&lt;=500000,70,IF(C1148&lt;=1000000,150,350))))</f>
        <v>#REF!</v>
      </c>
      <c r="D1158" s="1040"/>
      <c r="E1158" s="1045"/>
      <c r="F1158" s="1040"/>
      <c r="G1158" s="1040"/>
      <c r="H1158" s="1040"/>
      <c r="I1158" s="1040"/>
      <c r="J1158" s="1040"/>
      <c r="K1158" s="1022"/>
      <c r="L1158" s="1022"/>
      <c r="M1158" s="1022"/>
      <c r="N1158" s="1022"/>
      <c r="O1158" s="1022"/>
      <c r="P1158" s="1022"/>
      <c r="Q1158" s="1022"/>
      <c r="R1158" s="1022"/>
      <c r="S1158" s="1022"/>
    </row>
    <row r="1159" spans="1:19" ht="15" customHeight="1">
      <c r="A1159" s="1040"/>
      <c r="B1159" s="1047" t="s">
        <v>1316</v>
      </c>
      <c r="C1159" s="1046">
        <v>18</v>
      </c>
      <c r="D1159" s="1040"/>
      <c r="E1159" s="1045"/>
      <c r="F1159" s="1040"/>
      <c r="G1159" s="1040"/>
      <c r="H1159" s="1040"/>
      <c r="I1159" s="1040"/>
      <c r="J1159" s="1040"/>
      <c r="K1159" s="1022"/>
      <c r="L1159" s="1022"/>
      <c r="M1159" s="1022"/>
      <c r="N1159" s="1022"/>
      <c r="O1159" s="1022"/>
      <c r="P1159" s="1022"/>
      <c r="Q1159" s="1022"/>
      <c r="R1159" s="1022"/>
      <c r="S1159" s="1022"/>
    </row>
    <row r="1160" spans="1:19" ht="15" customHeight="1" thickBot="1">
      <c r="A1160" s="1040"/>
      <c r="B1160" s="1044" t="s">
        <v>1317</v>
      </c>
      <c r="C1160" s="1043" t="e">
        <f>IF(C1148=0,0,SUM(C1157:C1159))</f>
        <v>#REF!</v>
      </c>
      <c r="D1160" s="1042"/>
      <c r="E1160" s="1041"/>
      <c r="F1160" s="1040"/>
      <c r="G1160" s="1040"/>
      <c r="H1160" s="1040"/>
      <c r="I1160" s="1040"/>
      <c r="J1160" s="1040"/>
      <c r="K1160" s="1022"/>
      <c r="L1160" s="1022"/>
      <c r="M1160" s="1022"/>
      <c r="N1160" s="1022"/>
      <c r="O1160" s="1022"/>
      <c r="P1160" s="1022"/>
      <c r="Q1160" s="1022"/>
      <c r="R1160" s="1022"/>
      <c r="S1160" s="1022"/>
    </row>
    <row r="1161" spans="1:19" ht="15" customHeight="1" thickBot="1">
      <c r="A1161" s="1023"/>
      <c r="B1161" s="1027"/>
      <c r="C1161" s="1026"/>
      <c r="D1161" s="1025"/>
      <c r="E1161" s="1024"/>
      <c r="F1161" s="1023"/>
      <c r="G1161" s="1023"/>
      <c r="H1161" s="1023"/>
      <c r="I1161" s="1040"/>
      <c r="J1161" s="1040"/>
      <c r="K1161" s="1022"/>
      <c r="L1161" s="1022"/>
      <c r="M1161" s="1022"/>
      <c r="N1161" s="1022"/>
      <c r="O1161" s="1022"/>
      <c r="P1161" s="1022"/>
      <c r="Q1161" s="1022"/>
      <c r="R1161" s="1022"/>
      <c r="S1161" s="1022"/>
    </row>
    <row r="1162" spans="1:19" ht="15" customHeight="1">
      <c r="A1162" s="1023"/>
      <c r="B1162" s="1039"/>
      <c r="C1162" s="1038"/>
      <c r="D1162" s="1037"/>
      <c r="E1162" s="1036"/>
      <c r="F1162" s="1023"/>
      <c r="G1162" s="1023"/>
      <c r="H1162" s="1023"/>
      <c r="I1162" s="1040"/>
      <c r="J1162" s="1040"/>
      <c r="K1162" s="1022"/>
      <c r="L1162" s="1022"/>
      <c r="M1162" s="1022"/>
      <c r="N1162" s="1022"/>
      <c r="O1162" s="1022"/>
      <c r="P1162" s="1022"/>
      <c r="Q1162" s="1022"/>
      <c r="R1162" s="1022"/>
      <c r="S1162" s="1022"/>
    </row>
    <row r="1163" spans="1:19" ht="15" customHeight="1">
      <c r="A1163" s="1023"/>
      <c r="B1163" s="1030"/>
      <c r="C1163" s="1029"/>
      <c r="D1163" s="1023"/>
      <c r="E1163" s="1028"/>
      <c r="F1163" s="1023"/>
      <c r="G1163" s="1023"/>
      <c r="H1163" s="1023"/>
      <c r="I1163" s="1040"/>
      <c r="J1163" s="1040"/>
      <c r="K1163" s="1022"/>
      <c r="L1163" s="1022"/>
      <c r="M1163" s="1022"/>
      <c r="N1163" s="1022"/>
      <c r="O1163" s="1022"/>
      <c r="P1163" s="1022"/>
      <c r="Q1163" s="1022"/>
      <c r="R1163" s="1022"/>
      <c r="S1163" s="1022"/>
    </row>
    <row r="1164" spans="1:19" ht="15" customHeight="1">
      <c r="A1164" s="1023"/>
      <c r="B1164" s="1035"/>
      <c r="C1164" s="1034"/>
      <c r="D1164" s="1033"/>
      <c r="E1164" s="1028"/>
      <c r="F1164" s="1023"/>
      <c r="G1164" s="1023"/>
      <c r="H1164" s="1023"/>
      <c r="I1164" s="1040"/>
      <c r="J1164" s="1040"/>
      <c r="K1164" s="1022"/>
      <c r="L1164" s="1022"/>
      <c r="M1164" s="1022"/>
      <c r="N1164" s="1022"/>
      <c r="O1164" s="1022"/>
      <c r="P1164" s="1022"/>
      <c r="Q1164" s="1022"/>
      <c r="R1164" s="1022"/>
      <c r="S1164" s="1022"/>
    </row>
    <row r="1165" spans="1:19" ht="15" customHeight="1">
      <c r="A1165" s="1023"/>
      <c r="B1165" s="1031"/>
      <c r="C1165" s="1029"/>
      <c r="D1165" s="1029"/>
      <c r="E1165" s="1032"/>
      <c r="F1165" s="1023"/>
      <c r="G1165" s="1023"/>
      <c r="H1165" s="1023"/>
      <c r="I1165" s="1040"/>
      <c r="J1165" s="1040"/>
      <c r="K1165" s="1022"/>
      <c r="L1165" s="1022"/>
      <c r="M1165" s="1022"/>
      <c r="N1165" s="1022"/>
      <c r="O1165" s="1022"/>
      <c r="P1165" s="1022"/>
      <c r="Q1165" s="1022"/>
      <c r="R1165" s="1022"/>
      <c r="S1165" s="1022"/>
    </row>
    <row r="1166" spans="1:19" ht="15" customHeight="1">
      <c r="A1166" s="1023"/>
      <c r="B1166" s="1031"/>
      <c r="C1166" s="1029"/>
      <c r="D1166" s="1029"/>
      <c r="E1166" s="1032"/>
      <c r="F1166" s="1023"/>
      <c r="G1166" s="1023"/>
      <c r="H1166" s="1023"/>
      <c r="I1166" s="1040"/>
      <c r="J1166" s="1023"/>
      <c r="K1166" s="1022"/>
      <c r="L1166" s="1022"/>
      <c r="M1166" s="1022"/>
      <c r="N1166" s="1022"/>
      <c r="O1166" s="1022"/>
      <c r="P1166" s="1022"/>
      <c r="Q1166" s="1022"/>
      <c r="R1166" s="1022"/>
      <c r="S1166" s="1022"/>
    </row>
    <row r="1167" spans="1:19" ht="15" customHeight="1">
      <c r="A1167" s="1023"/>
      <c r="B1167" s="1031"/>
      <c r="C1167" s="1029"/>
      <c r="D1167" s="1029"/>
      <c r="E1167" s="1032"/>
      <c r="F1167" s="1023"/>
      <c r="G1167" s="1023"/>
      <c r="H1167" s="1023"/>
      <c r="I1167" s="1023"/>
      <c r="J1167" s="1023"/>
      <c r="K1167" s="1022"/>
      <c r="L1167" s="1022"/>
      <c r="M1167" s="1022"/>
      <c r="N1167" s="1022"/>
      <c r="O1167" s="1022"/>
      <c r="P1167" s="1022"/>
      <c r="Q1167" s="1022"/>
      <c r="R1167" s="1022"/>
      <c r="S1167" s="1022"/>
    </row>
    <row r="1168" spans="1:19" ht="15" customHeight="1">
      <c r="A1168" s="1023"/>
      <c r="B1168" s="1031"/>
      <c r="C1168" s="1029"/>
      <c r="D1168" s="1029"/>
      <c r="E1168" s="1032"/>
      <c r="F1168" s="1023"/>
      <c r="G1168" s="1023"/>
      <c r="H1168" s="1023"/>
      <c r="I1168" s="1023"/>
      <c r="J1168" s="1023"/>
      <c r="K1168" s="1022"/>
      <c r="L1168" s="1022"/>
      <c r="M1168" s="1022"/>
      <c r="N1168" s="1022"/>
      <c r="O1168" s="1022"/>
      <c r="P1168" s="1022"/>
      <c r="Q1168" s="1022"/>
      <c r="R1168" s="1022"/>
      <c r="S1168" s="1022"/>
    </row>
    <row r="1169" spans="1:19" ht="15" customHeight="1">
      <c r="A1169" s="1023"/>
      <c r="B1169" s="1031"/>
      <c r="C1169" s="1029"/>
      <c r="D1169" s="1029"/>
      <c r="E1169" s="1032"/>
      <c r="F1169" s="1023"/>
      <c r="G1169" s="1023"/>
      <c r="H1169" s="1023"/>
      <c r="I1169" s="1023"/>
      <c r="J1169" s="1023"/>
      <c r="K1169" s="1022"/>
      <c r="L1169" s="1022"/>
      <c r="M1169" s="1022"/>
      <c r="N1169" s="1022"/>
      <c r="O1169" s="1022"/>
      <c r="P1169" s="1022"/>
      <c r="Q1169" s="1022"/>
      <c r="R1169" s="1022"/>
      <c r="S1169" s="1022"/>
    </row>
    <row r="1170" spans="1:19" ht="15" customHeight="1">
      <c r="A1170" s="1023"/>
      <c r="B1170" s="1031"/>
      <c r="C1170" s="1029"/>
      <c r="D1170" s="1029"/>
      <c r="E1170" s="1032"/>
      <c r="F1170" s="1023"/>
      <c r="G1170" s="1023"/>
      <c r="H1170" s="1023"/>
      <c r="I1170" s="1023"/>
      <c r="J1170" s="1023"/>
      <c r="K1170" s="1022"/>
      <c r="L1170" s="1022"/>
      <c r="M1170" s="1022"/>
      <c r="N1170" s="1022"/>
      <c r="O1170" s="1022"/>
      <c r="P1170" s="1022"/>
      <c r="Q1170" s="1022"/>
      <c r="R1170" s="1022"/>
      <c r="S1170" s="1022"/>
    </row>
    <row r="1171" spans="1:19" ht="15" customHeight="1">
      <c r="A1171" s="1023"/>
      <c r="B1171" s="1031"/>
      <c r="C1171" s="1029"/>
      <c r="D1171" s="1029"/>
      <c r="E1171" s="1032"/>
      <c r="F1171" s="1023"/>
      <c r="G1171" s="1023"/>
      <c r="H1171" s="1023"/>
      <c r="I1171" s="1023"/>
      <c r="J1171" s="1023"/>
      <c r="K1171" s="1022"/>
      <c r="L1171" s="1022"/>
      <c r="M1171" s="1022"/>
      <c r="N1171" s="1022"/>
      <c r="O1171" s="1022"/>
      <c r="P1171" s="1022"/>
      <c r="Q1171" s="1022"/>
      <c r="R1171" s="1022"/>
      <c r="S1171" s="1022"/>
    </row>
    <row r="1172" spans="1:19" ht="15" customHeight="1">
      <c r="A1172" s="1023"/>
      <c r="B1172" s="1031"/>
      <c r="C1172" s="1029"/>
      <c r="D1172" s="1029"/>
      <c r="E1172" s="1032"/>
      <c r="F1172" s="1023"/>
      <c r="G1172" s="1023"/>
      <c r="H1172" s="1023"/>
      <c r="I1172" s="1023"/>
      <c r="J1172" s="1023"/>
      <c r="K1172" s="1022"/>
      <c r="L1172" s="1022"/>
      <c r="M1172" s="1022"/>
      <c r="N1172" s="1022"/>
      <c r="O1172" s="1022"/>
      <c r="P1172" s="1022"/>
      <c r="Q1172" s="1022"/>
      <c r="R1172" s="1022"/>
      <c r="S1172" s="1022"/>
    </row>
    <row r="1173" spans="1:19" ht="15" customHeight="1">
      <c r="A1173" s="1023"/>
      <c r="B1173" s="1031"/>
      <c r="C1173" s="1029"/>
      <c r="D1173" s="1023"/>
      <c r="E1173" s="1028"/>
      <c r="F1173" s="1023"/>
      <c r="G1173" s="1023"/>
      <c r="H1173" s="1023"/>
      <c r="I1173" s="1023"/>
      <c r="J1173" s="1023"/>
      <c r="K1173" s="1022"/>
      <c r="L1173" s="1022"/>
      <c r="M1173" s="1022"/>
      <c r="N1173" s="1022"/>
      <c r="O1173" s="1022"/>
      <c r="P1173" s="1022"/>
      <c r="Q1173" s="1022"/>
      <c r="R1173" s="1022"/>
      <c r="S1173" s="1022"/>
    </row>
    <row r="1174" spans="1:19" ht="15" customHeight="1">
      <c r="A1174" s="1023"/>
      <c r="B1174" s="1031"/>
      <c r="C1174" s="1029"/>
      <c r="D1174" s="1023"/>
      <c r="E1174" s="1028"/>
      <c r="F1174" s="1023"/>
      <c r="G1174" s="1023"/>
      <c r="H1174" s="1023"/>
      <c r="I1174" s="1023"/>
      <c r="J1174" s="1023"/>
      <c r="K1174" s="1022"/>
      <c r="L1174" s="1022"/>
      <c r="M1174" s="1022"/>
      <c r="N1174" s="1022"/>
      <c r="O1174" s="1022"/>
      <c r="P1174" s="1022"/>
      <c r="Q1174" s="1022"/>
      <c r="R1174" s="1022"/>
      <c r="S1174" s="1022"/>
    </row>
    <row r="1175" spans="1:19" ht="15" customHeight="1">
      <c r="A1175" s="1023"/>
      <c r="B1175" s="1031"/>
      <c r="C1175" s="1029"/>
      <c r="D1175" s="1023"/>
      <c r="E1175" s="1028"/>
      <c r="F1175" s="1023"/>
      <c r="G1175" s="1023"/>
      <c r="H1175" s="1023"/>
      <c r="I1175" s="1023"/>
      <c r="J1175" s="1023"/>
      <c r="K1175" s="1022"/>
      <c r="L1175" s="1022"/>
      <c r="M1175" s="1022"/>
      <c r="N1175" s="1022"/>
      <c r="O1175" s="1022"/>
      <c r="P1175" s="1022"/>
      <c r="Q1175" s="1022"/>
      <c r="R1175" s="1022"/>
      <c r="S1175" s="1022"/>
    </row>
    <row r="1176" spans="1:19" ht="15" customHeight="1">
      <c r="A1176" s="1023"/>
      <c r="B1176" s="1030"/>
      <c r="C1176" s="1029"/>
      <c r="D1176" s="1023"/>
      <c r="E1176" s="1028"/>
      <c r="F1176" s="1023"/>
      <c r="G1176" s="1023"/>
      <c r="H1176" s="1023"/>
      <c r="I1176" s="1023"/>
      <c r="J1176" s="1023"/>
      <c r="K1176" s="1022"/>
      <c r="L1176" s="1022"/>
      <c r="M1176" s="1022"/>
      <c r="N1176" s="1022"/>
      <c r="O1176" s="1022"/>
      <c r="P1176" s="1022"/>
      <c r="Q1176" s="1022"/>
      <c r="R1176" s="1022"/>
      <c r="S1176" s="1022"/>
    </row>
    <row r="1177" spans="1:19" ht="15" customHeight="1" thickBot="1">
      <c r="A1177" s="1023"/>
      <c r="B1177" s="1027"/>
      <c r="C1177" s="1026"/>
      <c r="D1177" s="1025"/>
      <c r="E1177" s="1024"/>
      <c r="F1177" s="1023"/>
      <c r="G1177" s="1023"/>
      <c r="H1177" s="1023"/>
      <c r="I1177" s="1023"/>
      <c r="J1177" s="1023"/>
      <c r="K1177" s="1022"/>
      <c r="L1177" s="1022"/>
      <c r="M1177" s="1022"/>
      <c r="N1177" s="1022"/>
      <c r="O1177" s="1022"/>
      <c r="P1177" s="1022"/>
      <c r="Q1177" s="1022"/>
      <c r="R1177" s="1022"/>
      <c r="S1177" s="1022"/>
    </row>
    <row r="1178" spans="1:19" ht="15" customHeight="1">
      <c r="A1178" s="1023"/>
      <c r="B1178" s="1039"/>
      <c r="C1178" s="1038"/>
      <c r="D1178" s="1037"/>
      <c r="E1178" s="1036"/>
      <c r="F1178" s="1023"/>
      <c r="G1178" s="1023"/>
      <c r="H1178" s="1023"/>
      <c r="I1178" s="1023"/>
      <c r="J1178" s="1023"/>
      <c r="K1178" s="1022"/>
      <c r="L1178" s="1022"/>
      <c r="M1178" s="1022"/>
      <c r="N1178" s="1022"/>
      <c r="O1178" s="1022"/>
      <c r="P1178" s="1022"/>
      <c r="Q1178" s="1022"/>
      <c r="R1178" s="1022"/>
      <c r="S1178" s="1022"/>
    </row>
    <row r="1179" spans="1:19" ht="15" customHeight="1">
      <c r="A1179" s="1023"/>
      <c r="B1179" s="1030"/>
      <c r="C1179" s="1029"/>
      <c r="D1179" s="1023"/>
      <c r="E1179" s="1028"/>
      <c r="F1179" s="1023"/>
      <c r="G1179" s="1023"/>
      <c r="H1179" s="1023"/>
      <c r="I1179" s="1023"/>
      <c r="J1179" s="1023"/>
      <c r="K1179" s="1022"/>
      <c r="L1179" s="1022"/>
      <c r="M1179" s="1022"/>
      <c r="N1179" s="1022"/>
      <c r="O1179" s="1022"/>
      <c r="P1179" s="1022"/>
      <c r="Q1179" s="1022"/>
      <c r="R1179" s="1022"/>
      <c r="S1179" s="1022"/>
    </row>
    <row r="1180" spans="1:19" ht="15" customHeight="1">
      <c r="A1180" s="1023"/>
      <c r="B1180" s="1035"/>
      <c r="C1180" s="1034"/>
      <c r="D1180" s="1033"/>
      <c r="E1180" s="1028"/>
      <c r="F1180" s="1023"/>
      <c r="G1180" s="1023"/>
      <c r="H1180" s="1023"/>
      <c r="I1180" s="1023"/>
      <c r="J1180" s="1023"/>
      <c r="K1180" s="1022"/>
      <c r="L1180" s="1022"/>
      <c r="M1180" s="1022"/>
      <c r="N1180" s="1022"/>
      <c r="O1180" s="1022"/>
      <c r="P1180" s="1022"/>
      <c r="Q1180" s="1022"/>
      <c r="R1180" s="1022"/>
      <c r="S1180" s="1022"/>
    </row>
    <row r="1181" spans="1:19" ht="15" customHeight="1">
      <c r="A1181" s="1023"/>
      <c r="B1181" s="1031"/>
      <c r="C1181" s="1029"/>
      <c r="D1181" s="1029"/>
      <c r="E1181" s="1032"/>
      <c r="F1181" s="1023"/>
      <c r="G1181" s="1023"/>
      <c r="H1181" s="1023"/>
      <c r="I1181" s="1023"/>
      <c r="J1181" s="1023"/>
      <c r="K1181" s="1022"/>
      <c r="L1181" s="1022"/>
      <c r="M1181" s="1022"/>
      <c r="N1181" s="1022"/>
      <c r="O1181" s="1022"/>
      <c r="P1181" s="1022"/>
      <c r="Q1181" s="1022"/>
      <c r="R1181" s="1022"/>
      <c r="S1181" s="1022"/>
    </row>
    <row r="1182" spans="1:19" ht="15" customHeight="1">
      <c r="A1182" s="1023"/>
      <c r="B1182" s="1031"/>
      <c r="C1182" s="1029"/>
      <c r="D1182" s="1029"/>
      <c r="E1182" s="1032"/>
      <c r="F1182" s="1023"/>
      <c r="G1182" s="1023"/>
      <c r="H1182" s="1023"/>
      <c r="I1182" s="1023"/>
      <c r="J1182" s="1023"/>
      <c r="K1182" s="1022"/>
      <c r="L1182" s="1022"/>
      <c r="M1182" s="1022"/>
      <c r="N1182" s="1022"/>
      <c r="O1182" s="1022"/>
      <c r="P1182" s="1022"/>
      <c r="Q1182" s="1022"/>
      <c r="R1182" s="1022"/>
      <c r="S1182" s="1022"/>
    </row>
    <row r="1183" spans="1:19" ht="15" customHeight="1">
      <c r="A1183" s="1023"/>
      <c r="B1183" s="1031"/>
      <c r="C1183" s="1029"/>
      <c r="D1183" s="1029"/>
      <c r="E1183" s="1032"/>
      <c r="F1183" s="1023"/>
      <c r="G1183" s="1023"/>
      <c r="H1183" s="1023"/>
      <c r="I1183" s="1023"/>
      <c r="J1183" s="1023"/>
      <c r="K1183" s="1022"/>
      <c r="L1183" s="1022"/>
      <c r="M1183" s="1022"/>
      <c r="N1183" s="1022"/>
      <c r="O1183" s="1022"/>
      <c r="P1183" s="1022"/>
      <c r="Q1183" s="1022"/>
      <c r="R1183" s="1022"/>
      <c r="S1183" s="1022"/>
    </row>
    <row r="1184" spans="1:19" ht="15" customHeight="1">
      <c r="A1184" s="1023"/>
      <c r="B1184" s="1031"/>
      <c r="C1184" s="1029"/>
      <c r="D1184" s="1029"/>
      <c r="E1184" s="1032"/>
      <c r="F1184" s="1023"/>
      <c r="G1184" s="1023"/>
      <c r="H1184" s="1023"/>
      <c r="I1184" s="1023"/>
      <c r="J1184" s="1023"/>
      <c r="K1184" s="1022"/>
      <c r="L1184" s="1022"/>
      <c r="M1184" s="1022"/>
      <c r="N1184" s="1022"/>
      <c r="O1184" s="1022"/>
      <c r="P1184" s="1022"/>
      <c r="Q1184" s="1022"/>
      <c r="R1184" s="1022"/>
      <c r="S1184" s="1022"/>
    </row>
    <row r="1185" spans="1:19" ht="15" customHeight="1">
      <c r="A1185" s="1023"/>
      <c r="B1185" s="1031"/>
      <c r="C1185" s="1029"/>
      <c r="D1185" s="1029"/>
      <c r="E1185" s="1032"/>
      <c r="F1185" s="1023"/>
      <c r="G1185" s="1023"/>
      <c r="H1185" s="1023"/>
      <c r="I1185" s="1023"/>
      <c r="J1185" s="1023"/>
      <c r="K1185" s="1022"/>
      <c r="L1185" s="1022"/>
      <c r="M1185" s="1022"/>
      <c r="N1185" s="1022"/>
      <c r="O1185" s="1022"/>
      <c r="P1185" s="1022"/>
      <c r="Q1185" s="1022"/>
      <c r="R1185" s="1022"/>
      <c r="S1185" s="1022"/>
    </row>
    <row r="1186" spans="1:19" ht="15" customHeight="1">
      <c r="A1186" s="1023"/>
      <c r="B1186" s="1031"/>
      <c r="C1186" s="1029"/>
      <c r="D1186" s="1029"/>
      <c r="E1186" s="1032"/>
      <c r="F1186" s="1023"/>
      <c r="G1186" s="1023"/>
      <c r="H1186" s="1023"/>
      <c r="I1186" s="1023"/>
      <c r="J1186" s="1023"/>
      <c r="K1186" s="1022"/>
      <c r="L1186" s="1022"/>
      <c r="M1186" s="1022"/>
      <c r="N1186" s="1022"/>
      <c r="O1186" s="1022"/>
      <c r="P1186" s="1022"/>
      <c r="Q1186" s="1022"/>
      <c r="R1186" s="1022"/>
      <c r="S1186" s="1022"/>
    </row>
    <row r="1187" spans="1:19" ht="15" customHeight="1">
      <c r="A1187" s="1023"/>
      <c r="B1187" s="1031"/>
      <c r="C1187" s="1029"/>
      <c r="D1187" s="1029"/>
      <c r="E1187" s="1032"/>
      <c r="F1187" s="1023"/>
      <c r="G1187" s="1023"/>
      <c r="H1187" s="1023"/>
      <c r="I1187" s="1023"/>
      <c r="J1187" s="1023"/>
      <c r="K1187" s="1022"/>
      <c r="L1187" s="1022"/>
      <c r="M1187" s="1022"/>
      <c r="N1187" s="1022"/>
      <c r="O1187" s="1022"/>
      <c r="P1187" s="1022"/>
      <c r="Q1187" s="1022"/>
      <c r="R1187" s="1022"/>
      <c r="S1187" s="1022"/>
    </row>
    <row r="1188" spans="1:19" ht="15" customHeight="1">
      <c r="A1188" s="1023"/>
      <c r="B1188" s="1031"/>
      <c r="C1188" s="1029"/>
      <c r="D1188" s="1029"/>
      <c r="E1188" s="1032"/>
      <c r="F1188" s="1023"/>
      <c r="G1188" s="1023"/>
      <c r="H1188" s="1023"/>
      <c r="I1188" s="1023"/>
      <c r="J1188" s="1023"/>
      <c r="K1188" s="1022"/>
      <c r="L1188" s="1022"/>
      <c r="M1188" s="1022"/>
      <c r="N1188" s="1022"/>
      <c r="O1188" s="1022"/>
      <c r="P1188" s="1022"/>
      <c r="Q1188" s="1022"/>
      <c r="R1188" s="1022"/>
      <c r="S1188" s="1022"/>
    </row>
    <row r="1189" spans="1:19" ht="15" customHeight="1">
      <c r="A1189" s="1023"/>
      <c r="B1189" s="1031"/>
      <c r="C1189" s="1029"/>
      <c r="D1189" s="1023"/>
      <c r="E1189" s="1028"/>
      <c r="F1189" s="1023"/>
      <c r="G1189" s="1023"/>
      <c r="H1189" s="1023"/>
      <c r="I1189" s="1023"/>
      <c r="J1189" s="1023"/>
      <c r="K1189" s="1022"/>
      <c r="L1189" s="1022"/>
      <c r="M1189" s="1022"/>
      <c r="N1189" s="1022"/>
      <c r="O1189" s="1022"/>
      <c r="P1189" s="1022"/>
      <c r="Q1189" s="1022"/>
      <c r="R1189" s="1022"/>
      <c r="S1189" s="1022"/>
    </row>
    <row r="1190" spans="1:19" ht="15" customHeight="1">
      <c r="A1190" s="1023"/>
      <c r="B1190" s="1031"/>
      <c r="C1190" s="1029"/>
      <c r="D1190" s="1023"/>
      <c r="E1190" s="1028"/>
      <c r="F1190" s="1023"/>
      <c r="G1190" s="1023"/>
      <c r="H1190" s="1023"/>
      <c r="I1190" s="1023"/>
      <c r="J1190" s="1023"/>
      <c r="K1190" s="1022"/>
      <c r="L1190" s="1022"/>
      <c r="M1190" s="1022"/>
      <c r="N1190" s="1022"/>
      <c r="O1190" s="1022"/>
      <c r="P1190" s="1022"/>
      <c r="Q1190" s="1022"/>
      <c r="R1190" s="1022"/>
      <c r="S1190" s="1022"/>
    </row>
    <row r="1191" spans="1:19" ht="15" customHeight="1">
      <c r="A1191" s="1023"/>
      <c r="B1191" s="1031"/>
      <c r="C1191" s="1029"/>
      <c r="D1191" s="1023"/>
      <c r="E1191" s="1028"/>
      <c r="F1191" s="1023"/>
      <c r="G1191" s="1023"/>
      <c r="H1191" s="1023"/>
      <c r="I1191" s="1023"/>
      <c r="J1191" s="1023"/>
      <c r="K1191" s="1022"/>
      <c r="L1191" s="1022"/>
      <c r="M1191" s="1022"/>
      <c r="N1191" s="1022"/>
      <c r="O1191" s="1022"/>
      <c r="P1191" s="1022"/>
      <c r="Q1191" s="1022"/>
      <c r="R1191" s="1022"/>
      <c r="S1191" s="1022"/>
    </row>
    <row r="1192" spans="1:19" ht="15" customHeight="1">
      <c r="A1192" s="1023"/>
      <c r="B1192" s="1030"/>
      <c r="C1192" s="1029"/>
      <c r="D1192" s="1023"/>
      <c r="E1192" s="1028"/>
      <c r="F1192" s="1023"/>
      <c r="G1192" s="1023"/>
      <c r="H1192" s="1023"/>
      <c r="I1192" s="1023"/>
      <c r="J1192" s="1023"/>
      <c r="K1192" s="1022"/>
      <c r="L1192" s="1022"/>
      <c r="M1192" s="1022"/>
      <c r="N1192" s="1022"/>
      <c r="O1192" s="1022"/>
      <c r="P1192" s="1022"/>
      <c r="Q1192" s="1022"/>
      <c r="R1192" s="1022"/>
      <c r="S1192" s="1022"/>
    </row>
    <row r="1193" spans="1:19" ht="15" customHeight="1" thickBot="1">
      <c r="A1193" s="1023"/>
      <c r="B1193" s="1027"/>
      <c r="C1193" s="1026"/>
      <c r="D1193" s="1025"/>
      <c r="E1193" s="1024"/>
      <c r="F1193" s="1023"/>
      <c r="G1193" s="1023"/>
      <c r="H1193" s="1023"/>
      <c r="I1193" s="1023"/>
      <c r="J1193" s="1023"/>
      <c r="K1193" s="1022"/>
      <c r="L1193" s="1022"/>
      <c r="M1193" s="1022"/>
      <c r="N1193" s="1022"/>
      <c r="O1193" s="1022"/>
      <c r="P1193" s="1022"/>
      <c r="Q1193" s="1022"/>
      <c r="R1193" s="1022"/>
      <c r="S1193" s="1022"/>
    </row>
  </sheetData>
  <mergeCells count="13">
    <mergeCell ref="H3:H4"/>
    <mergeCell ref="A3:A4"/>
    <mergeCell ref="B3:B4"/>
    <mergeCell ref="C3:D3"/>
    <mergeCell ref="E3:F3"/>
    <mergeCell ref="G3:G4"/>
    <mergeCell ref="S4:S5"/>
    <mergeCell ref="L3:S3"/>
    <mergeCell ref="L4:L5"/>
    <mergeCell ref="M4:M5"/>
    <mergeCell ref="N4:O4"/>
    <mergeCell ref="P4:Q4"/>
    <mergeCell ref="R4:R5"/>
  </mergeCells>
  <phoneticPr fontId="102" type="noConversion"/>
  <pageMargins left="0.75" right="0.75" top="1" bottom="1" header="0" footer="0"/>
  <pageSetup paperSize="9" scale="68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zoomScale="70" zoomScaleNormal="70" workbookViewId="0">
      <selection activeCell="D22" sqref="D22"/>
    </sheetView>
  </sheetViews>
  <sheetFormatPr defaultColWidth="14.453125" defaultRowHeight="15" customHeight="1"/>
  <cols>
    <col min="1" max="1" width="2.81640625" customWidth="1"/>
    <col min="2" max="2" width="22.453125" customWidth="1"/>
    <col min="3" max="3" width="18" customWidth="1"/>
    <col min="4" max="4" width="17.54296875" customWidth="1"/>
    <col min="5" max="5" width="21.453125" customWidth="1"/>
    <col min="6" max="6" width="17" customWidth="1"/>
    <col min="7" max="7" width="16.54296875" customWidth="1"/>
    <col min="8" max="9" width="13.453125" customWidth="1"/>
    <col min="10" max="10" width="12.54296875" customWidth="1"/>
    <col min="11" max="11" width="10.1796875" customWidth="1"/>
    <col min="12" max="12" width="9.81640625" customWidth="1"/>
    <col min="13" max="17" width="3.54296875" customWidth="1"/>
    <col min="18" max="18" width="10.453125" customWidth="1"/>
    <col min="19" max="19" width="5.1796875" customWidth="1"/>
    <col min="20" max="20" width="9.453125" customWidth="1"/>
    <col min="21" max="21" width="10.54296875" customWidth="1"/>
    <col min="22" max="22" width="5.453125" customWidth="1"/>
    <col min="23" max="23" width="33.453125" customWidth="1"/>
    <col min="24" max="26" width="6.453125" customWidth="1"/>
  </cols>
  <sheetData>
    <row r="1" spans="1:26" ht="12" customHeight="1">
      <c r="A1" s="687"/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  <c r="Y1" s="687"/>
      <c r="Z1" s="687"/>
    </row>
    <row r="2" spans="1:26" ht="12" customHeight="1">
      <c r="A2" s="688" t="s">
        <v>1319</v>
      </c>
      <c r="B2" s="689" t="s">
        <v>1320</v>
      </c>
      <c r="C2" s="687"/>
      <c r="D2" s="687"/>
      <c r="E2" s="687" t="s">
        <v>1321</v>
      </c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687"/>
      <c r="Q2" s="687"/>
      <c r="R2" s="687"/>
      <c r="S2" s="687"/>
      <c r="T2" s="687"/>
      <c r="U2" s="687"/>
      <c r="V2" s="687"/>
      <c r="W2" s="687"/>
      <c r="X2" s="687"/>
      <c r="Y2" s="687"/>
      <c r="Z2" s="687"/>
    </row>
    <row r="3" spans="1:26" ht="12" customHeight="1">
      <c r="A3" s="687"/>
      <c r="B3" s="690" t="s">
        <v>1322</v>
      </c>
      <c r="C3" s="691" t="s">
        <v>1323</v>
      </c>
      <c r="D3" s="692">
        <v>0.04</v>
      </c>
      <c r="E3" s="687" t="s">
        <v>1324</v>
      </c>
      <c r="F3" s="693"/>
      <c r="G3" s="687"/>
      <c r="H3" s="687"/>
      <c r="I3" s="687"/>
      <c r="J3" s="687"/>
      <c r="K3" s="687"/>
      <c r="L3" s="687"/>
      <c r="M3" s="687"/>
      <c r="N3" s="687"/>
      <c r="O3" s="687"/>
      <c r="P3" s="687"/>
      <c r="Q3" s="687"/>
      <c r="R3" s="687"/>
      <c r="S3" s="687"/>
      <c r="T3" s="687"/>
      <c r="U3" s="687"/>
      <c r="V3" s="687"/>
      <c r="W3" s="687"/>
      <c r="X3" s="687"/>
      <c r="Y3" s="687"/>
      <c r="Z3" s="687"/>
    </row>
    <row r="4" spans="1:26" ht="12" customHeight="1">
      <c r="A4" s="694"/>
      <c r="B4" s="695" t="s">
        <v>273</v>
      </c>
      <c r="C4" s="696" t="s">
        <v>1323</v>
      </c>
      <c r="D4" s="697">
        <v>2E-3</v>
      </c>
      <c r="E4" s="687" t="s">
        <v>1325</v>
      </c>
      <c r="F4" s="693"/>
      <c r="G4" s="687"/>
      <c r="H4" s="687"/>
      <c r="I4" s="687"/>
      <c r="J4" s="687"/>
      <c r="K4" s="687"/>
      <c r="L4" s="687"/>
      <c r="M4" s="687"/>
      <c r="N4" s="687"/>
      <c r="O4" s="687"/>
      <c r="P4" s="687"/>
      <c r="Q4" s="687"/>
      <c r="R4" s="687"/>
      <c r="S4" s="687"/>
      <c r="T4" s="687"/>
      <c r="U4" s="687"/>
      <c r="V4" s="687"/>
      <c r="W4" s="687"/>
      <c r="X4" s="687"/>
      <c r="Y4" s="687"/>
      <c r="Z4" s="687"/>
    </row>
    <row r="5" spans="1:26" ht="12" customHeight="1">
      <c r="A5" s="687"/>
      <c r="B5" s="695" t="s">
        <v>1326</v>
      </c>
      <c r="C5" s="696" t="s">
        <v>1323</v>
      </c>
      <c r="D5" s="697">
        <v>4.0000000000000001E-3</v>
      </c>
      <c r="E5" s="687" t="s">
        <v>1327</v>
      </c>
      <c r="F5" s="687"/>
      <c r="G5" s="687"/>
      <c r="H5" s="687"/>
      <c r="I5" s="687"/>
      <c r="J5" s="687"/>
      <c r="K5" s="687"/>
      <c r="L5" s="687"/>
      <c r="M5" s="687"/>
      <c r="N5" s="687"/>
      <c r="O5" s="687"/>
      <c r="P5" s="687"/>
      <c r="Q5" s="687"/>
      <c r="R5" s="687"/>
      <c r="S5" s="687"/>
      <c r="T5" s="687"/>
      <c r="U5" s="687"/>
      <c r="V5" s="687"/>
      <c r="W5" s="687"/>
      <c r="X5" s="687"/>
      <c r="Y5" s="687"/>
      <c r="Z5" s="687"/>
    </row>
    <row r="6" spans="1:26" ht="12" customHeight="1">
      <c r="A6" s="687"/>
      <c r="B6" s="698" t="s">
        <v>1328</v>
      </c>
      <c r="C6" s="699" t="s">
        <v>1323</v>
      </c>
      <c r="D6" s="700">
        <f>SUM(D3:D5)</f>
        <v>4.5999999999999999E-2</v>
      </c>
      <c r="E6" s="687"/>
      <c r="F6" s="687"/>
      <c r="G6" s="687"/>
      <c r="H6" s="687"/>
      <c r="I6" s="687"/>
      <c r="J6" s="687"/>
      <c r="K6" s="687"/>
      <c r="L6" s="687"/>
      <c r="M6" s="687"/>
      <c r="N6" s="687"/>
      <c r="O6" s="687"/>
      <c r="P6" s="687"/>
      <c r="Q6" s="687"/>
      <c r="R6" s="687"/>
      <c r="S6" s="687"/>
      <c r="T6" s="687"/>
      <c r="U6" s="687"/>
      <c r="V6" s="687"/>
      <c r="W6" s="687"/>
      <c r="X6" s="687"/>
      <c r="Y6" s="687"/>
      <c r="Z6" s="687"/>
    </row>
    <row r="7" spans="1:26" ht="12" customHeight="1">
      <c r="A7" s="687"/>
      <c r="B7" s="693" t="s">
        <v>1329</v>
      </c>
      <c r="C7" s="687"/>
      <c r="D7" s="687"/>
      <c r="E7" s="687"/>
      <c r="F7" s="687"/>
      <c r="G7" s="687"/>
      <c r="H7" s="687"/>
      <c r="I7" s="687"/>
      <c r="J7" s="687"/>
      <c r="K7" s="687"/>
      <c r="L7" s="687"/>
      <c r="M7" s="687"/>
      <c r="N7" s="687"/>
      <c r="O7" s="687"/>
      <c r="P7" s="687"/>
      <c r="Q7" s="687"/>
      <c r="R7" s="1701"/>
      <c r="S7" s="687"/>
      <c r="T7" s="687"/>
      <c r="U7" s="687"/>
      <c r="V7" s="687"/>
      <c r="W7" s="687"/>
      <c r="X7" s="687"/>
      <c r="Y7" s="687"/>
      <c r="Z7" s="687"/>
    </row>
    <row r="8" spans="1:26" ht="12" customHeight="1">
      <c r="A8" s="687"/>
      <c r="B8" s="693" t="s">
        <v>1330</v>
      </c>
      <c r="C8" s="687"/>
      <c r="D8" s="687"/>
      <c r="E8" s="687"/>
      <c r="F8" s="687"/>
      <c r="G8" s="687"/>
      <c r="H8" s="687"/>
      <c r="I8" s="687"/>
      <c r="J8" s="687"/>
      <c r="K8" s="687"/>
      <c r="L8" s="687"/>
      <c r="M8" s="687"/>
      <c r="N8" s="687"/>
      <c r="O8" s="687"/>
      <c r="P8" s="687"/>
      <c r="Q8" s="687"/>
      <c r="R8" s="1626"/>
      <c r="S8" s="687"/>
      <c r="T8" s="687"/>
      <c r="U8" s="687"/>
      <c r="V8" s="687"/>
      <c r="W8" s="687"/>
      <c r="X8" s="687"/>
      <c r="Y8" s="687"/>
      <c r="Z8" s="687"/>
    </row>
    <row r="9" spans="1:26" ht="12" customHeight="1">
      <c r="A9" s="687"/>
      <c r="B9" s="687" t="s">
        <v>1331</v>
      </c>
      <c r="C9" s="687"/>
      <c r="D9" s="687"/>
      <c r="E9" s="687"/>
      <c r="F9" s="687"/>
      <c r="G9" s="687"/>
      <c r="H9" s="687"/>
      <c r="I9" s="687"/>
      <c r="J9" s="687"/>
      <c r="K9" s="687"/>
      <c r="L9" s="687"/>
      <c r="M9" s="687"/>
      <c r="N9" s="687"/>
      <c r="O9" s="687"/>
      <c r="P9" s="687"/>
      <c r="Q9" s="687"/>
      <c r="R9" s="1626"/>
      <c r="S9" s="687"/>
      <c r="T9" s="687"/>
      <c r="U9" s="687"/>
      <c r="V9" s="687"/>
      <c r="W9" s="687"/>
      <c r="X9" s="687"/>
      <c r="Y9" s="687"/>
      <c r="Z9" s="687"/>
    </row>
    <row r="10" spans="1:26" ht="12" customHeight="1">
      <c r="A10" s="687"/>
      <c r="B10" s="687" t="s">
        <v>1332</v>
      </c>
      <c r="C10" s="687"/>
      <c r="D10" s="687"/>
      <c r="E10" s="687"/>
      <c r="F10" s="687"/>
      <c r="G10" s="687"/>
      <c r="H10" s="687"/>
      <c r="I10" s="687"/>
      <c r="J10" s="687"/>
      <c r="K10" s="687"/>
      <c r="L10" s="687"/>
      <c r="M10" s="687"/>
      <c r="N10" s="687"/>
      <c r="O10" s="687"/>
      <c r="P10" s="687"/>
      <c r="Q10" s="687"/>
      <c r="R10" s="1626"/>
      <c r="S10" s="687"/>
      <c r="T10" s="687"/>
      <c r="U10" s="687"/>
      <c r="V10" s="687"/>
      <c r="W10" s="687"/>
      <c r="X10" s="687"/>
      <c r="Y10" s="687"/>
      <c r="Z10" s="687"/>
    </row>
    <row r="11" spans="1:26" ht="12" customHeight="1">
      <c r="A11" s="687"/>
      <c r="B11" s="687"/>
      <c r="C11" s="687"/>
      <c r="D11" s="687"/>
      <c r="E11" s="687"/>
      <c r="F11" s="687"/>
      <c r="G11" s="687"/>
      <c r="H11" s="687"/>
      <c r="I11" s="687"/>
      <c r="J11" s="687"/>
      <c r="K11" s="687"/>
      <c r="L11" s="687"/>
      <c r="M11" s="687"/>
      <c r="N11" s="687"/>
      <c r="O11" s="687"/>
      <c r="P11" s="687"/>
      <c r="Q11" s="687"/>
      <c r="R11" s="1626"/>
      <c r="S11" s="687"/>
      <c r="T11" s="687"/>
      <c r="U11" s="687"/>
      <c r="V11" s="687"/>
      <c r="W11" s="687"/>
      <c r="X11" s="687"/>
      <c r="Y11" s="687"/>
      <c r="Z11" s="687"/>
    </row>
    <row r="12" spans="1:26" ht="12" customHeight="1">
      <c r="A12" s="687"/>
      <c r="B12" s="701" t="s">
        <v>1333</v>
      </c>
      <c r="C12" s="702">
        <f>사업검토!M70</f>
        <v>0</v>
      </c>
      <c r="D12" s="703" t="s">
        <v>263</v>
      </c>
      <c r="E12" s="687"/>
      <c r="F12" s="687"/>
      <c r="G12" s="687"/>
      <c r="H12" s="687"/>
      <c r="I12" s="687"/>
      <c r="J12" s="687"/>
      <c r="K12" s="687"/>
      <c r="L12" s="687"/>
      <c r="M12" s="687"/>
      <c r="N12" s="687"/>
      <c r="O12" s="687"/>
      <c r="P12" s="687"/>
      <c r="Q12" s="687"/>
      <c r="R12" s="1626"/>
      <c r="S12" s="687"/>
      <c r="T12" s="687"/>
      <c r="U12" s="687"/>
      <c r="V12" s="687"/>
      <c r="W12" s="687"/>
      <c r="X12" s="687"/>
      <c r="Y12" s="687"/>
      <c r="Z12" s="687"/>
    </row>
    <row r="13" spans="1:26" ht="12" customHeight="1">
      <c r="A13" s="687"/>
      <c r="B13" s="704" t="s">
        <v>1334</v>
      </c>
      <c r="C13" s="705">
        <f>C12*D6</f>
        <v>0</v>
      </c>
      <c r="D13" s="706" t="s">
        <v>263</v>
      </c>
      <c r="E13" s="687"/>
      <c r="F13" s="687"/>
      <c r="G13" s="687"/>
      <c r="H13" s="687"/>
      <c r="I13" s="687"/>
      <c r="J13" s="687"/>
      <c r="K13" s="687"/>
      <c r="L13" s="687"/>
      <c r="M13" s="687"/>
      <c r="N13" s="687"/>
      <c r="O13" s="687"/>
      <c r="P13" s="687"/>
      <c r="Q13" s="687"/>
      <c r="R13" s="1626"/>
      <c r="S13" s="687"/>
      <c r="T13" s="687"/>
      <c r="U13" s="687"/>
      <c r="V13" s="687"/>
      <c r="W13" s="687"/>
      <c r="X13" s="687"/>
      <c r="Y13" s="687"/>
      <c r="Z13" s="687"/>
    </row>
    <row r="14" spans="1:26" ht="12" customHeight="1">
      <c r="A14" s="687"/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687"/>
      <c r="O14" s="687"/>
      <c r="P14" s="687"/>
      <c r="Q14" s="687"/>
      <c r="R14" s="1626"/>
      <c r="S14" s="687"/>
      <c r="T14" s="687"/>
      <c r="U14" s="687"/>
      <c r="V14" s="687"/>
      <c r="W14" s="687"/>
      <c r="X14" s="687"/>
      <c r="Y14" s="687"/>
      <c r="Z14" s="687"/>
    </row>
    <row r="15" spans="1:26" ht="12" customHeight="1">
      <c r="A15" s="687"/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7"/>
      <c r="N15" s="687"/>
      <c r="O15" s="687"/>
      <c r="P15" s="687"/>
      <c r="Q15" s="687"/>
      <c r="R15" s="1626"/>
      <c r="S15" s="687"/>
      <c r="T15" s="687"/>
      <c r="U15" s="687"/>
      <c r="V15" s="687"/>
      <c r="W15" s="687"/>
      <c r="X15" s="687"/>
      <c r="Y15" s="687"/>
      <c r="Z15" s="687"/>
    </row>
    <row r="16" spans="1:26" ht="12" customHeight="1">
      <c r="A16" s="688" t="s">
        <v>1319</v>
      </c>
      <c r="B16" s="689" t="s">
        <v>1335</v>
      </c>
      <c r="C16" s="687"/>
      <c r="D16" s="687"/>
      <c r="E16" s="687"/>
      <c r="F16" s="687"/>
      <c r="G16" s="687"/>
      <c r="H16" s="687"/>
      <c r="I16" s="687"/>
      <c r="J16" s="687"/>
      <c r="K16" s="687"/>
      <c r="L16" s="687"/>
      <c r="M16" s="687"/>
      <c r="N16" s="687"/>
      <c r="O16" s="687"/>
      <c r="P16" s="687"/>
      <c r="Q16" s="687"/>
      <c r="R16" s="1626"/>
      <c r="S16" s="687"/>
      <c r="T16" s="687"/>
      <c r="U16" s="687"/>
      <c r="V16" s="687"/>
      <c r="W16" s="687"/>
      <c r="X16" s="687"/>
      <c r="Y16" s="687"/>
      <c r="Z16" s="687"/>
    </row>
    <row r="17" spans="1:26" ht="12" customHeight="1">
      <c r="A17" s="687"/>
      <c r="B17" s="687"/>
      <c r="C17" s="707"/>
      <c r="D17" s="687"/>
      <c r="E17" s="687"/>
      <c r="F17" s="687"/>
      <c r="G17" s="687"/>
      <c r="H17" s="687"/>
      <c r="I17" s="687"/>
      <c r="J17" s="687"/>
      <c r="K17" s="687"/>
      <c r="L17" s="687"/>
      <c r="M17" s="687"/>
      <c r="N17" s="687"/>
      <c r="O17" s="687"/>
      <c r="P17" s="687"/>
      <c r="Q17" s="687"/>
      <c r="R17" s="1626"/>
      <c r="S17" s="687"/>
      <c r="T17" s="687"/>
      <c r="U17" s="687"/>
      <c r="V17" s="687"/>
      <c r="W17" s="687"/>
      <c r="X17" s="687"/>
      <c r="Y17" s="687"/>
      <c r="Z17" s="687"/>
    </row>
    <row r="18" spans="1:26" ht="12" customHeight="1">
      <c r="A18" s="687"/>
      <c r="B18" s="1702" t="s">
        <v>649</v>
      </c>
      <c r="C18" s="708" t="s">
        <v>106</v>
      </c>
      <c r="D18" s="709" t="s">
        <v>199</v>
      </c>
      <c r="E18" s="687" t="s">
        <v>1336</v>
      </c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87"/>
      <c r="Q18" s="687"/>
      <c r="R18" s="1626"/>
      <c r="S18" s="687"/>
      <c r="T18" s="687"/>
      <c r="U18" s="687"/>
      <c r="V18" s="687"/>
      <c r="W18" s="687"/>
      <c r="X18" s="687"/>
      <c r="Y18" s="687"/>
      <c r="Z18" s="687"/>
    </row>
    <row r="19" spans="1:26" ht="12" customHeight="1">
      <c r="A19" s="687"/>
      <c r="B19" s="1703"/>
      <c r="C19" s="710">
        <f>토지조서!C38</f>
        <v>82.4</v>
      </c>
      <c r="D19" s="711">
        <f>토지조서!D38</f>
        <v>24.926000000000002</v>
      </c>
      <c r="E19" s="687" t="s">
        <v>1337</v>
      </c>
      <c r="F19" s="687"/>
      <c r="G19" s="687"/>
      <c r="H19" s="687"/>
      <c r="I19" s="687"/>
      <c r="J19" s="687"/>
      <c r="K19" s="687"/>
      <c r="L19" s="687"/>
      <c r="M19" s="687"/>
      <c r="N19" s="687"/>
      <c r="O19" s="687"/>
      <c r="P19" s="687"/>
      <c r="Q19" s="687"/>
      <c r="R19" s="1626"/>
      <c r="S19" s="687"/>
      <c r="T19" s="687"/>
      <c r="U19" s="687"/>
      <c r="V19" s="687"/>
      <c r="W19" s="687"/>
      <c r="X19" s="687"/>
      <c r="Y19" s="687"/>
      <c r="Z19" s="687"/>
    </row>
    <row r="20" spans="1:26" ht="12" customHeight="1">
      <c r="A20" s="687"/>
      <c r="B20" s="698" t="s">
        <v>1338</v>
      </c>
      <c r="C20" s="712">
        <f>토지조서!E38</f>
        <v>8543.75</v>
      </c>
      <c r="D20" s="712">
        <f>토지조서!F38</f>
        <v>28243.801652892562</v>
      </c>
      <c r="E20" s="713" t="s">
        <v>1339</v>
      </c>
      <c r="F20" s="687"/>
      <c r="G20" s="687"/>
      <c r="H20" s="687"/>
      <c r="I20" s="687"/>
      <c r="J20" s="687"/>
      <c r="K20" s="687"/>
      <c r="L20" s="687"/>
      <c r="M20" s="687"/>
      <c r="N20" s="687"/>
      <c r="O20" s="687"/>
      <c r="P20" s="687"/>
      <c r="Q20" s="687"/>
      <c r="R20" s="1626"/>
      <c r="S20" s="687"/>
      <c r="T20" s="687"/>
      <c r="U20" s="687"/>
      <c r="V20" s="687"/>
      <c r="W20" s="687"/>
      <c r="X20" s="687"/>
      <c r="Y20" s="687"/>
      <c r="Z20" s="687"/>
    </row>
    <row r="21" spans="1:26" ht="12" customHeight="1">
      <c r="A21" s="687"/>
      <c r="B21" s="714" t="s">
        <v>1340</v>
      </c>
      <c r="C21" s="715">
        <f>PRODUCT(C19:C20)</f>
        <v>704005</v>
      </c>
      <c r="D21" s="716">
        <f>PRODUCT(D19:D20)</f>
        <v>704005</v>
      </c>
      <c r="E21" s="713" t="s">
        <v>1341</v>
      </c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1626"/>
      <c r="S21" s="687"/>
      <c r="T21" s="687"/>
      <c r="U21" s="687"/>
      <c r="V21" s="687"/>
      <c r="W21" s="687"/>
      <c r="X21" s="687"/>
      <c r="Y21" s="687"/>
      <c r="Z21" s="687"/>
    </row>
    <row r="22" spans="1:26" ht="12" customHeight="1">
      <c r="A22" s="687"/>
      <c r="B22" s="687"/>
      <c r="C22" s="687"/>
      <c r="D22" s="687"/>
      <c r="E22" s="687"/>
      <c r="F22" s="687"/>
      <c r="G22" s="687"/>
      <c r="H22" s="687"/>
      <c r="I22" s="687"/>
      <c r="J22" s="687"/>
      <c r="K22" s="687"/>
      <c r="L22" s="687"/>
      <c r="M22" s="687"/>
      <c r="N22" s="687"/>
      <c r="O22" s="687"/>
      <c r="P22" s="687"/>
      <c r="Q22" s="687"/>
      <c r="R22" s="1626"/>
      <c r="S22" s="687"/>
      <c r="T22" s="687"/>
      <c r="U22" s="687"/>
      <c r="V22" s="687"/>
      <c r="W22" s="687"/>
      <c r="X22" s="687"/>
      <c r="Y22" s="687"/>
      <c r="Z22" s="687"/>
    </row>
    <row r="23" spans="1:26" ht="12" customHeight="1">
      <c r="A23" s="687" t="s">
        <v>1342</v>
      </c>
      <c r="B23" s="687" t="s">
        <v>266</v>
      </c>
      <c r="C23" s="687"/>
      <c r="D23" s="687"/>
      <c r="E23" s="687"/>
      <c r="F23" s="124"/>
      <c r="G23" s="687"/>
      <c r="H23" s="687"/>
      <c r="I23" s="687"/>
      <c r="J23" s="687"/>
      <c r="K23" s="687"/>
      <c r="L23" s="687"/>
      <c r="M23" s="687"/>
      <c r="N23" s="687"/>
      <c r="O23" s="687"/>
      <c r="P23" s="687"/>
      <c r="Q23" s="687"/>
      <c r="R23" s="1626"/>
      <c r="S23" s="687"/>
      <c r="T23" s="687"/>
      <c r="U23" s="687"/>
      <c r="V23" s="687"/>
      <c r="W23" s="687"/>
      <c r="X23" s="687"/>
      <c r="Y23" s="687"/>
      <c r="Z23" s="687"/>
    </row>
    <row r="24" spans="1:26" ht="12" customHeight="1">
      <c r="A24" s="687"/>
      <c r="B24" s="687"/>
      <c r="C24" s="687"/>
      <c r="D24" s="687"/>
      <c r="E24" s="687"/>
      <c r="F24" s="124"/>
      <c r="G24" s="687"/>
      <c r="H24" s="687"/>
      <c r="I24" s="687"/>
      <c r="J24" s="687"/>
      <c r="K24" s="687"/>
      <c r="L24" s="687"/>
      <c r="M24" s="687"/>
      <c r="N24" s="687"/>
      <c r="O24" s="687"/>
      <c r="P24" s="687"/>
      <c r="Q24" s="687"/>
      <c r="R24" s="1626"/>
      <c r="S24" s="687"/>
      <c r="T24" s="687"/>
      <c r="U24" s="687"/>
      <c r="V24" s="687"/>
      <c r="W24" s="687"/>
      <c r="X24" s="687"/>
      <c r="Y24" s="687"/>
      <c r="Z24" s="687"/>
    </row>
    <row r="25" spans="1:26" ht="12" customHeight="1">
      <c r="A25" s="687"/>
      <c r="B25" s="687" t="s">
        <v>1343</v>
      </c>
      <c r="C25" s="687"/>
      <c r="D25" s="687"/>
      <c r="E25" s="687"/>
      <c r="F25" s="124"/>
      <c r="G25" s="687"/>
      <c r="H25" s="687"/>
      <c r="I25" s="687"/>
      <c r="J25" s="687"/>
      <c r="K25" s="687"/>
      <c r="L25" s="687"/>
      <c r="M25" s="687"/>
      <c r="N25" s="687"/>
      <c r="O25" s="687"/>
      <c r="P25" s="687"/>
      <c r="Q25" s="687"/>
      <c r="R25" s="1626"/>
      <c r="S25" s="687"/>
      <c r="T25" s="687"/>
      <c r="U25" s="687"/>
      <c r="V25" s="687"/>
      <c r="W25" s="687"/>
      <c r="X25" s="687"/>
      <c r="Y25" s="687"/>
      <c r="Z25" s="687"/>
    </row>
    <row r="26" spans="1:26" ht="12" customHeight="1">
      <c r="A26" s="687"/>
      <c r="B26" s="687"/>
      <c r="C26" s="687"/>
      <c r="D26" s="687"/>
      <c r="E26" s="687"/>
      <c r="F26" s="124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1626"/>
      <c r="S26" s="687"/>
      <c r="T26" s="687"/>
      <c r="U26" s="687"/>
      <c r="V26" s="687"/>
      <c r="W26" s="687"/>
      <c r="X26" s="687"/>
      <c r="Y26" s="687"/>
      <c r="Z26" s="687"/>
    </row>
    <row r="27" spans="1:26" ht="12" customHeight="1">
      <c r="A27" s="687"/>
      <c r="B27" s="717" t="s">
        <v>533</v>
      </c>
      <c r="C27" s="718" t="s">
        <v>1344</v>
      </c>
      <c r="D27" s="719" t="s">
        <v>59</v>
      </c>
      <c r="E27" s="687"/>
      <c r="F27" s="124"/>
      <c r="G27" s="687"/>
      <c r="H27" s="687"/>
      <c r="I27" s="687"/>
      <c r="J27" s="687"/>
      <c r="K27" s="687"/>
      <c r="L27" s="687"/>
      <c r="M27" s="687"/>
      <c r="N27" s="687"/>
      <c r="O27" s="687"/>
      <c r="P27" s="687"/>
      <c r="Q27" s="687"/>
      <c r="R27" s="1626"/>
      <c r="S27" s="687"/>
      <c r="T27" s="687"/>
      <c r="U27" s="687"/>
      <c r="V27" s="687"/>
      <c r="W27" s="687"/>
      <c r="X27" s="687"/>
      <c r="Y27" s="687"/>
      <c r="Z27" s="687"/>
    </row>
    <row r="28" spans="1:26" ht="12" customHeight="1">
      <c r="A28" s="687"/>
      <c r="B28" s="720" t="s">
        <v>1340</v>
      </c>
      <c r="C28" s="721">
        <f>C21</f>
        <v>704005</v>
      </c>
      <c r="D28" s="722" t="s">
        <v>1345</v>
      </c>
      <c r="E28" s="687"/>
      <c r="F28" s="124"/>
      <c r="G28" s="687"/>
      <c r="H28" s="687"/>
      <c r="I28" s="687"/>
      <c r="J28" s="687"/>
      <c r="K28" s="687"/>
      <c r="L28" s="687"/>
      <c r="M28" s="687"/>
      <c r="N28" s="687"/>
      <c r="O28" s="687"/>
      <c r="P28" s="687"/>
      <c r="Q28" s="687"/>
      <c r="R28" s="1626"/>
      <c r="S28" s="687"/>
      <c r="T28" s="687"/>
      <c r="U28" s="687"/>
      <c r="V28" s="687"/>
      <c r="W28" s="687"/>
      <c r="X28" s="687"/>
      <c r="Y28" s="687"/>
      <c r="Z28" s="687"/>
    </row>
    <row r="29" spans="1:26" ht="12" customHeight="1">
      <c r="A29" s="687"/>
      <c r="B29" s="720" t="s">
        <v>1346</v>
      </c>
      <c r="C29" s="723">
        <v>0.7</v>
      </c>
      <c r="D29" s="1470" t="s">
        <v>1347</v>
      </c>
      <c r="E29" s="687"/>
      <c r="F29" s="124"/>
      <c r="G29" s="687"/>
      <c r="H29" s="687"/>
      <c r="I29" s="687"/>
      <c r="J29" s="687"/>
      <c r="K29" s="687"/>
      <c r="L29" s="687"/>
      <c r="M29" s="687"/>
      <c r="N29" s="687"/>
      <c r="O29" s="687"/>
      <c r="P29" s="687"/>
      <c r="Q29" s="687"/>
      <c r="R29" s="1626"/>
      <c r="S29" s="687"/>
      <c r="T29" s="687"/>
      <c r="U29" s="687"/>
      <c r="V29" s="687"/>
      <c r="W29" s="687"/>
      <c r="X29" s="687"/>
      <c r="Y29" s="687"/>
      <c r="Z29" s="687"/>
    </row>
    <row r="30" spans="1:26" ht="12" customHeight="1">
      <c r="A30" s="687"/>
      <c r="B30" s="720" t="s">
        <v>1348</v>
      </c>
      <c r="C30" s="724">
        <f>C28*C29</f>
        <v>492803.49999999994</v>
      </c>
      <c r="D30" s="1470" t="s">
        <v>1347</v>
      </c>
      <c r="E30" s="687"/>
      <c r="F30" s="124"/>
      <c r="G30" s="687"/>
      <c r="H30" s="687"/>
      <c r="I30" s="687"/>
      <c r="J30" s="687"/>
      <c r="K30" s="687"/>
      <c r="L30" s="687"/>
      <c r="M30" s="687"/>
      <c r="N30" s="687"/>
      <c r="O30" s="687"/>
      <c r="P30" s="687"/>
      <c r="Q30" s="687"/>
      <c r="R30" s="1626"/>
      <c r="S30" s="687"/>
      <c r="T30" s="687"/>
      <c r="U30" s="687"/>
      <c r="V30" s="687"/>
      <c r="W30" s="687"/>
      <c r="X30" s="687"/>
      <c r="Y30" s="687"/>
      <c r="Z30" s="687"/>
    </row>
    <row r="31" spans="1:26" ht="12" customHeight="1">
      <c r="A31" s="687"/>
      <c r="B31" s="725" t="s">
        <v>1349</v>
      </c>
      <c r="C31" s="726">
        <v>4.0000000000000001E-3</v>
      </c>
      <c r="D31" s="1470" t="s">
        <v>1350</v>
      </c>
      <c r="E31" s="687"/>
      <c r="F31" s="124"/>
      <c r="G31" s="687"/>
      <c r="H31" s="687"/>
      <c r="I31" s="687"/>
      <c r="J31" s="687"/>
      <c r="K31" s="687"/>
      <c r="L31" s="687"/>
      <c r="M31" s="687"/>
      <c r="N31" s="687"/>
      <c r="O31" s="687"/>
      <c r="P31" s="687"/>
      <c r="Q31" s="687"/>
      <c r="R31" s="1626"/>
      <c r="S31" s="687"/>
      <c r="T31" s="687"/>
      <c r="U31" s="687"/>
      <c r="V31" s="687"/>
      <c r="W31" s="687"/>
      <c r="X31" s="687"/>
      <c r="Y31" s="687"/>
      <c r="Z31" s="687"/>
    </row>
    <row r="32" spans="1:26" ht="12" customHeight="1">
      <c r="A32" s="687"/>
      <c r="B32" s="720" t="s">
        <v>1351</v>
      </c>
      <c r="C32" s="727">
        <f>2800+(C30-1000000)*4/1000</f>
        <v>771.21399999999971</v>
      </c>
      <c r="D32" s="1470" t="s">
        <v>1347</v>
      </c>
      <c r="E32" s="687"/>
      <c r="F32" s="124"/>
      <c r="G32" s="687"/>
      <c r="H32" s="687"/>
      <c r="I32" s="687"/>
      <c r="J32" s="687"/>
      <c r="K32" s="687"/>
      <c r="L32" s="687"/>
      <c r="M32" s="687"/>
      <c r="N32" s="687"/>
      <c r="O32" s="687"/>
      <c r="P32" s="687"/>
      <c r="Q32" s="687"/>
      <c r="R32" s="1626"/>
      <c r="S32" s="687"/>
      <c r="T32" s="687"/>
      <c r="U32" s="687"/>
      <c r="V32" s="687"/>
      <c r="W32" s="687"/>
      <c r="X32" s="687"/>
      <c r="Y32" s="687"/>
      <c r="Z32" s="687"/>
    </row>
    <row r="33" spans="1:26" ht="12" customHeight="1">
      <c r="A33" s="687"/>
      <c r="B33" s="720" t="s">
        <v>1352</v>
      </c>
      <c r="C33" s="728"/>
      <c r="D33" s="1471" t="s">
        <v>1347</v>
      </c>
      <c r="E33" s="687"/>
      <c r="F33" s="124"/>
      <c r="G33" s="687"/>
      <c r="H33" s="687"/>
      <c r="I33" s="687"/>
      <c r="J33" s="687"/>
      <c r="K33" s="687"/>
      <c r="L33" s="687"/>
      <c r="M33" s="687"/>
      <c r="N33" s="687"/>
      <c r="O33" s="687"/>
      <c r="P33" s="687"/>
      <c r="Q33" s="687"/>
      <c r="R33" s="1626"/>
      <c r="S33" s="687"/>
      <c r="T33" s="687"/>
      <c r="U33" s="687"/>
      <c r="V33" s="687"/>
      <c r="W33" s="687"/>
      <c r="X33" s="687"/>
      <c r="Y33" s="687"/>
      <c r="Z33" s="687"/>
    </row>
    <row r="34" spans="1:26" ht="12" customHeight="1">
      <c r="A34" s="687"/>
      <c r="B34" s="714" t="s">
        <v>1334</v>
      </c>
      <c r="C34" s="729">
        <f>C32-C33</f>
        <v>771.21399999999971</v>
      </c>
      <c r="D34" s="1472" t="s">
        <v>1347</v>
      </c>
      <c r="E34" s="687"/>
      <c r="F34" s="124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1626"/>
      <c r="S34" s="687"/>
      <c r="T34" s="687"/>
      <c r="U34" s="687"/>
      <c r="V34" s="687"/>
      <c r="W34" s="687"/>
      <c r="X34" s="687"/>
      <c r="Y34" s="687"/>
      <c r="Z34" s="687"/>
    </row>
    <row r="35" spans="1:26" ht="12" customHeight="1">
      <c r="A35" s="687"/>
      <c r="B35" s="687"/>
      <c r="C35" s="687"/>
      <c r="D35" s="687"/>
      <c r="E35" s="687"/>
      <c r="F35" s="124"/>
      <c r="G35" s="687"/>
      <c r="H35" s="687"/>
      <c r="I35" s="687"/>
      <c r="J35" s="687"/>
      <c r="K35" s="687"/>
      <c r="L35" s="687"/>
      <c r="M35" s="687"/>
      <c r="N35" s="687"/>
      <c r="O35" s="687"/>
      <c r="P35" s="687"/>
      <c r="Q35" s="687"/>
      <c r="R35" s="1626"/>
      <c r="S35" s="687"/>
      <c r="T35" s="687"/>
      <c r="U35" s="687"/>
      <c r="V35" s="687"/>
      <c r="W35" s="687"/>
      <c r="X35" s="687"/>
      <c r="Y35" s="687"/>
      <c r="Z35" s="687"/>
    </row>
    <row r="36" spans="1:26" ht="12" customHeight="1">
      <c r="A36" s="687" t="s">
        <v>1353</v>
      </c>
      <c r="B36" s="687" t="s">
        <v>272</v>
      </c>
      <c r="C36" s="687"/>
      <c r="D36" s="687"/>
      <c r="E36" s="687"/>
      <c r="F36" s="124"/>
      <c r="G36" s="687"/>
      <c r="H36" s="687"/>
      <c r="I36" s="687"/>
      <c r="J36" s="687"/>
      <c r="K36" s="687"/>
      <c r="L36" s="687"/>
      <c r="M36" s="687"/>
      <c r="N36" s="687"/>
      <c r="O36" s="687"/>
      <c r="P36" s="687"/>
      <c r="Q36" s="687"/>
      <c r="R36" s="1626"/>
      <c r="S36" s="687"/>
      <c r="T36" s="687"/>
      <c r="U36" s="687"/>
      <c r="V36" s="687"/>
      <c r="W36" s="687"/>
      <c r="X36" s="687"/>
      <c r="Y36" s="687"/>
      <c r="Z36" s="687"/>
    </row>
    <row r="37" spans="1:26" ht="12" customHeight="1">
      <c r="A37" s="687"/>
      <c r="B37" s="687"/>
      <c r="C37" s="687"/>
      <c r="D37" s="687"/>
      <c r="E37" s="687"/>
      <c r="F37" s="124"/>
      <c r="G37" s="687"/>
      <c r="H37" s="687"/>
      <c r="I37" s="687"/>
      <c r="J37" s="687"/>
      <c r="K37" s="687"/>
      <c r="L37" s="687"/>
      <c r="M37" s="687"/>
      <c r="N37" s="687"/>
      <c r="O37" s="687"/>
      <c r="P37" s="687"/>
      <c r="Q37" s="687"/>
      <c r="R37" s="1626"/>
      <c r="S37" s="687"/>
      <c r="T37" s="687"/>
      <c r="U37" s="687"/>
      <c r="V37" s="687"/>
      <c r="W37" s="687"/>
      <c r="X37" s="687"/>
      <c r="Y37" s="687"/>
      <c r="Z37" s="687"/>
    </row>
    <row r="38" spans="1:26" ht="12" customHeight="1">
      <c r="A38" s="687"/>
      <c r="B38" s="687" t="s">
        <v>1354</v>
      </c>
      <c r="C38" s="687"/>
      <c r="D38" s="687"/>
      <c r="E38" s="687"/>
      <c r="F38" s="124"/>
      <c r="G38" s="687"/>
      <c r="H38" s="687"/>
      <c r="I38" s="687"/>
      <c r="J38" s="687"/>
      <c r="K38" s="687"/>
      <c r="L38" s="687"/>
      <c r="M38" s="687"/>
      <c r="N38" s="687"/>
      <c r="O38" s="687"/>
      <c r="P38" s="687"/>
      <c r="Q38" s="687"/>
      <c r="R38" s="1626"/>
      <c r="S38" s="687"/>
      <c r="T38" s="687"/>
      <c r="U38" s="687"/>
      <c r="V38" s="687"/>
      <c r="W38" s="687"/>
      <c r="X38" s="687"/>
      <c r="Y38" s="687"/>
      <c r="Z38" s="687"/>
    </row>
    <row r="39" spans="1:26" ht="12" customHeight="1">
      <c r="A39" s="687"/>
      <c r="B39" s="687"/>
      <c r="C39" s="687"/>
      <c r="D39" s="687"/>
      <c r="E39" s="687"/>
      <c r="F39" s="124"/>
      <c r="G39" s="687"/>
      <c r="H39" s="687"/>
      <c r="I39" s="687"/>
      <c r="J39" s="687"/>
      <c r="K39" s="687"/>
      <c r="L39" s="687"/>
      <c r="M39" s="687"/>
      <c r="N39" s="687"/>
      <c r="O39" s="687"/>
      <c r="P39" s="687"/>
      <c r="Q39" s="687"/>
      <c r="R39" s="1626"/>
      <c r="S39" s="687"/>
      <c r="T39" s="687"/>
      <c r="U39" s="687"/>
      <c r="V39" s="687"/>
      <c r="W39" s="687"/>
      <c r="X39" s="687"/>
      <c r="Y39" s="687"/>
      <c r="Z39" s="687"/>
    </row>
    <row r="40" spans="1:26" ht="12" customHeight="1">
      <c r="A40" s="687"/>
      <c r="B40" s="717" t="s">
        <v>533</v>
      </c>
      <c r="C40" s="718" t="s">
        <v>1344</v>
      </c>
      <c r="D40" s="719" t="s">
        <v>59</v>
      </c>
      <c r="E40" s="687"/>
      <c r="F40" s="124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1626"/>
      <c r="S40" s="687"/>
      <c r="T40" s="687"/>
      <c r="U40" s="687"/>
      <c r="V40" s="687"/>
      <c r="W40" s="687"/>
      <c r="X40" s="687"/>
      <c r="Y40" s="687"/>
      <c r="Z40" s="687"/>
    </row>
    <row r="41" spans="1:26" ht="12" customHeight="1">
      <c r="A41" s="687"/>
      <c r="B41" s="720" t="s">
        <v>1340</v>
      </c>
      <c r="C41" s="721">
        <f>C21</f>
        <v>704005</v>
      </c>
      <c r="D41" s="722" t="s">
        <v>1347</v>
      </c>
      <c r="E41" s="687"/>
      <c r="F41" s="124"/>
      <c r="G41" s="687"/>
      <c r="H41" s="687"/>
      <c r="I41" s="687"/>
      <c r="J41" s="687"/>
      <c r="K41" s="687"/>
      <c r="L41" s="687"/>
      <c r="M41" s="687"/>
      <c r="N41" s="687"/>
      <c r="O41" s="687"/>
      <c r="P41" s="687"/>
      <c r="Q41" s="687"/>
      <c r="R41" s="1626"/>
      <c r="S41" s="687"/>
      <c r="T41" s="687"/>
      <c r="U41" s="687"/>
      <c r="V41" s="687"/>
      <c r="W41" s="687"/>
      <c r="X41" s="687"/>
      <c r="Y41" s="687"/>
      <c r="Z41" s="687"/>
    </row>
    <row r="42" spans="1:26" ht="12" customHeight="1">
      <c r="A42" s="687"/>
      <c r="B42" s="720" t="s">
        <v>1355</v>
      </c>
      <c r="C42" s="727">
        <v>8000000</v>
      </c>
      <c r="D42" s="1470" t="s">
        <v>1356</v>
      </c>
      <c r="E42" s="687"/>
      <c r="F42" s="124"/>
      <c r="G42" s="687"/>
      <c r="H42" s="687"/>
      <c r="I42" s="687"/>
      <c r="J42" s="687"/>
      <c r="K42" s="687"/>
      <c r="L42" s="687"/>
      <c r="M42" s="687"/>
      <c r="N42" s="687"/>
      <c r="O42" s="687"/>
      <c r="P42" s="687"/>
      <c r="Q42" s="687"/>
      <c r="R42" s="1626"/>
      <c r="S42" s="687"/>
      <c r="T42" s="687"/>
      <c r="U42" s="687"/>
      <c r="V42" s="687"/>
      <c r="W42" s="687"/>
      <c r="X42" s="687"/>
      <c r="Y42" s="687"/>
      <c r="Z42" s="687"/>
    </row>
    <row r="43" spans="1:26" ht="12" customHeight="1">
      <c r="A43" s="687"/>
      <c r="B43" s="720" t="s">
        <v>1346</v>
      </c>
      <c r="C43" s="723">
        <v>0.6</v>
      </c>
      <c r="D43" s="1470" t="s">
        <v>1347</v>
      </c>
      <c r="E43" s="687"/>
      <c r="F43" s="124"/>
      <c r="G43" s="687"/>
      <c r="H43" s="687"/>
      <c r="I43" s="687"/>
      <c r="J43" s="687"/>
      <c r="K43" s="687"/>
      <c r="L43" s="687"/>
      <c r="M43" s="687"/>
      <c r="N43" s="687"/>
      <c r="O43" s="687"/>
      <c r="P43" s="687"/>
      <c r="Q43" s="687"/>
      <c r="R43" s="1626"/>
      <c r="S43" s="687"/>
      <c r="T43" s="687"/>
      <c r="U43" s="687"/>
      <c r="V43" s="687"/>
      <c r="W43" s="687"/>
      <c r="X43" s="687"/>
      <c r="Y43" s="687"/>
      <c r="Z43" s="687"/>
    </row>
    <row r="44" spans="1:26" ht="12" customHeight="1">
      <c r="A44" s="687"/>
      <c r="B44" s="720" t="s">
        <v>1348</v>
      </c>
      <c r="C44" s="727">
        <f>(C41-C42)*C43</f>
        <v>-4377597</v>
      </c>
      <c r="D44" s="1470" t="s">
        <v>1347</v>
      </c>
      <c r="E44" s="687"/>
      <c r="F44" s="124"/>
      <c r="G44" s="687"/>
      <c r="H44" s="687"/>
      <c r="I44" s="687"/>
      <c r="J44" s="687"/>
      <c r="K44" s="687"/>
      <c r="L44" s="687"/>
      <c r="M44" s="687"/>
      <c r="N44" s="687"/>
      <c r="O44" s="687"/>
      <c r="P44" s="687"/>
      <c r="Q44" s="687"/>
      <c r="R44" s="1626"/>
      <c r="S44" s="687"/>
      <c r="T44" s="687"/>
      <c r="U44" s="687"/>
      <c r="V44" s="687"/>
      <c r="W44" s="687"/>
      <c r="X44" s="687"/>
      <c r="Y44" s="687"/>
      <c r="Z44" s="687"/>
    </row>
    <row r="45" spans="1:26" ht="12" customHeight="1">
      <c r="A45" s="687"/>
      <c r="B45" s="1704" t="s">
        <v>1349</v>
      </c>
      <c r="C45" s="728" t="s">
        <v>1357</v>
      </c>
      <c r="D45" s="1470" t="s">
        <v>1347</v>
      </c>
      <c r="E45" s="687"/>
      <c r="F45" s="124"/>
      <c r="G45" s="687"/>
      <c r="H45" s="687"/>
      <c r="I45" s="687"/>
      <c r="J45" s="687"/>
      <c r="K45" s="687"/>
      <c r="L45" s="687"/>
      <c r="M45" s="687"/>
      <c r="N45" s="687"/>
      <c r="O45" s="687"/>
      <c r="P45" s="687"/>
      <c r="Q45" s="687"/>
      <c r="R45" s="1626"/>
      <c r="S45" s="687"/>
      <c r="T45" s="687"/>
      <c r="U45" s="687"/>
      <c r="V45" s="687"/>
      <c r="W45" s="687"/>
      <c r="X45" s="687"/>
      <c r="Y45" s="687"/>
      <c r="Z45" s="687"/>
    </row>
    <row r="46" spans="1:26" ht="12" customHeight="1">
      <c r="A46" s="687"/>
      <c r="B46" s="1595"/>
      <c r="C46" s="728" t="s">
        <v>1358</v>
      </c>
      <c r="D46" s="1470" t="s">
        <v>1359</v>
      </c>
      <c r="E46" s="687"/>
      <c r="F46" s="124"/>
      <c r="G46" s="687"/>
      <c r="H46" s="687"/>
      <c r="I46" s="687"/>
      <c r="J46" s="687"/>
      <c r="K46" s="687"/>
      <c r="L46" s="687"/>
      <c r="M46" s="687"/>
      <c r="N46" s="687"/>
      <c r="O46" s="687"/>
      <c r="P46" s="687"/>
      <c r="Q46" s="687"/>
      <c r="R46" s="1626"/>
      <c r="S46" s="687"/>
      <c r="T46" s="687"/>
      <c r="U46" s="687"/>
      <c r="V46" s="687"/>
      <c r="W46" s="687"/>
      <c r="X46" s="687"/>
      <c r="Y46" s="687"/>
      <c r="Z46" s="687"/>
    </row>
    <row r="47" spans="1:26" ht="12" customHeight="1">
      <c r="A47" s="687"/>
      <c r="B47" s="1577"/>
      <c r="C47" s="728" t="s">
        <v>1360</v>
      </c>
      <c r="D47" s="1470" t="s">
        <v>1361</v>
      </c>
      <c r="E47" s="687"/>
      <c r="F47" s="124"/>
      <c r="G47" s="687"/>
      <c r="H47" s="687"/>
      <c r="I47" s="687"/>
      <c r="J47" s="687"/>
      <c r="K47" s="687"/>
      <c r="L47" s="687"/>
      <c r="M47" s="687"/>
      <c r="N47" s="687"/>
      <c r="O47" s="687"/>
      <c r="P47" s="687"/>
      <c r="Q47" s="687"/>
      <c r="R47" s="1626"/>
      <c r="S47" s="687"/>
      <c r="T47" s="687"/>
      <c r="U47" s="687"/>
      <c r="V47" s="687"/>
      <c r="W47" s="687"/>
      <c r="X47" s="687"/>
      <c r="Y47" s="687"/>
      <c r="Z47" s="687"/>
    </row>
    <row r="48" spans="1:26" ht="12" customHeight="1">
      <c r="A48" s="687"/>
      <c r="B48" s="720" t="s">
        <v>1362</v>
      </c>
      <c r="C48" s="727">
        <f>IF(C44&lt;20000000,C44*0.5%,(IF(C44&lt;40000000,C44*0.6%-20000,C44*0.7%-60000)))</f>
        <v>-21887.985000000001</v>
      </c>
      <c r="D48" s="1470" t="s">
        <v>1347</v>
      </c>
      <c r="E48" s="687"/>
      <c r="F48" s="124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1626"/>
      <c r="S48" s="687"/>
      <c r="T48" s="687"/>
      <c r="U48" s="687"/>
      <c r="V48" s="687"/>
      <c r="W48" s="687"/>
      <c r="X48" s="687"/>
      <c r="Y48" s="687"/>
      <c r="Z48" s="687"/>
    </row>
    <row r="49" spans="1:26" ht="12" customHeight="1">
      <c r="A49" s="687"/>
      <c r="B49" s="720" t="s">
        <v>1352</v>
      </c>
      <c r="C49" s="727">
        <f>C34*C30*C29*C31/C32</f>
        <v>1379.8497999999997</v>
      </c>
      <c r="D49" s="1471" t="s">
        <v>1363</v>
      </c>
      <c r="E49" s="687"/>
      <c r="F49" s="124"/>
      <c r="G49" s="687"/>
      <c r="H49" s="687"/>
      <c r="I49" s="687"/>
      <c r="J49" s="687"/>
      <c r="K49" s="687"/>
      <c r="L49" s="687"/>
      <c r="M49" s="687"/>
      <c r="N49" s="687"/>
      <c r="O49" s="687"/>
      <c r="P49" s="687"/>
      <c r="Q49" s="687"/>
      <c r="R49" s="1626"/>
      <c r="S49" s="687"/>
      <c r="T49" s="687"/>
      <c r="U49" s="687"/>
      <c r="V49" s="687"/>
      <c r="W49" s="687"/>
      <c r="X49" s="687"/>
      <c r="Y49" s="687"/>
      <c r="Z49" s="687"/>
    </row>
    <row r="50" spans="1:26" ht="12" customHeight="1">
      <c r="A50" s="687"/>
      <c r="B50" s="714" t="s">
        <v>1334</v>
      </c>
      <c r="C50" s="729">
        <f>IF((C48-C49)&lt;E460,0,(C48-C49))</f>
        <v>0</v>
      </c>
      <c r="D50" s="1472" t="s">
        <v>1347</v>
      </c>
      <c r="E50" s="687"/>
      <c r="F50" s="124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1626"/>
      <c r="S50" s="687"/>
      <c r="T50" s="687"/>
      <c r="U50" s="687"/>
      <c r="V50" s="687"/>
      <c r="W50" s="687"/>
      <c r="X50" s="687"/>
      <c r="Y50" s="687"/>
      <c r="Z50" s="687"/>
    </row>
    <row r="51" spans="1:26" ht="12" customHeight="1">
      <c r="A51" s="687"/>
      <c r="B51" s="687"/>
      <c r="C51" s="687"/>
      <c r="D51" s="687"/>
      <c r="E51" s="687"/>
      <c r="F51" s="124"/>
      <c r="G51" s="687"/>
      <c r="H51" s="687"/>
      <c r="I51" s="687"/>
      <c r="J51" s="687"/>
      <c r="K51" s="687"/>
      <c r="L51" s="687"/>
      <c r="M51" s="687"/>
      <c r="N51" s="687"/>
      <c r="O51" s="687"/>
      <c r="P51" s="687"/>
      <c r="Q51" s="687"/>
      <c r="R51" s="1626"/>
      <c r="S51" s="687"/>
      <c r="T51" s="687"/>
      <c r="U51" s="687"/>
      <c r="V51" s="687"/>
      <c r="W51" s="687"/>
      <c r="X51" s="687"/>
      <c r="Y51" s="687"/>
      <c r="Z51" s="687"/>
    </row>
    <row r="52" spans="1:26" ht="12" customHeight="1">
      <c r="A52" s="687"/>
      <c r="B52" s="687"/>
      <c r="C52" s="687"/>
      <c r="D52" s="687"/>
      <c r="E52" s="687"/>
      <c r="F52" s="124"/>
      <c r="G52" s="687"/>
      <c r="H52" s="687"/>
      <c r="I52" s="687"/>
      <c r="J52" s="687"/>
      <c r="K52" s="687"/>
      <c r="L52" s="687"/>
      <c r="M52" s="687"/>
      <c r="N52" s="687"/>
      <c r="O52" s="687"/>
      <c r="P52" s="687"/>
      <c r="Q52" s="687"/>
      <c r="R52" s="1626"/>
      <c r="S52" s="687"/>
      <c r="T52" s="687"/>
      <c r="U52" s="687"/>
      <c r="V52" s="687"/>
      <c r="W52" s="687"/>
      <c r="X52" s="687"/>
      <c r="Y52" s="687"/>
      <c r="Z52" s="687"/>
    </row>
    <row r="53" spans="1:26" ht="12" customHeight="1">
      <c r="A53" s="687"/>
      <c r="B53" s="687"/>
      <c r="C53" s="687"/>
      <c r="D53" s="687"/>
      <c r="E53" s="687"/>
      <c r="F53" s="124"/>
      <c r="G53" s="687"/>
      <c r="H53" s="687"/>
      <c r="I53" s="687"/>
      <c r="J53" s="687"/>
      <c r="K53" s="687"/>
      <c r="L53" s="687"/>
      <c r="M53" s="687"/>
      <c r="N53" s="687"/>
      <c r="O53" s="687"/>
      <c r="P53" s="687"/>
      <c r="Q53" s="687"/>
      <c r="R53" s="1626"/>
      <c r="S53" s="687"/>
      <c r="T53" s="687"/>
      <c r="U53" s="687"/>
      <c r="V53" s="687"/>
      <c r="W53" s="687"/>
      <c r="X53" s="687"/>
      <c r="Y53" s="687"/>
      <c r="Z53" s="687"/>
    </row>
    <row r="54" spans="1:26" ht="12" customHeight="1">
      <c r="A54" s="687"/>
      <c r="B54" s="687"/>
      <c r="C54" s="687"/>
      <c r="D54" s="687"/>
      <c r="E54" s="687"/>
      <c r="F54" s="124"/>
      <c r="G54" s="687"/>
      <c r="H54" s="687"/>
      <c r="I54" s="687"/>
      <c r="J54" s="687"/>
      <c r="K54" s="687"/>
      <c r="L54" s="687"/>
      <c r="M54" s="687"/>
      <c r="N54" s="687"/>
      <c r="O54" s="687"/>
      <c r="P54" s="687"/>
      <c r="Q54" s="687"/>
      <c r="R54" s="1626"/>
      <c r="S54" s="687"/>
      <c r="T54" s="687"/>
      <c r="U54" s="687"/>
      <c r="V54" s="687"/>
      <c r="W54" s="687"/>
      <c r="X54" s="687"/>
      <c r="Y54" s="687"/>
      <c r="Z54" s="687"/>
    </row>
    <row r="55" spans="1:26" ht="12" customHeight="1">
      <c r="A55" s="687"/>
      <c r="B55" s="687"/>
      <c r="C55" s="687"/>
      <c r="D55" s="687"/>
      <c r="E55" s="687"/>
      <c r="F55" s="124"/>
      <c r="G55" s="687"/>
      <c r="H55" s="687"/>
      <c r="I55" s="687"/>
      <c r="J55" s="687"/>
      <c r="K55" s="687"/>
      <c r="L55" s="687"/>
      <c r="M55" s="687"/>
      <c r="N55" s="687"/>
      <c r="O55" s="687"/>
      <c r="P55" s="687"/>
      <c r="Q55" s="687"/>
      <c r="R55" s="1626"/>
      <c r="S55" s="687"/>
      <c r="T55" s="687"/>
      <c r="U55" s="687"/>
      <c r="V55" s="687"/>
      <c r="W55" s="687"/>
      <c r="X55" s="687"/>
      <c r="Y55" s="687"/>
      <c r="Z55" s="687"/>
    </row>
    <row r="56" spans="1:26" ht="12" customHeight="1">
      <c r="A56" s="687"/>
      <c r="B56" s="687"/>
      <c r="C56" s="687"/>
      <c r="D56" s="687"/>
      <c r="E56" s="687"/>
      <c r="F56" s="124"/>
      <c r="G56" s="687"/>
      <c r="H56" s="687"/>
      <c r="I56" s="687"/>
      <c r="J56" s="687"/>
      <c r="K56" s="687"/>
      <c r="L56" s="687"/>
      <c r="M56" s="687"/>
      <c r="N56" s="687"/>
      <c r="O56" s="687"/>
      <c r="P56" s="687"/>
      <c r="Q56" s="687"/>
      <c r="R56" s="1626"/>
      <c r="S56" s="687"/>
      <c r="T56" s="687"/>
      <c r="U56" s="687"/>
      <c r="V56" s="687"/>
      <c r="W56" s="687"/>
      <c r="X56" s="687"/>
      <c r="Y56" s="687"/>
      <c r="Z56" s="687"/>
    </row>
    <row r="57" spans="1:26" ht="12" customHeight="1">
      <c r="A57" s="687"/>
      <c r="B57" s="687"/>
      <c r="C57" s="687"/>
      <c r="D57" s="687"/>
      <c r="E57" s="687"/>
      <c r="F57" s="124"/>
      <c r="G57" s="687"/>
      <c r="H57" s="687"/>
      <c r="I57" s="687"/>
      <c r="J57" s="687"/>
      <c r="K57" s="687"/>
      <c r="L57" s="687"/>
      <c r="M57" s="687"/>
      <c r="N57" s="687"/>
      <c r="O57" s="687"/>
      <c r="P57" s="687"/>
      <c r="Q57" s="687"/>
      <c r="R57" s="1626"/>
      <c r="S57" s="687"/>
      <c r="T57" s="687"/>
      <c r="U57" s="687"/>
      <c r="V57" s="687"/>
      <c r="W57" s="687"/>
      <c r="X57" s="687"/>
      <c r="Y57" s="687"/>
      <c r="Z57" s="687"/>
    </row>
    <row r="58" spans="1:26" ht="12" customHeight="1">
      <c r="A58" s="687"/>
      <c r="B58" s="687"/>
      <c r="C58" s="687"/>
      <c r="D58" s="687"/>
      <c r="E58" s="687"/>
      <c r="F58" s="124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1626"/>
      <c r="S58" s="687"/>
      <c r="T58" s="687"/>
      <c r="U58" s="687"/>
      <c r="V58" s="687"/>
      <c r="W58" s="687"/>
      <c r="X58" s="687"/>
      <c r="Y58" s="687"/>
      <c r="Z58" s="687"/>
    </row>
    <row r="59" spans="1:26" ht="12" customHeight="1">
      <c r="A59" s="687"/>
      <c r="B59" s="687"/>
      <c r="C59" s="687"/>
      <c r="D59" s="687"/>
      <c r="E59" s="687"/>
      <c r="F59" s="124"/>
      <c r="G59" s="687"/>
      <c r="H59" s="687"/>
      <c r="I59" s="687"/>
      <c r="J59" s="687"/>
      <c r="K59" s="687"/>
      <c r="L59" s="687"/>
      <c r="M59" s="687"/>
      <c r="N59" s="687"/>
      <c r="O59" s="687"/>
      <c r="P59" s="687"/>
      <c r="Q59" s="687"/>
      <c r="R59" s="1626"/>
      <c r="S59" s="687"/>
      <c r="T59" s="687"/>
      <c r="U59" s="687"/>
      <c r="V59" s="687"/>
      <c r="W59" s="687"/>
      <c r="X59" s="687"/>
      <c r="Y59" s="687"/>
      <c r="Z59" s="687"/>
    </row>
    <row r="60" spans="1:26" ht="12" customHeight="1">
      <c r="A60" s="687"/>
      <c r="B60" s="687"/>
      <c r="C60" s="687"/>
      <c r="D60" s="687"/>
      <c r="E60" s="687"/>
      <c r="F60" s="124"/>
      <c r="G60" s="687"/>
      <c r="H60" s="687"/>
      <c r="I60" s="687"/>
      <c r="J60" s="687"/>
      <c r="K60" s="687"/>
      <c r="L60" s="687"/>
      <c r="M60" s="687"/>
      <c r="N60" s="687"/>
      <c r="O60" s="687"/>
      <c r="P60" s="687"/>
      <c r="Q60" s="687"/>
      <c r="R60" s="1626"/>
      <c r="S60" s="687"/>
      <c r="T60" s="687"/>
      <c r="U60" s="687"/>
      <c r="V60" s="687"/>
      <c r="W60" s="687"/>
      <c r="X60" s="687"/>
      <c r="Y60" s="687"/>
      <c r="Z60" s="687"/>
    </row>
    <row r="61" spans="1:26" ht="12" customHeight="1">
      <c r="A61" s="687"/>
      <c r="B61" s="687"/>
      <c r="C61" s="687"/>
      <c r="D61" s="687"/>
      <c r="E61" s="687"/>
      <c r="F61" s="124"/>
      <c r="G61" s="687"/>
      <c r="H61" s="687"/>
      <c r="I61" s="687"/>
      <c r="J61" s="687"/>
      <c r="K61" s="687"/>
      <c r="L61" s="687"/>
      <c r="M61" s="687"/>
      <c r="N61" s="687"/>
      <c r="O61" s="687"/>
      <c r="P61" s="687"/>
      <c r="Q61" s="687"/>
      <c r="R61" s="1626"/>
      <c r="S61" s="687"/>
      <c r="T61" s="687"/>
      <c r="U61" s="687"/>
      <c r="V61" s="687"/>
      <c r="W61" s="687"/>
      <c r="X61" s="687"/>
      <c r="Y61" s="687"/>
      <c r="Z61" s="687"/>
    </row>
    <row r="62" spans="1:26" ht="12" customHeight="1">
      <c r="A62" s="687"/>
      <c r="B62" s="687"/>
      <c r="C62" s="687"/>
      <c r="D62" s="687"/>
      <c r="E62" s="687"/>
      <c r="F62" s="124"/>
      <c r="G62" s="687"/>
      <c r="H62" s="687"/>
      <c r="I62" s="687"/>
      <c r="J62" s="687"/>
      <c r="K62" s="687"/>
      <c r="L62" s="687"/>
      <c r="M62" s="687"/>
      <c r="N62" s="687"/>
      <c r="O62" s="687"/>
      <c r="P62" s="687"/>
      <c r="Q62" s="687"/>
      <c r="R62" s="1626"/>
      <c r="S62" s="687"/>
      <c r="T62" s="687"/>
      <c r="U62" s="687"/>
      <c r="V62" s="687"/>
      <c r="W62" s="687"/>
      <c r="X62" s="687"/>
      <c r="Y62" s="687"/>
      <c r="Z62" s="687"/>
    </row>
    <row r="63" spans="1:26" ht="12" customHeight="1">
      <c r="A63" s="687"/>
      <c r="B63" s="687"/>
      <c r="C63" s="687"/>
      <c r="D63" s="687"/>
      <c r="E63" s="687"/>
      <c r="F63" s="124"/>
      <c r="G63" s="687"/>
      <c r="H63" s="687"/>
      <c r="I63" s="687"/>
      <c r="J63" s="687"/>
      <c r="K63" s="687"/>
      <c r="L63" s="687"/>
      <c r="M63" s="687"/>
      <c r="N63" s="687"/>
      <c r="O63" s="687"/>
      <c r="P63" s="687"/>
      <c r="Q63" s="687"/>
      <c r="R63" s="1626"/>
      <c r="S63" s="687"/>
      <c r="T63" s="687"/>
      <c r="U63" s="687"/>
      <c r="V63" s="687"/>
      <c r="W63" s="687"/>
      <c r="X63" s="687"/>
      <c r="Y63" s="687"/>
      <c r="Z63" s="687"/>
    </row>
    <row r="64" spans="1:26" ht="12" customHeight="1">
      <c r="A64" s="687"/>
      <c r="B64" s="687"/>
      <c r="C64" s="687"/>
      <c r="D64" s="687"/>
      <c r="E64" s="687"/>
      <c r="F64" s="124"/>
      <c r="G64" s="687"/>
      <c r="H64" s="687"/>
      <c r="I64" s="687"/>
      <c r="J64" s="687"/>
      <c r="K64" s="687"/>
      <c r="L64" s="687"/>
      <c r="M64" s="687"/>
      <c r="N64" s="687"/>
      <c r="O64" s="687"/>
      <c r="P64" s="687"/>
      <c r="Q64" s="687"/>
      <c r="R64" s="1626"/>
      <c r="S64" s="687"/>
      <c r="T64" s="687"/>
      <c r="U64" s="687"/>
      <c r="V64" s="687"/>
      <c r="W64" s="687"/>
      <c r="X64" s="687"/>
      <c r="Y64" s="687"/>
      <c r="Z64" s="687"/>
    </row>
    <row r="65" spans="1:26" ht="12" customHeight="1">
      <c r="A65" s="687"/>
      <c r="B65" s="687"/>
      <c r="C65" s="687"/>
      <c r="D65" s="687"/>
      <c r="E65" s="687"/>
      <c r="F65" s="124"/>
      <c r="G65" s="687"/>
      <c r="H65" s="687"/>
      <c r="I65" s="687"/>
      <c r="J65" s="687"/>
      <c r="K65" s="687"/>
      <c r="L65" s="687"/>
      <c r="M65" s="687"/>
      <c r="N65" s="687"/>
      <c r="O65" s="687"/>
      <c r="P65" s="687"/>
      <c r="Q65" s="687"/>
      <c r="R65" s="1626"/>
      <c r="S65" s="687"/>
      <c r="T65" s="687"/>
      <c r="U65" s="687"/>
      <c r="V65" s="687"/>
      <c r="W65" s="687"/>
      <c r="X65" s="687"/>
      <c r="Y65" s="687"/>
      <c r="Z65" s="687"/>
    </row>
    <row r="66" spans="1:26" ht="12" customHeight="1">
      <c r="A66" s="687"/>
      <c r="B66" s="687"/>
      <c r="C66" s="687"/>
      <c r="D66" s="687"/>
      <c r="E66" s="687"/>
      <c r="F66" s="124"/>
      <c r="G66" s="687"/>
      <c r="H66" s="687"/>
      <c r="I66" s="687"/>
      <c r="J66" s="687"/>
      <c r="K66" s="687"/>
      <c r="L66" s="687"/>
      <c r="M66" s="687"/>
      <c r="N66" s="687"/>
      <c r="O66" s="687"/>
      <c r="P66" s="687"/>
      <c r="Q66" s="687"/>
      <c r="R66" s="1626"/>
      <c r="S66" s="687"/>
      <c r="T66" s="687"/>
      <c r="U66" s="687"/>
      <c r="V66" s="687"/>
      <c r="W66" s="687"/>
      <c r="X66" s="687"/>
      <c r="Y66" s="687"/>
      <c r="Z66" s="687"/>
    </row>
    <row r="67" spans="1:26" ht="12" customHeight="1">
      <c r="A67" s="687"/>
      <c r="B67" s="687"/>
      <c r="C67" s="687"/>
      <c r="D67" s="687"/>
      <c r="E67" s="687"/>
      <c r="F67" s="124"/>
      <c r="G67" s="687"/>
      <c r="H67" s="687"/>
      <c r="I67" s="687"/>
      <c r="J67" s="687"/>
      <c r="K67" s="687"/>
      <c r="L67" s="687"/>
      <c r="M67" s="687"/>
      <c r="N67" s="687"/>
      <c r="O67" s="687"/>
      <c r="P67" s="687"/>
      <c r="Q67" s="687"/>
      <c r="R67" s="1626"/>
      <c r="S67" s="687"/>
      <c r="T67" s="687"/>
      <c r="U67" s="687"/>
      <c r="V67" s="687"/>
      <c r="W67" s="687"/>
      <c r="X67" s="687"/>
      <c r="Y67" s="687"/>
      <c r="Z67" s="687"/>
    </row>
    <row r="68" spans="1:26" ht="12" customHeight="1">
      <c r="A68" s="687"/>
      <c r="B68" s="687"/>
      <c r="C68" s="687"/>
      <c r="D68" s="687"/>
      <c r="E68" s="687"/>
      <c r="F68" s="124"/>
      <c r="G68" s="687"/>
      <c r="H68" s="687"/>
      <c r="I68" s="687"/>
      <c r="J68" s="687"/>
      <c r="K68" s="687"/>
      <c r="L68" s="687"/>
      <c r="M68" s="687"/>
      <c r="N68" s="687"/>
      <c r="O68" s="687"/>
      <c r="P68" s="687"/>
      <c r="Q68" s="687"/>
      <c r="R68" s="1626"/>
      <c r="S68" s="687"/>
      <c r="T68" s="687"/>
      <c r="U68" s="687"/>
      <c r="V68" s="687"/>
      <c r="W68" s="687"/>
      <c r="X68" s="687"/>
      <c r="Y68" s="687"/>
      <c r="Z68" s="687"/>
    </row>
    <row r="69" spans="1:26" ht="12" customHeight="1">
      <c r="A69" s="687"/>
      <c r="B69" s="687"/>
      <c r="C69" s="687"/>
      <c r="D69" s="687"/>
      <c r="E69" s="687"/>
      <c r="F69" s="124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1626"/>
      <c r="S69" s="687"/>
      <c r="T69" s="687"/>
      <c r="U69" s="687"/>
      <c r="V69" s="687"/>
      <c r="W69" s="687"/>
      <c r="X69" s="687"/>
      <c r="Y69" s="687"/>
      <c r="Z69" s="687"/>
    </row>
    <row r="70" spans="1:26" ht="12" customHeight="1">
      <c r="A70" s="687"/>
      <c r="B70" s="687"/>
      <c r="C70" s="687"/>
      <c r="D70" s="687"/>
      <c r="E70" s="687"/>
      <c r="F70" s="124"/>
      <c r="G70" s="687"/>
      <c r="H70" s="687"/>
      <c r="I70" s="687"/>
      <c r="J70" s="687"/>
      <c r="K70" s="687"/>
      <c r="L70" s="687"/>
      <c r="M70" s="687"/>
      <c r="N70" s="687"/>
      <c r="O70" s="687"/>
      <c r="P70" s="687"/>
      <c r="Q70" s="687"/>
      <c r="R70" s="1626"/>
      <c r="S70" s="687"/>
      <c r="T70" s="687"/>
      <c r="U70" s="687"/>
      <c r="V70" s="687"/>
      <c r="W70" s="687"/>
      <c r="X70" s="687"/>
      <c r="Y70" s="687"/>
      <c r="Z70" s="687"/>
    </row>
    <row r="71" spans="1:26" ht="12" customHeight="1">
      <c r="A71" s="687"/>
      <c r="B71" s="687"/>
      <c r="C71" s="687"/>
      <c r="D71" s="687"/>
      <c r="E71" s="687"/>
      <c r="F71" s="730"/>
      <c r="G71" s="687"/>
      <c r="H71" s="687"/>
      <c r="I71" s="687"/>
      <c r="J71" s="687"/>
      <c r="K71" s="687"/>
      <c r="L71" s="687"/>
      <c r="M71" s="687"/>
      <c r="N71" s="687"/>
      <c r="O71" s="687"/>
      <c r="P71" s="687"/>
      <c r="Q71" s="687"/>
      <c r="R71" s="1626"/>
      <c r="S71" s="687"/>
      <c r="T71" s="687"/>
      <c r="U71" s="687"/>
      <c r="V71" s="687"/>
      <c r="W71" s="687"/>
      <c r="X71" s="687"/>
      <c r="Y71" s="687"/>
      <c r="Z71" s="687"/>
    </row>
    <row r="72" spans="1:26" ht="12" customHeight="1">
      <c r="A72" s="687"/>
      <c r="B72" s="687"/>
      <c r="C72" s="687"/>
      <c r="D72" s="687"/>
      <c r="E72" s="687"/>
      <c r="F72" s="687"/>
      <c r="G72" s="687"/>
      <c r="H72" s="687"/>
      <c r="I72" s="687"/>
      <c r="J72" s="687"/>
      <c r="K72" s="687"/>
      <c r="L72" s="687"/>
      <c r="M72" s="687"/>
      <c r="N72" s="687"/>
      <c r="O72" s="687"/>
      <c r="P72" s="687"/>
      <c r="Q72" s="687"/>
      <c r="R72" s="1626"/>
      <c r="S72" s="687"/>
      <c r="T72" s="687"/>
      <c r="U72" s="687"/>
      <c r="V72" s="687"/>
      <c r="W72" s="687"/>
      <c r="X72" s="687"/>
      <c r="Y72" s="687"/>
      <c r="Z72" s="687"/>
    </row>
    <row r="73" spans="1:26" ht="12" customHeight="1">
      <c r="A73" s="687"/>
      <c r="B73" s="687"/>
      <c r="C73" s="687"/>
      <c r="D73" s="687"/>
      <c r="E73" s="687"/>
      <c r="F73" s="687"/>
      <c r="G73" s="687"/>
      <c r="H73" s="687"/>
      <c r="I73" s="687"/>
      <c r="J73" s="687"/>
      <c r="K73" s="687"/>
      <c r="L73" s="687"/>
      <c r="M73" s="687"/>
      <c r="N73" s="687"/>
      <c r="O73" s="687"/>
      <c r="P73" s="687"/>
      <c r="Q73" s="687"/>
      <c r="R73" s="1626"/>
      <c r="S73" s="687"/>
      <c r="T73" s="687"/>
      <c r="U73" s="687"/>
      <c r="V73" s="687"/>
      <c r="W73" s="687"/>
      <c r="X73" s="687"/>
      <c r="Y73" s="687"/>
      <c r="Z73" s="687"/>
    </row>
    <row r="74" spans="1:26" ht="12" customHeight="1">
      <c r="A74" s="687"/>
      <c r="B74" s="687"/>
      <c r="C74" s="687"/>
      <c r="D74" s="687"/>
      <c r="E74" s="687"/>
      <c r="F74" s="687"/>
      <c r="G74" s="687"/>
      <c r="H74" s="687"/>
      <c r="I74" s="687"/>
      <c r="J74" s="687"/>
      <c r="K74" s="687"/>
      <c r="L74" s="687"/>
      <c r="M74" s="687"/>
      <c r="N74" s="687"/>
      <c r="O74" s="687"/>
      <c r="P74" s="687"/>
      <c r="Q74" s="687"/>
      <c r="R74" s="1626"/>
      <c r="S74" s="687"/>
      <c r="T74" s="687"/>
      <c r="U74" s="687"/>
      <c r="V74" s="687"/>
      <c r="W74" s="687"/>
      <c r="X74" s="687"/>
      <c r="Y74" s="687"/>
      <c r="Z74" s="687"/>
    </row>
    <row r="75" spans="1:26" ht="12" customHeight="1">
      <c r="A75" s="687"/>
      <c r="B75" s="687"/>
      <c r="C75" s="687"/>
      <c r="D75" s="687"/>
      <c r="E75" s="687"/>
      <c r="F75" s="687"/>
      <c r="G75" s="687"/>
      <c r="H75" s="687"/>
      <c r="I75" s="687"/>
      <c r="J75" s="687"/>
      <c r="K75" s="731"/>
      <c r="L75" s="731"/>
      <c r="M75" s="731"/>
      <c r="N75" s="687"/>
      <c r="O75" s="687"/>
      <c r="P75" s="687"/>
      <c r="Q75" s="687"/>
      <c r="R75" s="687"/>
      <c r="S75" s="687"/>
      <c r="T75" s="687"/>
      <c r="U75" s="687"/>
      <c r="V75" s="687"/>
      <c r="W75" s="1701"/>
      <c r="X75" s="687"/>
      <c r="Y75" s="687"/>
      <c r="Z75" s="687"/>
    </row>
    <row r="76" spans="1:26" ht="12" customHeight="1">
      <c r="A76" s="687"/>
      <c r="B76" s="687"/>
      <c r="C76" s="687"/>
      <c r="D76" s="687"/>
      <c r="E76" s="687"/>
      <c r="F76" s="687"/>
      <c r="G76" s="687"/>
      <c r="H76" s="687"/>
      <c r="I76" s="687"/>
      <c r="J76" s="687"/>
      <c r="K76" s="731"/>
      <c r="L76" s="731"/>
      <c r="M76" s="731"/>
      <c r="N76" s="687"/>
      <c r="O76" s="687"/>
      <c r="P76" s="687"/>
      <c r="Q76" s="687"/>
      <c r="R76" s="687"/>
      <c r="S76" s="687"/>
      <c r="T76" s="687"/>
      <c r="U76" s="687"/>
      <c r="V76" s="687"/>
      <c r="W76" s="1626"/>
      <c r="X76" s="687"/>
      <c r="Y76" s="687"/>
      <c r="Z76" s="687"/>
    </row>
    <row r="77" spans="1:26" ht="12" customHeight="1">
      <c r="A77" s="687"/>
      <c r="B77" s="687"/>
      <c r="C77" s="687"/>
      <c r="D77" s="687"/>
      <c r="E77" s="687"/>
      <c r="F77" s="687"/>
      <c r="G77" s="687"/>
      <c r="H77" s="687"/>
      <c r="I77" s="687"/>
      <c r="J77" s="687"/>
      <c r="K77" s="731"/>
      <c r="L77" s="731"/>
      <c r="M77" s="731"/>
      <c r="N77" s="687"/>
      <c r="O77" s="687"/>
      <c r="P77" s="687"/>
      <c r="Q77" s="687"/>
      <c r="R77" s="687"/>
      <c r="S77" s="687"/>
      <c r="T77" s="687"/>
      <c r="U77" s="687"/>
      <c r="V77" s="687"/>
      <c r="W77" s="1626"/>
      <c r="X77" s="687"/>
      <c r="Y77" s="687"/>
      <c r="Z77" s="687"/>
    </row>
    <row r="78" spans="1:26" ht="12" customHeight="1">
      <c r="A78" s="687"/>
      <c r="B78" s="687"/>
      <c r="C78" s="687"/>
      <c r="D78" s="687"/>
      <c r="E78" s="687"/>
      <c r="F78" s="687"/>
      <c r="G78" s="687"/>
      <c r="H78" s="687"/>
      <c r="I78" s="687"/>
      <c r="J78" s="687"/>
      <c r="K78" s="731"/>
      <c r="L78" s="731"/>
      <c r="M78" s="731"/>
      <c r="N78" s="687"/>
      <c r="O78" s="687"/>
      <c r="P78" s="687"/>
      <c r="Q78" s="687"/>
      <c r="R78" s="687"/>
      <c r="S78" s="687"/>
      <c r="T78" s="687"/>
      <c r="U78" s="687"/>
      <c r="V78" s="687"/>
      <c r="W78" s="1626"/>
      <c r="X78" s="687"/>
      <c r="Y78" s="687"/>
      <c r="Z78" s="687"/>
    </row>
    <row r="79" spans="1:26" ht="12" customHeight="1">
      <c r="A79" s="687"/>
      <c r="B79" s="687"/>
      <c r="C79" s="687"/>
      <c r="D79" s="687"/>
      <c r="E79" s="687"/>
      <c r="F79" s="687"/>
      <c r="G79" s="687"/>
      <c r="H79" s="687"/>
      <c r="I79" s="687"/>
      <c r="J79" s="687"/>
      <c r="K79" s="731"/>
      <c r="L79" s="731"/>
      <c r="M79" s="731"/>
      <c r="N79" s="687"/>
      <c r="O79" s="687"/>
      <c r="P79" s="687"/>
      <c r="Q79" s="687"/>
      <c r="R79" s="687"/>
      <c r="S79" s="687"/>
      <c r="T79" s="687"/>
      <c r="U79" s="687"/>
      <c r="V79" s="687"/>
      <c r="W79" s="1626"/>
      <c r="X79" s="687"/>
      <c r="Y79" s="687"/>
      <c r="Z79" s="687"/>
    </row>
    <row r="80" spans="1:26" ht="12" customHeight="1">
      <c r="A80" s="687"/>
      <c r="B80" s="687"/>
      <c r="C80" s="687"/>
      <c r="D80" s="687"/>
      <c r="E80" s="687"/>
      <c r="F80" s="687"/>
      <c r="G80" s="687"/>
      <c r="H80" s="687"/>
      <c r="I80" s="687"/>
      <c r="J80" s="687"/>
      <c r="K80" s="731"/>
      <c r="L80" s="731"/>
      <c r="M80" s="731"/>
      <c r="N80" s="687"/>
      <c r="O80" s="687"/>
      <c r="P80" s="687"/>
      <c r="Q80" s="687"/>
      <c r="R80" s="687"/>
      <c r="S80" s="687"/>
      <c r="T80" s="687"/>
      <c r="U80" s="687"/>
      <c r="V80" s="687"/>
      <c r="W80" s="1626"/>
      <c r="X80" s="687"/>
      <c r="Y80" s="687"/>
      <c r="Z80" s="687"/>
    </row>
    <row r="81" spans="1:26" ht="12" customHeight="1">
      <c r="A81" s="687"/>
      <c r="B81" s="687"/>
      <c r="C81" s="687"/>
      <c r="D81" s="687"/>
      <c r="E81" s="687"/>
      <c r="F81" s="687"/>
      <c r="G81" s="687"/>
      <c r="H81" s="687"/>
      <c r="I81" s="687"/>
      <c r="J81" s="687"/>
      <c r="K81" s="731"/>
      <c r="L81" s="731"/>
      <c r="M81" s="731"/>
      <c r="N81" s="687"/>
      <c r="O81" s="687"/>
      <c r="P81" s="687"/>
      <c r="Q81" s="687"/>
      <c r="R81" s="687"/>
      <c r="S81" s="687"/>
      <c r="T81" s="687"/>
      <c r="U81" s="687"/>
      <c r="V81" s="687"/>
      <c r="W81" s="1626"/>
      <c r="X81" s="687"/>
      <c r="Y81" s="687"/>
      <c r="Z81" s="687"/>
    </row>
    <row r="82" spans="1:26" ht="12" customHeight="1">
      <c r="A82" s="687"/>
      <c r="B82" s="687"/>
      <c r="C82" s="687"/>
      <c r="D82" s="687"/>
      <c r="E82" s="687"/>
      <c r="F82" s="687"/>
      <c r="G82" s="687"/>
      <c r="H82" s="687"/>
      <c r="I82" s="687"/>
      <c r="J82" s="687"/>
      <c r="K82" s="731"/>
      <c r="L82" s="731"/>
      <c r="M82" s="731"/>
      <c r="N82" s="687"/>
      <c r="O82" s="687"/>
      <c r="P82" s="687"/>
      <c r="Q82" s="687"/>
      <c r="R82" s="687"/>
      <c r="S82" s="687"/>
      <c r="T82" s="687"/>
      <c r="U82" s="687"/>
      <c r="V82" s="687"/>
      <c r="W82" s="1626"/>
      <c r="X82" s="687"/>
      <c r="Y82" s="687"/>
      <c r="Z82" s="687"/>
    </row>
    <row r="83" spans="1:26" ht="12" customHeight="1">
      <c r="A83" s="687"/>
      <c r="B83" s="687"/>
      <c r="C83" s="687"/>
      <c r="D83" s="687"/>
      <c r="E83" s="687"/>
      <c r="F83" s="687"/>
      <c r="G83" s="687"/>
      <c r="H83" s="687"/>
      <c r="I83" s="687"/>
      <c r="J83" s="687"/>
      <c r="K83" s="731"/>
      <c r="L83" s="731"/>
      <c r="M83" s="731"/>
      <c r="N83" s="687"/>
      <c r="O83" s="687"/>
      <c r="P83" s="687"/>
      <c r="Q83" s="687"/>
      <c r="R83" s="687"/>
      <c r="S83" s="687"/>
      <c r="T83" s="687"/>
      <c r="U83" s="687"/>
      <c r="V83" s="687"/>
      <c r="W83" s="1626"/>
      <c r="X83" s="687"/>
      <c r="Y83" s="687"/>
      <c r="Z83" s="687"/>
    </row>
    <row r="84" spans="1:26" ht="12" customHeight="1">
      <c r="A84" s="687"/>
      <c r="B84" s="687"/>
      <c r="C84" s="687"/>
      <c r="D84" s="687"/>
      <c r="E84" s="687"/>
      <c r="F84" s="687"/>
      <c r="G84" s="687"/>
      <c r="H84" s="687"/>
      <c r="I84" s="687"/>
      <c r="J84" s="687"/>
      <c r="K84" s="731"/>
      <c r="L84" s="731"/>
      <c r="M84" s="731"/>
      <c r="N84" s="687"/>
      <c r="O84" s="687"/>
      <c r="P84" s="687"/>
      <c r="Q84" s="687"/>
      <c r="R84" s="687"/>
      <c r="S84" s="687"/>
      <c r="T84" s="687"/>
      <c r="U84" s="687"/>
      <c r="V84" s="687"/>
      <c r="W84" s="1626"/>
      <c r="X84" s="687"/>
      <c r="Y84" s="687"/>
      <c r="Z84" s="687"/>
    </row>
    <row r="85" spans="1:26" ht="12" customHeight="1">
      <c r="A85" s="688" t="s">
        <v>1319</v>
      </c>
      <c r="B85" s="732" t="s">
        <v>1364</v>
      </c>
      <c r="C85" s="687"/>
      <c r="D85" s="733" t="s">
        <v>1365</v>
      </c>
      <c r="E85" s="1473"/>
      <c r="F85" s="687"/>
      <c r="G85" s="687"/>
      <c r="H85" s="687"/>
      <c r="I85" s="687"/>
      <c r="J85" s="687"/>
      <c r="K85" s="731"/>
      <c r="L85" s="731"/>
      <c r="M85" s="731"/>
      <c r="N85" s="687"/>
      <c r="O85" s="687"/>
      <c r="P85" s="687"/>
      <c r="Q85" s="687"/>
      <c r="R85" s="687"/>
      <c r="S85" s="687"/>
      <c r="T85" s="687"/>
      <c r="U85" s="687"/>
      <c r="V85" s="687"/>
      <c r="W85" s="1626"/>
      <c r="X85" s="687"/>
      <c r="Y85" s="687"/>
      <c r="Z85" s="687"/>
    </row>
    <row r="86" spans="1:26" ht="12" customHeight="1">
      <c r="A86" s="687"/>
      <c r="B86" s="731" t="s">
        <v>1366</v>
      </c>
      <c r="C86" s="731"/>
      <c r="D86" s="734">
        <v>0</v>
      </c>
      <c r="E86" s="1474"/>
      <c r="F86" s="731"/>
      <c r="G86" s="731"/>
      <c r="H86" s="731"/>
      <c r="I86" s="687"/>
      <c r="J86" s="687"/>
      <c r="K86" s="731"/>
      <c r="L86" s="731"/>
      <c r="M86" s="731"/>
      <c r="N86" s="687"/>
      <c r="O86" s="687"/>
      <c r="P86" s="687"/>
      <c r="Q86" s="687"/>
      <c r="R86" s="687"/>
      <c r="S86" s="687"/>
      <c r="T86" s="687"/>
      <c r="U86" s="687"/>
      <c r="V86" s="687"/>
      <c r="W86" s="687"/>
      <c r="X86" s="687"/>
      <c r="Y86" s="687"/>
      <c r="Z86" s="687"/>
    </row>
    <row r="87" spans="1:26" ht="12" customHeight="1">
      <c r="A87" s="687"/>
      <c r="B87" s="735" t="s">
        <v>1367</v>
      </c>
      <c r="C87" s="731"/>
      <c r="D87" s="731"/>
      <c r="E87" s="731"/>
      <c r="F87" s="731"/>
      <c r="G87" s="731"/>
      <c r="H87" s="731"/>
      <c r="I87" s="731"/>
      <c r="J87" s="687"/>
      <c r="K87" s="731"/>
      <c r="L87" s="731"/>
      <c r="M87" s="731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</row>
    <row r="88" spans="1:26" ht="12" customHeight="1">
      <c r="A88" s="687"/>
      <c r="B88" s="736" t="s">
        <v>1368</v>
      </c>
      <c r="C88" s="736" t="s">
        <v>1369</v>
      </c>
      <c r="D88" s="737" t="s">
        <v>1340</v>
      </c>
      <c r="E88" s="708" t="s">
        <v>1370</v>
      </c>
      <c r="F88" s="709" t="s">
        <v>1371</v>
      </c>
      <c r="G88" s="731"/>
      <c r="H88" s="731"/>
      <c r="I88" s="731"/>
      <c r="J88" s="687"/>
      <c r="K88" s="731"/>
      <c r="L88" s="731"/>
      <c r="M88" s="731"/>
      <c r="N88" s="687"/>
      <c r="O88" s="687"/>
      <c r="P88" s="687"/>
      <c r="Q88" s="687"/>
      <c r="R88" s="687"/>
      <c r="S88" s="687"/>
      <c r="T88" s="687"/>
      <c r="U88" s="687"/>
      <c r="V88" s="687"/>
      <c r="W88" s="687"/>
      <c r="X88" s="687"/>
      <c r="Y88" s="687"/>
      <c r="Z88" s="687"/>
    </row>
    <row r="89" spans="1:26" ht="12" customHeight="1">
      <c r="A89" s="687"/>
      <c r="B89" s="738">
        <f>MAX(F89:F91)/1000</f>
        <v>384.46875</v>
      </c>
      <c r="C89" s="739">
        <f>C20*1000</f>
        <v>8543750</v>
      </c>
      <c r="D89" s="740">
        <v>50000000</v>
      </c>
      <c r="E89" s="741">
        <v>2.5000000000000001E-2</v>
      </c>
      <c r="F89" s="742">
        <f t="shared" ref="F89:F90" si="0">IF($C$93&lt;D89,IF($C$93&lt;5000000,0,$C$93*E89),0)</f>
        <v>192234.375</v>
      </c>
      <c r="G89" s="731"/>
      <c r="H89" s="731"/>
      <c r="I89" s="731"/>
      <c r="J89" s="687"/>
      <c r="K89" s="731"/>
      <c r="L89" s="731"/>
      <c r="M89" s="731"/>
      <c r="N89" s="687"/>
      <c r="O89" s="687"/>
      <c r="P89" s="687"/>
      <c r="Q89" s="687"/>
      <c r="R89" s="687"/>
      <c r="S89" s="687"/>
      <c r="T89" s="687"/>
      <c r="U89" s="687"/>
      <c r="V89" s="687"/>
      <c r="W89" s="687"/>
      <c r="X89" s="687"/>
      <c r="Y89" s="687"/>
      <c r="Z89" s="687"/>
    </row>
    <row r="90" spans="1:26" ht="12" customHeight="1">
      <c r="A90" s="687"/>
      <c r="B90" s="736" t="s">
        <v>1372</v>
      </c>
      <c r="C90" s="736" t="s">
        <v>1373</v>
      </c>
      <c r="D90" s="740">
        <v>100000000</v>
      </c>
      <c r="E90" s="743">
        <v>0.04</v>
      </c>
      <c r="F90" s="742">
        <f t="shared" si="0"/>
        <v>307575</v>
      </c>
      <c r="G90" s="731"/>
      <c r="H90" s="731"/>
      <c r="I90" s="731"/>
      <c r="J90" s="687"/>
      <c r="K90" s="687"/>
      <c r="L90" s="687"/>
      <c r="M90" s="687"/>
      <c r="N90" s="687"/>
      <c r="O90" s="687"/>
      <c r="P90" s="687"/>
      <c r="Q90" s="687"/>
      <c r="R90" s="687"/>
      <c r="S90" s="687"/>
      <c r="T90" s="687"/>
      <c r="U90" s="687"/>
      <c r="V90" s="687"/>
      <c r="W90" s="687"/>
      <c r="X90" s="687"/>
      <c r="Y90" s="687"/>
      <c r="Z90" s="687"/>
    </row>
    <row r="91" spans="1:26" ht="12" customHeight="1">
      <c r="A91" s="687"/>
      <c r="B91" s="744">
        <f>IF(D86=1,B89*B113,0)</f>
        <v>0</v>
      </c>
      <c r="C91" s="745">
        <v>0.9</v>
      </c>
      <c r="D91" s="746" t="s">
        <v>1374</v>
      </c>
      <c r="E91" s="747">
        <v>0.05</v>
      </c>
      <c r="F91" s="748">
        <f>IF($C$93&lt;5000000,0,$C$93*E91)</f>
        <v>384468.75</v>
      </c>
      <c r="G91" s="731"/>
      <c r="H91" s="731"/>
      <c r="I91" s="731"/>
      <c r="J91" s="687"/>
      <c r="K91" s="687"/>
      <c r="L91" s="687"/>
      <c r="M91" s="687"/>
      <c r="N91" s="687"/>
      <c r="O91" s="687"/>
      <c r="P91" s="687"/>
      <c r="Q91" s="687"/>
      <c r="R91" s="687"/>
      <c r="S91" s="687"/>
      <c r="T91" s="687"/>
      <c r="U91" s="687"/>
      <c r="V91" s="687"/>
      <c r="W91" s="687"/>
      <c r="X91" s="687"/>
      <c r="Y91" s="687"/>
      <c r="Z91" s="687"/>
    </row>
    <row r="92" spans="1:26" ht="12" customHeight="1">
      <c r="A92" s="687"/>
      <c r="B92" s="731"/>
      <c r="C92" s="736" t="s">
        <v>1340</v>
      </c>
      <c r="D92" s="749"/>
      <c r="E92" s="749" t="s">
        <v>1375</v>
      </c>
      <c r="F92" s="750"/>
      <c r="G92" s="731"/>
      <c r="H92" s="731"/>
      <c r="I92" s="731"/>
      <c r="J92" s="687"/>
      <c r="K92" s="687"/>
      <c r="L92" s="687"/>
      <c r="M92" s="687"/>
      <c r="N92" s="687"/>
      <c r="O92" s="687"/>
      <c r="P92" s="687"/>
      <c r="Q92" s="687"/>
      <c r="R92" s="687"/>
      <c r="S92" s="687"/>
      <c r="T92" s="687"/>
      <c r="U92" s="687"/>
      <c r="V92" s="687"/>
      <c r="W92" s="687"/>
      <c r="X92" s="687"/>
      <c r="Y92" s="687"/>
      <c r="Z92" s="687"/>
    </row>
    <row r="93" spans="1:26" ht="12" customHeight="1">
      <c r="A93" s="687"/>
      <c r="B93" s="731"/>
      <c r="C93" s="751">
        <f>C91*C89</f>
        <v>7689375</v>
      </c>
      <c r="D93" s="749"/>
      <c r="E93" s="749"/>
      <c r="F93" s="750"/>
      <c r="G93" s="731"/>
      <c r="H93" s="731"/>
      <c r="I93" s="731"/>
      <c r="J93" s="687"/>
      <c r="K93" s="687"/>
      <c r="L93" s="687"/>
      <c r="M93" s="687"/>
      <c r="N93" s="687"/>
      <c r="O93" s="687"/>
      <c r="P93" s="687"/>
      <c r="Q93" s="687"/>
      <c r="R93" s="687"/>
      <c r="S93" s="687"/>
      <c r="T93" s="687"/>
      <c r="U93" s="687"/>
      <c r="V93" s="687"/>
      <c r="W93" s="687"/>
      <c r="X93" s="687"/>
      <c r="Y93" s="687"/>
      <c r="Z93" s="687"/>
    </row>
    <row r="94" spans="1:26" ht="12" customHeight="1">
      <c r="A94" s="687"/>
      <c r="B94" s="731"/>
      <c r="C94" s="731" t="s">
        <v>1376</v>
      </c>
      <c r="D94" s="749"/>
      <c r="E94" s="749"/>
      <c r="F94" s="750"/>
      <c r="G94" s="731"/>
      <c r="H94" s="731"/>
      <c r="I94" s="731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</row>
    <row r="95" spans="1:26" ht="12" customHeight="1">
      <c r="A95" s="687"/>
      <c r="B95" s="731"/>
      <c r="C95" s="731"/>
      <c r="D95" s="749"/>
      <c r="E95" s="749"/>
      <c r="F95" s="750"/>
      <c r="G95" s="731"/>
      <c r="H95" s="731"/>
      <c r="I95" s="731"/>
      <c r="J95" s="687"/>
      <c r="K95" s="687"/>
      <c r="L95" s="687"/>
      <c r="M95" s="687"/>
      <c r="N95" s="687"/>
      <c r="O95" s="687"/>
      <c r="P95" s="687"/>
      <c r="Q95" s="687"/>
      <c r="R95" s="687"/>
      <c r="S95" s="687"/>
      <c r="T95" s="687"/>
      <c r="U95" s="687"/>
      <c r="V95" s="687"/>
      <c r="W95" s="687"/>
      <c r="X95" s="687"/>
      <c r="Y95" s="687"/>
      <c r="Z95" s="687"/>
    </row>
    <row r="96" spans="1:26" ht="12" customHeight="1">
      <c r="A96" s="687"/>
      <c r="B96" s="735" t="s">
        <v>1377</v>
      </c>
      <c r="C96" s="731"/>
      <c r="D96" s="731"/>
      <c r="E96" s="731"/>
      <c r="F96" s="731"/>
      <c r="G96" s="731"/>
      <c r="H96" s="731"/>
      <c r="I96" s="731"/>
      <c r="J96" s="687"/>
      <c r="K96" s="687"/>
      <c r="L96" s="687"/>
      <c r="M96" s="687"/>
      <c r="N96" s="687"/>
      <c r="O96" s="687"/>
      <c r="P96" s="687"/>
      <c r="Q96" s="687"/>
      <c r="R96" s="687"/>
      <c r="S96" s="687"/>
      <c r="T96" s="687"/>
      <c r="U96" s="687"/>
      <c r="V96" s="687"/>
      <c r="W96" s="687"/>
      <c r="X96" s="687"/>
      <c r="Y96" s="687"/>
      <c r="Z96" s="687"/>
    </row>
    <row r="97" spans="1:26" ht="12" customHeight="1">
      <c r="A97" s="687"/>
      <c r="B97" s="736" t="s">
        <v>1368</v>
      </c>
      <c r="C97" s="752" t="s">
        <v>1369</v>
      </c>
      <c r="D97" s="753" t="s">
        <v>1340</v>
      </c>
      <c r="E97" s="708" t="s">
        <v>1370</v>
      </c>
      <c r="F97" s="709" t="s">
        <v>1371</v>
      </c>
      <c r="G97" s="731"/>
      <c r="H97" s="731"/>
      <c r="I97" s="731"/>
      <c r="J97" s="687"/>
      <c r="K97" s="687"/>
      <c r="L97" s="687"/>
      <c r="M97" s="687"/>
      <c r="N97" s="687"/>
      <c r="O97" s="687"/>
      <c r="P97" s="687"/>
      <c r="Q97" s="687"/>
      <c r="R97" s="687"/>
      <c r="S97" s="687"/>
      <c r="T97" s="687"/>
      <c r="U97" s="687"/>
      <c r="V97" s="687"/>
      <c r="W97" s="687"/>
      <c r="X97" s="687"/>
      <c r="Y97" s="687"/>
      <c r="Z97" s="687"/>
    </row>
    <row r="98" spans="1:26" ht="12" customHeight="1">
      <c r="A98" s="687"/>
      <c r="B98" s="738">
        <f>MAX(F98:F103)/1000</f>
        <v>538.25625000000002</v>
      </c>
      <c r="C98" s="754">
        <f>C20*1000</f>
        <v>8543750</v>
      </c>
      <c r="D98" s="755">
        <v>5000000</v>
      </c>
      <c r="E98" s="741">
        <v>0.02</v>
      </c>
      <c r="F98" s="742">
        <f>IF($C$102&lt;D98,IF($C$102&lt;500000,0,$C$102*E98),0)</f>
        <v>0</v>
      </c>
      <c r="G98" s="731"/>
      <c r="H98" s="731"/>
      <c r="I98" s="731"/>
      <c r="J98" s="687"/>
      <c r="K98" s="687"/>
      <c r="L98" s="687"/>
      <c r="M98" s="687"/>
      <c r="N98" s="687"/>
      <c r="O98" s="687"/>
      <c r="P98" s="687"/>
      <c r="Q98" s="687"/>
      <c r="R98" s="687"/>
      <c r="S98" s="687"/>
      <c r="T98" s="687"/>
      <c r="U98" s="687"/>
      <c r="V98" s="687"/>
      <c r="W98" s="687"/>
      <c r="X98" s="687"/>
      <c r="Y98" s="687"/>
      <c r="Z98" s="687"/>
    </row>
    <row r="99" spans="1:26" ht="12" customHeight="1">
      <c r="A99" s="687"/>
      <c r="B99" s="736" t="s">
        <v>1372</v>
      </c>
      <c r="C99" s="752" t="s">
        <v>1373</v>
      </c>
      <c r="D99" s="755">
        <v>20000000</v>
      </c>
      <c r="E99" s="741">
        <v>3.5000000000000003E-2</v>
      </c>
      <c r="F99" s="742">
        <f t="shared" ref="F99:F102" si="1">IF($C$93&lt;D99,IF($C$93&lt;5000000,0,$C$93*E99),0)</f>
        <v>269128.125</v>
      </c>
      <c r="G99" s="731"/>
      <c r="H99" s="731"/>
      <c r="I99" s="731"/>
      <c r="J99" s="687"/>
      <c r="K99" s="687"/>
      <c r="L99" s="687"/>
      <c r="M99" s="687"/>
      <c r="N99" s="687"/>
      <c r="O99" s="687"/>
      <c r="P99" s="687"/>
      <c r="Q99" s="687"/>
      <c r="R99" s="687"/>
      <c r="S99" s="687"/>
      <c r="T99" s="687"/>
      <c r="U99" s="687"/>
      <c r="V99" s="687"/>
      <c r="W99" s="687"/>
      <c r="X99" s="687"/>
      <c r="Y99" s="687"/>
      <c r="Z99" s="687"/>
    </row>
    <row r="100" spans="1:26" ht="12" customHeight="1">
      <c r="A100" s="687"/>
      <c r="B100" s="744">
        <f>IF(D86=0,B98*B113,0)</f>
        <v>107.65125</v>
      </c>
      <c r="C100" s="756">
        <v>0.9</v>
      </c>
      <c r="D100" s="755">
        <v>30000000</v>
      </c>
      <c r="E100" s="741">
        <v>0.04</v>
      </c>
      <c r="F100" s="742">
        <f t="shared" si="1"/>
        <v>307575</v>
      </c>
      <c r="G100" s="731"/>
      <c r="H100" s="731"/>
      <c r="I100" s="731"/>
      <c r="J100" s="687"/>
      <c r="K100" s="687"/>
      <c r="L100" s="687"/>
      <c r="M100" s="687"/>
      <c r="N100" s="687"/>
      <c r="O100" s="687"/>
      <c r="P100" s="687"/>
      <c r="Q100" s="687"/>
      <c r="R100" s="687"/>
      <c r="S100" s="687"/>
      <c r="T100" s="687"/>
      <c r="U100" s="687"/>
      <c r="V100" s="687"/>
      <c r="W100" s="687"/>
      <c r="X100" s="687"/>
      <c r="Y100" s="687"/>
      <c r="Z100" s="687"/>
    </row>
    <row r="101" spans="1:26" ht="12" customHeight="1">
      <c r="A101" s="687"/>
      <c r="B101" s="757" t="s">
        <v>1364</v>
      </c>
      <c r="C101" s="752" t="s">
        <v>1340</v>
      </c>
      <c r="D101" s="755">
        <v>40000000</v>
      </c>
      <c r="E101" s="741">
        <v>0.05</v>
      </c>
      <c r="F101" s="742">
        <f t="shared" si="1"/>
        <v>384468.75</v>
      </c>
      <c r="G101" s="731"/>
      <c r="H101" s="731"/>
      <c r="I101" s="731"/>
      <c r="J101" s="687"/>
      <c r="K101" s="687"/>
      <c r="L101" s="687"/>
      <c r="M101" s="687"/>
      <c r="N101" s="687"/>
      <c r="O101" s="687"/>
      <c r="P101" s="687"/>
      <c r="Q101" s="687"/>
      <c r="R101" s="687"/>
      <c r="S101" s="687"/>
      <c r="T101" s="687"/>
      <c r="U101" s="687"/>
      <c r="V101" s="687"/>
      <c r="W101" s="687"/>
      <c r="X101" s="687"/>
      <c r="Y101" s="687"/>
      <c r="Z101" s="687"/>
    </row>
    <row r="102" spans="1:26" ht="12" customHeight="1">
      <c r="A102" s="687"/>
      <c r="B102" s="758">
        <f>B91+B100</f>
        <v>107.65125</v>
      </c>
      <c r="C102" s="759">
        <f>C100*C98</f>
        <v>7689375</v>
      </c>
      <c r="D102" s="755">
        <v>50000000</v>
      </c>
      <c r="E102" s="741">
        <v>0.06</v>
      </c>
      <c r="F102" s="742">
        <f t="shared" si="1"/>
        <v>461362.5</v>
      </c>
      <c r="G102" s="731"/>
      <c r="H102" s="731"/>
      <c r="I102" s="731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</row>
    <row r="103" spans="1:26" ht="12" customHeight="1">
      <c r="A103" s="687"/>
      <c r="B103" s="731"/>
      <c r="C103" s="760" t="s">
        <v>1376</v>
      </c>
      <c r="D103" s="761" t="s">
        <v>1374</v>
      </c>
      <c r="E103" s="762">
        <v>7.0000000000000007E-2</v>
      </c>
      <c r="F103" s="748">
        <f>IF($C$93&lt;5000000,0,$C$93*E103)</f>
        <v>538256.25</v>
      </c>
      <c r="G103" s="731"/>
      <c r="H103" s="731"/>
      <c r="I103" s="731"/>
      <c r="J103" s="731"/>
      <c r="K103" s="687"/>
      <c r="L103" s="687"/>
      <c r="M103" s="687"/>
      <c r="N103" s="687"/>
      <c r="O103" s="687"/>
      <c r="P103" s="687"/>
      <c r="Q103" s="687"/>
      <c r="R103" s="687"/>
      <c r="S103" s="687"/>
      <c r="T103" s="687"/>
      <c r="U103" s="687"/>
      <c r="V103" s="687"/>
      <c r="W103" s="687"/>
      <c r="X103" s="687"/>
      <c r="Y103" s="687"/>
      <c r="Z103" s="687"/>
    </row>
    <row r="104" spans="1:26" ht="12" customHeight="1">
      <c r="A104" s="687"/>
      <c r="B104" s="687"/>
      <c r="C104" s="687"/>
      <c r="D104" s="687"/>
      <c r="E104" s="749" t="s">
        <v>1375</v>
      </c>
      <c r="F104" s="687"/>
      <c r="G104" s="731"/>
      <c r="H104" s="731"/>
      <c r="I104" s="731"/>
      <c r="J104" s="731"/>
      <c r="K104" s="687"/>
      <c r="L104" s="687"/>
      <c r="M104" s="687"/>
      <c r="N104" s="687"/>
      <c r="O104" s="687"/>
      <c r="P104" s="687"/>
      <c r="Q104" s="687"/>
      <c r="R104" s="687"/>
      <c r="S104" s="687"/>
      <c r="T104" s="687"/>
      <c r="U104" s="687"/>
      <c r="V104" s="687"/>
      <c r="W104" s="687"/>
      <c r="X104" s="687"/>
      <c r="Y104" s="687"/>
      <c r="Z104" s="687"/>
    </row>
    <row r="105" spans="1:26" ht="12" customHeight="1">
      <c r="A105" s="687"/>
      <c r="B105" s="687"/>
      <c r="C105" s="687"/>
      <c r="D105" s="687"/>
      <c r="E105" s="687"/>
      <c r="F105" s="687"/>
      <c r="G105" s="731"/>
      <c r="H105" s="731"/>
      <c r="I105" s="731"/>
      <c r="J105" s="731"/>
      <c r="K105" s="687"/>
      <c r="L105" s="687"/>
      <c r="M105" s="687"/>
      <c r="N105" s="687"/>
      <c r="O105" s="687"/>
      <c r="P105" s="687"/>
      <c r="Q105" s="687"/>
      <c r="R105" s="687"/>
      <c r="S105" s="687"/>
      <c r="T105" s="687"/>
      <c r="U105" s="687"/>
      <c r="V105" s="687"/>
      <c r="W105" s="687"/>
      <c r="X105" s="687"/>
      <c r="Y105" s="687"/>
      <c r="Z105" s="687"/>
    </row>
    <row r="106" spans="1:26" ht="12" customHeight="1">
      <c r="A106" s="687"/>
      <c r="B106" s="731" t="s">
        <v>1378</v>
      </c>
      <c r="C106" s="731"/>
      <c r="D106" s="731"/>
      <c r="E106" s="731"/>
      <c r="F106" s="731"/>
      <c r="G106" s="731"/>
      <c r="H106" s="731"/>
      <c r="I106" s="731"/>
      <c r="J106" s="731"/>
      <c r="K106" s="687"/>
      <c r="L106" s="687"/>
      <c r="M106" s="687"/>
      <c r="N106" s="687"/>
      <c r="O106" s="687"/>
      <c r="P106" s="687"/>
      <c r="Q106" s="687"/>
      <c r="R106" s="687"/>
      <c r="S106" s="687"/>
      <c r="T106" s="687"/>
      <c r="U106" s="687"/>
      <c r="V106" s="687"/>
      <c r="W106" s="687"/>
      <c r="X106" s="687"/>
      <c r="Y106" s="687"/>
      <c r="Z106" s="687"/>
    </row>
    <row r="107" spans="1:26" ht="12" customHeight="1" thickBot="1">
      <c r="A107" s="687"/>
      <c r="B107" s="735" t="s">
        <v>1379</v>
      </c>
      <c r="C107" s="731"/>
      <c r="D107" s="731"/>
      <c r="E107" s="731"/>
      <c r="F107" s="731"/>
      <c r="G107" s="731"/>
      <c r="H107" s="731"/>
      <c r="I107" s="731"/>
      <c r="J107" s="731"/>
      <c r="K107" s="687"/>
      <c r="L107" s="687"/>
      <c r="M107" s="687"/>
      <c r="N107" s="687"/>
      <c r="O107" s="687"/>
      <c r="P107" s="687"/>
      <c r="Q107" s="687"/>
      <c r="R107" s="687"/>
      <c r="S107" s="687"/>
      <c r="T107" s="687"/>
      <c r="U107" s="687"/>
      <c r="V107" s="687"/>
      <c r="W107" s="687"/>
      <c r="X107" s="687"/>
      <c r="Y107" s="687"/>
      <c r="Z107" s="687"/>
    </row>
    <row r="108" spans="1:26" ht="12" customHeight="1" thickTop="1">
      <c r="A108" s="687"/>
      <c r="B108" s="736" t="s">
        <v>1368</v>
      </c>
      <c r="C108" s="763" t="s">
        <v>1380</v>
      </c>
      <c r="D108" s="775" t="s">
        <v>1381</v>
      </c>
      <c r="E108" s="763" t="s">
        <v>1382</v>
      </c>
      <c r="F108" s="752" t="s">
        <v>1383</v>
      </c>
      <c r="G108" s="708" t="s">
        <v>1384</v>
      </c>
      <c r="H108" s="709" t="s">
        <v>1385</v>
      </c>
      <c r="I108" s="731"/>
      <c r="J108" s="731"/>
      <c r="K108" s="687"/>
      <c r="L108" s="687"/>
      <c r="M108" s="687"/>
      <c r="N108" s="687"/>
      <c r="O108" s="687"/>
      <c r="P108" s="687"/>
      <c r="Q108" s="687"/>
      <c r="R108" s="687"/>
      <c r="S108" s="687"/>
      <c r="T108" s="687"/>
      <c r="U108" s="687"/>
      <c r="V108" s="687"/>
      <c r="W108" s="687"/>
      <c r="X108" s="687"/>
      <c r="Y108" s="687"/>
      <c r="Z108" s="687"/>
    </row>
    <row r="109" spans="1:26" ht="12" customHeight="1" thickBot="1">
      <c r="A109" s="687"/>
      <c r="B109" s="764">
        <f>SUM(H109:H115)/1000</f>
        <v>943326048.00000012</v>
      </c>
      <c r="C109" s="765">
        <f>건축개요!D43</f>
        <v>59.98</v>
      </c>
      <c r="D109" s="778">
        <f>건축개요!C43</f>
        <v>19</v>
      </c>
      <c r="E109" s="765">
        <f t="shared" ref="E109:E116" si="2">C109*0.3025</f>
        <v>18.14395</v>
      </c>
      <c r="F109" s="766">
        <v>100</v>
      </c>
      <c r="G109" s="1475">
        <v>300</v>
      </c>
      <c r="H109" s="767">
        <f>IF($C$109&lt;F109,IF($C$109&lt;85,0,$C$109*G109*$D$109),0)+
IF($C$110&lt;F109,IF($C$110&lt;85,0,$C$110*G109*$D$110),0)+
IF($C$111&lt;F109,IF($C$111&lt;85,0,$C$111*G109*$D$111),0)+
IF($C$112&lt;F109,IF($C$112&lt;85,0,$C$112*G109*$D$112),0)+
IF($C$113&lt;F109,IF($C$113&lt;85,0,$C$113*G109*$D$113),0)+
IF($C$114&lt;F109,IF($C$114&lt;85,0,$C$114*G109*$D$114),0)+
IF($C$115&lt;F109,IF($C$115&lt;85,0,$C$115*G109*$D$115),0)+
IF($C$116&lt;F109,IF($C$116&lt;85,0,$C$116*G109*$D$116),0)</f>
        <v>0</v>
      </c>
      <c r="I109" s="731"/>
      <c r="J109" s="731"/>
      <c r="K109" s="687"/>
      <c r="L109" s="687"/>
      <c r="M109" s="687"/>
      <c r="N109" s="687"/>
      <c r="O109" s="687"/>
      <c r="P109" s="687"/>
      <c r="Q109" s="687"/>
      <c r="R109" s="687"/>
      <c r="S109" s="687"/>
      <c r="T109" s="687"/>
      <c r="U109" s="687"/>
      <c r="V109" s="687"/>
      <c r="W109" s="687"/>
      <c r="X109" s="687"/>
      <c r="Y109" s="687"/>
      <c r="Z109" s="687"/>
    </row>
    <row r="110" spans="1:26" ht="12" customHeight="1">
      <c r="A110" s="687"/>
      <c r="B110" s="736" t="s">
        <v>1372</v>
      </c>
      <c r="C110" s="765">
        <f>건축개요!D44</f>
        <v>59.82</v>
      </c>
      <c r="D110" s="778">
        <f>건축개요!C44</f>
        <v>20</v>
      </c>
      <c r="E110" s="765">
        <f t="shared" si="2"/>
        <v>18.095549999999999</v>
      </c>
      <c r="F110" s="766">
        <v>132</v>
      </c>
      <c r="G110" s="1475">
        <v>1000</v>
      </c>
      <c r="H110" s="767">
        <f>IF($C$109&lt;F110,IF($C$109&lt;F109,0,$C$109*G110*$D$109),0)+
IF($C$110&lt;F110,IF($C$110&lt;F109,0,$C$110*G110*$D$110),0)+
IF($C$111&lt;F110,IF($C$111&lt;F109,0,$C$111*G110*$D$111),0)+
IF($C$112&lt;F110,IF($C$112&lt;F109,0,$C$112*G110*$D$112),0)+
IF($C$113&lt;F110,IF($C$113&lt;F109,0,$C$113*G110*$D$113),0)+
IF($C$114&lt;F110,IF($C$114&lt;F109,0,$C$114*G110*$D$114),0)+
IF($C$115&lt;F110,IF($C$115&lt;F109,0,$C$115*G110*$D$115),0)+
IF($C$116&lt;F110,IF($C$116&lt;F109,0,$C$116*G110*$D$116),0)</f>
        <v>0</v>
      </c>
      <c r="I110" s="731"/>
      <c r="J110" s="731"/>
      <c r="K110" s="687"/>
      <c r="L110" s="687"/>
      <c r="M110" s="687"/>
      <c r="N110" s="687"/>
      <c r="O110" s="687"/>
      <c r="P110" s="687"/>
      <c r="Q110" s="687"/>
      <c r="R110" s="687"/>
      <c r="S110" s="687"/>
      <c r="T110" s="687"/>
      <c r="U110" s="687"/>
      <c r="V110" s="687"/>
      <c r="W110" s="687"/>
      <c r="X110" s="687"/>
      <c r="Y110" s="687"/>
      <c r="Z110" s="687"/>
    </row>
    <row r="111" spans="1:26" ht="12" customHeight="1" thickBot="1">
      <c r="A111" s="687"/>
      <c r="B111" s="744">
        <f>B109*B113</f>
        <v>188665209.60000002</v>
      </c>
      <c r="C111" s="765">
        <f>건축개요!D45</f>
        <v>84.94</v>
      </c>
      <c r="D111" s="778">
        <f>건축개요!C45</f>
        <v>88</v>
      </c>
      <c r="E111" s="765">
        <f t="shared" si="2"/>
        <v>25.69435</v>
      </c>
      <c r="F111" s="766">
        <v>165</v>
      </c>
      <c r="G111" s="1475">
        <v>2000</v>
      </c>
      <c r="H111" s="767">
        <f>IF($C$109&lt;F111,IF($C$109&lt;F110,0,$C$109*G111*$D$109),0)+
IF($C$110&lt;F111,IF($C$110&lt;F110,0,$C$110*G111*$D$110),0)+
IF($C$111&lt;F111,IF($C$111&lt;F110,0,$C$111*G111*$D$111),0)+
IF($C$112&lt;F111,IF($C$112&lt;F110,0,$C$112*G111*$D$112),0)+
IF($C$113&lt;F111,IF($C$113&lt;F110,0,$C$113*G111*$D$113),0)+
IF($C$114&lt;F111,IF($C$114&lt;F110,0,$C$114*G111*$D$114),0)+
IF($C$115&lt;F111,IF($C$115&lt;F110,0,$C$115*G111*$D$115),0)+
IF($C$116&lt;F111,IF($C$116&lt;F110,0,$C$116*G111*$D$116),0)</f>
        <v>0</v>
      </c>
      <c r="I111" s="731"/>
      <c r="J111" s="731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</row>
    <row r="112" spans="1:26" ht="12" customHeight="1" thickTop="1">
      <c r="A112" s="687"/>
      <c r="B112" s="775" t="s">
        <v>1386</v>
      </c>
      <c r="C112" s="765">
        <f>건축개요!D57</f>
        <v>52314.000000000007</v>
      </c>
      <c r="D112" s="778">
        <f>건축개요!C57</f>
        <v>644</v>
      </c>
      <c r="E112" s="765">
        <f t="shared" si="2"/>
        <v>15824.985000000002</v>
      </c>
      <c r="F112" s="766">
        <v>231</v>
      </c>
      <c r="G112" s="1475">
        <v>4000</v>
      </c>
      <c r="H112" s="767">
        <f>IF($C$109&lt;F112,IF($C$109&lt;F111,0,$C$109*G112*$D$109),0)+
IF($C$110&lt;F112,IF($C$110&lt;F111,0,$C$110*G112*$D$110),0)+
IF($C$111&lt;F112,IF($C$111&lt;F111,0,$C$111*G112*$D$111),0)+
IF($C$112&lt;F112,IF($C$112&lt;F111,0,$C$112*G112*$D$112),0)+
IF($C$113&lt;F112,IF($C$113&lt;F111,0,$C$113*G112*$D$113),0)+
IF($C$114&lt;F112,IF($C$114&lt;F111,0,$C$114*G112*$D$114),0)+
IF($C$115&lt;F112,IF($C$115&lt;F111,0,$C$115*G112*$D$115),0)+
IF($C$116&lt;F112,IF($C$116&lt;F111,0,$C$116*G112*$D$116),0)</f>
        <v>0</v>
      </c>
      <c r="I112" s="731"/>
      <c r="J112" s="731"/>
      <c r="K112" s="687"/>
      <c r="L112" s="687"/>
      <c r="M112" s="687"/>
      <c r="N112" s="687"/>
      <c r="O112" s="687"/>
      <c r="P112" s="687"/>
      <c r="Q112" s="687"/>
      <c r="R112" s="687"/>
      <c r="S112" s="687"/>
      <c r="T112" s="687"/>
      <c r="U112" s="687"/>
      <c r="V112" s="687"/>
      <c r="W112" s="687"/>
      <c r="X112" s="687"/>
      <c r="Y112" s="687"/>
      <c r="Z112" s="687"/>
    </row>
    <row r="113" spans="1:26" ht="12" customHeight="1" thickBot="1">
      <c r="A113" s="687"/>
      <c r="B113" s="745">
        <v>0.2</v>
      </c>
      <c r="C113" s="765">
        <f>건축개요!D58</f>
        <v>0</v>
      </c>
      <c r="D113" s="778">
        <f>건축개요!C58</f>
        <v>0</v>
      </c>
      <c r="E113" s="765">
        <f t="shared" si="2"/>
        <v>0</v>
      </c>
      <c r="F113" s="766">
        <v>330</v>
      </c>
      <c r="G113" s="1475">
        <v>10000</v>
      </c>
      <c r="H113" s="767">
        <f>IF($C$109&lt;F113,IF($C$109&lt;F112,0,$C$109*G113*$D$109),0)+
IF($C$110&lt;F113,IF($C$110&lt;F112,0,$C$110*G113*$D$110),0)+
IF($C$111&lt;F113,IF($C$111&lt;F112,0,$C$111*G113*$D$111),0)+
IF($C$112&lt;F113,IF($C$112&lt;F112,0,$C$112*G113*$D$112),0)+
IF($C$113&lt;F113,IF($C$113&lt;F112,0,$C$113*G113*$D$113),0)+
IF($C$114&lt;F113,IF($C$114&lt;F112,0,$C$114*G113*$D$114),0)+
IF($C$115&lt;F113,IF($C$115&lt;F112,0,$C$115*G113*$D$115),0)+
IF($C$116&lt;F113,IF($C$116&lt;F112,0,$C$116*G113*$D$116),0)</f>
        <v>0</v>
      </c>
      <c r="I113" s="731"/>
      <c r="J113" s="731"/>
      <c r="K113" s="687"/>
      <c r="L113" s="687"/>
      <c r="M113" s="687"/>
      <c r="N113" s="687"/>
      <c r="O113" s="687"/>
      <c r="P113" s="687"/>
      <c r="Q113" s="687"/>
      <c r="R113" s="687"/>
      <c r="S113" s="687"/>
      <c r="T113" s="687"/>
      <c r="U113" s="687"/>
      <c r="V113" s="687"/>
      <c r="W113" s="687"/>
      <c r="X113" s="687"/>
      <c r="Y113" s="687"/>
      <c r="Z113" s="687"/>
    </row>
    <row r="114" spans="1:26" ht="12" customHeight="1">
      <c r="A114" s="687"/>
      <c r="B114" s="768"/>
      <c r="C114" s="765">
        <f>건축개요!D82</f>
        <v>0</v>
      </c>
      <c r="D114" s="778">
        <f>건축개요!C82</f>
        <v>0</v>
      </c>
      <c r="E114" s="765">
        <f t="shared" si="2"/>
        <v>0</v>
      </c>
      <c r="F114" s="766">
        <v>660</v>
      </c>
      <c r="G114" s="1475">
        <v>17000</v>
      </c>
      <c r="H114" s="767">
        <f>IF($C$109&lt;F114,IF($C$109&lt;F113,0,$C$109*G114*$D$109),0)+
IF($C$110&lt;F114,IF($C$110&lt;F113,0,$C$110*G114*$D$110),0)+
IF($C$111&lt;F114,IF($C$111&lt;F113,0,$C$111*G114*$D$111),0)+
IF($C$112&lt;F114,IF($C$112&lt;F113,0,$C$112*G114*$D$112),0)+
IF($C$113&lt;F114,IF($C$113&lt;F113,0,$C$113*G114*$D$113),0)+
IF($C$114&lt;F114,IF($C$114&lt;F113,0,$C$114*G114*$D$114),0)+
IF($C$115&lt;F114,IF($C$115&lt;F113,0,$C$115*G114*$D$115),0)+
IF($C$116&lt;F114,IF($C$116&lt;F113,0,$C$116*G114*$D$116),0)</f>
        <v>0</v>
      </c>
      <c r="I114" s="731"/>
      <c r="J114" s="731"/>
      <c r="K114" s="687"/>
      <c r="L114" s="687"/>
      <c r="M114" s="687"/>
      <c r="N114" s="687"/>
      <c r="O114" s="687"/>
      <c r="P114" s="687"/>
      <c r="Q114" s="687"/>
      <c r="R114" s="687"/>
      <c r="S114" s="687"/>
      <c r="T114" s="687"/>
      <c r="U114" s="687"/>
      <c r="V114" s="687"/>
      <c r="W114" s="687"/>
      <c r="X114" s="687"/>
      <c r="Y114" s="687"/>
      <c r="Z114" s="687"/>
    </row>
    <row r="115" spans="1:26" ht="12" customHeight="1" thickBot="1">
      <c r="A115" s="687"/>
      <c r="B115" s="731"/>
      <c r="C115" s="765">
        <f>건축개요!D83</f>
        <v>0</v>
      </c>
      <c r="D115" s="778">
        <f>건축개요!C83</f>
        <v>0</v>
      </c>
      <c r="E115" s="765">
        <f t="shared" si="2"/>
        <v>0</v>
      </c>
      <c r="F115" s="769" t="s">
        <v>1374</v>
      </c>
      <c r="G115" s="770">
        <v>28000</v>
      </c>
      <c r="H115" s="771">
        <f>IF($C$109&lt;F114,0,$C$109*G115*$D$109)+
IF($C$110&lt;F114,0,$C$110*G115*$D$110)+
IF($C$111&lt;F114,0,$C$111*G115*$D$111)+
IF($C$112&lt;F114,0,$C$112*G115*$D$112)+
IF($C$113&lt;F114,0,$C$113*G115*$D$113)+
IF($C$114&lt;F114,0,$C$114*G115*$D$114)+
IF($C$115&lt;F114,0,$C$115*G115*$D$115)+
IF($C$116&lt;F114,0,$C$116*G115*$D$116)</f>
        <v>943326048000.00012</v>
      </c>
      <c r="I115" s="731"/>
      <c r="J115" s="731"/>
      <c r="K115" s="687"/>
      <c r="L115" s="687"/>
      <c r="M115" s="687"/>
      <c r="N115" s="687"/>
      <c r="O115" s="687"/>
      <c r="P115" s="687"/>
      <c r="Q115" s="687"/>
      <c r="R115" s="687"/>
      <c r="S115" s="687"/>
      <c r="T115" s="687"/>
      <c r="U115" s="687"/>
      <c r="V115" s="687"/>
      <c r="W115" s="687"/>
      <c r="X115" s="687"/>
      <c r="Y115" s="687"/>
      <c r="Z115" s="687"/>
    </row>
    <row r="116" spans="1:26" ht="12" customHeight="1" thickBot="1">
      <c r="A116" s="687"/>
      <c r="B116" s="731"/>
      <c r="C116" s="765">
        <f>건축개요!D84</f>
        <v>0</v>
      </c>
      <c r="D116" s="778">
        <v>0</v>
      </c>
      <c r="E116" s="772">
        <f t="shared" si="2"/>
        <v>0</v>
      </c>
      <c r="F116" s="749"/>
      <c r="G116" s="773"/>
      <c r="H116" s="774"/>
      <c r="I116" s="731"/>
      <c r="J116" s="731"/>
      <c r="K116" s="687"/>
      <c r="L116" s="687"/>
      <c r="M116" s="687"/>
      <c r="N116" s="687"/>
      <c r="O116" s="687"/>
      <c r="P116" s="687"/>
      <c r="Q116" s="687"/>
      <c r="R116" s="687"/>
      <c r="S116" s="687"/>
      <c r="T116" s="687"/>
      <c r="U116" s="687"/>
      <c r="V116" s="687"/>
      <c r="W116" s="687"/>
      <c r="X116" s="687"/>
      <c r="Y116" s="687"/>
      <c r="Z116" s="687"/>
    </row>
    <row r="117" spans="1:26" ht="12" customHeight="1">
      <c r="A117" s="687"/>
      <c r="B117" s="731"/>
      <c r="E117" s="776"/>
      <c r="F117" s="773"/>
      <c r="G117" s="777"/>
      <c r="H117" s="687"/>
      <c r="I117" s="687"/>
      <c r="J117" s="731"/>
      <c r="K117" s="687"/>
      <c r="L117" s="687"/>
      <c r="M117" s="687"/>
      <c r="N117" s="687"/>
      <c r="O117" s="687"/>
      <c r="P117" s="687"/>
      <c r="Q117" s="687"/>
      <c r="R117" s="687"/>
      <c r="S117" s="687"/>
      <c r="T117" s="687"/>
      <c r="U117" s="687"/>
      <c r="V117" s="687"/>
      <c r="W117" s="687"/>
      <c r="X117" s="687"/>
      <c r="Y117" s="687"/>
      <c r="Z117" s="687"/>
    </row>
    <row r="118" spans="1:26" ht="12" customHeight="1">
      <c r="A118" s="687"/>
      <c r="B118" s="731"/>
      <c r="E118" s="776"/>
      <c r="F118" s="773"/>
      <c r="G118" s="777"/>
      <c r="H118" s="687"/>
      <c r="I118" s="687"/>
      <c r="J118" s="731"/>
      <c r="K118" s="687"/>
      <c r="L118" s="687"/>
      <c r="M118" s="687"/>
      <c r="N118" s="687"/>
      <c r="O118" s="687"/>
      <c r="P118" s="687"/>
      <c r="Q118" s="687"/>
      <c r="R118" s="687"/>
      <c r="S118" s="687"/>
      <c r="T118" s="687"/>
      <c r="U118" s="687"/>
      <c r="V118" s="687"/>
      <c r="W118" s="687"/>
      <c r="X118" s="687"/>
      <c r="Y118" s="687"/>
      <c r="Z118" s="687"/>
    </row>
    <row r="119" spans="1:26" ht="12" customHeight="1">
      <c r="A119" s="687"/>
      <c r="B119" s="731"/>
      <c r="D119" s="777"/>
      <c r="E119" s="776"/>
      <c r="F119" s="773"/>
      <c r="G119" s="777"/>
      <c r="H119" s="687"/>
      <c r="I119" s="687"/>
      <c r="J119" s="731"/>
      <c r="K119" s="687"/>
      <c r="L119" s="687"/>
      <c r="M119" s="687"/>
      <c r="N119" s="687"/>
      <c r="O119" s="687"/>
      <c r="P119" s="687"/>
      <c r="Q119" s="687"/>
      <c r="R119" s="687"/>
      <c r="S119" s="687"/>
      <c r="T119" s="687"/>
      <c r="U119" s="687"/>
      <c r="V119" s="687"/>
      <c r="W119" s="687"/>
      <c r="X119" s="687"/>
      <c r="Y119" s="687"/>
      <c r="Z119" s="687"/>
    </row>
    <row r="120" spans="1:26" ht="12" customHeight="1">
      <c r="A120" s="687"/>
      <c r="B120" s="731"/>
      <c r="D120" s="687"/>
      <c r="E120" s="776"/>
      <c r="F120" s="773"/>
      <c r="G120" s="777"/>
      <c r="H120" s="687"/>
      <c r="I120" s="687"/>
      <c r="J120" s="731"/>
      <c r="K120" s="687"/>
      <c r="L120" s="687"/>
      <c r="M120" s="687"/>
      <c r="N120" s="687"/>
      <c r="O120" s="687"/>
      <c r="P120" s="687"/>
      <c r="Q120" s="687"/>
      <c r="R120" s="687"/>
      <c r="S120" s="687"/>
      <c r="T120" s="687"/>
      <c r="U120" s="687"/>
      <c r="V120" s="687"/>
      <c r="W120" s="687"/>
      <c r="X120" s="687"/>
      <c r="Y120" s="687"/>
      <c r="Z120" s="687"/>
    </row>
    <row r="121" spans="1:26" ht="12" customHeight="1">
      <c r="A121" s="687"/>
      <c r="B121" s="731"/>
      <c r="D121" s="687"/>
      <c r="E121" s="776"/>
      <c r="F121" s="773"/>
      <c r="G121" s="777"/>
      <c r="H121" s="687"/>
      <c r="I121" s="687"/>
      <c r="J121" s="731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</row>
    <row r="122" spans="1:26" ht="12" customHeight="1">
      <c r="A122" s="687"/>
      <c r="B122" s="731"/>
      <c r="D122" s="777"/>
      <c r="E122" s="776"/>
      <c r="F122" s="773"/>
      <c r="G122" s="777"/>
      <c r="H122" s="687"/>
      <c r="I122" s="687"/>
      <c r="J122" s="731"/>
      <c r="K122" s="687"/>
      <c r="L122" s="687"/>
      <c r="M122" s="687"/>
      <c r="N122" s="687"/>
      <c r="O122" s="687"/>
      <c r="P122" s="687"/>
      <c r="Q122" s="687"/>
      <c r="R122" s="687"/>
      <c r="S122" s="687"/>
      <c r="T122" s="687"/>
      <c r="U122" s="687"/>
      <c r="V122" s="687"/>
      <c r="W122" s="687"/>
      <c r="X122" s="687"/>
      <c r="Y122" s="687"/>
      <c r="Z122" s="687"/>
    </row>
    <row r="123" spans="1:26" ht="12" customHeight="1">
      <c r="A123" s="687"/>
      <c r="B123" s="731"/>
      <c r="D123" s="687"/>
      <c r="E123" s="776"/>
      <c r="F123" s="773"/>
      <c r="G123" s="777"/>
      <c r="H123" s="687"/>
      <c r="I123" s="687"/>
      <c r="J123" s="731"/>
      <c r="K123" s="687"/>
      <c r="L123" s="687"/>
      <c r="M123" s="687"/>
      <c r="N123" s="687"/>
      <c r="O123" s="687"/>
      <c r="P123" s="687"/>
      <c r="Q123" s="687"/>
      <c r="R123" s="687"/>
      <c r="S123" s="687"/>
      <c r="T123" s="687"/>
      <c r="U123" s="687"/>
      <c r="V123" s="687"/>
      <c r="W123" s="687"/>
      <c r="X123" s="687"/>
      <c r="Y123" s="687"/>
      <c r="Z123" s="687"/>
    </row>
    <row r="124" spans="1:26" ht="12" customHeight="1">
      <c r="A124" s="687"/>
      <c r="B124" s="731"/>
      <c r="D124" s="687"/>
      <c r="E124" s="776"/>
      <c r="F124" s="773"/>
      <c r="G124" s="777"/>
      <c r="H124" s="687"/>
      <c r="I124" s="687"/>
      <c r="J124" s="731"/>
      <c r="K124" s="687"/>
      <c r="L124" s="687"/>
      <c r="M124" s="687"/>
      <c r="N124" s="687"/>
      <c r="O124" s="687"/>
      <c r="P124" s="687"/>
      <c r="Q124" s="687"/>
      <c r="R124" s="687"/>
      <c r="S124" s="687"/>
      <c r="T124" s="687"/>
      <c r="U124" s="687"/>
      <c r="V124" s="687"/>
      <c r="W124" s="687"/>
      <c r="X124" s="687"/>
      <c r="Y124" s="687"/>
      <c r="Z124" s="687"/>
    </row>
    <row r="125" spans="1:26" ht="12" customHeight="1">
      <c r="A125" s="687"/>
      <c r="B125" s="731"/>
      <c r="D125" s="777"/>
      <c r="E125" s="776"/>
      <c r="F125" s="773"/>
      <c r="G125" s="777"/>
      <c r="H125" s="687"/>
      <c r="I125" s="687"/>
      <c r="J125" s="731"/>
      <c r="K125" s="687"/>
      <c r="L125" s="687"/>
      <c r="M125" s="687"/>
      <c r="N125" s="687"/>
      <c r="O125" s="687"/>
      <c r="P125" s="687"/>
      <c r="Q125" s="687"/>
      <c r="R125" s="687"/>
      <c r="S125" s="687"/>
      <c r="T125" s="687"/>
      <c r="U125" s="687"/>
      <c r="V125" s="687"/>
      <c r="W125" s="687"/>
      <c r="X125" s="687"/>
      <c r="Y125" s="687"/>
      <c r="Z125" s="687"/>
    </row>
    <row r="126" spans="1:26" ht="12" customHeight="1">
      <c r="A126" s="687"/>
      <c r="B126" s="731"/>
      <c r="D126" s="687"/>
      <c r="E126" s="776"/>
      <c r="F126" s="773"/>
      <c r="G126" s="777"/>
      <c r="H126" s="687"/>
      <c r="I126" s="687"/>
      <c r="J126" s="731"/>
      <c r="K126" s="687"/>
      <c r="L126" s="687"/>
      <c r="M126" s="687"/>
      <c r="N126" s="687"/>
      <c r="O126" s="687"/>
      <c r="P126" s="687"/>
      <c r="Q126" s="687"/>
      <c r="R126" s="687"/>
      <c r="S126" s="687"/>
      <c r="T126" s="687"/>
      <c r="U126" s="687"/>
      <c r="V126" s="687"/>
      <c r="W126" s="687"/>
      <c r="X126" s="687"/>
      <c r="Y126" s="687"/>
      <c r="Z126" s="687"/>
    </row>
    <row r="127" spans="1:26" ht="12" customHeight="1">
      <c r="A127" s="687"/>
      <c r="B127" s="731"/>
      <c r="D127" s="779" t="s">
        <v>1387</v>
      </c>
      <c r="E127" s="776"/>
      <c r="F127" s="773"/>
      <c r="G127" s="777"/>
      <c r="H127" s="687"/>
      <c r="I127" s="687"/>
      <c r="J127" s="731"/>
      <c r="K127" s="687"/>
      <c r="L127" s="687"/>
      <c r="M127" s="687"/>
      <c r="N127" s="687"/>
      <c r="O127" s="687"/>
      <c r="P127" s="687"/>
      <c r="Q127" s="687"/>
      <c r="R127" s="687"/>
      <c r="S127" s="687"/>
      <c r="T127" s="687"/>
      <c r="U127" s="687"/>
      <c r="V127" s="687"/>
      <c r="W127" s="687"/>
      <c r="X127" s="687"/>
      <c r="Y127" s="687"/>
      <c r="Z127" s="687"/>
    </row>
    <row r="128" spans="1:26" ht="12" customHeight="1" thickBot="1">
      <c r="A128" s="687"/>
      <c r="B128" s="731"/>
      <c r="C128" s="687"/>
      <c r="D128" s="687"/>
      <c r="E128" s="776"/>
      <c r="F128" s="773"/>
      <c r="G128" s="777"/>
      <c r="H128" s="687"/>
      <c r="I128" s="687"/>
      <c r="J128" s="731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</row>
    <row r="129" spans="1:26" ht="12" customHeight="1">
      <c r="A129" s="687"/>
      <c r="B129" s="731"/>
      <c r="C129" s="731"/>
      <c r="D129" s="731"/>
      <c r="E129" s="763" t="s">
        <v>1388</v>
      </c>
      <c r="F129" s="731"/>
      <c r="G129" s="731"/>
      <c r="H129" s="687"/>
      <c r="I129" s="687"/>
      <c r="J129" s="731"/>
      <c r="K129" s="687"/>
      <c r="L129" s="687"/>
      <c r="M129" s="687"/>
      <c r="N129" s="687"/>
      <c r="O129" s="687"/>
      <c r="P129" s="687"/>
      <c r="Q129" s="687"/>
      <c r="R129" s="687"/>
      <c r="S129" s="687"/>
      <c r="T129" s="687"/>
      <c r="U129" s="687"/>
      <c r="V129" s="687"/>
      <c r="W129" s="687"/>
      <c r="X129" s="687"/>
      <c r="Y129" s="687"/>
      <c r="Z129" s="687"/>
    </row>
    <row r="130" spans="1:26" ht="12" customHeight="1">
      <c r="A130" s="687"/>
      <c r="B130" s="780" t="s">
        <v>1389</v>
      </c>
      <c r="C130" s="731"/>
      <c r="D130" s="731"/>
      <c r="E130" s="781" t="s">
        <v>1390</v>
      </c>
      <c r="F130" s="731"/>
      <c r="G130" s="731"/>
      <c r="H130" s="687"/>
      <c r="I130" s="687"/>
      <c r="J130" s="687"/>
      <c r="K130" s="687"/>
      <c r="L130" s="687"/>
      <c r="M130" s="687"/>
      <c r="N130" s="687"/>
      <c r="O130" s="687"/>
      <c r="P130" s="687"/>
      <c r="Q130" s="687"/>
      <c r="R130" s="687"/>
      <c r="S130" s="687"/>
      <c r="T130" s="687"/>
      <c r="U130" s="687"/>
      <c r="V130" s="687"/>
      <c r="W130" s="687"/>
      <c r="X130" s="687"/>
      <c r="Y130" s="687"/>
      <c r="Z130" s="687"/>
    </row>
    <row r="131" spans="1:26" ht="12" customHeight="1">
      <c r="A131" s="687"/>
      <c r="B131" s="736" t="s">
        <v>1368</v>
      </c>
      <c r="C131" s="782" t="s">
        <v>1391</v>
      </c>
      <c r="D131" s="782" t="s">
        <v>1392</v>
      </c>
      <c r="E131" s="753" t="s">
        <v>1393</v>
      </c>
      <c r="F131" s="708" t="s">
        <v>1394</v>
      </c>
      <c r="G131" s="709" t="s">
        <v>1385</v>
      </c>
      <c r="H131" s="731"/>
      <c r="I131" s="687"/>
      <c r="J131" s="687"/>
      <c r="K131" s="687"/>
      <c r="L131" s="687"/>
      <c r="M131" s="687"/>
      <c r="N131" s="687"/>
      <c r="O131" s="687"/>
      <c r="P131" s="687"/>
      <c r="Q131" s="687"/>
      <c r="R131" s="687"/>
      <c r="S131" s="687"/>
      <c r="T131" s="687"/>
      <c r="U131" s="687"/>
      <c r="V131" s="687"/>
      <c r="W131" s="687"/>
      <c r="X131" s="687"/>
      <c r="Y131" s="687"/>
      <c r="Z131" s="687"/>
    </row>
    <row r="132" spans="1:26" ht="12" customHeight="1">
      <c r="A132" s="687"/>
      <c r="B132" s="751">
        <f>SUM(G132:G135)/1000</f>
        <v>0</v>
      </c>
      <c r="C132" s="783">
        <f>건축개요!D115</f>
        <v>0</v>
      </c>
      <c r="D132" s="783">
        <f>C132*0.3025</f>
        <v>0</v>
      </c>
      <c r="E132" s="766" t="s">
        <v>1395</v>
      </c>
      <c r="F132" s="1475">
        <v>4000</v>
      </c>
      <c r="G132" s="784">
        <f t="shared" ref="G132:G135" si="3">IF(E132=$E$130,$C$132*F132,0)</f>
        <v>0</v>
      </c>
      <c r="H132" s="731" t="s">
        <v>1396</v>
      </c>
      <c r="I132" s="731"/>
      <c r="J132" s="687"/>
      <c r="K132" s="687"/>
      <c r="L132" s="687"/>
      <c r="M132" s="687"/>
      <c r="N132" s="687"/>
      <c r="O132" s="687"/>
      <c r="P132" s="687"/>
      <c r="Q132" s="687"/>
      <c r="R132" s="687"/>
      <c r="S132" s="687"/>
      <c r="T132" s="687"/>
      <c r="U132" s="687"/>
      <c r="V132" s="687"/>
      <c r="W132" s="687"/>
      <c r="X132" s="687"/>
      <c r="Y132" s="687"/>
      <c r="Z132" s="687"/>
    </row>
    <row r="133" spans="1:26" ht="12" customHeight="1">
      <c r="A133" s="687"/>
      <c r="B133" s="736" t="s">
        <v>1372</v>
      </c>
      <c r="C133" s="731"/>
      <c r="D133" s="687"/>
      <c r="E133" s="766" t="s">
        <v>1390</v>
      </c>
      <c r="F133" s="1475">
        <v>1300</v>
      </c>
      <c r="G133" s="784">
        <f t="shared" si="3"/>
        <v>0</v>
      </c>
      <c r="H133" s="731"/>
      <c r="I133" s="731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</row>
    <row r="134" spans="1:26" ht="12" customHeight="1">
      <c r="A134" s="687"/>
      <c r="B134" s="785">
        <f>B132*B113</f>
        <v>0</v>
      </c>
      <c r="C134" s="786"/>
      <c r="D134" s="687"/>
      <c r="E134" s="766" t="s">
        <v>1397</v>
      </c>
      <c r="F134" s="1475">
        <v>1000</v>
      </c>
      <c r="G134" s="784">
        <f t="shared" si="3"/>
        <v>0</v>
      </c>
      <c r="H134" s="731"/>
      <c r="I134" s="731"/>
      <c r="J134" s="687"/>
      <c r="K134" s="687"/>
      <c r="L134" s="687"/>
      <c r="M134" s="687"/>
      <c r="N134" s="687"/>
      <c r="O134" s="687"/>
      <c r="P134" s="687"/>
      <c r="Q134" s="687"/>
      <c r="R134" s="687"/>
      <c r="S134" s="687"/>
      <c r="T134" s="687"/>
      <c r="U134" s="687"/>
      <c r="V134" s="687"/>
      <c r="W134" s="687"/>
      <c r="X134" s="687"/>
      <c r="Y134" s="687"/>
      <c r="Z134" s="687"/>
    </row>
    <row r="135" spans="1:26" ht="12" customHeight="1">
      <c r="A135" s="687"/>
      <c r="B135" s="731"/>
      <c r="C135" s="731"/>
      <c r="D135" s="687"/>
      <c r="E135" s="769" t="s">
        <v>1398</v>
      </c>
      <c r="F135" s="770">
        <v>600</v>
      </c>
      <c r="G135" s="787">
        <f t="shared" si="3"/>
        <v>0</v>
      </c>
      <c r="H135" s="731"/>
      <c r="I135" s="731"/>
      <c r="J135" s="687"/>
      <c r="K135" s="687"/>
      <c r="L135" s="687"/>
      <c r="M135" s="687"/>
      <c r="N135" s="687"/>
      <c r="O135" s="687"/>
      <c r="P135" s="687"/>
      <c r="Q135" s="687"/>
      <c r="R135" s="687"/>
      <c r="S135" s="687"/>
      <c r="T135" s="687"/>
      <c r="U135" s="687"/>
      <c r="V135" s="687"/>
      <c r="W135" s="687"/>
      <c r="X135" s="687"/>
      <c r="Y135" s="687"/>
      <c r="Z135" s="687"/>
    </row>
    <row r="136" spans="1:26" ht="12" customHeight="1">
      <c r="A136" s="687"/>
      <c r="B136" s="731"/>
      <c r="C136" s="731"/>
      <c r="D136" s="731"/>
      <c r="E136" s="731"/>
      <c r="F136" s="731"/>
      <c r="G136" s="731"/>
      <c r="H136" s="687"/>
      <c r="I136" s="731"/>
      <c r="J136" s="687"/>
      <c r="K136" s="687"/>
      <c r="L136" s="687"/>
      <c r="M136" s="687"/>
      <c r="N136" s="687"/>
      <c r="O136" s="687"/>
      <c r="P136" s="687"/>
      <c r="Q136" s="687"/>
      <c r="R136" s="687"/>
      <c r="S136" s="687"/>
      <c r="T136" s="687"/>
      <c r="U136" s="687"/>
      <c r="V136" s="687"/>
      <c r="W136" s="687"/>
      <c r="X136" s="687"/>
      <c r="Y136" s="687"/>
      <c r="Z136" s="687"/>
    </row>
    <row r="137" spans="1:26" ht="12" customHeight="1">
      <c r="A137" s="687"/>
      <c r="B137" s="735" t="s">
        <v>1399</v>
      </c>
      <c r="C137" s="731"/>
      <c r="D137" s="731"/>
      <c r="E137" s="731"/>
      <c r="F137" s="731"/>
      <c r="G137" s="731"/>
      <c r="H137" s="687"/>
      <c r="I137" s="687"/>
      <c r="J137" s="687"/>
      <c r="K137" s="687"/>
      <c r="L137" s="687"/>
      <c r="M137" s="687"/>
      <c r="N137" s="687"/>
      <c r="O137" s="687"/>
      <c r="P137" s="687"/>
      <c r="Q137" s="687"/>
      <c r="R137" s="687"/>
      <c r="S137" s="687"/>
      <c r="T137" s="687"/>
      <c r="U137" s="687"/>
      <c r="V137" s="687"/>
      <c r="W137" s="687"/>
      <c r="X137" s="687"/>
      <c r="Y137" s="687"/>
      <c r="Z137" s="687"/>
    </row>
    <row r="138" spans="1:26" ht="12" customHeight="1">
      <c r="A138" s="687"/>
      <c r="B138" s="736" t="s">
        <v>1372</v>
      </c>
      <c r="C138" s="788"/>
      <c r="D138" s="731"/>
      <c r="E138" s="731"/>
      <c r="F138" s="731"/>
      <c r="G138" s="731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</row>
    <row r="139" spans="1:26" ht="12" customHeight="1">
      <c r="A139" s="732"/>
      <c r="B139" s="789">
        <f>SUM(B111,B134)</f>
        <v>188665209.60000002</v>
      </c>
      <c r="C139" s="773"/>
      <c r="D139" s="731"/>
      <c r="E139" s="731"/>
      <c r="F139" s="731"/>
      <c r="G139" s="731"/>
      <c r="H139" s="687"/>
      <c r="I139" s="687"/>
      <c r="J139" s="687"/>
      <c r="K139" s="687"/>
      <c r="L139" s="687"/>
      <c r="M139" s="687"/>
      <c r="N139" s="687"/>
      <c r="O139" s="687"/>
      <c r="P139" s="687"/>
      <c r="Q139" s="687"/>
      <c r="R139" s="687"/>
      <c r="S139" s="687"/>
      <c r="T139" s="687"/>
      <c r="U139" s="687"/>
      <c r="V139" s="687"/>
      <c r="W139" s="687"/>
      <c r="X139" s="687"/>
      <c r="Y139" s="687"/>
      <c r="Z139" s="687"/>
    </row>
    <row r="140" spans="1:26" ht="12" customHeight="1">
      <c r="A140" s="732"/>
      <c r="B140" s="731"/>
      <c r="C140" s="774"/>
      <c r="D140" s="731"/>
      <c r="E140" s="790"/>
      <c r="F140" s="731"/>
      <c r="G140" s="731"/>
      <c r="H140" s="687"/>
      <c r="I140" s="687"/>
      <c r="J140" s="687"/>
      <c r="K140" s="687"/>
      <c r="L140" s="687"/>
      <c r="M140" s="687"/>
      <c r="N140" s="687"/>
      <c r="O140" s="687"/>
      <c r="P140" s="687"/>
      <c r="Q140" s="687"/>
      <c r="R140" s="687"/>
      <c r="S140" s="687"/>
      <c r="T140" s="687"/>
      <c r="U140" s="687"/>
      <c r="V140" s="687"/>
      <c r="W140" s="687"/>
      <c r="X140" s="687"/>
      <c r="Y140" s="687"/>
      <c r="Z140" s="687"/>
    </row>
    <row r="141" spans="1:26" ht="12" customHeight="1">
      <c r="A141" s="687"/>
      <c r="B141" s="687"/>
      <c r="C141" s="687"/>
      <c r="D141" s="687"/>
      <c r="E141" s="687"/>
      <c r="F141" s="687"/>
      <c r="G141" s="687"/>
      <c r="H141" s="687"/>
      <c r="I141" s="687"/>
      <c r="J141" s="687"/>
      <c r="K141" s="687"/>
      <c r="L141" s="687"/>
      <c r="M141" s="687"/>
      <c r="N141" s="687"/>
      <c r="O141" s="687"/>
      <c r="P141" s="687"/>
      <c r="Q141" s="687"/>
      <c r="R141" s="687"/>
      <c r="S141" s="687"/>
      <c r="T141" s="687"/>
      <c r="U141" s="687"/>
      <c r="V141" s="687"/>
      <c r="W141" s="687"/>
      <c r="X141" s="687"/>
      <c r="Y141" s="687"/>
      <c r="Z141" s="687"/>
    </row>
    <row r="142" spans="1:26" ht="12" customHeight="1">
      <c r="A142" s="688" t="s">
        <v>1319</v>
      </c>
      <c r="B142" s="732" t="s">
        <v>1400</v>
      </c>
      <c r="C142" s="687"/>
      <c r="D142" s="687"/>
      <c r="E142" s="687"/>
      <c r="F142" s="687"/>
      <c r="G142" s="687"/>
      <c r="H142" s="687"/>
      <c r="I142" s="687"/>
      <c r="J142" s="687"/>
      <c r="K142" s="687"/>
      <c r="L142" s="687"/>
      <c r="M142" s="687"/>
      <c r="N142" s="687"/>
      <c r="O142" s="687"/>
      <c r="P142" s="687"/>
      <c r="Q142" s="687"/>
      <c r="R142" s="687"/>
      <c r="S142" s="687"/>
      <c r="T142" s="687"/>
      <c r="U142" s="687"/>
      <c r="V142" s="687"/>
      <c r="W142" s="687"/>
      <c r="X142" s="687"/>
      <c r="Y142" s="687"/>
      <c r="Z142" s="687"/>
    </row>
    <row r="143" spans="1:26" ht="12" customHeight="1">
      <c r="A143" s="687"/>
      <c r="B143" s="791" t="s">
        <v>31</v>
      </c>
      <c r="C143" s="792" t="s">
        <v>1401</v>
      </c>
      <c r="D143" s="793"/>
      <c r="E143" s="794" t="s">
        <v>59</v>
      </c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</row>
    <row r="144" spans="1:26" ht="12" customHeight="1">
      <c r="A144" s="687"/>
      <c r="B144" s="795" t="s">
        <v>1400</v>
      </c>
      <c r="C144" s="796">
        <v>18</v>
      </c>
      <c r="D144" s="797" t="s">
        <v>1402</v>
      </c>
      <c r="E144" s="798"/>
      <c r="F144" s="687"/>
      <c r="G144" s="687"/>
      <c r="H144" s="687"/>
      <c r="I144" s="687"/>
      <c r="J144" s="687"/>
      <c r="K144" s="687"/>
      <c r="L144" s="687"/>
      <c r="M144" s="687"/>
      <c r="N144" s="687"/>
      <c r="O144" s="687"/>
      <c r="P144" s="687"/>
      <c r="Q144" s="687"/>
      <c r="R144" s="687"/>
      <c r="S144" s="687"/>
      <c r="T144" s="687"/>
      <c r="U144" s="687"/>
      <c r="V144" s="687"/>
      <c r="W144" s="687"/>
      <c r="X144" s="687"/>
      <c r="Y144" s="687"/>
      <c r="Z144" s="687"/>
    </row>
    <row r="145" spans="1:26" ht="12" customHeight="1">
      <c r="A145" s="687"/>
      <c r="B145" s="795" t="s">
        <v>1403</v>
      </c>
      <c r="C145" s="799">
        <v>10</v>
      </c>
      <c r="D145" s="800" t="s">
        <v>1404</v>
      </c>
      <c r="E145" s="801" t="s">
        <v>1405</v>
      </c>
      <c r="F145" s="687"/>
      <c r="G145" s="687"/>
      <c r="H145" s="687"/>
      <c r="I145" s="687"/>
      <c r="J145" s="687"/>
      <c r="K145" s="687"/>
      <c r="L145" s="687"/>
      <c r="M145" s="687"/>
      <c r="N145" s="687"/>
      <c r="O145" s="687"/>
      <c r="P145" s="687"/>
      <c r="Q145" s="687"/>
      <c r="R145" s="687"/>
      <c r="S145" s="687"/>
      <c r="T145" s="687"/>
      <c r="U145" s="687"/>
      <c r="V145" s="687"/>
      <c r="W145" s="687"/>
      <c r="X145" s="687"/>
      <c r="Y145" s="687"/>
      <c r="Z145" s="687"/>
    </row>
    <row r="146" spans="1:26" ht="12" customHeight="1">
      <c r="A146" s="687"/>
      <c r="B146" s="802" t="s">
        <v>1406</v>
      </c>
      <c r="C146" s="1476">
        <v>10</v>
      </c>
      <c r="D146" s="1477" t="s">
        <v>1404</v>
      </c>
      <c r="E146" s="803" t="s">
        <v>1405</v>
      </c>
      <c r="F146" s="687"/>
      <c r="G146" s="687"/>
      <c r="H146" s="731"/>
      <c r="I146" s="687"/>
      <c r="J146" s="687"/>
      <c r="K146" s="687"/>
      <c r="L146" s="687"/>
      <c r="M146" s="687"/>
      <c r="N146" s="687"/>
      <c r="O146" s="687"/>
      <c r="P146" s="687"/>
      <c r="Q146" s="687"/>
      <c r="R146" s="687"/>
      <c r="S146" s="687"/>
      <c r="T146" s="687"/>
      <c r="U146" s="687"/>
      <c r="V146" s="687"/>
      <c r="W146" s="687"/>
      <c r="X146" s="687"/>
      <c r="Y146" s="687"/>
      <c r="Z146" s="687"/>
    </row>
    <row r="147" spans="1:26" ht="12" customHeight="1">
      <c r="A147" s="687"/>
      <c r="B147" s="804" t="s">
        <v>1407</v>
      </c>
      <c r="C147" s="805">
        <f>SUM(C148:C151)</f>
        <v>644</v>
      </c>
      <c r="D147" s="806" t="s">
        <v>1408</v>
      </c>
      <c r="E147" s="807"/>
      <c r="F147" s="687"/>
      <c r="G147" s="687"/>
      <c r="H147" s="731"/>
      <c r="I147" s="731"/>
      <c r="J147" s="687"/>
      <c r="K147" s="687"/>
      <c r="L147" s="687"/>
      <c r="M147" s="687"/>
      <c r="N147" s="687"/>
      <c r="O147" s="687"/>
      <c r="P147" s="687"/>
      <c r="Q147" s="687"/>
      <c r="R147" s="687"/>
      <c r="S147" s="687"/>
      <c r="T147" s="687"/>
      <c r="U147" s="687"/>
      <c r="V147" s="687"/>
      <c r="W147" s="687"/>
      <c r="X147" s="687"/>
      <c r="Y147" s="687"/>
      <c r="Z147" s="687"/>
    </row>
    <row r="148" spans="1:26" ht="12" customHeight="1">
      <c r="A148" s="687"/>
      <c r="B148" s="808" t="s">
        <v>32</v>
      </c>
      <c r="C148" s="1478">
        <f>사업검토!G22</f>
        <v>644</v>
      </c>
      <c r="D148" s="1479" t="s">
        <v>1408</v>
      </c>
      <c r="E148" s="809"/>
      <c r="F148" s="687"/>
      <c r="G148" s="687"/>
      <c r="H148" s="731"/>
      <c r="I148" s="731"/>
      <c r="J148" s="687"/>
      <c r="K148" s="687"/>
      <c r="L148" s="687"/>
      <c r="M148" s="687"/>
      <c r="N148" s="687"/>
      <c r="O148" s="687"/>
      <c r="P148" s="687"/>
      <c r="Q148" s="687"/>
      <c r="R148" s="687"/>
      <c r="S148" s="687"/>
      <c r="T148" s="687"/>
      <c r="U148" s="687"/>
      <c r="V148" s="687"/>
      <c r="W148" s="687"/>
      <c r="X148" s="687"/>
      <c r="Y148" s="687"/>
      <c r="Z148" s="687"/>
    </row>
    <row r="149" spans="1:26" ht="12" customHeight="1">
      <c r="A149" s="687"/>
      <c r="B149" s="810" t="s">
        <v>461</v>
      </c>
      <c r="C149" s="1478" t="s">
        <v>1409</v>
      </c>
      <c r="D149" s="1479" t="s">
        <v>1410</v>
      </c>
      <c r="E149" s="811"/>
      <c r="F149" s="687"/>
      <c r="G149" s="687"/>
      <c r="H149" s="731"/>
      <c r="I149" s="731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</row>
    <row r="150" spans="1:26" ht="12" customHeight="1">
      <c r="A150" s="687"/>
      <c r="B150" s="812" t="s">
        <v>1411</v>
      </c>
      <c r="C150" s="1480" t="s">
        <v>1409</v>
      </c>
      <c r="D150" s="813" t="s">
        <v>1410</v>
      </c>
      <c r="E150" s="814">
        <v>50</v>
      </c>
      <c r="F150" s="687"/>
      <c r="G150" s="687"/>
      <c r="H150" s="731"/>
      <c r="I150" s="731"/>
      <c r="J150" s="687"/>
      <c r="K150" s="687"/>
      <c r="L150" s="687"/>
      <c r="M150" s="687"/>
      <c r="N150" s="687"/>
      <c r="O150" s="687"/>
      <c r="P150" s="687"/>
      <c r="Q150" s="687"/>
      <c r="R150" s="687"/>
      <c r="S150" s="687"/>
      <c r="T150" s="687"/>
      <c r="U150" s="687"/>
      <c r="V150" s="687"/>
      <c r="W150" s="687"/>
      <c r="X150" s="687"/>
      <c r="Y150" s="687"/>
      <c r="Z150" s="687"/>
    </row>
    <row r="151" spans="1:26" ht="12" customHeight="1">
      <c r="A151" s="687"/>
      <c r="B151" s="815" t="s">
        <v>416</v>
      </c>
      <c r="C151" s="816">
        <f>사업검토!F69</f>
        <v>0</v>
      </c>
      <c r="D151" s="1479" t="s">
        <v>1410</v>
      </c>
      <c r="E151" s="817">
        <v>50</v>
      </c>
      <c r="F151" s="687"/>
      <c r="G151" s="687"/>
      <c r="H151" s="731"/>
      <c r="I151" s="731"/>
      <c r="J151" s="687"/>
      <c r="K151" s="687"/>
      <c r="L151" s="687"/>
      <c r="M151" s="687"/>
      <c r="N151" s="687"/>
      <c r="O151" s="687"/>
      <c r="P151" s="687"/>
      <c r="Q151" s="687"/>
      <c r="R151" s="687"/>
      <c r="S151" s="687"/>
      <c r="T151" s="687"/>
      <c r="U151" s="687"/>
      <c r="V151" s="687"/>
      <c r="W151" s="687"/>
      <c r="X151" s="687"/>
      <c r="Y151" s="687"/>
      <c r="Z151" s="687"/>
    </row>
    <row r="152" spans="1:26" ht="12" customHeight="1">
      <c r="A152" s="732"/>
      <c r="B152" s="818" t="s">
        <v>1412</v>
      </c>
      <c r="C152" s="819">
        <f>C145*C144</f>
        <v>180</v>
      </c>
      <c r="D152" s="820" t="s">
        <v>263</v>
      </c>
      <c r="E152" s="821"/>
      <c r="F152" s="687"/>
      <c r="G152" s="687"/>
      <c r="H152" s="731"/>
      <c r="I152" s="731"/>
      <c r="J152" s="687"/>
      <c r="K152" s="687"/>
      <c r="L152" s="687"/>
      <c r="M152" s="687"/>
      <c r="N152" s="687"/>
      <c r="O152" s="687"/>
      <c r="P152" s="687"/>
      <c r="Q152" s="687"/>
      <c r="R152" s="687"/>
      <c r="S152" s="687"/>
      <c r="T152" s="687"/>
      <c r="U152" s="687"/>
      <c r="V152" s="687"/>
      <c r="W152" s="687"/>
      <c r="X152" s="687"/>
      <c r="Y152" s="687"/>
      <c r="Z152" s="687"/>
    </row>
    <row r="153" spans="1:26" ht="12" customHeight="1">
      <c r="A153" s="687"/>
      <c r="B153" s="822" t="s">
        <v>1413</v>
      </c>
      <c r="C153" s="823">
        <f>C144*C146*C147</f>
        <v>115920</v>
      </c>
      <c r="D153" s="824" t="s">
        <v>263</v>
      </c>
      <c r="E153" s="825"/>
      <c r="F153" s="687"/>
      <c r="G153" s="687"/>
      <c r="H153" s="731"/>
      <c r="I153" s="731"/>
      <c r="J153" s="687"/>
      <c r="K153" s="687"/>
      <c r="L153" s="687"/>
      <c r="M153" s="687"/>
      <c r="N153" s="687"/>
      <c r="O153" s="687"/>
      <c r="P153" s="687"/>
      <c r="Q153" s="687"/>
      <c r="R153" s="687"/>
      <c r="S153" s="687"/>
      <c r="T153" s="687"/>
      <c r="U153" s="687"/>
      <c r="V153" s="687"/>
      <c r="W153" s="687"/>
      <c r="X153" s="687"/>
      <c r="Y153" s="687"/>
      <c r="Z153" s="687"/>
    </row>
    <row r="154" spans="1:26" ht="12" customHeight="1">
      <c r="A154" s="687"/>
      <c r="B154" s="687"/>
      <c r="C154" s="687"/>
      <c r="D154" s="687"/>
      <c r="E154" s="687"/>
      <c r="F154" s="687"/>
      <c r="G154" s="687"/>
      <c r="H154" s="731"/>
      <c r="I154" s="731"/>
      <c r="J154" s="687"/>
      <c r="K154" s="687"/>
      <c r="L154" s="687"/>
      <c r="M154" s="687"/>
      <c r="N154" s="687"/>
      <c r="O154" s="687"/>
      <c r="P154" s="687"/>
      <c r="Q154" s="687"/>
      <c r="R154" s="687"/>
      <c r="S154" s="687"/>
      <c r="T154" s="687"/>
      <c r="U154" s="687"/>
      <c r="V154" s="687"/>
      <c r="W154" s="687"/>
      <c r="X154" s="687"/>
      <c r="Y154" s="687"/>
      <c r="Z154" s="687"/>
    </row>
    <row r="155" spans="1:26" ht="12" customHeight="1">
      <c r="A155" s="688" t="s">
        <v>1319</v>
      </c>
      <c r="B155" s="732" t="s">
        <v>1414</v>
      </c>
      <c r="C155" s="687"/>
      <c r="D155" s="687"/>
      <c r="E155" s="687"/>
      <c r="F155" s="687"/>
      <c r="G155" s="687"/>
      <c r="H155" s="731"/>
      <c r="I155" s="731"/>
      <c r="J155" s="687"/>
      <c r="K155" s="687"/>
      <c r="L155" s="687"/>
      <c r="M155" s="687"/>
      <c r="N155" s="687"/>
      <c r="O155" s="687"/>
      <c r="P155" s="687"/>
      <c r="Q155" s="687"/>
      <c r="R155" s="687"/>
      <c r="S155" s="687"/>
      <c r="T155" s="687"/>
      <c r="U155" s="687"/>
      <c r="V155" s="687"/>
      <c r="W155" s="687"/>
      <c r="X155" s="687"/>
      <c r="Y155" s="687"/>
      <c r="Z155" s="687"/>
    </row>
    <row r="156" spans="1:26" ht="12" customHeight="1">
      <c r="A156" s="687"/>
      <c r="B156" s="736" t="s">
        <v>1415</v>
      </c>
      <c r="C156" s="752" t="s">
        <v>1416</v>
      </c>
      <c r="D156" s="752" t="s">
        <v>1417</v>
      </c>
      <c r="E156" s="708" t="s">
        <v>1418</v>
      </c>
      <c r="F156" s="826" t="s">
        <v>1419</v>
      </c>
      <c r="G156" s="687"/>
      <c r="H156" s="731"/>
      <c r="I156" s="731"/>
      <c r="J156" s="687"/>
      <c r="K156" s="687"/>
      <c r="L156" s="687"/>
      <c r="M156" s="687"/>
      <c r="N156" s="687"/>
      <c r="O156" s="687"/>
      <c r="P156" s="687"/>
      <c r="Q156" s="687"/>
      <c r="R156" s="687"/>
      <c r="S156" s="687"/>
      <c r="T156" s="687"/>
      <c r="U156" s="687"/>
      <c r="V156" s="687"/>
      <c r="W156" s="687"/>
      <c r="X156" s="687"/>
      <c r="Y156" s="687"/>
      <c r="Z156" s="687"/>
    </row>
    <row r="157" spans="1:26" ht="12" customHeight="1">
      <c r="A157" s="687"/>
      <c r="B157" s="827">
        <v>810</v>
      </c>
      <c r="C157" s="828" t="e">
        <f>C160/0.3025</f>
        <v>#REF!</v>
      </c>
      <c r="D157" s="829">
        <v>200</v>
      </c>
      <c r="E157" s="1481">
        <v>9400</v>
      </c>
      <c r="F157" s="830" t="e">
        <f>IF(C157&lt;D157,9400,0)</f>
        <v>#REF!</v>
      </c>
      <c r="G157" s="687"/>
      <c r="H157" s="731"/>
      <c r="I157" s="731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</row>
    <row r="158" spans="1:26" ht="12" customHeight="1">
      <c r="A158" s="687"/>
      <c r="B158" s="831"/>
      <c r="C158" s="831"/>
      <c r="D158" s="832">
        <v>1000</v>
      </c>
      <c r="E158" s="1481">
        <v>20000</v>
      </c>
      <c r="F158" s="830" t="e">
        <f>IF($C$157&lt;D158,IF($C$157&lt;D157,0,20000),0)</f>
        <v>#REF!</v>
      </c>
      <c r="G158" s="687"/>
      <c r="H158" s="731"/>
      <c r="I158" s="731"/>
      <c r="J158" s="687"/>
      <c r="K158" s="687"/>
      <c r="L158" s="687"/>
      <c r="M158" s="687"/>
      <c r="N158" s="687"/>
      <c r="O158" s="687"/>
      <c r="P158" s="687"/>
      <c r="Q158" s="687"/>
      <c r="R158" s="687"/>
      <c r="S158" s="687"/>
      <c r="T158" s="687"/>
      <c r="U158" s="687"/>
      <c r="V158" s="687"/>
      <c r="W158" s="687"/>
      <c r="X158" s="687"/>
      <c r="Y158" s="687"/>
      <c r="Z158" s="687"/>
    </row>
    <row r="159" spans="1:26" ht="12" customHeight="1">
      <c r="A159" s="687"/>
      <c r="B159" s="831"/>
      <c r="C159" s="833" t="s">
        <v>1420</v>
      </c>
      <c r="D159" s="834">
        <v>5000</v>
      </c>
      <c r="E159" s="1481">
        <v>54000</v>
      </c>
      <c r="F159" s="830" t="e">
        <f>IF($C$157&lt;D159,IF($C$157&lt;D158,0,54000),0)</f>
        <v>#REF!</v>
      </c>
      <c r="G159" s="687"/>
      <c r="H159" s="731"/>
      <c r="I159" s="731"/>
      <c r="J159" s="687"/>
      <c r="K159" s="687"/>
      <c r="L159" s="687"/>
      <c r="M159" s="687"/>
      <c r="N159" s="687"/>
      <c r="O159" s="687"/>
      <c r="P159" s="687"/>
      <c r="Q159" s="687"/>
      <c r="R159" s="687"/>
      <c r="S159" s="687"/>
      <c r="T159" s="687"/>
      <c r="U159" s="687"/>
      <c r="V159" s="687"/>
      <c r="W159" s="687"/>
      <c r="X159" s="687"/>
      <c r="Y159" s="687"/>
      <c r="Z159" s="687"/>
    </row>
    <row r="160" spans="1:26" ht="12" customHeight="1">
      <c r="A160" s="687"/>
      <c r="B160" s="831"/>
      <c r="C160" s="835" t="e">
        <f>사업검토!#REF!</f>
        <v>#REF!</v>
      </c>
      <c r="D160" s="834">
        <v>10000</v>
      </c>
      <c r="E160" s="1481">
        <v>100000</v>
      </c>
      <c r="F160" s="830" t="e">
        <f>IF($C$157&lt;D160,IF($C$157&lt;D159,0,100000),0)</f>
        <v>#REF!</v>
      </c>
      <c r="G160" s="687"/>
      <c r="H160" s="731"/>
      <c r="I160" s="731"/>
      <c r="J160" s="687"/>
      <c r="K160" s="687"/>
      <c r="L160" s="687"/>
      <c r="M160" s="687"/>
      <c r="N160" s="687"/>
      <c r="O160" s="687"/>
      <c r="P160" s="687"/>
      <c r="Q160" s="687"/>
      <c r="R160" s="687"/>
      <c r="S160" s="687"/>
      <c r="T160" s="687"/>
      <c r="U160" s="687"/>
      <c r="V160" s="687"/>
      <c r="W160" s="687"/>
      <c r="X160" s="687"/>
      <c r="Y160" s="687"/>
      <c r="Z160" s="687"/>
    </row>
    <row r="161" spans="1:26" ht="12" customHeight="1">
      <c r="A161" s="687"/>
      <c r="B161" s="831"/>
      <c r="C161" s="831"/>
      <c r="D161" s="832">
        <v>30000</v>
      </c>
      <c r="E161" s="1481">
        <v>200000</v>
      </c>
      <c r="F161" s="830" t="e">
        <f>IF($C$157&lt;D161,IF($C$157&lt;D160,0,200000),0)</f>
        <v>#REF!</v>
      </c>
      <c r="G161" s="687"/>
      <c r="H161" s="731"/>
      <c r="I161" s="731"/>
      <c r="J161" s="687"/>
      <c r="K161" s="687"/>
      <c r="L161" s="687"/>
      <c r="M161" s="687"/>
      <c r="N161" s="687"/>
      <c r="O161" s="687"/>
      <c r="P161" s="687"/>
      <c r="Q161" s="687"/>
      <c r="R161" s="687"/>
      <c r="S161" s="687"/>
      <c r="T161" s="687"/>
      <c r="U161" s="687"/>
      <c r="V161" s="687"/>
      <c r="W161" s="687"/>
      <c r="X161" s="687"/>
      <c r="Y161" s="687"/>
      <c r="Z161" s="687"/>
    </row>
    <row r="162" spans="1:26" ht="12" customHeight="1">
      <c r="A162" s="687"/>
      <c r="B162" s="831"/>
      <c r="C162" s="831"/>
      <c r="D162" s="832">
        <v>100000</v>
      </c>
      <c r="E162" s="1481">
        <v>410000</v>
      </c>
      <c r="F162" s="830" t="e">
        <f>IF($C$157&lt;D162,IF($C$157&lt;D161,0,410000),0)</f>
        <v>#REF!</v>
      </c>
      <c r="G162" s="687"/>
      <c r="H162" s="731"/>
      <c r="I162" s="731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</row>
    <row r="163" spans="1:26" ht="12" customHeight="1">
      <c r="A163" s="687"/>
      <c r="B163" s="831"/>
      <c r="C163" s="831"/>
      <c r="D163" s="832">
        <v>300000</v>
      </c>
      <c r="E163" s="1481">
        <v>810000</v>
      </c>
      <c r="F163" s="836" t="e">
        <f>IF($C$157&lt;D163,IF($C$157&lt;D162,0,810000),0)</f>
        <v>#REF!</v>
      </c>
      <c r="G163" s="687"/>
      <c r="H163" s="731"/>
      <c r="I163" s="731"/>
      <c r="J163" s="687"/>
      <c r="K163" s="687"/>
      <c r="L163" s="687"/>
      <c r="M163" s="687"/>
      <c r="N163" s="687"/>
      <c r="O163" s="687"/>
      <c r="P163" s="687"/>
      <c r="Q163" s="687"/>
      <c r="R163" s="687"/>
      <c r="S163" s="687"/>
      <c r="T163" s="687"/>
      <c r="U163" s="687"/>
      <c r="V163" s="687"/>
      <c r="W163" s="687"/>
      <c r="X163" s="687"/>
      <c r="Y163" s="687"/>
      <c r="Z163" s="687"/>
    </row>
    <row r="164" spans="1:26" ht="12" customHeight="1">
      <c r="A164" s="687"/>
      <c r="B164" s="831"/>
      <c r="C164" s="831"/>
      <c r="D164" s="837" t="s">
        <v>1421</v>
      </c>
      <c r="E164" s="838">
        <v>1620000</v>
      </c>
      <c r="F164" s="1482" t="e">
        <f>IF(C157&gt;D163,1620000,0)</f>
        <v>#REF!</v>
      </c>
      <c r="G164" s="687"/>
      <c r="H164" s="731"/>
      <c r="I164" s="731"/>
      <c r="J164" s="687"/>
      <c r="K164" s="687"/>
      <c r="L164" s="687"/>
      <c r="M164" s="687"/>
      <c r="N164" s="687"/>
      <c r="O164" s="687"/>
      <c r="P164" s="687"/>
      <c r="Q164" s="687"/>
      <c r="R164" s="687"/>
      <c r="S164" s="687"/>
      <c r="T164" s="687"/>
      <c r="U164" s="687"/>
      <c r="V164" s="687"/>
      <c r="W164" s="687"/>
      <c r="X164" s="687"/>
      <c r="Y164" s="687"/>
      <c r="Z164" s="687"/>
    </row>
    <row r="165" spans="1:26" ht="12" customHeight="1">
      <c r="A165" s="687"/>
      <c r="B165" s="687"/>
      <c r="C165" s="687"/>
      <c r="D165" s="687"/>
      <c r="E165" s="687"/>
      <c r="F165" s="687"/>
      <c r="G165" s="687"/>
      <c r="H165" s="731"/>
      <c r="I165" s="731"/>
      <c r="J165" s="687"/>
      <c r="K165" s="687"/>
      <c r="L165" s="687"/>
      <c r="M165" s="687"/>
      <c r="N165" s="687"/>
      <c r="O165" s="687"/>
      <c r="P165" s="687"/>
      <c r="Q165" s="687"/>
      <c r="R165" s="687"/>
      <c r="S165" s="687"/>
      <c r="T165" s="687"/>
      <c r="U165" s="687"/>
      <c r="V165" s="687"/>
      <c r="W165" s="687"/>
      <c r="X165" s="687"/>
      <c r="Y165" s="687"/>
      <c r="Z165" s="687"/>
    </row>
    <row r="166" spans="1:26" ht="12" customHeight="1">
      <c r="A166" s="687"/>
      <c r="B166" s="687"/>
      <c r="C166" s="687"/>
      <c r="D166" s="687"/>
      <c r="E166" s="687"/>
      <c r="F166" s="687"/>
      <c r="G166" s="687"/>
      <c r="H166" s="731"/>
      <c r="I166" s="731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</row>
    <row r="167" spans="1:26" ht="12" customHeight="1">
      <c r="A167" s="688" t="s">
        <v>1319</v>
      </c>
      <c r="B167" s="77" t="s">
        <v>1422</v>
      </c>
      <c r="C167" s="687"/>
      <c r="D167" s="687"/>
      <c r="E167" s="687" t="s">
        <v>1423</v>
      </c>
      <c r="F167" s="687"/>
      <c r="G167" s="687"/>
      <c r="H167" s="731"/>
      <c r="I167" s="731"/>
      <c r="J167" s="687"/>
      <c r="K167" s="687"/>
      <c r="L167" s="687"/>
      <c r="M167" s="687"/>
      <c r="N167" s="687"/>
      <c r="O167" s="687"/>
      <c r="P167" s="687"/>
      <c r="Q167" s="687"/>
      <c r="R167" s="687"/>
      <c r="S167" s="687"/>
      <c r="T167" s="687"/>
      <c r="U167" s="687"/>
      <c r="V167" s="687"/>
      <c r="W167" s="687"/>
      <c r="X167" s="687"/>
      <c r="Y167" s="687"/>
      <c r="Z167" s="687"/>
    </row>
    <row r="168" spans="1:26" ht="12" customHeight="1">
      <c r="A168" s="732"/>
      <c r="B168" s="713" t="s">
        <v>1424</v>
      </c>
      <c r="C168" s="687"/>
      <c r="D168" s="687"/>
      <c r="E168" s="687"/>
      <c r="F168" s="687"/>
      <c r="G168" s="687"/>
      <c r="H168" s="731"/>
      <c r="I168" s="731"/>
      <c r="J168" s="687"/>
      <c r="K168" s="687"/>
      <c r="L168" s="687"/>
      <c r="M168" s="687"/>
      <c r="N168" s="687"/>
      <c r="O168" s="687"/>
      <c r="P168" s="687"/>
      <c r="Q168" s="687"/>
      <c r="R168" s="687"/>
      <c r="S168" s="687"/>
      <c r="T168" s="687"/>
      <c r="U168" s="687"/>
      <c r="V168" s="687"/>
      <c r="W168" s="687"/>
      <c r="X168" s="687"/>
      <c r="Y168" s="687"/>
      <c r="Z168" s="687"/>
    </row>
    <row r="169" spans="1:26" ht="12" customHeight="1">
      <c r="A169" s="732"/>
      <c r="B169" s="713" t="s">
        <v>1425</v>
      </c>
      <c r="C169" s="687"/>
      <c r="D169" s="687"/>
      <c r="E169" s="687"/>
      <c r="F169" s="687"/>
      <c r="G169" s="687"/>
      <c r="H169" s="731"/>
      <c r="I169" s="731"/>
      <c r="J169" s="687"/>
      <c r="K169" s="687"/>
      <c r="L169" s="687"/>
      <c r="M169" s="687"/>
      <c r="N169" s="687"/>
      <c r="O169" s="687"/>
      <c r="P169" s="687"/>
      <c r="Q169" s="687"/>
      <c r="R169" s="687"/>
      <c r="S169" s="687"/>
      <c r="T169" s="687"/>
      <c r="U169" s="687"/>
      <c r="V169" s="687"/>
      <c r="W169" s="687"/>
      <c r="X169" s="687"/>
      <c r="Y169" s="687"/>
      <c r="Z169" s="687"/>
    </row>
    <row r="170" spans="1:26" ht="12" customHeight="1">
      <c r="A170" s="687"/>
      <c r="B170" s="713" t="s">
        <v>1426</v>
      </c>
      <c r="C170" s="687"/>
      <c r="D170" s="839" t="s">
        <v>1427</v>
      </c>
      <c r="E170" s="687"/>
      <c r="F170" s="687"/>
      <c r="G170" s="687"/>
      <c r="H170" s="731"/>
      <c r="I170" s="731"/>
      <c r="J170" s="687"/>
      <c r="K170" s="687"/>
      <c r="L170" s="687"/>
      <c r="M170" s="687"/>
      <c r="N170" s="687"/>
      <c r="O170" s="687"/>
      <c r="P170" s="687"/>
      <c r="Q170" s="687"/>
      <c r="R170" s="687"/>
      <c r="S170" s="687"/>
      <c r="T170" s="687"/>
      <c r="U170" s="687"/>
      <c r="V170" s="687"/>
      <c r="W170" s="687"/>
      <c r="X170" s="687"/>
      <c r="Y170" s="687"/>
      <c r="Z170" s="687"/>
    </row>
    <row r="171" spans="1:26" ht="12" customHeight="1">
      <c r="A171" s="687"/>
      <c r="B171" s="713" t="s">
        <v>1428</v>
      </c>
      <c r="C171" s="687"/>
      <c r="D171" s="839" t="s">
        <v>1427</v>
      </c>
      <c r="E171" s="687"/>
      <c r="F171" s="687"/>
      <c r="G171" s="687"/>
      <c r="H171" s="731"/>
      <c r="I171" s="731"/>
      <c r="J171" s="687"/>
      <c r="K171" s="687"/>
      <c r="L171" s="687"/>
      <c r="M171" s="687"/>
      <c r="N171" s="687"/>
      <c r="O171" s="687"/>
      <c r="P171" s="687"/>
      <c r="Q171" s="687"/>
      <c r="R171" s="687"/>
      <c r="S171" s="687"/>
      <c r="T171" s="687"/>
      <c r="U171" s="687"/>
      <c r="V171" s="687"/>
      <c r="W171" s="687"/>
      <c r="X171" s="687"/>
      <c r="Y171" s="687"/>
      <c r="Z171" s="687"/>
    </row>
    <row r="172" spans="1:26" ht="12" customHeight="1">
      <c r="A172" s="687"/>
      <c r="B172" s="713" t="s">
        <v>1429</v>
      </c>
      <c r="C172" s="687"/>
      <c r="D172" s="839" t="s">
        <v>1427</v>
      </c>
      <c r="E172" s="687"/>
      <c r="F172" s="687"/>
      <c r="G172" s="687"/>
      <c r="H172" s="731"/>
      <c r="I172" s="731"/>
      <c r="J172" s="687"/>
      <c r="K172" s="687"/>
      <c r="L172" s="687"/>
      <c r="M172" s="687"/>
      <c r="N172" s="687"/>
      <c r="O172" s="687"/>
      <c r="P172" s="687"/>
      <c r="Q172" s="687"/>
      <c r="R172" s="687"/>
      <c r="S172" s="687"/>
      <c r="T172" s="687"/>
      <c r="U172" s="687"/>
      <c r="V172" s="687"/>
      <c r="W172" s="687"/>
      <c r="X172" s="687"/>
      <c r="Y172" s="687"/>
      <c r="Z172" s="687"/>
    </row>
    <row r="173" spans="1:26" ht="12" customHeight="1">
      <c r="A173" s="687"/>
      <c r="B173" s="687"/>
      <c r="C173" s="687"/>
      <c r="D173" s="687"/>
      <c r="E173" s="687"/>
      <c r="F173" s="687"/>
      <c r="G173" s="687"/>
      <c r="H173" s="731"/>
      <c r="I173" s="731"/>
      <c r="J173" s="687"/>
      <c r="K173" s="687"/>
      <c r="L173" s="687"/>
      <c r="M173" s="687"/>
      <c r="N173" s="687"/>
      <c r="O173" s="687"/>
      <c r="P173" s="687"/>
      <c r="Q173" s="687"/>
      <c r="R173" s="687"/>
      <c r="S173" s="687"/>
      <c r="T173" s="687"/>
      <c r="U173" s="687"/>
      <c r="V173" s="687"/>
      <c r="W173" s="687"/>
      <c r="X173" s="687"/>
      <c r="Y173" s="687"/>
      <c r="Z173" s="687"/>
    </row>
    <row r="174" spans="1:26" ht="12" customHeight="1">
      <c r="A174" s="687"/>
      <c r="B174" s="687"/>
      <c r="C174" s="687"/>
      <c r="D174" s="687"/>
      <c r="E174" s="687"/>
      <c r="F174" s="687"/>
      <c r="G174" s="687"/>
      <c r="H174" s="687"/>
      <c r="I174" s="731"/>
      <c r="J174" s="687"/>
      <c r="K174" s="687"/>
      <c r="L174" s="687"/>
      <c r="M174" s="687"/>
      <c r="N174" s="687"/>
      <c r="O174" s="687"/>
      <c r="P174" s="687"/>
      <c r="Q174" s="687"/>
      <c r="R174" s="687"/>
      <c r="S174" s="687"/>
      <c r="T174" s="687"/>
      <c r="U174" s="687"/>
      <c r="V174" s="687"/>
      <c r="W174" s="687"/>
      <c r="X174" s="687"/>
      <c r="Y174" s="687"/>
      <c r="Z174" s="687"/>
    </row>
    <row r="175" spans="1:26" ht="12" customHeight="1">
      <c r="A175" s="687"/>
      <c r="B175" s="687"/>
      <c r="C175" s="687"/>
      <c r="D175" s="687"/>
      <c r="E175" s="840"/>
      <c r="F175" s="687"/>
      <c r="G175" s="687"/>
      <c r="H175" s="687"/>
      <c r="I175" s="687"/>
      <c r="J175" s="687"/>
      <c r="K175" s="687"/>
      <c r="L175" s="687"/>
      <c r="M175" s="687"/>
      <c r="N175" s="687"/>
      <c r="O175" s="687"/>
      <c r="P175" s="687"/>
      <c r="Q175" s="687"/>
      <c r="R175" s="687"/>
      <c r="S175" s="687"/>
      <c r="T175" s="687"/>
      <c r="U175" s="687"/>
      <c r="V175" s="687"/>
      <c r="W175" s="687"/>
      <c r="X175" s="687"/>
      <c r="Y175" s="687"/>
      <c r="Z175" s="687"/>
    </row>
    <row r="176" spans="1:26" ht="12" customHeight="1">
      <c r="A176" s="687"/>
      <c r="B176" s="841" t="s">
        <v>1430</v>
      </c>
      <c r="C176" s="842"/>
      <c r="D176" s="843" t="s">
        <v>1431</v>
      </c>
      <c r="E176" s="844" t="s">
        <v>1432</v>
      </c>
      <c r="F176" s="845" t="s">
        <v>1433</v>
      </c>
      <c r="G176" s="687"/>
      <c r="H176" s="687"/>
      <c r="I176" s="687"/>
      <c r="J176" s="687"/>
      <c r="K176" s="687"/>
      <c r="L176" s="687"/>
      <c r="M176" s="687"/>
      <c r="N176" s="687"/>
      <c r="O176" s="687"/>
      <c r="P176" s="687"/>
      <c r="Q176" s="687"/>
      <c r="R176" s="687"/>
      <c r="S176" s="687"/>
      <c r="T176" s="687"/>
      <c r="U176" s="687"/>
      <c r="V176" s="687"/>
      <c r="W176" s="687"/>
      <c r="X176" s="687"/>
      <c r="Y176" s="687"/>
      <c r="Z176" s="687"/>
    </row>
    <row r="177" spans="1:26" ht="12" customHeight="1">
      <c r="A177" s="687"/>
      <c r="B177" s="846">
        <v>25000</v>
      </c>
      <c r="C177" s="842" t="s">
        <v>1434</v>
      </c>
      <c r="D177" s="847">
        <f>건축개요!C26+건축개요!D26</f>
        <v>87959.97</v>
      </c>
      <c r="E177" s="848">
        <v>5000</v>
      </c>
      <c r="F177" s="1483">
        <f>D177-E177</f>
        <v>82959.97</v>
      </c>
      <c r="G177" s="687"/>
      <c r="H177" s="687"/>
      <c r="I177" s="687"/>
      <c r="J177" s="687"/>
      <c r="K177" s="687"/>
      <c r="L177" s="687"/>
      <c r="M177" s="687"/>
      <c r="N177" s="687"/>
      <c r="O177" s="687"/>
      <c r="P177" s="687"/>
      <c r="Q177" s="687"/>
      <c r="R177" s="687"/>
      <c r="S177" s="687"/>
      <c r="T177" s="687"/>
      <c r="U177" s="687"/>
      <c r="V177" s="687"/>
      <c r="W177" s="687"/>
      <c r="X177" s="687"/>
      <c r="Y177" s="687"/>
      <c r="Z177" s="687"/>
    </row>
    <row r="178" spans="1:26" ht="12" customHeight="1">
      <c r="A178" s="687"/>
      <c r="B178" s="842"/>
      <c r="C178" s="842"/>
      <c r="D178" s="842"/>
      <c r="E178" s="842"/>
      <c r="F178" s="842"/>
      <c r="G178" s="687"/>
      <c r="H178" s="687"/>
      <c r="I178" s="687"/>
      <c r="J178" s="687"/>
      <c r="K178" s="687"/>
      <c r="L178" s="687"/>
      <c r="M178" s="687"/>
      <c r="N178" s="687"/>
      <c r="O178" s="687"/>
      <c r="P178" s="687"/>
      <c r="Q178" s="687"/>
      <c r="R178" s="687"/>
      <c r="S178" s="687"/>
      <c r="T178" s="687"/>
      <c r="U178" s="687"/>
      <c r="V178" s="687"/>
      <c r="W178" s="687"/>
      <c r="X178" s="687"/>
      <c r="Y178" s="687"/>
      <c r="Z178" s="687"/>
    </row>
    <row r="179" spans="1:26" ht="12" customHeight="1">
      <c r="A179" s="687"/>
      <c r="B179" s="842" t="s">
        <v>1435</v>
      </c>
      <c r="C179" s="842" t="s">
        <v>1436</v>
      </c>
      <c r="D179" s="842"/>
      <c r="E179" s="842"/>
      <c r="F179" s="842"/>
      <c r="G179" s="687"/>
      <c r="H179" s="687"/>
      <c r="I179" s="687"/>
      <c r="J179" s="687"/>
      <c r="K179" s="687"/>
      <c r="L179" s="687"/>
      <c r="M179" s="687"/>
      <c r="N179" s="687"/>
      <c r="O179" s="687"/>
      <c r="P179" s="687"/>
      <c r="Q179" s="687"/>
      <c r="R179" s="687"/>
      <c r="S179" s="687"/>
      <c r="T179" s="687"/>
      <c r="U179" s="687"/>
      <c r="V179" s="687"/>
      <c r="W179" s="687"/>
      <c r="X179" s="687"/>
      <c r="Y179" s="687"/>
      <c r="Z179" s="687"/>
    </row>
    <row r="180" spans="1:26" ht="12" customHeight="1">
      <c r="A180" s="687"/>
      <c r="B180" s="842"/>
      <c r="C180" s="842"/>
      <c r="D180" s="842"/>
      <c r="E180" s="842"/>
      <c r="F180" s="842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</row>
    <row r="181" spans="1:26" ht="12" customHeight="1">
      <c r="A181" s="687"/>
      <c r="B181" s="841" t="s">
        <v>1437</v>
      </c>
      <c r="C181" s="849" t="s">
        <v>1438</v>
      </c>
      <c r="D181" s="850" t="s">
        <v>1439</v>
      </c>
      <c r="E181" s="844" t="s">
        <v>1440</v>
      </c>
      <c r="F181" s="845" t="s">
        <v>1441</v>
      </c>
      <c r="G181" s="687"/>
      <c r="H181" s="687"/>
      <c r="I181" s="687"/>
      <c r="J181" s="687"/>
      <c r="K181" s="687"/>
      <c r="L181" s="687"/>
      <c r="M181" s="687"/>
      <c r="N181" s="687"/>
      <c r="O181" s="687"/>
      <c r="P181" s="687"/>
      <c r="Q181" s="687"/>
      <c r="R181" s="687"/>
      <c r="S181" s="687"/>
      <c r="T181" s="687"/>
      <c r="U181" s="687"/>
      <c r="V181" s="687"/>
      <c r="W181" s="687"/>
      <c r="X181" s="687"/>
      <c r="Y181" s="687"/>
      <c r="Z181" s="687"/>
    </row>
    <row r="182" spans="1:26" ht="12" customHeight="1">
      <c r="A182" s="687"/>
      <c r="B182" s="851">
        <f>(B177-D177-E177)*C182*D182+E182*C182*F182</f>
        <v>23032084670</v>
      </c>
      <c r="C182" s="852">
        <v>2380000</v>
      </c>
      <c r="D182" s="853">
        <v>0.05</v>
      </c>
      <c r="E182" s="848">
        <f>C187-B177</f>
        <v>130753.45000000001</v>
      </c>
      <c r="F182" s="1484">
        <v>0.1</v>
      </c>
      <c r="G182" s="687"/>
      <c r="H182" s="687"/>
      <c r="I182" s="687"/>
      <c r="J182" s="687"/>
      <c r="K182" s="687"/>
      <c r="L182" s="687"/>
      <c r="M182" s="687"/>
      <c r="N182" s="687"/>
      <c r="O182" s="687"/>
      <c r="P182" s="687"/>
      <c r="Q182" s="687"/>
      <c r="R182" s="687"/>
      <c r="S182" s="687"/>
      <c r="T182" s="687"/>
      <c r="U182" s="687"/>
      <c r="V182" s="687"/>
      <c r="W182" s="687"/>
      <c r="X182" s="687"/>
      <c r="Y182" s="687"/>
      <c r="Z182" s="687"/>
    </row>
    <row r="183" spans="1:26" ht="12" customHeight="1">
      <c r="A183" s="687"/>
      <c r="B183" s="842"/>
      <c r="C183" s="854">
        <v>7867769</v>
      </c>
      <c r="D183" s="842"/>
      <c r="E183" s="842"/>
      <c r="F183" s="842"/>
      <c r="G183" s="687"/>
      <c r="H183" s="687"/>
      <c r="I183" s="687"/>
      <c r="J183" s="687"/>
      <c r="K183" s="687"/>
      <c r="L183" s="687"/>
      <c r="M183" s="687"/>
      <c r="N183" s="687"/>
      <c r="O183" s="687"/>
      <c r="P183" s="687"/>
      <c r="Q183" s="687"/>
      <c r="R183" s="687"/>
      <c r="S183" s="687"/>
      <c r="T183" s="687"/>
      <c r="U183" s="687"/>
      <c r="V183" s="687"/>
      <c r="W183" s="687"/>
      <c r="X183" s="687"/>
      <c r="Y183" s="687"/>
      <c r="Z183" s="687"/>
    </row>
    <row r="184" spans="1:26" ht="12" customHeight="1">
      <c r="A184" s="687"/>
      <c r="B184" s="842" t="s">
        <v>1442</v>
      </c>
      <c r="C184" s="842" t="s">
        <v>1443</v>
      </c>
      <c r="D184" s="842"/>
      <c r="E184" s="842"/>
      <c r="F184" s="842"/>
      <c r="G184" s="687"/>
      <c r="H184" s="687"/>
      <c r="I184" s="687"/>
      <c r="J184" s="687"/>
      <c r="K184" s="687"/>
      <c r="L184" s="687"/>
      <c r="M184" s="687"/>
      <c r="N184" s="687"/>
      <c r="O184" s="687"/>
      <c r="P184" s="687"/>
      <c r="Q184" s="687"/>
      <c r="R184" s="687"/>
      <c r="S184" s="687"/>
      <c r="T184" s="687"/>
      <c r="U184" s="687"/>
      <c r="V184" s="687"/>
      <c r="W184" s="687"/>
      <c r="X184" s="687"/>
      <c r="Y184" s="687"/>
      <c r="Z184" s="687"/>
    </row>
    <row r="185" spans="1:26" ht="12" customHeight="1">
      <c r="A185" s="687"/>
      <c r="B185" s="842"/>
      <c r="C185" s="842"/>
      <c r="D185" s="842"/>
      <c r="E185" s="842"/>
      <c r="F185" s="842"/>
      <c r="G185" s="687"/>
      <c r="H185" s="687"/>
      <c r="I185" s="687"/>
      <c r="J185" s="687"/>
      <c r="K185" s="687"/>
      <c r="L185" s="687"/>
      <c r="M185" s="687"/>
      <c r="N185" s="687"/>
      <c r="O185" s="687"/>
      <c r="P185" s="687"/>
      <c r="Q185" s="687"/>
      <c r="R185" s="687"/>
      <c r="S185" s="687"/>
      <c r="T185" s="687"/>
      <c r="U185" s="687"/>
      <c r="V185" s="687"/>
      <c r="W185" s="687"/>
      <c r="X185" s="687"/>
      <c r="Y185" s="687"/>
      <c r="Z185" s="687"/>
    </row>
    <row r="186" spans="1:26" ht="12" customHeight="1">
      <c r="A186" s="687"/>
      <c r="B186" s="841" t="s">
        <v>1437</v>
      </c>
      <c r="C186" s="845" t="s">
        <v>1444</v>
      </c>
      <c r="D186" s="842"/>
      <c r="E186" s="842"/>
      <c r="F186" s="842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</row>
    <row r="187" spans="1:26" ht="12" customHeight="1">
      <c r="A187" s="687"/>
      <c r="B187" s="851">
        <f>(C187-D177-E177)*C182*F182</f>
        <v>14944848240.000004</v>
      </c>
      <c r="C187" s="1483">
        <f>건축개요!C13</f>
        <v>155753.45000000001</v>
      </c>
      <c r="D187" s="842"/>
      <c r="E187" s="842"/>
      <c r="F187" s="842"/>
      <c r="G187" s="687"/>
      <c r="H187" s="687"/>
      <c r="I187" s="687"/>
      <c r="J187" s="687"/>
      <c r="K187" s="687"/>
      <c r="L187" s="687"/>
      <c r="M187" s="687"/>
      <c r="N187" s="687"/>
      <c r="O187" s="687"/>
      <c r="P187" s="687"/>
      <c r="Q187" s="687"/>
      <c r="R187" s="687"/>
      <c r="S187" s="687"/>
      <c r="T187" s="687"/>
      <c r="U187" s="687"/>
      <c r="V187" s="687"/>
      <c r="W187" s="687"/>
      <c r="X187" s="687"/>
      <c r="Y187" s="687"/>
      <c r="Z187" s="687"/>
    </row>
    <row r="188" spans="1:26" ht="12" customHeight="1">
      <c r="A188" s="687"/>
      <c r="B188" s="842"/>
      <c r="C188" s="842"/>
      <c r="D188" s="842"/>
      <c r="E188" s="842"/>
      <c r="F188" s="842"/>
      <c r="G188" s="687"/>
      <c r="H188" s="687"/>
      <c r="I188" s="687"/>
      <c r="J188" s="687"/>
      <c r="K188" s="687"/>
      <c r="L188" s="687"/>
      <c r="M188" s="687"/>
      <c r="N188" s="687"/>
      <c r="O188" s="687"/>
      <c r="P188" s="687"/>
      <c r="Q188" s="687"/>
      <c r="R188" s="687"/>
      <c r="S188" s="687"/>
      <c r="T188" s="687"/>
      <c r="U188" s="687"/>
      <c r="V188" s="687"/>
      <c r="W188" s="687"/>
      <c r="X188" s="687"/>
      <c r="Y188" s="687"/>
      <c r="Z188" s="687"/>
    </row>
    <row r="189" spans="1:26" ht="12" customHeight="1">
      <c r="A189" s="687"/>
      <c r="B189" s="842" t="s">
        <v>1445</v>
      </c>
      <c r="C189" s="842"/>
      <c r="D189" s="842"/>
      <c r="E189" s="842"/>
      <c r="F189" s="842"/>
      <c r="G189" s="687"/>
      <c r="H189" s="687"/>
      <c r="I189" s="687"/>
      <c r="J189" s="687"/>
      <c r="K189" s="687"/>
      <c r="L189" s="687"/>
      <c r="M189" s="687"/>
      <c r="N189" s="687"/>
      <c r="O189" s="687"/>
      <c r="P189" s="687"/>
      <c r="Q189" s="687"/>
      <c r="R189" s="687"/>
      <c r="S189" s="687"/>
      <c r="T189" s="687"/>
      <c r="U189" s="687"/>
      <c r="V189" s="687"/>
      <c r="W189" s="687"/>
      <c r="X189" s="687"/>
      <c r="Y189" s="687"/>
      <c r="Z189" s="687"/>
    </row>
    <row r="190" spans="1:26" ht="12" customHeight="1">
      <c r="A190" s="687"/>
      <c r="B190" s="842"/>
      <c r="C190" s="842"/>
      <c r="D190" s="842"/>
      <c r="E190" s="842"/>
      <c r="F190" s="842"/>
      <c r="G190" s="687"/>
      <c r="H190" s="687"/>
      <c r="I190" s="687"/>
      <c r="J190" s="687"/>
      <c r="K190" s="687"/>
      <c r="L190" s="687"/>
      <c r="M190" s="687"/>
      <c r="N190" s="687"/>
      <c r="O190" s="687"/>
      <c r="P190" s="687"/>
      <c r="Q190" s="687"/>
      <c r="R190" s="687"/>
      <c r="S190" s="687"/>
      <c r="T190" s="687"/>
      <c r="U190" s="687"/>
      <c r="V190" s="687"/>
      <c r="W190" s="687"/>
      <c r="X190" s="687"/>
      <c r="Y190" s="687"/>
      <c r="Z190" s="687"/>
    </row>
    <row r="191" spans="1:26" ht="12" customHeight="1">
      <c r="A191" s="687"/>
      <c r="B191" s="841" t="s">
        <v>1446</v>
      </c>
      <c r="C191" s="842"/>
      <c r="D191" s="842"/>
      <c r="E191" s="842"/>
      <c r="F191" s="842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</row>
    <row r="192" spans="1:26" ht="12" customHeight="1">
      <c r="A192" s="687"/>
      <c r="B192" s="855">
        <f>IF(F177&lt;B177,B182,B187)/1000*0.5</f>
        <v>7472424.120000002</v>
      </c>
      <c r="C192" s="856" t="s">
        <v>1447</v>
      </c>
      <c r="D192" s="856"/>
      <c r="E192" s="856"/>
      <c r="F192" s="856"/>
      <c r="G192" s="687"/>
      <c r="H192" s="687"/>
      <c r="I192" s="687"/>
      <c r="J192" s="687"/>
      <c r="K192" s="687"/>
      <c r="L192" s="687"/>
      <c r="M192" s="687"/>
      <c r="N192" s="687"/>
      <c r="O192" s="687"/>
      <c r="P192" s="687"/>
      <c r="Q192" s="687"/>
      <c r="R192" s="687"/>
      <c r="S192" s="687"/>
      <c r="T192" s="687"/>
      <c r="U192" s="687"/>
      <c r="V192" s="687"/>
      <c r="W192" s="687"/>
      <c r="X192" s="687"/>
      <c r="Y192" s="687"/>
      <c r="Z192" s="687"/>
    </row>
    <row r="193" spans="1:26" ht="12" customHeight="1">
      <c r="A193" s="687"/>
      <c r="B193" s="687"/>
      <c r="C193" s="687"/>
      <c r="D193" s="687"/>
      <c r="E193" s="687"/>
      <c r="F193" s="687"/>
      <c r="G193" s="687"/>
      <c r="H193" s="687"/>
      <c r="I193" s="687"/>
      <c r="J193" s="687"/>
      <c r="K193" s="687"/>
      <c r="L193" s="687"/>
      <c r="M193" s="687"/>
      <c r="N193" s="687"/>
      <c r="O193" s="687"/>
      <c r="P193" s="687"/>
      <c r="Q193" s="687"/>
      <c r="R193" s="687"/>
      <c r="S193" s="687"/>
      <c r="T193" s="687"/>
      <c r="U193" s="687"/>
      <c r="V193" s="687"/>
      <c r="W193" s="687"/>
      <c r="X193" s="687"/>
      <c r="Y193" s="687"/>
      <c r="Z193" s="687"/>
    </row>
    <row r="194" spans="1:26" ht="12" customHeight="1">
      <c r="A194" s="687"/>
      <c r="B194" s="687"/>
      <c r="C194" s="687"/>
      <c r="D194" s="687"/>
      <c r="E194" s="687"/>
      <c r="F194" s="687"/>
      <c r="G194" s="687"/>
      <c r="H194" s="687"/>
      <c r="I194" s="687"/>
      <c r="J194" s="687"/>
      <c r="K194" s="687"/>
      <c r="L194" s="687"/>
      <c r="M194" s="687"/>
      <c r="N194" s="687"/>
      <c r="O194" s="687"/>
      <c r="P194" s="687"/>
      <c r="Q194" s="687"/>
      <c r="R194" s="687"/>
      <c r="S194" s="687"/>
      <c r="T194" s="687"/>
      <c r="U194" s="687"/>
      <c r="V194" s="687"/>
      <c r="W194" s="687"/>
      <c r="X194" s="687"/>
      <c r="Y194" s="687"/>
      <c r="Z194" s="687"/>
    </row>
    <row r="195" spans="1:26" ht="12" customHeight="1">
      <c r="A195" s="687"/>
      <c r="B195" s="713" t="s">
        <v>1448</v>
      </c>
      <c r="C195" s="687"/>
      <c r="D195" s="687"/>
      <c r="E195" s="687"/>
      <c r="F195" s="687"/>
      <c r="G195" s="687"/>
      <c r="H195" s="687"/>
      <c r="I195" s="687"/>
      <c r="J195" s="687"/>
      <c r="K195" s="687"/>
      <c r="L195" s="687"/>
      <c r="M195" s="687"/>
      <c r="N195" s="687"/>
      <c r="O195" s="687"/>
      <c r="P195" s="687"/>
      <c r="Q195" s="687"/>
      <c r="R195" s="687"/>
      <c r="S195" s="687"/>
      <c r="T195" s="687"/>
      <c r="U195" s="687"/>
      <c r="V195" s="687"/>
      <c r="W195" s="687"/>
      <c r="X195" s="687"/>
      <c r="Y195" s="687"/>
      <c r="Z195" s="687"/>
    </row>
    <row r="196" spans="1:26" ht="12" customHeight="1">
      <c r="A196" s="687"/>
      <c r="B196" s="687" t="s">
        <v>1449</v>
      </c>
      <c r="C196" s="687"/>
      <c r="D196" s="687"/>
      <c r="E196" s="687"/>
      <c r="F196" s="687"/>
      <c r="G196" s="687"/>
      <c r="H196" s="687"/>
      <c r="I196" s="687"/>
      <c r="J196" s="687"/>
      <c r="K196" s="687"/>
      <c r="L196" s="687"/>
      <c r="M196" s="687"/>
      <c r="N196" s="687"/>
      <c r="O196" s="687"/>
      <c r="P196" s="687"/>
      <c r="Q196" s="687"/>
      <c r="R196" s="687"/>
      <c r="S196" s="687"/>
      <c r="T196" s="687"/>
      <c r="U196" s="687"/>
      <c r="V196" s="687"/>
      <c r="W196" s="687"/>
      <c r="X196" s="687"/>
      <c r="Y196" s="687"/>
      <c r="Z196" s="687"/>
    </row>
    <row r="197" spans="1:26" ht="12" customHeight="1">
      <c r="A197" s="687"/>
      <c r="B197" s="687" t="s">
        <v>1450</v>
      </c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</row>
    <row r="198" spans="1:26" ht="12" customHeight="1">
      <c r="A198" s="687"/>
      <c r="B198" s="687" t="s">
        <v>1451</v>
      </c>
      <c r="C198" s="687"/>
      <c r="D198" s="687"/>
      <c r="E198" s="687"/>
      <c r="F198" s="687"/>
      <c r="G198" s="687"/>
      <c r="H198" s="687"/>
      <c r="I198" s="687"/>
      <c r="J198" s="687"/>
      <c r="K198" s="687"/>
      <c r="L198" s="687"/>
      <c r="M198" s="687"/>
      <c r="N198" s="687"/>
      <c r="O198" s="687"/>
      <c r="P198" s="687"/>
      <c r="Q198" s="687"/>
      <c r="R198" s="687"/>
      <c r="S198" s="687"/>
      <c r="T198" s="687"/>
      <c r="U198" s="687"/>
      <c r="V198" s="687"/>
      <c r="W198" s="687"/>
      <c r="X198" s="687"/>
      <c r="Y198" s="687"/>
      <c r="Z198" s="687"/>
    </row>
    <row r="199" spans="1:26" ht="12" customHeight="1">
      <c r="A199" s="687"/>
      <c r="B199" s="687"/>
      <c r="C199" s="687"/>
      <c r="D199" s="687"/>
      <c r="E199" s="687"/>
      <c r="F199" s="687"/>
      <c r="G199" s="687"/>
      <c r="H199" s="687"/>
      <c r="I199" s="687"/>
      <c r="J199" s="687"/>
      <c r="K199" s="687"/>
      <c r="L199" s="687"/>
      <c r="M199" s="687"/>
      <c r="N199" s="687"/>
      <c r="O199" s="687"/>
      <c r="P199" s="687"/>
      <c r="Q199" s="687"/>
      <c r="R199" s="687"/>
      <c r="S199" s="687"/>
      <c r="T199" s="687"/>
      <c r="U199" s="687"/>
      <c r="V199" s="687"/>
      <c r="W199" s="687"/>
      <c r="X199" s="687"/>
      <c r="Y199" s="687"/>
      <c r="Z199" s="687"/>
    </row>
    <row r="200" spans="1:26" ht="12" customHeight="1">
      <c r="A200" s="687"/>
      <c r="B200" s="687"/>
      <c r="C200" s="687"/>
      <c r="D200" s="687"/>
      <c r="E200" s="687"/>
      <c r="F200" s="687"/>
      <c r="G200" s="687"/>
      <c r="H200" s="687"/>
      <c r="I200" s="687"/>
      <c r="J200" s="687"/>
      <c r="K200" s="687"/>
      <c r="L200" s="687"/>
      <c r="M200" s="687"/>
      <c r="N200" s="687"/>
      <c r="O200" s="687"/>
      <c r="P200" s="687"/>
      <c r="Q200" s="687"/>
      <c r="R200" s="687"/>
      <c r="S200" s="687"/>
      <c r="T200" s="687"/>
      <c r="U200" s="687"/>
      <c r="V200" s="687"/>
      <c r="W200" s="687"/>
      <c r="X200" s="687"/>
      <c r="Y200" s="687"/>
      <c r="Z200" s="687"/>
    </row>
    <row r="201" spans="1:26" ht="12" customHeight="1">
      <c r="A201" s="687"/>
      <c r="B201" s="687"/>
      <c r="C201" s="687"/>
      <c r="D201" s="687"/>
      <c r="E201" s="687"/>
      <c r="F201" s="687"/>
      <c r="G201" s="687"/>
      <c r="H201" s="687"/>
      <c r="I201" s="687"/>
      <c r="J201" s="687"/>
      <c r="K201" s="687"/>
      <c r="L201" s="687"/>
      <c r="M201" s="687"/>
      <c r="N201" s="687"/>
      <c r="O201" s="687"/>
      <c r="P201" s="687"/>
      <c r="Q201" s="687"/>
      <c r="R201" s="687"/>
      <c r="S201" s="687"/>
      <c r="T201" s="687"/>
      <c r="U201" s="687"/>
      <c r="V201" s="687"/>
      <c r="W201" s="687"/>
      <c r="X201" s="687"/>
      <c r="Y201" s="687"/>
      <c r="Z201" s="687"/>
    </row>
    <row r="202" spans="1:26" ht="12" customHeight="1">
      <c r="A202" s="687"/>
      <c r="B202" s="687"/>
      <c r="C202" s="687"/>
      <c r="D202" s="687"/>
      <c r="E202" s="687"/>
      <c r="F202" s="687"/>
      <c r="G202" s="687"/>
      <c r="H202" s="687"/>
      <c r="I202" s="687"/>
      <c r="J202" s="687"/>
      <c r="K202" s="687"/>
      <c r="L202" s="687"/>
      <c r="M202" s="687"/>
      <c r="N202" s="687"/>
      <c r="O202" s="687"/>
      <c r="P202" s="687"/>
      <c r="Q202" s="687"/>
      <c r="R202" s="687"/>
      <c r="S202" s="687"/>
      <c r="T202" s="687"/>
      <c r="U202" s="687"/>
      <c r="V202" s="687"/>
      <c r="W202" s="687"/>
      <c r="X202" s="687"/>
      <c r="Y202" s="687"/>
      <c r="Z202" s="687"/>
    </row>
    <row r="203" spans="1:26" ht="12" customHeight="1">
      <c r="A203" s="687"/>
      <c r="B203" s="687"/>
      <c r="C203" s="687"/>
      <c r="D203" s="687"/>
      <c r="E203" s="687"/>
      <c r="F203" s="687"/>
      <c r="G203" s="687"/>
      <c r="H203" s="687"/>
      <c r="I203" s="687"/>
      <c r="J203" s="687"/>
      <c r="K203" s="687"/>
      <c r="L203" s="687"/>
      <c r="M203" s="687"/>
      <c r="N203" s="687"/>
      <c r="O203" s="687"/>
      <c r="P203" s="687"/>
      <c r="Q203" s="687"/>
      <c r="R203" s="687"/>
      <c r="S203" s="687"/>
      <c r="T203" s="687"/>
      <c r="U203" s="687"/>
      <c r="V203" s="687"/>
      <c r="W203" s="687"/>
      <c r="X203" s="687"/>
      <c r="Y203" s="687"/>
      <c r="Z203" s="687"/>
    </row>
    <row r="204" spans="1:26" ht="12" customHeight="1">
      <c r="A204" s="687"/>
      <c r="B204" s="687"/>
      <c r="C204" s="687"/>
      <c r="D204" s="687"/>
      <c r="E204" s="687"/>
      <c r="F204" s="687"/>
      <c r="G204" s="687"/>
      <c r="H204" s="687"/>
      <c r="I204" s="687"/>
      <c r="J204" s="687"/>
      <c r="K204" s="687"/>
      <c r="L204" s="687"/>
      <c r="M204" s="687"/>
      <c r="N204" s="687"/>
      <c r="O204" s="687"/>
      <c r="P204" s="687"/>
      <c r="Q204" s="687"/>
      <c r="R204" s="687"/>
      <c r="S204" s="687"/>
      <c r="T204" s="687"/>
      <c r="U204" s="687"/>
      <c r="V204" s="687"/>
      <c r="W204" s="687"/>
      <c r="X204" s="687"/>
      <c r="Y204" s="687"/>
      <c r="Z204" s="687"/>
    </row>
    <row r="205" spans="1:26" ht="12" customHeight="1">
      <c r="A205" s="687"/>
      <c r="B205" s="687"/>
      <c r="C205" s="687"/>
      <c r="D205" s="687"/>
      <c r="E205" s="687"/>
      <c r="F205" s="687"/>
      <c r="G205" s="687"/>
      <c r="H205" s="687"/>
      <c r="I205" s="687"/>
      <c r="J205" s="687"/>
      <c r="K205" s="687"/>
      <c r="L205" s="687"/>
      <c r="M205" s="687"/>
      <c r="N205" s="687"/>
      <c r="O205" s="687"/>
      <c r="P205" s="687"/>
      <c r="Q205" s="687"/>
      <c r="R205" s="687"/>
      <c r="S205" s="687"/>
      <c r="T205" s="687"/>
      <c r="U205" s="687"/>
      <c r="V205" s="687"/>
      <c r="W205" s="687"/>
      <c r="X205" s="687"/>
      <c r="Y205" s="687"/>
      <c r="Z205" s="687"/>
    </row>
    <row r="206" spans="1:26" ht="12" customHeight="1">
      <c r="A206" s="687"/>
      <c r="B206" s="687"/>
      <c r="C206" s="687"/>
      <c r="D206" s="687"/>
      <c r="E206" s="687"/>
      <c r="F206" s="687"/>
      <c r="G206" s="687"/>
      <c r="H206" s="687"/>
      <c r="I206" s="687"/>
      <c r="J206" s="687"/>
      <c r="K206" s="687"/>
      <c r="L206" s="687"/>
      <c r="M206" s="687"/>
      <c r="N206" s="687"/>
      <c r="O206" s="687"/>
      <c r="P206" s="687"/>
      <c r="Q206" s="687"/>
      <c r="R206" s="687"/>
      <c r="S206" s="687"/>
      <c r="T206" s="687"/>
      <c r="U206" s="687"/>
      <c r="V206" s="687"/>
      <c r="W206" s="687"/>
      <c r="X206" s="687"/>
      <c r="Y206" s="687"/>
      <c r="Z206" s="687"/>
    </row>
    <row r="207" spans="1:26" ht="12" customHeight="1">
      <c r="A207" s="687"/>
      <c r="B207" s="687"/>
      <c r="C207" s="687"/>
      <c r="D207" s="687"/>
      <c r="E207" s="687"/>
      <c r="F207" s="687"/>
      <c r="G207" s="687"/>
      <c r="H207" s="687"/>
      <c r="I207" s="687"/>
      <c r="J207" s="687"/>
      <c r="K207" s="687"/>
      <c r="L207" s="687"/>
      <c r="M207" s="687"/>
      <c r="N207" s="687"/>
      <c r="O207" s="687"/>
      <c r="P207" s="687"/>
      <c r="Q207" s="687"/>
      <c r="R207" s="687"/>
      <c r="S207" s="687"/>
      <c r="T207" s="687"/>
      <c r="U207" s="687"/>
      <c r="V207" s="687"/>
      <c r="W207" s="687"/>
      <c r="X207" s="687"/>
      <c r="Y207" s="687"/>
      <c r="Z207" s="687"/>
    </row>
    <row r="208" spans="1:26" ht="12" customHeight="1">
      <c r="A208" s="687"/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</row>
    <row r="209" spans="1:26" ht="12" customHeight="1">
      <c r="A209" s="687"/>
      <c r="B209" s="687"/>
      <c r="C209" s="687"/>
      <c r="D209" s="687"/>
      <c r="E209" s="687"/>
      <c r="F209" s="687"/>
      <c r="G209" s="687"/>
      <c r="H209" s="687"/>
      <c r="I209" s="687"/>
      <c r="J209" s="687"/>
      <c r="K209" s="687"/>
      <c r="L209" s="687"/>
      <c r="M209" s="687"/>
      <c r="N209" s="687"/>
      <c r="O209" s="687"/>
      <c r="P209" s="687"/>
      <c r="Q209" s="687"/>
      <c r="R209" s="687"/>
      <c r="S209" s="687"/>
      <c r="T209" s="687"/>
      <c r="U209" s="687"/>
      <c r="V209" s="687"/>
      <c r="W209" s="687"/>
      <c r="X209" s="687"/>
      <c r="Y209" s="687"/>
      <c r="Z209" s="687"/>
    </row>
    <row r="210" spans="1:26" ht="12" customHeight="1">
      <c r="A210" s="687"/>
      <c r="B210" s="687"/>
      <c r="C210" s="687"/>
      <c r="D210" s="687"/>
      <c r="E210" s="687"/>
      <c r="F210" s="687"/>
      <c r="G210" s="687"/>
      <c r="H210" s="687"/>
      <c r="I210" s="687"/>
      <c r="J210" s="687"/>
      <c r="K210" s="687"/>
      <c r="L210" s="687"/>
      <c r="M210" s="687"/>
      <c r="N210" s="687"/>
      <c r="O210" s="687"/>
      <c r="P210" s="687"/>
      <c r="Q210" s="687"/>
      <c r="R210" s="687"/>
      <c r="S210" s="687"/>
      <c r="T210" s="687"/>
      <c r="U210" s="687"/>
      <c r="V210" s="687"/>
      <c r="W210" s="687"/>
      <c r="X210" s="687"/>
      <c r="Y210" s="687"/>
      <c r="Z210" s="687"/>
    </row>
    <row r="211" spans="1:26" ht="12" customHeight="1">
      <c r="A211" s="687"/>
      <c r="B211" s="687"/>
      <c r="C211" s="687"/>
      <c r="D211" s="687"/>
      <c r="E211" s="687"/>
      <c r="F211" s="687"/>
      <c r="G211" s="687"/>
      <c r="H211" s="687"/>
      <c r="I211" s="687"/>
      <c r="J211" s="687"/>
      <c r="K211" s="687"/>
      <c r="L211" s="687"/>
      <c r="M211" s="687"/>
      <c r="N211" s="687"/>
      <c r="O211" s="687"/>
      <c r="P211" s="687"/>
      <c r="Q211" s="687"/>
      <c r="R211" s="687"/>
      <c r="S211" s="687"/>
      <c r="T211" s="687"/>
      <c r="U211" s="687"/>
      <c r="V211" s="687"/>
      <c r="W211" s="687"/>
      <c r="X211" s="687"/>
      <c r="Y211" s="687"/>
      <c r="Z211" s="687"/>
    </row>
    <row r="212" spans="1:26" ht="12" customHeight="1">
      <c r="A212" s="687"/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</row>
    <row r="213" spans="1:26" ht="12" customHeight="1">
      <c r="A213" s="687"/>
      <c r="B213" s="687"/>
      <c r="C213" s="687"/>
      <c r="D213" s="687"/>
      <c r="E213" s="687"/>
      <c r="F213" s="687"/>
      <c r="G213" s="687"/>
      <c r="H213" s="687"/>
      <c r="I213" s="687"/>
      <c r="J213" s="687"/>
      <c r="K213" s="687"/>
      <c r="L213" s="687"/>
      <c r="M213" s="687"/>
      <c r="N213" s="687"/>
      <c r="O213" s="687"/>
      <c r="P213" s="687"/>
      <c r="Q213" s="687"/>
      <c r="R213" s="687"/>
      <c r="S213" s="687"/>
      <c r="T213" s="687"/>
      <c r="U213" s="687"/>
      <c r="V213" s="687"/>
      <c r="W213" s="687"/>
      <c r="X213" s="687"/>
      <c r="Y213" s="687"/>
      <c r="Z213" s="687"/>
    </row>
    <row r="214" spans="1:26" ht="12" customHeight="1">
      <c r="A214" s="687"/>
      <c r="B214" s="687"/>
      <c r="C214" s="687"/>
      <c r="D214" s="687"/>
      <c r="E214" s="687"/>
      <c r="F214" s="687"/>
      <c r="G214" s="687"/>
      <c r="H214" s="687"/>
      <c r="I214" s="687"/>
      <c r="J214" s="687"/>
      <c r="K214" s="687"/>
      <c r="L214" s="687"/>
      <c r="M214" s="687"/>
      <c r="N214" s="687"/>
      <c r="O214" s="687"/>
      <c r="P214" s="687"/>
      <c r="Q214" s="687"/>
      <c r="R214" s="687"/>
      <c r="S214" s="687"/>
      <c r="T214" s="687"/>
      <c r="U214" s="687"/>
      <c r="V214" s="687"/>
      <c r="W214" s="687"/>
      <c r="X214" s="687"/>
      <c r="Y214" s="687"/>
      <c r="Z214" s="687"/>
    </row>
    <row r="215" spans="1:26" ht="12" customHeight="1">
      <c r="A215" s="687"/>
      <c r="B215" s="687"/>
      <c r="C215" s="687"/>
      <c r="D215" s="687"/>
      <c r="E215" s="687"/>
      <c r="F215" s="687"/>
      <c r="G215" s="687"/>
      <c r="H215" s="687"/>
      <c r="I215" s="687"/>
      <c r="J215" s="687"/>
      <c r="K215" s="687"/>
      <c r="L215" s="687"/>
      <c r="M215" s="687"/>
      <c r="N215" s="687"/>
      <c r="O215" s="687"/>
      <c r="P215" s="687"/>
      <c r="Q215" s="687"/>
      <c r="R215" s="687"/>
      <c r="S215" s="687"/>
      <c r="T215" s="687"/>
      <c r="U215" s="687"/>
      <c r="V215" s="687"/>
      <c r="W215" s="687"/>
      <c r="X215" s="687"/>
      <c r="Y215" s="687"/>
      <c r="Z215" s="687"/>
    </row>
    <row r="216" spans="1:26" ht="12" customHeight="1">
      <c r="A216" s="687"/>
      <c r="B216" s="687"/>
      <c r="C216" s="687"/>
      <c r="D216" s="687"/>
      <c r="E216" s="687"/>
      <c r="F216" s="687"/>
      <c r="G216" s="687"/>
      <c r="H216" s="687"/>
      <c r="I216" s="687"/>
      <c r="J216" s="687"/>
      <c r="K216" s="687"/>
      <c r="L216" s="687"/>
      <c r="M216" s="687"/>
      <c r="N216" s="687"/>
      <c r="O216" s="687"/>
      <c r="P216" s="687"/>
      <c r="Q216" s="687"/>
      <c r="R216" s="687"/>
      <c r="S216" s="687"/>
      <c r="T216" s="687"/>
      <c r="U216" s="687"/>
      <c r="V216" s="687"/>
      <c r="W216" s="687"/>
      <c r="X216" s="687"/>
      <c r="Y216" s="687"/>
      <c r="Z216" s="687"/>
    </row>
    <row r="217" spans="1:26" ht="12" customHeight="1">
      <c r="A217" s="687"/>
      <c r="B217" s="687"/>
      <c r="C217" s="687"/>
      <c r="D217" s="687"/>
      <c r="E217" s="687"/>
      <c r="F217" s="687"/>
      <c r="G217" s="687"/>
      <c r="H217" s="687"/>
      <c r="I217" s="687"/>
      <c r="J217" s="687"/>
      <c r="K217" s="687"/>
      <c r="L217" s="687"/>
      <c r="M217" s="687"/>
      <c r="N217" s="687"/>
      <c r="O217" s="687"/>
      <c r="P217" s="687"/>
      <c r="Q217" s="687"/>
      <c r="R217" s="687"/>
      <c r="S217" s="687"/>
      <c r="T217" s="687"/>
      <c r="U217" s="687"/>
      <c r="V217" s="687"/>
      <c r="W217" s="687"/>
      <c r="X217" s="687"/>
      <c r="Y217" s="687"/>
      <c r="Z217" s="687"/>
    </row>
    <row r="218" spans="1:26" ht="12" customHeight="1">
      <c r="A218" s="687"/>
      <c r="B218" s="687"/>
      <c r="C218" s="687"/>
      <c r="D218" s="687"/>
      <c r="E218" s="687"/>
      <c r="F218" s="687"/>
      <c r="G218" s="687"/>
      <c r="H218" s="687"/>
      <c r="I218" s="687"/>
      <c r="J218" s="687"/>
      <c r="K218" s="687"/>
      <c r="L218" s="687"/>
      <c r="M218" s="687"/>
      <c r="N218" s="687"/>
      <c r="O218" s="687"/>
      <c r="P218" s="687"/>
      <c r="Q218" s="687"/>
      <c r="R218" s="687"/>
      <c r="S218" s="687"/>
      <c r="T218" s="687"/>
      <c r="U218" s="687"/>
      <c r="V218" s="687"/>
      <c r="W218" s="687"/>
      <c r="X218" s="687"/>
      <c r="Y218" s="687"/>
      <c r="Z218" s="687"/>
    </row>
    <row r="219" spans="1:26" ht="12" customHeight="1">
      <c r="A219" s="687"/>
      <c r="B219" s="687"/>
      <c r="C219" s="687"/>
      <c r="D219" s="687"/>
      <c r="E219" s="687"/>
      <c r="F219" s="687"/>
      <c r="G219" s="687"/>
      <c r="H219" s="687"/>
      <c r="I219" s="687"/>
      <c r="J219" s="687"/>
      <c r="K219" s="687"/>
      <c r="L219" s="687"/>
      <c r="M219" s="687"/>
      <c r="N219" s="687"/>
      <c r="O219" s="687"/>
      <c r="P219" s="687"/>
      <c r="Q219" s="687"/>
      <c r="R219" s="687"/>
      <c r="S219" s="687"/>
      <c r="T219" s="687"/>
      <c r="U219" s="687"/>
      <c r="V219" s="687"/>
      <c r="W219" s="687"/>
      <c r="X219" s="687"/>
      <c r="Y219" s="687"/>
      <c r="Z219" s="687"/>
    </row>
    <row r="220" spans="1:26" ht="12" customHeight="1">
      <c r="A220" s="687"/>
      <c r="B220" s="687"/>
      <c r="C220" s="687"/>
      <c r="D220" s="687"/>
      <c r="E220" s="687"/>
      <c r="F220" s="687"/>
      <c r="G220" s="687"/>
      <c r="H220" s="687"/>
      <c r="I220" s="687"/>
      <c r="J220" s="687"/>
      <c r="K220" s="687"/>
      <c r="L220" s="687"/>
      <c r="M220" s="687"/>
      <c r="N220" s="687"/>
      <c r="O220" s="687"/>
      <c r="P220" s="687"/>
      <c r="Q220" s="687"/>
      <c r="R220" s="687"/>
      <c r="S220" s="687"/>
      <c r="T220" s="687"/>
      <c r="U220" s="687"/>
      <c r="V220" s="687"/>
      <c r="W220" s="687"/>
      <c r="X220" s="687"/>
      <c r="Y220" s="687"/>
      <c r="Z220" s="687"/>
    </row>
    <row r="221" spans="1:26" ht="12" customHeight="1">
      <c r="A221" s="687"/>
      <c r="B221" s="687"/>
      <c r="C221" s="687"/>
      <c r="D221" s="687"/>
      <c r="E221" s="687"/>
      <c r="F221" s="687"/>
      <c r="G221" s="687"/>
      <c r="H221" s="687"/>
      <c r="I221" s="687"/>
      <c r="J221" s="687"/>
      <c r="K221" s="687"/>
      <c r="L221" s="687"/>
      <c r="M221" s="687"/>
      <c r="N221" s="687"/>
      <c r="O221" s="687"/>
      <c r="P221" s="687"/>
      <c r="Q221" s="687"/>
      <c r="R221" s="687"/>
      <c r="S221" s="687"/>
      <c r="T221" s="687"/>
      <c r="U221" s="687"/>
      <c r="V221" s="687"/>
      <c r="W221" s="687"/>
      <c r="X221" s="687"/>
      <c r="Y221" s="687"/>
      <c r="Z221" s="687"/>
    </row>
    <row r="222" spans="1:26" ht="12" customHeight="1">
      <c r="A222" s="688" t="s">
        <v>1319</v>
      </c>
      <c r="B222" s="689" t="s">
        <v>1452</v>
      </c>
      <c r="C222" s="687" t="s">
        <v>1453</v>
      </c>
      <c r="D222" s="687"/>
      <c r="E222" s="687"/>
      <c r="F222" s="687"/>
      <c r="G222" s="687"/>
      <c r="H222" s="687"/>
      <c r="I222" s="687"/>
      <c r="J222" s="687"/>
      <c r="K222" s="687"/>
      <c r="L222" s="687"/>
      <c r="M222" s="687"/>
      <c r="N222" s="687"/>
      <c r="O222" s="687"/>
      <c r="P222" s="687"/>
      <c r="Q222" s="687"/>
      <c r="R222" s="687"/>
      <c r="S222" s="687"/>
      <c r="T222" s="687"/>
      <c r="U222" s="687"/>
      <c r="V222" s="687"/>
      <c r="W222" s="687"/>
      <c r="X222" s="687"/>
      <c r="Y222" s="687"/>
      <c r="Z222" s="687"/>
    </row>
    <row r="223" spans="1:26" ht="12" customHeight="1">
      <c r="A223" s="687"/>
      <c r="B223" s="937" t="s">
        <v>1454</v>
      </c>
      <c r="C223" s="687"/>
      <c r="D223" s="687"/>
      <c r="E223" s="687"/>
      <c r="F223" s="1"/>
      <c r="G223" s="687"/>
      <c r="H223" s="687"/>
      <c r="I223" s="687"/>
      <c r="J223" s="687"/>
      <c r="K223" s="687"/>
      <c r="L223" s="687"/>
      <c r="M223" s="687"/>
      <c r="N223" s="687"/>
      <c r="O223" s="687"/>
      <c r="P223" s="687"/>
      <c r="Q223" s="687"/>
      <c r="R223" s="687"/>
      <c r="S223" s="687"/>
      <c r="T223" s="687"/>
      <c r="U223" s="687"/>
      <c r="V223" s="687"/>
      <c r="W223" s="687"/>
      <c r="X223" s="687"/>
      <c r="Y223" s="687"/>
      <c r="Z223" s="687"/>
    </row>
    <row r="224" spans="1:26" ht="12" customHeight="1">
      <c r="A224" s="687"/>
      <c r="B224" s="938" t="e">
        <f>IF(C157&lt;=3000,C157*700*1.2,IF(C157&lt;=30000,(2100000+(C157-3000)*1400)*1.2,IF(C157&gt;30000,(39900000+(C157-30000)*2000)*1.2)))</f>
        <v>#REF!</v>
      </c>
      <c r="C224" s="687"/>
      <c r="D224" s="687"/>
      <c r="E224" s="687"/>
      <c r="F224" s="730"/>
      <c r="G224" s="687"/>
      <c r="H224" s="687"/>
      <c r="I224" s="687"/>
      <c r="J224" s="687"/>
      <c r="K224" s="687"/>
      <c r="L224" s="687"/>
      <c r="M224" s="687"/>
      <c r="N224" s="687"/>
      <c r="O224" s="687"/>
      <c r="P224" s="687"/>
      <c r="Q224" s="687"/>
      <c r="R224" s="687"/>
      <c r="S224" s="687"/>
      <c r="T224" s="687"/>
      <c r="U224" s="687"/>
      <c r="V224" s="687"/>
      <c r="W224" s="687"/>
      <c r="X224" s="687"/>
      <c r="Y224" s="687"/>
      <c r="Z224" s="687"/>
    </row>
    <row r="225" spans="1:26" ht="12" customHeight="1">
      <c r="A225" s="687"/>
      <c r="B225" s="687" t="s">
        <v>1455</v>
      </c>
      <c r="C225" s="687"/>
      <c r="D225" s="687"/>
      <c r="E225" s="687"/>
      <c r="F225" s="687"/>
      <c r="G225" s="687"/>
      <c r="H225" s="687"/>
      <c r="I225" s="687"/>
      <c r="J225" s="687"/>
      <c r="K225" s="687"/>
      <c r="L225" s="687"/>
      <c r="M225" s="687"/>
      <c r="N225" s="687"/>
      <c r="O225" s="687"/>
      <c r="P225" s="687"/>
      <c r="Q225" s="687"/>
      <c r="R225" s="687"/>
      <c r="S225" s="687"/>
      <c r="T225" s="687"/>
      <c r="U225" s="687"/>
      <c r="V225" s="687"/>
      <c r="W225" s="687"/>
      <c r="X225" s="687"/>
      <c r="Y225" s="687"/>
      <c r="Z225" s="687"/>
    </row>
    <row r="226" spans="1:26" ht="12" customHeight="1">
      <c r="A226" s="687"/>
      <c r="B226" s="687"/>
      <c r="C226" s="687"/>
      <c r="D226" s="687"/>
      <c r="E226" s="687"/>
      <c r="F226" s="687"/>
      <c r="G226" s="687"/>
      <c r="H226" s="687"/>
      <c r="I226" s="687"/>
      <c r="J226" s="687"/>
      <c r="K226" s="687"/>
      <c r="L226" s="687"/>
      <c r="M226" s="687"/>
      <c r="N226" s="687"/>
      <c r="O226" s="687"/>
      <c r="P226" s="687"/>
      <c r="Q226" s="687"/>
      <c r="R226" s="687"/>
      <c r="S226" s="687"/>
      <c r="T226" s="687"/>
      <c r="U226" s="687"/>
      <c r="V226" s="687"/>
      <c r="W226" s="687"/>
      <c r="X226" s="687"/>
      <c r="Y226" s="687"/>
      <c r="Z226" s="687"/>
    </row>
    <row r="227" spans="1:26" ht="12" customHeight="1">
      <c r="A227" s="687"/>
      <c r="B227" s="687"/>
      <c r="C227" s="687"/>
      <c r="D227" s="687"/>
      <c r="E227" s="687"/>
      <c r="F227" s="687"/>
      <c r="G227" s="687"/>
      <c r="H227" s="687"/>
      <c r="I227" s="687"/>
      <c r="J227" s="687"/>
      <c r="K227" s="687"/>
      <c r="L227" s="687"/>
      <c r="M227" s="687"/>
      <c r="N227" s="687"/>
      <c r="O227" s="687"/>
      <c r="P227" s="687"/>
      <c r="Q227" s="687"/>
      <c r="R227" s="687"/>
      <c r="S227" s="687"/>
      <c r="T227" s="687"/>
      <c r="U227" s="687"/>
      <c r="V227" s="687"/>
      <c r="W227" s="687"/>
      <c r="X227" s="687"/>
      <c r="Y227" s="687"/>
      <c r="Z227" s="687"/>
    </row>
    <row r="228" spans="1:26" ht="12" customHeight="1">
      <c r="A228" s="688" t="s">
        <v>1319</v>
      </c>
      <c r="B228" s="858" t="s">
        <v>1456</v>
      </c>
      <c r="C228" s="687" t="s">
        <v>1423</v>
      </c>
      <c r="D228" s="687"/>
      <c r="E228" s="687"/>
      <c r="F228" s="687"/>
      <c r="G228" s="687"/>
      <c r="H228" s="687"/>
      <c r="I228" s="687"/>
      <c r="J228" s="687"/>
      <c r="K228" s="687"/>
      <c r="L228" s="687"/>
      <c r="M228" s="687"/>
      <c r="N228" s="687"/>
      <c r="O228" s="687"/>
      <c r="P228" s="687"/>
      <c r="Q228" s="687"/>
      <c r="R228" s="687"/>
      <c r="S228" s="687"/>
      <c r="T228" s="687"/>
      <c r="U228" s="687"/>
      <c r="V228" s="687"/>
      <c r="W228" s="687"/>
      <c r="X228" s="687"/>
      <c r="Y228" s="687"/>
      <c r="Z228" s="687"/>
    </row>
    <row r="229" spans="1:26" ht="12" customHeight="1">
      <c r="A229" s="732"/>
      <c r="B229" s="1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</row>
    <row r="230" spans="1:26" ht="12" customHeight="1">
      <c r="A230" s="732"/>
      <c r="B230" s="713" t="s">
        <v>1457</v>
      </c>
      <c r="C230" s="687"/>
      <c r="D230" s="687"/>
      <c r="E230" s="687"/>
      <c r="F230" s="687"/>
      <c r="G230" s="687"/>
      <c r="H230" s="687"/>
      <c r="I230" s="687"/>
      <c r="J230" s="687"/>
      <c r="K230" s="687"/>
      <c r="L230" s="687"/>
      <c r="M230" s="687"/>
      <c r="N230" s="687"/>
      <c r="O230" s="687"/>
      <c r="P230" s="687"/>
      <c r="Q230" s="687"/>
      <c r="R230" s="687"/>
      <c r="S230" s="687"/>
      <c r="T230" s="687"/>
      <c r="U230" s="687"/>
      <c r="V230" s="687"/>
      <c r="W230" s="687"/>
      <c r="X230" s="687"/>
      <c r="Y230" s="687"/>
      <c r="Z230" s="687"/>
    </row>
    <row r="231" spans="1:26" ht="12" customHeight="1">
      <c r="A231" s="732"/>
      <c r="B231" s="687" t="s">
        <v>1458</v>
      </c>
      <c r="C231" s="687"/>
      <c r="D231" s="687"/>
      <c r="E231" s="687"/>
      <c r="F231" s="687"/>
      <c r="G231" s="687"/>
      <c r="H231" s="687"/>
      <c r="I231" s="687"/>
      <c r="J231" s="687"/>
      <c r="K231" s="687"/>
      <c r="L231" s="687"/>
      <c r="M231" s="687"/>
      <c r="N231" s="687"/>
      <c r="O231" s="687"/>
      <c r="P231" s="687"/>
      <c r="Q231" s="687"/>
      <c r="R231" s="687"/>
      <c r="S231" s="687"/>
      <c r="T231" s="687"/>
      <c r="U231" s="687"/>
      <c r="V231" s="687"/>
      <c r="W231" s="687"/>
      <c r="X231" s="687"/>
      <c r="Y231" s="687"/>
      <c r="Z231" s="687"/>
    </row>
    <row r="232" spans="1:26" ht="12" customHeight="1">
      <c r="A232" s="732"/>
      <c r="B232" s="713" t="s">
        <v>1459</v>
      </c>
      <c r="C232" s="687"/>
      <c r="D232" s="687"/>
      <c r="E232" s="687"/>
      <c r="F232" s="687"/>
      <c r="G232" s="687"/>
      <c r="H232" s="687"/>
      <c r="I232" s="687"/>
      <c r="J232" s="687"/>
      <c r="K232" s="687"/>
      <c r="L232" s="687"/>
      <c r="M232" s="687"/>
      <c r="N232" s="687"/>
      <c r="O232" s="687"/>
      <c r="P232" s="687"/>
      <c r="Q232" s="687"/>
      <c r="R232" s="687"/>
      <c r="S232" s="687"/>
      <c r="T232" s="687"/>
      <c r="U232" s="687"/>
      <c r="V232" s="687"/>
      <c r="W232" s="687"/>
      <c r="X232" s="687"/>
      <c r="Y232" s="687"/>
      <c r="Z232" s="687"/>
    </row>
    <row r="233" spans="1:26" ht="12" customHeight="1">
      <c r="A233" s="732"/>
      <c r="B233" s="687"/>
      <c r="C233" s="687"/>
      <c r="D233" s="687"/>
      <c r="E233" s="687"/>
      <c r="F233" s="687"/>
      <c r="G233" s="687"/>
      <c r="H233" s="687"/>
      <c r="I233" s="687"/>
      <c r="J233" s="687"/>
      <c r="K233" s="687"/>
      <c r="L233" s="687"/>
      <c r="M233" s="687"/>
      <c r="N233" s="687"/>
      <c r="O233" s="687"/>
      <c r="P233" s="687"/>
      <c r="Q233" s="687"/>
      <c r="R233" s="687"/>
      <c r="S233" s="687"/>
      <c r="T233" s="687"/>
      <c r="U233" s="687"/>
      <c r="V233" s="687"/>
      <c r="W233" s="687"/>
      <c r="X233" s="687"/>
      <c r="Y233" s="687"/>
      <c r="Z233" s="687"/>
    </row>
    <row r="234" spans="1:26" ht="12" customHeight="1">
      <c r="A234" s="687"/>
      <c r="B234" s="859" t="s">
        <v>1446</v>
      </c>
      <c r="C234" s="791" t="s">
        <v>1460</v>
      </c>
      <c r="D234" s="794" t="s">
        <v>1461</v>
      </c>
      <c r="E234" s="860" t="s">
        <v>1462</v>
      </c>
      <c r="F234" s="860" t="s">
        <v>1463</v>
      </c>
      <c r="G234" s="860" t="s">
        <v>1464</v>
      </c>
      <c r="H234" s="687"/>
      <c r="I234" s="687"/>
      <c r="J234" s="687"/>
      <c r="K234" s="687"/>
      <c r="L234" s="687"/>
      <c r="M234" s="687"/>
      <c r="N234" s="687"/>
      <c r="O234" s="687"/>
      <c r="P234" s="687"/>
      <c r="Q234" s="687"/>
      <c r="R234" s="687"/>
      <c r="S234" s="687"/>
      <c r="T234" s="687"/>
      <c r="U234" s="687"/>
      <c r="V234" s="687"/>
      <c r="W234" s="687"/>
      <c r="X234" s="687"/>
      <c r="Y234" s="687"/>
      <c r="Z234" s="687"/>
    </row>
    <row r="235" spans="1:26" ht="12" customHeight="1">
      <c r="A235" s="687"/>
      <c r="B235" s="861">
        <f>(D235*E235*F235)*G235/1000</f>
        <v>0</v>
      </c>
      <c r="C235" s="862" t="s">
        <v>1465</v>
      </c>
      <c r="D235" s="863">
        <f>C182</f>
        <v>2380000</v>
      </c>
      <c r="E235" s="864">
        <f>건축개요!N87</f>
        <v>0</v>
      </c>
      <c r="F235" s="865">
        <v>0.04</v>
      </c>
      <c r="G235" s="865">
        <v>0.5</v>
      </c>
      <c r="H235" s="687"/>
      <c r="I235" s="687"/>
      <c r="J235" s="687"/>
      <c r="K235" s="687"/>
      <c r="L235" s="687"/>
      <c r="M235" s="687"/>
      <c r="N235" s="687"/>
      <c r="O235" s="687"/>
      <c r="P235" s="687"/>
      <c r="Q235" s="687"/>
      <c r="R235" s="687"/>
      <c r="S235" s="687"/>
      <c r="T235" s="687"/>
      <c r="U235" s="687"/>
      <c r="V235" s="687"/>
      <c r="W235" s="687"/>
      <c r="X235" s="687"/>
      <c r="Y235" s="687"/>
      <c r="Z235" s="687"/>
    </row>
    <row r="236" spans="1:26" ht="12" customHeight="1">
      <c r="A236" s="687"/>
      <c r="B236" s="866"/>
      <c r="C236" s="867" t="s">
        <v>1466</v>
      </c>
      <c r="D236" s="868" t="s">
        <v>1467</v>
      </c>
      <c r="E236" s="869" t="s">
        <v>1468</v>
      </c>
      <c r="F236" s="856"/>
      <c r="G236" s="856"/>
      <c r="H236" s="687"/>
      <c r="I236" s="687"/>
      <c r="J236" s="687"/>
      <c r="K236" s="687"/>
      <c r="L236" s="687"/>
      <c r="M236" s="687"/>
      <c r="N236" s="687"/>
      <c r="O236" s="687"/>
      <c r="P236" s="687"/>
      <c r="Q236" s="687"/>
      <c r="R236" s="687"/>
      <c r="S236" s="687"/>
      <c r="T236" s="687"/>
      <c r="U236" s="687"/>
      <c r="V236" s="687"/>
      <c r="W236" s="687"/>
      <c r="X236" s="687"/>
      <c r="Y236" s="687"/>
      <c r="Z236" s="687"/>
    </row>
    <row r="237" spans="1:26" ht="12" customHeight="1">
      <c r="A237" s="687"/>
      <c r="B237" s="872"/>
      <c r="C237" s="870"/>
      <c r="D237" s="687" t="s">
        <v>1469</v>
      </c>
      <c r="E237" s="839"/>
      <c r="F237" s="871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</row>
    <row r="238" spans="1:26" ht="12" customHeight="1">
      <c r="A238" s="687"/>
      <c r="B238" s="872"/>
      <c r="C238" s="693" t="s">
        <v>1465</v>
      </c>
      <c r="D238" s="839" t="s">
        <v>1470</v>
      </c>
      <c r="E238" s="839"/>
      <c r="F238" s="871"/>
      <c r="G238" s="687"/>
      <c r="H238" s="687"/>
      <c r="I238" s="687"/>
      <c r="J238" s="687"/>
      <c r="K238" s="687"/>
      <c r="L238" s="687"/>
      <c r="M238" s="687"/>
      <c r="N238" s="687"/>
      <c r="O238" s="687"/>
      <c r="P238" s="687"/>
      <c r="Q238" s="687"/>
      <c r="R238" s="687"/>
      <c r="S238" s="687"/>
      <c r="T238" s="687"/>
      <c r="U238" s="687"/>
      <c r="V238" s="687"/>
      <c r="W238" s="687"/>
      <c r="X238" s="687"/>
      <c r="Y238" s="687"/>
      <c r="Z238" s="687"/>
    </row>
    <row r="239" spans="1:26" ht="12" customHeight="1">
      <c r="A239" s="687"/>
      <c r="B239" s="872"/>
      <c r="C239" s="693" t="s">
        <v>1471</v>
      </c>
      <c r="D239" s="839" t="s">
        <v>1472</v>
      </c>
      <c r="E239" s="839"/>
      <c r="F239" s="871"/>
      <c r="G239" s="687"/>
      <c r="H239" s="687"/>
      <c r="I239" s="687"/>
      <c r="J239" s="687"/>
      <c r="K239" s="687"/>
      <c r="L239" s="687"/>
      <c r="M239" s="687"/>
      <c r="N239" s="687"/>
      <c r="O239" s="687"/>
      <c r="P239" s="687"/>
      <c r="Q239" s="687"/>
      <c r="R239" s="687"/>
      <c r="S239" s="687"/>
      <c r="T239" s="687"/>
      <c r="U239" s="687"/>
      <c r="V239" s="687"/>
      <c r="W239" s="687"/>
      <c r="X239" s="687"/>
      <c r="Y239" s="687"/>
      <c r="Z239" s="687"/>
    </row>
    <row r="240" spans="1:26" ht="12" customHeight="1">
      <c r="A240" s="687"/>
      <c r="B240" s="872"/>
      <c r="C240" s="870"/>
      <c r="D240" s="839"/>
      <c r="E240" s="839"/>
      <c r="F240" s="871"/>
      <c r="G240" s="687"/>
      <c r="H240" s="687"/>
      <c r="I240" s="687"/>
      <c r="J240" s="687"/>
      <c r="K240" s="687"/>
      <c r="L240" s="687"/>
      <c r="M240" s="687"/>
      <c r="N240" s="687"/>
      <c r="O240" s="687"/>
      <c r="P240" s="687"/>
      <c r="Q240" s="687"/>
      <c r="R240" s="687"/>
      <c r="S240" s="687"/>
      <c r="T240" s="687"/>
      <c r="U240" s="687"/>
      <c r="V240" s="687"/>
      <c r="W240" s="687"/>
      <c r="X240" s="687"/>
      <c r="Y240" s="687"/>
      <c r="Z240" s="687"/>
    </row>
    <row r="241" spans="1:26" ht="12" customHeight="1">
      <c r="A241" s="687"/>
      <c r="B241" s="872"/>
      <c r="C241" s="870"/>
      <c r="D241" s="839"/>
      <c r="E241" s="839"/>
      <c r="F241" s="871"/>
      <c r="G241" s="687"/>
      <c r="H241" s="687"/>
      <c r="I241" s="687"/>
      <c r="J241" s="687"/>
      <c r="K241" s="687"/>
      <c r="L241" s="687"/>
      <c r="M241" s="687"/>
      <c r="N241" s="687"/>
      <c r="O241" s="687"/>
      <c r="P241" s="687"/>
      <c r="Q241" s="687"/>
      <c r="R241" s="687"/>
      <c r="S241" s="687"/>
      <c r="T241" s="687"/>
      <c r="U241" s="687"/>
      <c r="V241" s="687"/>
      <c r="W241" s="687"/>
      <c r="X241" s="687"/>
      <c r="Y241" s="687"/>
      <c r="Z241" s="687"/>
    </row>
    <row r="242" spans="1:26" ht="12" customHeight="1">
      <c r="A242" s="687"/>
      <c r="B242" s="872"/>
      <c r="C242" s="870"/>
      <c r="D242" s="839"/>
      <c r="E242" s="839"/>
      <c r="F242" s="871"/>
      <c r="G242" s="687"/>
      <c r="H242" s="687"/>
      <c r="I242" s="687"/>
      <c r="J242" s="687"/>
      <c r="K242" s="687"/>
      <c r="L242" s="687"/>
      <c r="M242" s="687"/>
      <c r="N242" s="687"/>
      <c r="O242" s="687"/>
      <c r="P242" s="687"/>
      <c r="Q242" s="687"/>
      <c r="R242" s="687"/>
      <c r="S242" s="687"/>
      <c r="T242" s="687"/>
      <c r="U242" s="687"/>
      <c r="V242" s="687"/>
      <c r="W242" s="687"/>
      <c r="X242" s="687"/>
      <c r="Y242" s="687"/>
      <c r="Z242" s="687"/>
    </row>
    <row r="243" spans="1:26" ht="12" customHeight="1">
      <c r="A243" s="687"/>
      <c r="B243" s="872"/>
      <c r="C243" s="870"/>
      <c r="D243" s="839"/>
      <c r="E243" s="839"/>
      <c r="F243" s="871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</row>
    <row r="244" spans="1:26" ht="12" customHeight="1">
      <c r="A244" s="687"/>
      <c r="B244" s="872"/>
      <c r="C244" s="870"/>
      <c r="D244" s="839"/>
      <c r="E244" s="839"/>
      <c r="F244" s="871"/>
      <c r="G244" s="687"/>
      <c r="H244" s="687"/>
      <c r="I244" s="687"/>
      <c r="J244" s="687"/>
      <c r="K244" s="687"/>
      <c r="L244" s="687"/>
      <c r="M244" s="687"/>
      <c r="N244" s="687"/>
      <c r="O244" s="687"/>
      <c r="P244" s="687"/>
      <c r="Q244" s="687"/>
      <c r="R244" s="687"/>
      <c r="S244" s="687"/>
      <c r="T244" s="687"/>
      <c r="U244" s="687"/>
      <c r="V244" s="687"/>
      <c r="W244" s="687"/>
      <c r="X244" s="687"/>
      <c r="Y244" s="687"/>
      <c r="Z244" s="687"/>
    </row>
    <row r="245" spans="1:26" ht="12" customHeight="1">
      <c r="A245" s="687"/>
      <c r="B245" s="872"/>
      <c r="C245" s="870"/>
      <c r="D245" s="839"/>
      <c r="E245" s="839"/>
      <c r="F245" s="871"/>
      <c r="G245" s="687"/>
      <c r="H245" s="687"/>
      <c r="I245" s="687"/>
      <c r="J245" s="687"/>
      <c r="K245" s="687"/>
      <c r="L245" s="687"/>
      <c r="M245" s="687"/>
      <c r="N245" s="687"/>
      <c r="O245" s="687"/>
      <c r="P245" s="687"/>
      <c r="Q245" s="687"/>
      <c r="R245" s="687"/>
      <c r="S245" s="687"/>
      <c r="T245" s="687"/>
      <c r="U245" s="687"/>
      <c r="V245" s="687"/>
      <c r="W245" s="687"/>
      <c r="X245" s="687"/>
      <c r="Y245" s="687"/>
      <c r="Z245" s="687"/>
    </row>
    <row r="246" spans="1:26" ht="12" customHeight="1">
      <c r="A246" s="687"/>
      <c r="B246" s="872"/>
      <c r="C246" s="870"/>
      <c r="D246" s="839"/>
      <c r="E246" s="839"/>
      <c r="F246" s="871"/>
      <c r="G246" s="687"/>
      <c r="H246" s="687"/>
      <c r="I246" s="687"/>
      <c r="J246" s="687"/>
      <c r="K246" s="687"/>
      <c r="L246" s="687"/>
      <c r="M246" s="687"/>
      <c r="N246" s="687"/>
      <c r="O246" s="687"/>
      <c r="P246" s="687"/>
      <c r="Q246" s="687"/>
      <c r="R246" s="687"/>
      <c r="S246" s="687"/>
      <c r="T246" s="687"/>
      <c r="U246" s="687"/>
      <c r="V246" s="687"/>
      <c r="W246" s="687"/>
      <c r="X246" s="687"/>
      <c r="Y246" s="687"/>
      <c r="Z246" s="687"/>
    </row>
    <row r="247" spans="1:26" ht="12" customHeight="1">
      <c r="A247" s="687"/>
      <c r="B247" s="872"/>
      <c r="C247" s="870"/>
      <c r="D247" s="839"/>
      <c r="E247" s="839"/>
      <c r="F247" s="871"/>
      <c r="G247" s="687"/>
      <c r="H247" s="687"/>
      <c r="I247" s="687"/>
      <c r="J247" s="687"/>
      <c r="K247" s="687"/>
      <c r="L247" s="687"/>
      <c r="M247" s="687"/>
      <c r="N247" s="687"/>
      <c r="O247" s="687"/>
      <c r="P247" s="687"/>
      <c r="Q247" s="687"/>
      <c r="R247" s="687"/>
      <c r="S247" s="687"/>
      <c r="T247" s="687"/>
      <c r="U247" s="687"/>
      <c r="V247" s="687"/>
      <c r="W247" s="687"/>
      <c r="X247" s="687"/>
      <c r="Y247" s="687"/>
      <c r="Z247" s="687"/>
    </row>
    <row r="248" spans="1:26" ht="12" customHeight="1">
      <c r="A248" s="687"/>
      <c r="B248" s="872"/>
      <c r="C248" s="870"/>
      <c r="D248" s="839"/>
      <c r="E248" s="839"/>
      <c r="F248" s="871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</row>
    <row r="249" spans="1:26" ht="12" customHeight="1">
      <c r="A249" s="687"/>
      <c r="B249" s="872"/>
      <c r="C249" s="870"/>
      <c r="D249" s="839"/>
      <c r="E249" s="839"/>
      <c r="F249" s="871"/>
      <c r="G249" s="687"/>
      <c r="H249" s="687"/>
      <c r="I249" s="687"/>
      <c r="J249" s="687"/>
      <c r="K249" s="687"/>
      <c r="L249" s="687"/>
      <c r="M249" s="687"/>
      <c r="N249" s="687"/>
      <c r="O249" s="687"/>
      <c r="P249" s="687"/>
      <c r="Q249" s="687"/>
      <c r="R249" s="687"/>
      <c r="S249" s="687"/>
      <c r="T249" s="687"/>
      <c r="U249" s="687"/>
      <c r="V249" s="687"/>
      <c r="W249" s="687"/>
      <c r="X249" s="687"/>
      <c r="Y249" s="687"/>
      <c r="Z249" s="687"/>
    </row>
    <row r="250" spans="1:26" ht="12" customHeight="1">
      <c r="A250" s="687"/>
      <c r="B250" s="872"/>
      <c r="C250" s="870"/>
      <c r="D250" s="839"/>
      <c r="E250" s="839"/>
      <c r="F250" s="871"/>
      <c r="G250" s="687"/>
      <c r="H250" s="687"/>
      <c r="I250" s="687"/>
      <c r="J250" s="687"/>
      <c r="K250" s="687"/>
      <c r="L250" s="687"/>
      <c r="M250" s="687"/>
      <c r="N250" s="687"/>
      <c r="O250" s="687"/>
      <c r="P250" s="687"/>
      <c r="Q250" s="687"/>
      <c r="R250" s="687"/>
      <c r="S250" s="687"/>
      <c r="T250" s="687"/>
      <c r="U250" s="687"/>
      <c r="V250" s="687"/>
      <c r="W250" s="687"/>
      <c r="X250" s="687"/>
      <c r="Y250" s="687"/>
      <c r="Z250" s="687"/>
    </row>
    <row r="251" spans="1:26" ht="12" customHeight="1">
      <c r="A251" s="687"/>
      <c r="B251" s="872"/>
      <c r="C251" s="870"/>
      <c r="D251" s="839"/>
      <c r="E251" s="839"/>
      <c r="F251" s="871"/>
      <c r="G251" s="687"/>
      <c r="H251" s="687"/>
      <c r="I251" s="687"/>
      <c r="J251" s="687"/>
      <c r="K251" s="687"/>
      <c r="L251" s="687"/>
      <c r="M251" s="687"/>
      <c r="N251" s="687"/>
      <c r="O251" s="687"/>
      <c r="P251" s="687"/>
      <c r="Q251" s="687"/>
      <c r="R251" s="687"/>
      <c r="S251" s="687"/>
      <c r="T251" s="687"/>
      <c r="U251" s="687"/>
      <c r="V251" s="687"/>
      <c r="W251" s="687"/>
      <c r="X251" s="687"/>
      <c r="Y251" s="687"/>
      <c r="Z251" s="687"/>
    </row>
    <row r="252" spans="1:26" ht="12" customHeight="1">
      <c r="A252" s="687"/>
      <c r="B252" s="872"/>
      <c r="C252" s="870"/>
      <c r="D252" s="839"/>
      <c r="E252" s="839"/>
      <c r="F252" s="871"/>
      <c r="G252" s="687"/>
      <c r="H252" s="687"/>
      <c r="I252" s="687"/>
      <c r="J252" s="687"/>
      <c r="K252" s="687"/>
      <c r="L252" s="687"/>
      <c r="M252" s="687"/>
      <c r="N252" s="687"/>
      <c r="O252" s="687"/>
      <c r="P252" s="687"/>
      <c r="Q252" s="687"/>
      <c r="R252" s="687"/>
      <c r="S252" s="687"/>
      <c r="T252" s="687"/>
      <c r="U252" s="687"/>
      <c r="V252" s="687"/>
      <c r="W252" s="687"/>
      <c r="X252" s="687"/>
      <c r="Y252" s="687"/>
      <c r="Z252" s="687"/>
    </row>
    <row r="253" spans="1:26" ht="12" customHeight="1">
      <c r="A253" s="687"/>
      <c r="B253" s="872"/>
      <c r="C253" s="870"/>
      <c r="D253" s="839"/>
      <c r="E253" s="839"/>
      <c r="F253" s="871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</row>
    <row r="254" spans="1:26" ht="12.75" customHeight="1">
      <c r="A254" s="687"/>
      <c r="B254" s="872"/>
      <c r="C254" s="870"/>
      <c r="D254" s="839"/>
      <c r="E254" s="839"/>
      <c r="F254" s="871"/>
      <c r="G254" s="687"/>
      <c r="H254" s="687"/>
      <c r="I254" s="687"/>
      <c r="J254" s="687"/>
      <c r="K254" s="687"/>
      <c r="L254" s="687"/>
      <c r="M254" s="687"/>
      <c r="N254" s="687"/>
      <c r="O254" s="687"/>
      <c r="P254" s="687"/>
      <c r="Q254" s="687"/>
      <c r="R254" s="687"/>
      <c r="S254" s="687"/>
      <c r="T254" s="687"/>
      <c r="U254" s="687"/>
      <c r="V254" s="687"/>
      <c r="W254" s="687"/>
      <c r="X254" s="687"/>
      <c r="Y254" s="687"/>
      <c r="Z254" s="687"/>
    </row>
    <row r="255" spans="1:26" ht="12" customHeight="1">
      <c r="A255" s="687"/>
      <c r="B255" s="872"/>
      <c r="C255" s="870"/>
      <c r="D255" s="839"/>
      <c r="E255" s="839"/>
      <c r="F255" s="871"/>
      <c r="G255" s="687"/>
      <c r="H255" s="687"/>
      <c r="I255" s="687"/>
      <c r="J255" s="687"/>
      <c r="K255" s="687"/>
      <c r="L255" s="687"/>
      <c r="M255" s="687"/>
      <c r="N255" s="687"/>
      <c r="O255" s="687"/>
      <c r="P255" s="687"/>
      <c r="Q255" s="687"/>
      <c r="R255" s="687"/>
      <c r="S255" s="687"/>
      <c r="T255" s="687"/>
      <c r="U255" s="687"/>
      <c r="V255" s="687"/>
      <c r="W255" s="687"/>
      <c r="X255" s="687"/>
      <c r="Y255" s="687"/>
      <c r="Z255" s="687"/>
    </row>
    <row r="256" spans="1:26" ht="12" customHeight="1">
      <c r="A256" s="687"/>
      <c r="B256" s="872"/>
      <c r="C256" s="870"/>
      <c r="D256" s="839"/>
      <c r="E256" s="839"/>
      <c r="F256" s="871"/>
      <c r="G256" s="687"/>
      <c r="H256" s="687"/>
      <c r="I256" s="687"/>
      <c r="J256" s="687"/>
      <c r="K256" s="687"/>
      <c r="L256" s="687"/>
      <c r="M256" s="687"/>
      <c r="N256" s="687"/>
      <c r="O256" s="687"/>
      <c r="P256" s="687"/>
      <c r="Q256" s="687"/>
      <c r="R256" s="687"/>
      <c r="S256" s="687"/>
      <c r="T256" s="687"/>
      <c r="U256" s="687"/>
      <c r="V256" s="687"/>
      <c r="W256" s="687"/>
      <c r="X256" s="687"/>
      <c r="Y256" s="687"/>
      <c r="Z256" s="687"/>
    </row>
    <row r="257" spans="1:26" ht="12" customHeight="1">
      <c r="A257" s="687"/>
      <c r="B257" s="872"/>
      <c r="C257" s="870"/>
      <c r="D257" s="839"/>
      <c r="E257" s="839"/>
      <c r="F257" s="871"/>
      <c r="G257" s="687"/>
      <c r="H257" s="687"/>
      <c r="I257" s="687"/>
      <c r="J257" s="687"/>
      <c r="K257" s="687"/>
      <c r="L257" s="687"/>
      <c r="M257" s="687"/>
      <c r="N257" s="687"/>
      <c r="O257" s="687"/>
      <c r="P257" s="687"/>
      <c r="Q257" s="687"/>
      <c r="R257" s="687"/>
      <c r="S257" s="687"/>
      <c r="T257" s="687"/>
      <c r="U257" s="687"/>
      <c r="V257" s="687"/>
      <c r="W257" s="687"/>
      <c r="X257" s="687"/>
      <c r="Y257" s="687"/>
      <c r="Z257" s="687"/>
    </row>
    <row r="258" spans="1:26" ht="12" customHeight="1">
      <c r="A258" s="687"/>
      <c r="B258" s="872"/>
      <c r="C258" s="870"/>
      <c r="D258" s="839"/>
      <c r="E258" s="839"/>
      <c r="F258" s="871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</row>
    <row r="259" spans="1:26" ht="12" customHeight="1">
      <c r="A259" s="687"/>
      <c r="B259" s="872"/>
      <c r="C259" s="870"/>
      <c r="D259" s="839"/>
      <c r="E259" s="839"/>
      <c r="F259" s="871"/>
      <c r="G259" s="687"/>
      <c r="H259" s="687"/>
      <c r="I259" s="687"/>
      <c r="J259" s="687"/>
      <c r="K259" s="687"/>
      <c r="L259" s="687"/>
      <c r="M259" s="687"/>
      <c r="N259" s="687"/>
      <c r="O259" s="687"/>
      <c r="P259" s="687"/>
      <c r="Q259" s="687"/>
      <c r="R259" s="687"/>
      <c r="S259" s="687"/>
      <c r="T259" s="687"/>
      <c r="U259" s="687"/>
      <c r="V259" s="687"/>
      <c r="W259" s="687"/>
      <c r="X259" s="687"/>
      <c r="Y259" s="687"/>
      <c r="Z259" s="687"/>
    </row>
    <row r="260" spans="1:26" ht="12.75" customHeight="1">
      <c r="A260" s="687"/>
      <c r="B260" s="872"/>
      <c r="C260" s="870"/>
      <c r="D260" s="839"/>
      <c r="E260" s="839"/>
      <c r="F260" s="871"/>
      <c r="G260" s="687"/>
      <c r="H260" s="687"/>
      <c r="I260" s="687"/>
      <c r="J260" s="687"/>
      <c r="K260" s="687"/>
      <c r="L260" s="687"/>
      <c r="M260" s="687"/>
      <c r="N260" s="687"/>
      <c r="O260" s="687"/>
      <c r="P260" s="687"/>
      <c r="Q260" s="687"/>
      <c r="R260" s="687"/>
      <c r="S260" s="687"/>
      <c r="T260" s="687"/>
      <c r="U260" s="687"/>
      <c r="V260" s="687"/>
      <c r="W260" s="687"/>
      <c r="X260" s="687"/>
      <c r="Y260" s="687"/>
      <c r="Z260" s="687"/>
    </row>
    <row r="261" spans="1:26" ht="12" customHeight="1">
      <c r="A261" s="687"/>
      <c r="B261" s="872"/>
      <c r="C261" s="870"/>
      <c r="D261" s="839"/>
      <c r="E261" s="839"/>
      <c r="F261" s="871"/>
      <c r="G261" s="687"/>
      <c r="H261" s="687"/>
      <c r="I261" s="687"/>
      <c r="J261" s="687"/>
      <c r="K261" s="687"/>
      <c r="L261" s="687"/>
      <c r="M261" s="687"/>
      <c r="N261" s="687"/>
      <c r="O261" s="687"/>
      <c r="P261" s="687"/>
      <c r="Q261" s="687"/>
      <c r="R261" s="687"/>
      <c r="S261" s="687"/>
      <c r="T261" s="687"/>
      <c r="U261" s="687"/>
      <c r="V261" s="687"/>
      <c r="W261" s="687"/>
      <c r="X261" s="687"/>
      <c r="Y261" s="687"/>
      <c r="Z261" s="687"/>
    </row>
    <row r="262" spans="1:26" ht="12" customHeight="1">
      <c r="A262" s="687"/>
      <c r="B262" s="872"/>
      <c r="C262" s="870"/>
      <c r="D262" s="839"/>
      <c r="E262" s="839"/>
      <c r="F262" s="871"/>
      <c r="G262" s="687"/>
      <c r="H262" s="687"/>
      <c r="I262" s="687"/>
      <c r="J262" s="687"/>
      <c r="K262" s="687"/>
      <c r="L262" s="687"/>
      <c r="M262" s="687"/>
      <c r="N262" s="687"/>
      <c r="O262" s="687"/>
      <c r="P262" s="687"/>
      <c r="Q262" s="687"/>
      <c r="R262" s="687"/>
      <c r="S262" s="687"/>
      <c r="T262" s="687"/>
      <c r="U262" s="687"/>
      <c r="V262" s="687"/>
      <c r="W262" s="687"/>
      <c r="X262" s="687"/>
      <c r="Y262" s="687"/>
      <c r="Z262" s="687"/>
    </row>
    <row r="263" spans="1:26" ht="12.75" customHeight="1">
      <c r="A263" s="687"/>
      <c r="B263" s="872"/>
      <c r="C263" s="870"/>
      <c r="D263" s="839"/>
      <c r="E263" s="839"/>
      <c r="F263" s="871"/>
      <c r="G263" s="687"/>
      <c r="H263" s="687"/>
      <c r="I263" s="687"/>
      <c r="J263" s="687"/>
      <c r="K263" s="687"/>
      <c r="L263" s="687"/>
      <c r="M263" s="687"/>
      <c r="N263" s="687"/>
      <c r="O263" s="687"/>
      <c r="P263" s="687"/>
      <c r="Q263" s="687"/>
      <c r="R263" s="687"/>
      <c r="S263" s="687"/>
      <c r="T263" s="687"/>
      <c r="U263" s="687"/>
      <c r="V263" s="687"/>
      <c r="W263" s="687"/>
      <c r="X263" s="687"/>
      <c r="Y263" s="687"/>
      <c r="Z263" s="687"/>
    </row>
    <row r="264" spans="1:26" ht="12" customHeight="1">
      <c r="A264" s="687"/>
      <c r="B264" s="872"/>
      <c r="C264" s="870"/>
      <c r="D264" s="839"/>
      <c r="E264" s="839"/>
      <c r="F264" s="871"/>
      <c r="G264" s="687"/>
      <c r="H264" s="687"/>
      <c r="I264" s="687"/>
      <c r="J264" s="687"/>
      <c r="K264" s="687"/>
      <c r="L264" s="687"/>
      <c r="M264" s="687"/>
      <c r="N264" s="687"/>
      <c r="O264" s="687"/>
      <c r="P264" s="687"/>
      <c r="Q264" s="687"/>
      <c r="R264" s="687"/>
      <c r="S264" s="687"/>
      <c r="T264" s="687"/>
      <c r="U264" s="687"/>
      <c r="V264" s="687"/>
      <c r="W264" s="687"/>
      <c r="X264" s="687"/>
      <c r="Y264" s="687"/>
      <c r="Z264" s="687"/>
    </row>
    <row r="265" spans="1:26" ht="12" customHeight="1">
      <c r="A265" s="687"/>
      <c r="B265" s="872"/>
      <c r="C265" s="870"/>
      <c r="D265" s="839"/>
      <c r="E265" s="839"/>
      <c r="F265" s="871"/>
      <c r="G265" s="687"/>
      <c r="H265" s="687"/>
      <c r="I265" s="687"/>
      <c r="J265" s="687"/>
      <c r="K265" s="687"/>
      <c r="L265" s="687"/>
      <c r="M265" s="687"/>
      <c r="N265" s="687"/>
      <c r="O265" s="687"/>
      <c r="P265" s="687"/>
      <c r="Q265" s="687"/>
      <c r="R265" s="687"/>
      <c r="S265" s="687"/>
      <c r="T265" s="687"/>
      <c r="U265" s="687"/>
      <c r="V265" s="687"/>
      <c r="W265" s="687"/>
      <c r="X265" s="687"/>
      <c r="Y265" s="687"/>
      <c r="Z265" s="687"/>
    </row>
    <row r="266" spans="1:26" ht="12" customHeight="1">
      <c r="A266" s="687"/>
      <c r="B266" s="872"/>
      <c r="C266" s="870"/>
      <c r="D266" s="839"/>
      <c r="E266" s="839"/>
      <c r="F266" s="871"/>
      <c r="G266" s="687"/>
      <c r="H266" s="687"/>
      <c r="I266" s="687"/>
      <c r="J266" s="687"/>
      <c r="K266" s="687"/>
      <c r="L266" s="687"/>
      <c r="M266" s="687"/>
      <c r="N266" s="687"/>
      <c r="O266" s="687"/>
      <c r="P266" s="687"/>
      <c r="Q266" s="687"/>
      <c r="R266" s="687"/>
      <c r="S266" s="687"/>
      <c r="T266" s="687"/>
      <c r="U266" s="687"/>
      <c r="V266" s="687"/>
      <c r="W266" s="687"/>
      <c r="X266" s="687"/>
      <c r="Y266" s="687"/>
      <c r="Z266" s="687"/>
    </row>
    <row r="267" spans="1:26" ht="12" customHeight="1">
      <c r="A267" s="687"/>
      <c r="B267" s="872"/>
      <c r="C267" s="870"/>
      <c r="D267" s="839"/>
      <c r="E267" s="839"/>
      <c r="F267" s="871"/>
      <c r="G267" s="687"/>
      <c r="H267" s="687"/>
      <c r="I267" s="687"/>
      <c r="J267" s="687"/>
      <c r="K267" s="687"/>
      <c r="L267" s="687"/>
      <c r="M267" s="687"/>
      <c r="N267" s="687"/>
      <c r="O267" s="687"/>
      <c r="P267" s="687"/>
      <c r="Q267" s="687"/>
      <c r="R267" s="687"/>
      <c r="S267" s="687"/>
      <c r="T267" s="687"/>
      <c r="U267" s="687"/>
      <c r="V267" s="687"/>
      <c r="W267" s="687"/>
      <c r="X267" s="687"/>
      <c r="Y267" s="687"/>
      <c r="Z267" s="687"/>
    </row>
    <row r="268" spans="1:26" ht="12" customHeight="1">
      <c r="A268" s="687"/>
      <c r="B268" s="872"/>
      <c r="C268" s="870"/>
      <c r="D268" s="839"/>
      <c r="E268" s="839"/>
      <c r="F268" s="871"/>
      <c r="G268" s="687"/>
      <c r="H268" s="687"/>
      <c r="I268" s="687"/>
      <c r="J268" s="687"/>
      <c r="K268" s="687"/>
      <c r="L268" s="687"/>
      <c r="M268" s="687"/>
      <c r="N268" s="687"/>
      <c r="O268" s="687"/>
      <c r="P268" s="687"/>
      <c r="Q268" s="687"/>
      <c r="R268" s="687"/>
      <c r="S268" s="687"/>
      <c r="T268" s="687"/>
      <c r="U268" s="687"/>
      <c r="V268" s="687"/>
      <c r="W268" s="687"/>
      <c r="X268" s="687"/>
      <c r="Y268" s="687"/>
      <c r="Z268" s="687"/>
    </row>
    <row r="269" spans="1:26" ht="12" customHeight="1">
      <c r="A269" s="687"/>
      <c r="B269" s="872"/>
      <c r="C269" s="870"/>
      <c r="D269" s="839"/>
      <c r="E269" s="839"/>
      <c r="F269" s="871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</row>
    <row r="270" spans="1:26" ht="12" customHeight="1">
      <c r="A270" s="687"/>
      <c r="B270" s="872"/>
      <c r="C270" s="870"/>
      <c r="D270" s="839"/>
      <c r="E270" s="839"/>
      <c r="F270" s="871"/>
      <c r="G270" s="687"/>
      <c r="H270" s="687"/>
      <c r="I270" s="687"/>
      <c r="J270" s="687"/>
      <c r="K270" s="687"/>
      <c r="L270" s="687"/>
      <c r="M270" s="687"/>
      <c r="N270" s="687"/>
      <c r="O270" s="687"/>
      <c r="P270" s="687"/>
      <c r="Q270" s="687"/>
      <c r="R270" s="687"/>
      <c r="S270" s="687"/>
      <c r="T270" s="687"/>
      <c r="U270" s="687"/>
      <c r="V270" s="687"/>
      <c r="W270" s="687"/>
      <c r="X270" s="687"/>
      <c r="Y270" s="687"/>
      <c r="Z270" s="687"/>
    </row>
    <row r="271" spans="1:26" ht="12" customHeight="1">
      <c r="A271" s="687"/>
      <c r="B271" s="872"/>
      <c r="C271" s="870"/>
      <c r="D271" s="839"/>
      <c r="E271" s="839"/>
      <c r="F271" s="871"/>
      <c r="G271" s="687"/>
      <c r="H271" s="687"/>
      <c r="I271" s="687"/>
      <c r="J271" s="687"/>
      <c r="K271" s="687"/>
      <c r="L271" s="687"/>
      <c r="M271" s="687"/>
      <c r="N271" s="687"/>
      <c r="O271" s="687"/>
      <c r="P271" s="687"/>
      <c r="Q271" s="687"/>
      <c r="R271" s="687"/>
      <c r="S271" s="687"/>
      <c r="T271" s="687"/>
      <c r="U271" s="687"/>
      <c r="V271" s="687"/>
      <c r="W271" s="687"/>
      <c r="X271" s="687"/>
      <c r="Y271" s="687"/>
      <c r="Z271" s="687"/>
    </row>
    <row r="272" spans="1:26" ht="12" customHeight="1">
      <c r="A272" s="687"/>
      <c r="B272" s="872"/>
      <c r="C272" s="870"/>
      <c r="D272" s="839"/>
      <c r="E272" s="839"/>
      <c r="F272" s="871"/>
      <c r="G272" s="687"/>
      <c r="H272" s="687"/>
      <c r="I272" s="687"/>
      <c r="J272" s="687"/>
      <c r="K272" s="687"/>
      <c r="L272" s="687"/>
      <c r="M272" s="687"/>
      <c r="N272" s="687"/>
      <c r="O272" s="687"/>
      <c r="P272" s="687"/>
      <c r="Q272" s="687"/>
      <c r="R272" s="687"/>
      <c r="S272" s="687"/>
      <c r="T272" s="687"/>
      <c r="U272" s="687"/>
      <c r="V272" s="687"/>
      <c r="W272" s="687"/>
      <c r="X272" s="687"/>
      <c r="Y272" s="687"/>
      <c r="Z272" s="687"/>
    </row>
    <row r="273" spans="1:26" ht="12" customHeight="1">
      <c r="A273" s="687"/>
      <c r="B273" s="872"/>
      <c r="C273" s="870"/>
      <c r="D273" s="839"/>
      <c r="E273" s="839"/>
      <c r="F273" s="871"/>
      <c r="G273" s="687"/>
      <c r="H273" s="687"/>
      <c r="I273" s="687"/>
      <c r="J273" s="687"/>
      <c r="K273" s="687"/>
      <c r="L273" s="687"/>
      <c r="M273" s="687"/>
      <c r="N273" s="687"/>
      <c r="O273" s="687"/>
      <c r="P273" s="687"/>
      <c r="Q273" s="687"/>
      <c r="R273" s="687"/>
      <c r="S273" s="687"/>
      <c r="T273" s="687"/>
      <c r="U273" s="687"/>
      <c r="V273" s="687"/>
      <c r="W273" s="687"/>
      <c r="X273" s="687"/>
      <c r="Y273" s="687"/>
      <c r="Z273" s="687"/>
    </row>
    <row r="274" spans="1:26" ht="12" customHeight="1">
      <c r="A274" s="687"/>
      <c r="B274" s="872"/>
      <c r="C274" s="870"/>
      <c r="D274" s="839"/>
      <c r="E274" s="839"/>
      <c r="F274" s="871"/>
      <c r="G274" s="687"/>
      <c r="H274" s="687"/>
      <c r="I274" s="687"/>
      <c r="J274" s="687"/>
      <c r="K274" s="687"/>
      <c r="L274" s="687"/>
      <c r="M274" s="687"/>
      <c r="N274" s="687"/>
      <c r="O274" s="687"/>
      <c r="P274" s="687"/>
      <c r="Q274" s="687"/>
      <c r="R274" s="687"/>
      <c r="S274" s="687"/>
      <c r="T274" s="687"/>
      <c r="U274" s="687"/>
      <c r="V274" s="687"/>
      <c r="W274" s="687"/>
      <c r="X274" s="687"/>
      <c r="Y274" s="687"/>
      <c r="Z274" s="687"/>
    </row>
    <row r="275" spans="1:26" ht="12" customHeight="1">
      <c r="A275" s="687"/>
      <c r="B275" s="872"/>
      <c r="C275" s="870"/>
      <c r="D275" s="839"/>
      <c r="E275" s="839"/>
      <c r="F275" s="871"/>
      <c r="G275" s="687"/>
      <c r="H275" s="687"/>
      <c r="I275" s="687"/>
      <c r="J275" s="687"/>
      <c r="K275" s="687"/>
      <c r="L275" s="687"/>
      <c r="M275" s="687"/>
      <c r="N275" s="687"/>
      <c r="O275" s="687"/>
      <c r="P275" s="687"/>
      <c r="Q275" s="687"/>
      <c r="R275" s="687"/>
      <c r="S275" s="687"/>
      <c r="T275" s="687"/>
      <c r="U275" s="687"/>
      <c r="V275" s="687"/>
      <c r="W275" s="687"/>
      <c r="X275" s="687"/>
      <c r="Y275" s="687"/>
      <c r="Z275" s="687"/>
    </row>
    <row r="276" spans="1:26" ht="12" customHeight="1">
      <c r="A276" s="687"/>
      <c r="B276" s="872"/>
      <c r="C276" s="870"/>
      <c r="D276" s="839"/>
      <c r="E276" s="839"/>
      <c r="F276" s="871"/>
      <c r="G276" s="687"/>
      <c r="H276" s="687"/>
      <c r="I276" s="687"/>
      <c r="J276" s="687"/>
      <c r="K276" s="687"/>
      <c r="L276" s="687"/>
      <c r="M276" s="687"/>
      <c r="N276" s="687"/>
      <c r="O276" s="687"/>
      <c r="P276" s="687"/>
      <c r="Q276" s="687"/>
      <c r="R276" s="687"/>
      <c r="S276" s="687"/>
      <c r="T276" s="687"/>
      <c r="U276" s="687"/>
      <c r="V276" s="687"/>
      <c r="W276" s="687"/>
      <c r="X276" s="687"/>
      <c r="Y276" s="687"/>
      <c r="Z276" s="687"/>
    </row>
    <row r="277" spans="1:26" ht="12" customHeight="1">
      <c r="A277" s="687"/>
      <c r="B277" s="872"/>
      <c r="C277" s="870"/>
      <c r="D277" s="839"/>
      <c r="E277" s="839"/>
      <c r="F277" s="871"/>
      <c r="G277" s="687"/>
      <c r="H277" s="687"/>
      <c r="I277" s="687"/>
      <c r="J277" s="687"/>
      <c r="K277" s="687"/>
      <c r="L277" s="687"/>
      <c r="M277" s="687"/>
      <c r="N277" s="687"/>
      <c r="O277" s="687"/>
      <c r="P277" s="687"/>
      <c r="Q277" s="687"/>
      <c r="R277" s="687"/>
      <c r="S277" s="687"/>
      <c r="T277" s="687"/>
      <c r="U277" s="687"/>
      <c r="V277" s="687"/>
      <c r="W277" s="687"/>
      <c r="X277" s="687"/>
      <c r="Y277" s="687"/>
      <c r="Z277" s="687"/>
    </row>
    <row r="278" spans="1:26" ht="12" customHeight="1">
      <c r="A278" s="687"/>
      <c r="B278" s="872"/>
      <c r="C278" s="870"/>
      <c r="D278" s="839"/>
      <c r="E278" s="839"/>
      <c r="F278" s="871"/>
      <c r="G278" s="687"/>
      <c r="H278" s="687"/>
      <c r="I278" s="687"/>
      <c r="J278" s="687"/>
      <c r="K278" s="687"/>
      <c r="L278" s="687"/>
      <c r="M278" s="687"/>
      <c r="N278" s="687"/>
      <c r="O278" s="687"/>
      <c r="P278" s="687"/>
      <c r="Q278" s="687"/>
      <c r="R278" s="687"/>
      <c r="S278" s="687"/>
      <c r="T278" s="687"/>
      <c r="U278" s="687"/>
      <c r="V278" s="687"/>
      <c r="W278" s="687"/>
      <c r="X278" s="687"/>
      <c r="Y278" s="687"/>
      <c r="Z278" s="687"/>
    </row>
    <row r="279" spans="1:26" ht="12" customHeight="1">
      <c r="A279" s="687"/>
      <c r="B279" s="872"/>
      <c r="C279" s="870"/>
      <c r="D279" s="839"/>
      <c r="E279" s="839"/>
      <c r="F279" s="871"/>
      <c r="G279" s="687"/>
      <c r="H279" s="687"/>
      <c r="I279" s="687"/>
      <c r="J279" s="687"/>
      <c r="K279" s="687"/>
      <c r="L279" s="687"/>
      <c r="M279" s="687"/>
      <c r="N279" s="687"/>
      <c r="O279" s="687"/>
      <c r="P279" s="687"/>
      <c r="Q279" s="687"/>
      <c r="R279" s="687"/>
      <c r="S279" s="687"/>
      <c r="T279" s="687"/>
      <c r="U279" s="687"/>
      <c r="V279" s="687"/>
      <c r="W279" s="687"/>
      <c r="X279" s="687"/>
      <c r="Y279" s="687"/>
      <c r="Z279" s="687"/>
    </row>
    <row r="280" spans="1:26" ht="12" customHeight="1">
      <c r="A280" s="687"/>
      <c r="B280" s="687"/>
      <c r="C280" s="687"/>
      <c r="D280" s="687"/>
      <c r="E280" s="687"/>
      <c r="F280" s="687"/>
      <c r="G280" s="687"/>
      <c r="H280" s="687"/>
      <c r="I280" s="687"/>
      <c r="J280" s="687"/>
      <c r="K280" s="687"/>
      <c r="L280" s="687"/>
      <c r="M280" s="687"/>
      <c r="N280" s="687"/>
      <c r="O280" s="687"/>
      <c r="P280" s="687"/>
      <c r="Q280" s="687"/>
      <c r="R280" s="687"/>
      <c r="S280" s="687"/>
      <c r="T280" s="687"/>
      <c r="U280" s="687"/>
      <c r="V280" s="687"/>
      <c r="W280" s="687"/>
      <c r="X280" s="687"/>
      <c r="Y280" s="687"/>
      <c r="Z280" s="687"/>
    </row>
    <row r="281" spans="1:26" ht="12" customHeight="1">
      <c r="A281" s="688" t="s">
        <v>1319</v>
      </c>
      <c r="B281" s="858" t="s">
        <v>1473</v>
      </c>
      <c r="C281" s="687" t="s">
        <v>1474</v>
      </c>
      <c r="D281" s="687"/>
      <c r="E281" s="687"/>
      <c r="F281" s="687" t="s">
        <v>1475</v>
      </c>
      <c r="G281" s="687"/>
      <c r="H281" s="687"/>
      <c r="I281" s="687"/>
      <c r="J281" s="687"/>
      <c r="K281" s="687"/>
      <c r="L281" s="687"/>
      <c r="M281" s="687"/>
      <c r="N281" s="687"/>
      <c r="O281" s="687"/>
      <c r="P281" s="687"/>
      <c r="Q281" s="687"/>
      <c r="R281" s="687"/>
      <c r="S281" s="687"/>
      <c r="T281" s="687"/>
      <c r="U281" s="687"/>
      <c r="V281" s="687"/>
      <c r="W281" s="687"/>
      <c r="X281" s="687"/>
      <c r="Y281" s="687"/>
      <c r="Z281" s="687"/>
    </row>
    <row r="282" spans="1:26" ht="12" customHeight="1">
      <c r="A282" s="687"/>
      <c r="B282" s="873" t="s">
        <v>1476</v>
      </c>
      <c r="C282" s="857" t="s">
        <v>1477</v>
      </c>
      <c r="D282" s="874" t="s">
        <v>1460</v>
      </c>
      <c r="E282" s="875" t="s">
        <v>1478</v>
      </c>
      <c r="F282" s="876" t="s">
        <v>1479</v>
      </c>
      <c r="G282" s="857" t="s">
        <v>1480</v>
      </c>
      <c r="H282" s="857" t="s">
        <v>1481</v>
      </c>
      <c r="I282" s="687"/>
      <c r="J282" s="687"/>
      <c r="K282" s="687"/>
      <c r="L282" s="687"/>
      <c r="M282" s="687"/>
      <c r="N282" s="687"/>
      <c r="O282" s="687"/>
      <c r="P282" s="687"/>
      <c r="Q282" s="687"/>
      <c r="R282" s="687"/>
      <c r="S282" s="687"/>
      <c r="T282" s="687"/>
      <c r="U282" s="687"/>
      <c r="V282" s="687"/>
      <c r="W282" s="687"/>
      <c r="X282" s="687"/>
      <c r="Y282" s="687"/>
      <c r="Z282" s="687"/>
    </row>
    <row r="283" spans="1:26" ht="12" customHeight="1">
      <c r="A283" s="687"/>
      <c r="B283" s="877" t="e">
        <f>MAX(H283:H286)*C283</f>
        <v>#REF!</v>
      </c>
      <c r="C283" s="878">
        <v>0.85</v>
      </c>
      <c r="D283" s="879" t="s">
        <v>1482</v>
      </c>
      <c r="E283" s="880">
        <v>60000</v>
      </c>
      <c r="F283" s="881">
        <v>100000</v>
      </c>
      <c r="G283" s="882">
        <f t="shared" ref="G283:G286" si="4">C292</f>
        <v>240419.16</v>
      </c>
      <c r="H283" s="883">
        <f t="shared" ref="H283:H286" si="5">$F$283*$C$285*(G283/E283)^0.5</f>
        <v>200174.5738099622</v>
      </c>
      <c r="I283" s="884"/>
      <c r="J283" s="687"/>
      <c r="K283" s="687"/>
      <c r="L283" s="687"/>
      <c r="M283" s="687"/>
      <c r="N283" s="687"/>
      <c r="O283" s="687"/>
      <c r="P283" s="687"/>
      <c r="Q283" s="687"/>
      <c r="R283" s="687"/>
      <c r="S283" s="687"/>
      <c r="T283" s="687"/>
      <c r="U283" s="687"/>
      <c r="V283" s="687"/>
      <c r="W283" s="687"/>
      <c r="X283" s="687"/>
      <c r="Y283" s="687"/>
      <c r="Z283" s="687"/>
    </row>
    <row r="284" spans="1:26" ht="12" customHeight="1">
      <c r="A284" s="687"/>
      <c r="B284" s="687"/>
      <c r="C284" s="885" t="s">
        <v>1483</v>
      </c>
      <c r="D284" s="879" t="s">
        <v>409</v>
      </c>
      <c r="E284" s="880">
        <v>25000</v>
      </c>
      <c r="F284" s="1485"/>
      <c r="G284" s="882" t="e">
        <f t="shared" si="4"/>
        <v>#REF!</v>
      </c>
      <c r="H284" s="883" t="e">
        <f t="shared" si="5"/>
        <v>#REF!</v>
      </c>
      <c r="I284" s="886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</row>
    <row r="285" spans="1:26" ht="12" customHeight="1">
      <c r="A285" s="687"/>
      <c r="B285" s="687"/>
      <c r="C285" s="887">
        <v>1</v>
      </c>
      <c r="D285" s="888" t="s">
        <v>600</v>
      </c>
      <c r="E285" s="889">
        <v>6000</v>
      </c>
      <c r="F285" s="839"/>
      <c r="G285" s="890">
        <f t="shared" si="4"/>
        <v>3294.26</v>
      </c>
      <c r="H285" s="891">
        <f t="shared" si="5"/>
        <v>74097.458345973879</v>
      </c>
      <c r="I285" s="886"/>
      <c r="J285" s="687"/>
      <c r="K285" s="687"/>
      <c r="L285" s="687"/>
      <c r="M285" s="687"/>
      <c r="N285" s="687"/>
      <c r="O285" s="687"/>
      <c r="P285" s="687"/>
      <c r="Q285" s="687"/>
      <c r="R285" s="687"/>
      <c r="S285" s="687"/>
      <c r="T285" s="687"/>
      <c r="U285" s="687"/>
      <c r="V285" s="687"/>
      <c r="W285" s="687"/>
      <c r="X285" s="687"/>
      <c r="Y285" s="687"/>
      <c r="Z285" s="687"/>
    </row>
    <row r="286" spans="1:26" ht="12" customHeight="1">
      <c r="A286" s="687"/>
      <c r="B286" s="687"/>
      <c r="C286" s="687" t="s">
        <v>1484</v>
      </c>
      <c r="D286" s="892" t="s">
        <v>1485</v>
      </c>
      <c r="E286" s="1486">
        <v>10000</v>
      </c>
      <c r="F286" s="839"/>
      <c r="G286" s="893" t="e">
        <f t="shared" si="4"/>
        <v>#REF!</v>
      </c>
      <c r="H286" s="894" t="e">
        <f t="shared" si="5"/>
        <v>#REF!</v>
      </c>
      <c r="I286" s="886"/>
      <c r="J286" s="687"/>
      <c r="K286" s="687"/>
      <c r="L286" s="687"/>
      <c r="M286" s="687"/>
      <c r="N286" s="687"/>
      <c r="O286" s="687"/>
      <c r="P286" s="687"/>
      <c r="Q286" s="687"/>
      <c r="R286" s="687"/>
      <c r="S286" s="687"/>
      <c r="T286" s="687"/>
      <c r="U286" s="687"/>
      <c r="V286" s="687"/>
      <c r="W286" s="687"/>
      <c r="X286" s="687"/>
      <c r="Y286" s="687"/>
      <c r="Z286" s="687"/>
    </row>
    <row r="287" spans="1:26" ht="12" customHeight="1">
      <c r="A287" s="687"/>
      <c r="B287" s="687"/>
      <c r="C287" s="687"/>
      <c r="D287" s="693" t="s">
        <v>1486</v>
      </c>
      <c r="E287" s="839"/>
      <c r="F287" s="687"/>
      <c r="G287" s="687"/>
      <c r="H287" s="687"/>
      <c r="I287" s="895"/>
      <c r="J287" s="687"/>
      <c r="K287" s="687"/>
      <c r="L287" s="687"/>
      <c r="M287" s="687"/>
      <c r="N287" s="687"/>
      <c r="O287" s="687"/>
      <c r="P287" s="687"/>
      <c r="Q287" s="687"/>
      <c r="R287" s="687"/>
      <c r="S287" s="687"/>
      <c r="T287" s="687"/>
      <c r="U287" s="687"/>
      <c r="V287" s="687"/>
      <c r="W287" s="687"/>
      <c r="X287" s="687"/>
      <c r="Y287" s="687"/>
      <c r="Z287" s="687"/>
    </row>
    <row r="288" spans="1:26" ht="12" customHeight="1">
      <c r="A288" s="687"/>
      <c r="B288" s="687"/>
      <c r="C288" s="687"/>
      <c r="D288" s="896" t="s">
        <v>1487</v>
      </c>
      <c r="E288" s="839"/>
      <c r="F288" s="687"/>
      <c r="G288" s="687"/>
      <c r="H288" s="687"/>
      <c r="I288" s="687"/>
      <c r="J288" s="687"/>
      <c r="K288" s="687"/>
      <c r="L288" s="687"/>
      <c r="M288" s="687"/>
      <c r="N288" s="687"/>
      <c r="O288" s="687"/>
      <c r="P288" s="687"/>
      <c r="Q288" s="687"/>
      <c r="R288" s="687"/>
      <c r="S288" s="687"/>
      <c r="T288" s="687"/>
      <c r="U288" s="687"/>
      <c r="V288" s="687"/>
      <c r="W288" s="687"/>
      <c r="X288" s="687"/>
      <c r="Y288" s="687"/>
      <c r="Z288" s="687"/>
    </row>
    <row r="289" spans="1:26" ht="12" customHeight="1">
      <c r="A289" s="687"/>
      <c r="B289" s="687"/>
      <c r="C289" s="687"/>
      <c r="D289" s="687" t="s">
        <v>1488</v>
      </c>
      <c r="E289" s="839"/>
      <c r="F289" s="897"/>
      <c r="G289" s="687"/>
      <c r="H289" s="687"/>
      <c r="I289" s="687"/>
      <c r="J289" s="687"/>
      <c r="K289" s="687"/>
      <c r="L289" s="687"/>
      <c r="M289" s="687"/>
      <c r="N289" s="687"/>
      <c r="O289" s="687"/>
      <c r="P289" s="687"/>
      <c r="Q289" s="687"/>
      <c r="R289" s="687"/>
      <c r="S289" s="687"/>
      <c r="T289" s="687"/>
      <c r="U289" s="687"/>
      <c r="V289" s="687"/>
      <c r="W289" s="687"/>
      <c r="X289" s="687"/>
      <c r="Y289" s="687"/>
      <c r="Z289" s="687"/>
    </row>
    <row r="290" spans="1:26" ht="12" customHeight="1">
      <c r="A290" s="687"/>
      <c r="B290" s="687"/>
      <c r="C290" s="687"/>
      <c r="D290" s="687"/>
      <c r="E290" s="839"/>
      <c r="F290" s="89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</row>
    <row r="291" spans="1:26" ht="12" customHeight="1">
      <c r="A291" s="687"/>
      <c r="B291" s="874" t="s">
        <v>1489</v>
      </c>
      <c r="C291" s="857" t="s">
        <v>1490</v>
      </c>
      <c r="D291" s="687"/>
      <c r="E291" s="839"/>
      <c r="F291" s="897"/>
      <c r="G291" s="687"/>
      <c r="H291" s="687"/>
      <c r="I291" s="687"/>
      <c r="J291" s="687"/>
      <c r="K291" s="687"/>
      <c r="L291" s="687"/>
      <c r="M291" s="687"/>
      <c r="N291" s="687"/>
      <c r="O291" s="687"/>
      <c r="P291" s="687"/>
      <c r="Q291" s="687"/>
      <c r="R291" s="687"/>
      <c r="S291" s="687"/>
      <c r="T291" s="687"/>
      <c r="U291" s="687"/>
      <c r="V291" s="687"/>
      <c r="W291" s="687"/>
      <c r="X291" s="687"/>
      <c r="Y291" s="687"/>
      <c r="Z291" s="687"/>
    </row>
    <row r="292" spans="1:26" ht="12" customHeight="1">
      <c r="A292" s="687"/>
      <c r="B292" s="898" t="s">
        <v>1482</v>
      </c>
      <c r="C292" s="899">
        <f>건축개요!C28</f>
        <v>240419.16</v>
      </c>
      <c r="D292" s="687"/>
      <c r="E292" s="839"/>
      <c r="F292" s="897"/>
      <c r="G292" s="687"/>
      <c r="H292" s="687"/>
      <c r="I292" s="687"/>
      <c r="J292" s="687"/>
      <c r="K292" s="687"/>
      <c r="L292" s="687"/>
      <c r="M292" s="687"/>
      <c r="N292" s="687"/>
      <c r="O292" s="687"/>
      <c r="P292" s="687"/>
      <c r="Q292" s="687"/>
      <c r="R292" s="687"/>
      <c r="S292" s="687"/>
      <c r="T292" s="687"/>
      <c r="U292" s="687"/>
      <c r="V292" s="687"/>
      <c r="W292" s="687"/>
      <c r="X292" s="687"/>
      <c r="Y292" s="687"/>
      <c r="Z292" s="687"/>
    </row>
    <row r="293" spans="1:26" ht="12" customHeight="1">
      <c r="A293" s="687"/>
      <c r="B293" s="898" t="s">
        <v>409</v>
      </c>
      <c r="C293" s="899" t="e">
        <f>건축개요!#REF!</f>
        <v>#REF!</v>
      </c>
      <c r="D293" s="687"/>
      <c r="E293" s="839"/>
      <c r="F293" s="897"/>
      <c r="G293" s="687"/>
      <c r="H293" s="687"/>
      <c r="I293" s="687"/>
      <c r="J293" s="687"/>
      <c r="K293" s="687"/>
      <c r="L293" s="687"/>
      <c r="M293" s="687"/>
      <c r="N293" s="687"/>
      <c r="O293" s="687"/>
      <c r="P293" s="687"/>
      <c r="Q293" s="687"/>
      <c r="R293" s="687"/>
      <c r="S293" s="687"/>
      <c r="T293" s="687"/>
      <c r="U293" s="687"/>
      <c r="V293" s="687"/>
      <c r="W293" s="687"/>
      <c r="X293" s="687"/>
      <c r="Y293" s="687"/>
      <c r="Z293" s="687"/>
    </row>
    <row r="294" spans="1:26" ht="12" customHeight="1">
      <c r="A294" s="687"/>
      <c r="B294" s="900" t="s">
        <v>600</v>
      </c>
      <c r="C294" s="899">
        <f>건축개요!D28</f>
        <v>3294.26</v>
      </c>
      <c r="D294" s="687"/>
      <c r="E294" s="839"/>
      <c r="F294" s="897"/>
      <c r="G294" s="687"/>
      <c r="H294" s="687"/>
      <c r="I294" s="687"/>
      <c r="J294" s="687"/>
      <c r="K294" s="687"/>
      <c r="L294" s="687"/>
      <c r="M294" s="687"/>
      <c r="N294" s="687"/>
      <c r="O294" s="687"/>
      <c r="P294" s="687"/>
      <c r="Q294" s="687"/>
      <c r="R294" s="687"/>
      <c r="S294" s="687"/>
      <c r="T294" s="687"/>
      <c r="U294" s="687"/>
      <c r="V294" s="687"/>
      <c r="W294" s="687"/>
      <c r="X294" s="687"/>
      <c r="Y294" s="687"/>
      <c r="Z294" s="687"/>
    </row>
    <row r="295" spans="1:26" ht="12" customHeight="1">
      <c r="A295" s="687"/>
      <c r="B295" s="687"/>
      <c r="C295" s="893" t="e">
        <f>((C292/E283)+(C293/E284)+(C294/E285))*10000</f>
        <v>#REF!</v>
      </c>
      <c r="D295" s="687"/>
      <c r="E295" s="839"/>
      <c r="F295" s="897"/>
      <c r="G295" s="687"/>
      <c r="H295" s="687"/>
      <c r="I295" s="687"/>
      <c r="J295" s="687"/>
      <c r="K295" s="687"/>
      <c r="L295" s="687"/>
      <c r="M295" s="687"/>
      <c r="N295" s="687"/>
      <c r="O295" s="687"/>
      <c r="P295" s="687"/>
      <c r="Q295" s="687"/>
      <c r="R295" s="687"/>
      <c r="S295" s="687"/>
      <c r="T295" s="687"/>
      <c r="U295" s="687"/>
      <c r="V295" s="687"/>
      <c r="W295" s="687"/>
      <c r="X295" s="687"/>
      <c r="Y295" s="687"/>
      <c r="Z295" s="687"/>
    </row>
    <row r="296" spans="1:26" ht="12" customHeight="1">
      <c r="A296" s="687"/>
      <c r="B296" s="687"/>
      <c r="C296" s="687"/>
      <c r="D296" s="687"/>
      <c r="E296" s="839"/>
      <c r="F296" s="897"/>
      <c r="G296" s="687"/>
      <c r="H296" s="687"/>
      <c r="I296" s="687"/>
      <c r="J296" s="687"/>
      <c r="K296" s="687"/>
      <c r="L296" s="687"/>
      <c r="M296" s="687"/>
      <c r="N296" s="687"/>
      <c r="O296" s="687"/>
      <c r="P296" s="687"/>
      <c r="Q296" s="687"/>
      <c r="R296" s="687"/>
      <c r="S296" s="687"/>
      <c r="T296" s="687"/>
      <c r="U296" s="687"/>
      <c r="V296" s="687"/>
      <c r="W296" s="687"/>
      <c r="X296" s="687"/>
      <c r="Y296" s="687"/>
      <c r="Z296" s="687"/>
    </row>
    <row r="297" spans="1:26" ht="12" customHeight="1">
      <c r="A297" s="687"/>
      <c r="B297" s="687"/>
      <c r="C297" s="687"/>
      <c r="D297" s="687"/>
      <c r="E297" s="687"/>
      <c r="F297" s="839"/>
      <c r="G297" s="687"/>
      <c r="H297" s="687"/>
      <c r="I297" s="687"/>
      <c r="J297" s="687"/>
      <c r="K297" s="687"/>
      <c r="L297" s="687"/>
      <c r="M297" s="687"/>
      <c r="N297" s="687"/>
      <c r="O297" s="687"/>
      <c r="P297" s="687"/>
      <c r="Q297" s="687"/>
      <c r="R297" s="687"/>
      <c r="S297" s="687"/>
      <c r="T297" s="687"/>
      <c r="U297" s="687"/>
      <c r="V297" s="687"/>
      <c r="W297" s="687"/>
      <c r="X297" s="687"/>
      <c r="Y297" s="687"/>
      <c r="Z297" s="687"/>
    </row>
    <row r="298" spans="1:26" ht="12" customHeight="1">
      <c r="A298" s="687"/>
      <c r="B298" s="687"/>
      <c r="C298" s="687"/>
      <c r="D298" s="687"/>
      <c r="E298" s="687"/>
      <c r="F298" s="687"/>
      <c r="G298" s="687"/>
      <c r="H298" s="687"/>
      <c r="I298" s="687"/>
      <c r="J298" s="687"/>
      <c r="K298" s="1705"/>
      <c r="L298" s="687"/>
      <c r="M298" s="687"/>
      <c r="N298" s="687"/>
      <c r="O298" s="687"/>
      <c r="P298" s="687"/>
      <c r="Q298" s="687"/>
      <c r="R298" s="687"/>
      <c r="S298" s="687"/>
      <c r="T298" s="687"/>
      <c r="U298" s="687"/>
      <c r="V298" s="687"/>
      <c r="W298" s="687"/>
      <c r="X298" s="687"/>
      <c r="Y298" s="687"/>
      <c r="Z298" s="687"/>
    </row>
    <row r="299" spans="1:26" ht="12" customHeight="1">
      <c r="A299" s="688" t="s">
        <v>1319</v>
      </c>
      <c r="B299" s="901" t="s">
        <v>1491</v>
      </c>
      <c r="C299" s="687"/>
      <c r="D299" s="687"/>
      <c r="E299" s="687"/>
      <c r="F299" s="687"/>
      <c r="G299" s="687"/>
      <c r="H299" s="687"/>
      <c r="I299" s="687"/>
      <c r="J299" s="687"/>
      <c r="K299" s="1626"/>
      <c r="L299" s="687"/>
      <c r="M299" s="687"/>
      <c r="N299" s="687"/>
      <c r="O299" s="687"/>
      <c r="P299" s="687"/>
      <c r="Q299" s="687"/>
      <c r="R299" s="687"/>
      <c r="S299" s="687"/>
      <c r="T299" s="687"/>
      <c r="U299" s="687"/>
      <c r="V299" s="687"/>
      <c r="W299" s="687"/>
      <c r="X299" s="687"/>
      <c r="Y299" s="687"/>
      <c r="Z299" s="687"/>
    </row>
    <row r="300" spans="1:26" ht="12" customHeight="1">
      <c r="A300" s="687"/>
      <c r="B300" s="873" t="s">
        <v>1446</v>
      </c>
      <c r="C300" s="874" t="s">
        <v>1489</v>
      </c>
      <c r="D300" s="874" t="s">
        <v>1492</v>
      </c>
      <c r="E300" s="857" t="s">
        <v>1490</v>
      </c>
      <c r="F300" s="857" t="s">
        <v>1493</v>
      </c>
      <c r="G300" s="687"/>
      <c r="H300" s="687"/>
      <c r="I300" s="687"/>
      <c r="J300" s="687"/>
      <c r="K300" s="1626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</row>
    <row r="301" spans="1:26" ht="12" customHeight="1">
      <c r="A301" s="687"/>
      <c r="B301" s="902">
        <f>E301*(D301+F301*10/1000)/1000</f>
        <v>7409.2020000000011</v>
      </c>
      <c r="C301" s="898" t="s">
        <v>1494</v>
      </c>
      <c r="D301" s="1487">
        <v>4480</v>
      </c>
      <c r="E301" s="903">
        <f>토지조서!C38</f>
        <v>82.4</v>
      </c>
      <c r="F301" s="903">
        <f>토지조서!$E$38*1000</f>
        <v>8543750</v>
      </c>
      <c r="G301" s="687"/>
      <c r="H301" s="687"/>
      <c r="I301" s="687"/>
      <c r="J301" s="687"/>
      <c r="K301" s="1626"/>
      <c r="L301" s="687"/>
      <c r="M301" s="687"/>
      <c r="N301" s="687"/>
      <c r="O301" s="687"/>
      <c r="P301" s="687"/>
      <c r="Q301" s="687"/>
      <c r="R301" s="687"/>
      <c r="S301" s="687"/>
      <c r="T301" s="687"/>
      <c r="U301" s="687"/>
      <c r="V301" s="687"/>
      <c r="W301" s="687"/>
      <c r="X301" s="687"/>
      <c r="Y301" s="687"/>
      <c r="Z301" s="687"/>
    </row>
    <row r="302" spans="1:26" ht="12" customHeight="1">
      <c r="A302" s="687"/>
      <c r="B302" s="687"/>
      <c r="C302" s="898" t="s">
        <v>1495</v>
      </c>
      <c r="D302" s="1487">
        <v>5820</v>
      </c>
      <c r="E302" s="903"/>
      <c r="F302" s="903">
        <v>0</v>
      </c>
      <c r="G302" s="687"/>
      <c r="H302" s="687"/>
      <c r="I302" s="687"/>
      <c r="J302" s="687"/>
      <c r="K302" s="1626"/>
      <c r="L302" s="687"/>
      <c r="M302" s="687"/>
      <c r="N302" s="687"/>
      <c r="O302" s="687"/>
      <c r="P302" s="687"/>
      <c r="Q302" s="687"/>
      <c r="R302" s="687"/>
      <c r="S302" s="687"/>
      <c r="T302" s="687"/>
      <c r="U302" s="687"/>
      <c r="V302" s="687"/>
      <c r="W302" s="687"/>
      <c r="X302" s="687"/>
      <c r="Y302" s="687"/>
      <c r="Z302" s="687"/>
    </row>
    <row r="303" spans="1:26" ht="12" customHeight="1">
      <c r="A303" s="687"/>
      <c r="B303" s="687"/>
      <c r="C303" s="900" t="s">
        <v>1496</v>
      </c>
      <c r="D303" s="1488">
        <v>8960</v>
      </c>
      <c r="E303" s="903"/>
      <c r="F303" s="904">
        <v>0</v>
      </c>
      <c r="G303" s="687"/>
      <c r="H303" s="687"/>
      <c r="I303" s="687"/>
      <c r="J303" s="687"/>
      <c r="K303" s="1626"/>
      <c r="L303" s="687"/>
      <c r="M303" s="687"/>
      <c r="N303" s="687"/>
      <c r="O303" s="687"/>
      <c r="P303" s="687"/>
      <c r="Q303" s="687"/>
      <c r="R303" s="687"/>
      <c r="S303" s="687"/>
      <c r="T303" s="687"/>
      <c r="U303" s="687"/>
      <c r="V303" s="687"/>
      <c r="W303" s="687"/>
      <c r="X303" s="687"/>
      <c r="Y303" s="687"/>
      <c r="Z303" s="687"/>
    </row>
    <row r="304" spans="1:26" ht="12" customHeight="1">
      <c r="A304" s="687"/>
      <c r="B304" s="687"/>
      <c r="C304" s="687"/>
      <c r="D304" s="687"/>
      <c r="E304" s="893">
        <f>SUM(E301:E303)</f>
        <v>82.4</v>
      </c>
      <c r="F304" s="687"/>
      <c r="G304" s="687"/>
      <c r="H304" s="687"/>
      <c r="I304" s="687"/>
      <c r="J304" s="687"/>
      <c r="K304" s="1626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</row>
    <row r="305" spans="1:26" ht="12" customHeight="1">
      <c r="A305" s="687"/>
      <c r="B305" s="687" t="s">
        <v>1497</v>
      </c>
      <c r="C305" s="687"/>
      <c r="D305" s="687"/>
      <c r="E305" s="687"/>
      <c r="F305" s="687"/>
      <c r="G305" s="687"/>
      <c r="H305" s="687"/>
      <c r="I305" s="687"/>
      <c r="J305" s="687"/>
      <c r="K305" s="1626"/>
      <c r="L305" s="687"/>
      <c r="M305" s="687"/>
      <c r="N305" s="687"/>
      <c r="O305" s="687"/>
      <c r="P305" s="687"/>
      <c r="Q305" s="687"/>
      <c r="R305" s="687"/>
      <c r="S305" s="687"/>
      <c r="T305" s="687"/>
      <c r="U305" s="687"/>
      <c r="V305" s="687"/>
      <c r="W305" s="687"/>
      <c r="X305" s="687"/>
      <c r="Y305" s="687"/>
      <c r="Z305" s="687"/>
    </row>
    <row r="306" spans="1:26" ht="12" customHeight="1">
      <c r="A306" s="687"/>
      <c r="B306" s="687"/>
      <c r="C306" s="687"/>
      <c r="D306" s="687"/>
      <c r="E306" s="687"/>
      <c r="F306" s="687"/>
      <c r="G306" s="687"/>
      <c r="H306" s="687"/>
      <c r="I306" s="687"/>
      <c r="J306" s="687"/>
      <c r="K306" s="1626"/>
      <c r="L306" s="687"/>
      <c r="M306" s="687"/>
      <c r="N306" s="687"/>
      <c r="O306" s="687"/>
      <c r="P306" s="687"/>
      <c r="Q306" s="687"/>
      <c r="R306" s="687"/>
      <c r="S306" s="687"/>
      <c r="T306" s="687"/>
      <c r="U306" s="687"/>
      <c r="V306" s="687"/>
      <c r="W306" s="687"/>
      <c r="X306" s="687"/>
      <c r="Y306" s="687"/>
      <c r="Z306" s="687"/>
    </row>
    <row r="307" spans="1:26" ht="12" customHeight="1">
      <c r="A307" s="687"/>
      <c r="B307" s="687"/>
      <c r="C307" s="687"/>
      <c r="D307" s="687"/>
      <c r="E307" s="687"/>
      <c r="F307" s="687"/>
      <c r="G307" s="687"/>
      <c r="H307" s="687"/>
      <c r="I307" s="687"/>
      <c r="J307" s="687"/>
      <c r="K307" s="1626"/>
      <c r="L307" s="687"/>
      <c r="M307" s="687"/>
      <c r="N307" s="687"/>
      <c r="O307" s="687"/>
      <c r="P307" s="687"/>
      <c r="Q307" s="687"/>
      <c r="R307" s="687"/>
      <c r="S307" s="687"/>
      <c r="T307" s="687"/>
      <c r="U307" s="687"/>
      <c r="V307" s="687"/>
      <c r="W307" s="687"/>
      <c r="X307" s="687"/>
      <c r="Y307" s="687"/>
      <c r="Z307" s="687"/>
    </row>
    <row r="308" spans="1:26" ht="12" customHeight="1">
      <c r="A308" s="687"/>
      <c r="B308" s="687"/>
      <c r="C308" s="687"/>
      <c r="D308" s="687"/>
      <c r="E308" s="687"/>
      <c r="F308" s="687"/>
      <c r="G308" s="687"/>
      <c r="H308" s="687"/>
      <c r="I308" s="687"/>
      <c r="J308" s="687"/>
      <c r="K308" s="1626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</row>
    <row r="309" spans="1:26" ht="12" customHeight="1">
      <c r="A309" s="687"/>
      <c r="B309" s="687"/>
      <c r="C309" s="687"/>
      <c r="D309" s="687"/>
      <c r="E309" s="687"/>
      <c r="F309" s="687"/>
      <c r="G309" s="687"/>
      <c r="H309" s="687"/>
      <c r="I309" s="687"/>
      <c r="J309" s="687"/>
      <c r="K309" s="1626"/>
      <c r="L309" s="687"/>
      <c r="M309" s="687"/>
      <c r="N309" s="687"/>
      <c r="O309" s="687"/>
      <c r="P309" s="687"/>
      <c r="Q309" s="687"/>
      <c r="R309" s="687"/>
      <c r="S309" s="687"/>
      <c r="T309" s="687"/>
      <c r="U309" s="687"/>
      <c r="V309" s="687"/>
      <c r="W309" s="687"/>
      <c r="X309" s="687"/>
      <c r="Y309" s="687"/>
      <c r="Z309" s="687"/>
    </row>
    <row r="310" spans="1:26" ht="12" customHeight="1">
      <c r="A310" s="687"/>
      <c r="B310" s="687"/>
      <c r="C310" s="687"/>
      <c r="D310" s="687"/>
      <c r="E310" s="687"/>
      <c r="F310" s="687"/>
      <c r="G310" s="687"/>
      <c r="H310" s="687"/>
      <c r="I310" s="687"/>
      <c r="J310" s="687"/>
      <c r="K310" s="1626"/>
      <c r="L310" s="687"/>
      <c r="M310" s="687"/>
      <c r="N310" s="687"/>
      <c r="O310" s="687"/>
      <c r="P310" s="687"/>
      <c r="Q310" s="687"/>
      <c r="R310" s="687"/>
      <c r="S310" s="687"/>
      <c r="T310" s="687"/>
      <c r="U310" s="687"/>
      <c r="V310" s="687"/>
      <c r="W310" s="687"/>
      <c r="X310" s="687"/>
      <c r="Y310" s="687"/>
      <c r="Z310" s="687"/>
    </row>
    <row r="311" spans="1:26" ht="12" customHeight="1">
      <c r="A311" s="687"/>
      <c r="B311" s="687"/>
      <c r="C311" s="687"/>
      <c r="D311" s="687"/>
      <c r="E311" s="687"/>
      <c r="F311" s="687"/>
      <c r="G311" s="687"/>
      <c r="H311" s="687"/>
      <c r="I311" s="687"/>
      <c r="J311" s="687"/>
      <c r="K311" s="1626"/>
      <c r="L311" s="687"/>
      <c r="M311" s="687"/>
      <c r="N311" s="687"/>
      <c r="O311" s="687"/>
      <c r="P311" s="687"/>
      <c r="Q311" s="687"/>
      <c r="R311" s="687"/>
      <c r="S311" s="687"/>
      <c r="T311" s="687"/>
      <c r="U311" s="687"/>
      <c r="V311" s="687"/>
      <c r="W311" s="687"/>
      <c r="X311" s="687"/>
      <c r="Y311" s="687"/>
      <c r="Z311" s="687"/>
    </row>
    <row r="312" spans="1:26" ht="12" customHeight="1">
      <c r="A312" s="687"/>
      <c r="B312" s="687"/>
      <c r="C312" s="687"/>
      <c r="D312" s="687"/>
      <c r="E312" s="687"/>
      <c r="F312" s="687"/>
      <c r="G312" s="687"/>
      <c r="H312" s="687"/>
      <c r="I312" s="687"/>
      <c r="J312" s="687"/>
      <c r="K312" s="1626"/>
      <c r="L312" s="687"/>
      <c r="M312" s="687"/>
      <c r="N312" s="687"/>
      <c r="O312" s="687"/>
      <c r="P312" s="687"/>
      <c r="Q312" s="687"/>
      <c r="R312" s="687"/>
      <c r="S312" s="687"/>
      <c r="T312" s="687"/>
      <c r="U312" s="687"/>
      <c r="V312" s="687"/>
      <c r="W312" s="687"/>
      <c r="X312" s="687"/>
      <c r="Y312" s="687"/>
      <c r="Z312" s="687"/>
    </row>
    <row r="313" spans="1:26" ht="12" customHeight="1">
      <c r="A313" s="687"/>
      <c r="B313" s="687"/>
      <c r="C313" s="687"/>
      <c r="D313" s="687"/>
      <c r="E313" s="687"/>
      <c r="F313" s="687"/>
      <c r="G313" s="687"/>
      <c r="H313" s="687"/>
      <c r="I313" s="687"/>
      <c r="J313" s="687"/>
      <c r="K313" s="1626"/>
      <c r="L313" s="687"/>
      <c r="M313" s="687"/>
      <c r="N313" s="687"/>
      <c r="O313" s="687"/>
      <c r="P313" s="687"/>
      <c r="Q313" s="687"/>
      <c r="R313" s="687"/>
      <c r="S313" s="687"/>
      <c r="T313" s="687"/>
      <c r="U313" s="687"/>
      <c r="V313" s="687"/>
      <c r="W313" s="687"/>
      <c r="X313" s="687"/>
      <c r="Y313" s="687"/>
      <c r="Z313" s="687"/>
    </row>
    <row r="314" spans="1:26" ht="12" customHeight="1">
      <c r="A314" s="687"/>
      <c r="B314" s="687"/>
      <c r="C314" s="687"/>
      <c r="D314" s="687"/>
      <c r="E314" s="687"/>
      <c r="F314" s="687"/>
      <c r="G314" s="687"/>
      <c r="H314" s="687"/>
      <c r="I314" s="687"/>
      <c r="J314" s="687"/>
      <c r="K314" s="1626"/>
      <c r="L314" s="687"/>
      <c r="M314" s="687"/>
      <c r="N314" s="687"/>
      <c r="O314" s="687"/>
      <c r="P314" s="687"/>
      <c r="Q314" s="687"/>
      <c r="R314" s="687"/>
      <c r="S314" s="687"/>
      <c r="T314" s="687"/>
      <c r="U314" s="687"/>
      <c r="V314" s="687"/>
      <c r="W314" s="687"/>
      <c r="X314" s="687"/>
      <c r="Y314" s="687"/>
      <c r="Z314" s="687"/>
    </row>
    <row r="315" spans="1:26" ht="12" customHeight="1">
      <c r="A315" s="687"/>
      <c r="B315" s="687"/>
      <c r="C315" s="687"/>
      <c r="D315" s="687"/>
      <c r="E315" s="687"/>
      <c r="F315" s="687"/>
      <c r="G315" s="687"/>
      <c r="H315" s="687"/>
      <c r="I315" s="687"/>
      <c r="J315" s="687"/>
      <c r="K315" s="1626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</row>
    <row r="316" spans="1:26" ht="12" customHeight="1">
      <c r="A316" s="687"/>
      <c r="B316" s="687"/>
      <c r="C316" s="687"/>
      <c r="D316" s="687"/>
      <c r="E316" s="687"/>
      <c r="F316" s="687"/>
      <c r="G316" s="687"/>
      <c r="H316" s="687"/>
      <c r="I316" s="687"/>
      <c r="J316" s="687"/>
      <c r="K316" s="1626"/>
      <c r="L316" s="687"/>
      <c r="M316" s="687"/>
      <c r="N316" s="687"/>
      <c r="O316" s="687"/>
      <c r="P316" s="687"/>
      <c r="Q316" s="687"/>
      <c r="R316" s="687"/>
      <c r="S316" s="687"/>
      <c r="T316" s="687"/>
      <c r="U316" s="687"/>
      <c r="V316" s="687"/>
      <c r="W316" s="687"/>
      <c r="X316" s="687"/>
      <c r="Y316" s="687"/>
      <c r="Z316" s="687"/>
    </row>
    <row r="317" spans="1:26" ht="12" customHeight="1">
      <c r="A317" s="687"/>
      <c r="B317" s="687"/>
      <c r="C317" s="687"/>
      <c r="D317" s="687"/>
      <c r="E317" s="687"/>
      <c r="F317" s="687"/>
      <c r="G317" s="687"/>
      <c r="H317" s="687"/>
      <c r="I317" s="687"/>
      <c r="J317" s="687"/>
      <c r="K317" s="1626"/>
      <c r="L317" s="687"/>
      <c r="M317" s="687"/>
      <c r="N317" s="687"/>
      <c r="O317" s="687"/>
      <c r="P317" s="687"/>
      <c r="Q317" s="687"/>
      <c r="R317" s="687"/>
      <c r="S317" s="687"/>
      <c r="T317" s="687"/>
      <c r="U317" s="687"/>
      <c r="V317" s="687"/>
      <c r="W317" s="687"/>
      <c r="X317" s="687"/>
      <c r="Y317" s="687"/>
      <c r="Z317" s="687"/>
    </row>
    <row r="318" spans="1:26" ht="12" customHeight="1">
      <c r="A318" s="687"/>
      <c r="B318" s="687"/>
      <c r="C318" s="687"/>
      <c r="D318" s="687"/>
      <c r="E318" s="687"/>
      <c r="F318" s="687"/>
      <c r="G318" s="687"/>
      <c r="H318" s="687"/>
      <c r="I318" s="687"/>
      <c r="J318" s="687"/>
      <c r="K318" s="1626"/>
      <c r="L318" s="687"/>
      <c r="M318" s="687"/>
      <c r="N318" s="687"/>
      <c r="O318" s="687"/>
      <c r="P318" s="687"/>
      <c r="Q318" s="687"/>
      <c r="R318" s="687"/>
      <c r="S318" s="687"/>
      <c r="T318" s="687"/>
      <c r="U318" s="687"/>
      <c r="V318" s="687"/>
      <c r="W318" s="687"/>
      <c r="X318" s="687"/>
      <c r="Y318" s="687"/>
      <c r="Z318" s="687"/>
    </row>
    <row r="319" spans="1:26" ht="12" customHeight="1">
      <c r="A319" s="687"/>
      <c r="B319" s="687"/>
      <c r="C319" s="687"/>
      <c r="D319" s="687"/>
      <c r="E319" s="687"/>
      <c r="F319" s="687"/>
      <c r="G319" s="687"/>
      <c r="H319" s="687"/>
      <c r="I319" s="687"/>
      <c r="J319" s="687"/>
      <c r="K319" s="1626"/>
      <c r="L319" s="687"/>
      <c r="M319" s="687"/>
      <c r="N319" s="687"/>
      <c r="O319" s="687"/>
      <c r="P319" s="687"/>
      <c r="Q319" s="687"/>
      <c r="R319" s="687"/>
      <c r="S319" s="687"/>
      <c r="T319" s="687"/>
      <c r="U319" s="687"/>
      <c r="V319" s="687"/>
      <c r="W319" s="687"/>
      <c r="X319" s="687"/>
      <c r="Y319" s="687"/>
      <c r="Z319" s="687"/>
    </row>
    <row r="320" spans="1:26" ht="12" customHeight="1">
      <c r="A320" s="687"/>
      <c r="B320" s="687"/>
      <c r="C320" s="687"/>
      <c r="D320" s="687"/>
      <c r="E320" s="687"/>
      <c r="F320" s="687"/>
      <c r="G320" s="687"/>
      <c r="H320" s="687"/>
      <c r="I320" s="687"/>
      <c r="J320" s="687"/>
      <c r="K320" s="1626"/>
      <c r="L320" s="687"/>
      <c r="M320" s="687"/>
      <c r="N320" s="687"/>
      <c r="O320" s="687"/>
      <c r="P320" s="687"/>
      <c r="Q320" s="687"/>
      <c r="R320" s="687"/>
      <c r="S320" s="687"/>
      <c r="T320" s="687"/>
      <c r="U320" s="687"/>
      <c r="V320" s="687"/>
      <c r="W320" s="687"/>
      <c r="X320" s="687"/>
      <c r="Y320" s="687"/>
      <c r="Z320" s="687"/>
    </row>
    <row r="321" spans="1:26" ht="12" customHeight="1">
      <c r="A321" s="687"/>
      <c r="B321" s="687"/>
      <c r="C321" s="687"/>
      <c r="D321" s="687"/>
      <c r="E321" s="687"/>
      <c r="F321" s="687"/>
      <c r="G321" s="687"/>
      <c r="H321" s="687"/>
      <c r="I321" s="687"/>
      <c r="J321" s="687"/>
      <c r="K321" s="1626"/>
      <c r="L321" s="687"/>
      <c r="M321" s="687"/>
      <c r="N321" s="687"/>
      <c r="O321" s="687"/>
      <c r="P321" s="687"/>
      <c r="Q321" s="687"/>
      <c r="R321" s="687"/>
      <c r="S321" s="687"/>
      <c r="T321" s="687"/>
      <c r="U321" s="687"/>
      <c r="V321" s="687"/>
      <c r="W321" s="687"/>
      <c r="X321" s="687"/>
      <c r="Y321" s="687"/>
      <c r="Z321" s="687"/>
    </row>
    <row r="322" spans="1:26" ht="12" customHeight="1">
      <c r="A322" s="687"/>
      <c r="B322" s="687"/>
      <c r="C322" s="687"/>
      <c r="D322" s="687"/>
      <c r="E322" s="687"/>
      <c r="F322" s="687"/>
      <c r="G322" s="687"/>
      <c r="H322" s="687"/>
      <c r="I322" s="687"/>
      <c r="J322" s="687"/>
      <c r="K322" s="1626"/>
      <c r="L322" s="687"/>
      <c r="M322" s="687"/>
      <c r="N322" s="687"/>
      <c r="O322" s="687"/>
      <c r="P322" s="687"/>
      <c r="Q322" s="687"/>
      <c r="R322" s="687"/>
      <c r="S322" s="687"/>
      <c r="T322" s="687"/>
      <c r="U322" s="687"/>
      <c r="V322" s="687"/>
      <c r="W322" s="687"/>
      <c r="X322" s="687"/>
      <c r="Y322" s="687"/>
      <c r="Z322" s="687"/>
    </row>
    <row r="323" spans="1:26" ht="12" customHeight="1">
      <c r="A323" s="687"/>
      <c r="B323" s="687"/>
      <c r="C323" s="687"/>
      <c r="D323" s="687"/>
      <c r="E323" s="687"/>
      <c r="F323" s="687"/>
      <c r="G323" s="687"/>
      <c r="H323" s="687"/>
      <c r="I323" s="687"/>
      <c r="J323" s="687"/>
      <c r="K323" s="1626"/>
      <c r="L323" s="687"/>
      <c r="M323" s="687"/>
      <c r="N323" s="687"/>
      <c r="O323" s="687"/>
      <c r="P323" s="687"/>
      <c r="Q323" s="687"/>
      <c r="R323" s="687"/>
      <c r="S323" s="687"/>
      <c r="T323" s="687"/>
      <c r="U323" s="687"/>
      <c r="V323" s="687"/>
      <c r="W323" s="687"/>
      <c r="X323" s="687"/>
      <c r="Y323" s="687"/>
      <c r="Z323" s="687"/>
    </row>
    <row r="324" spans="1:26" ht="12" customHeight="1">
      <c r="A324" s="687"/>
      <c r="B324" s="687"/>
      <c r="C324" s="687"/>
      <c r="D324" s="687"/>
      <c r="E324" s="687"/>
      <c r="F324" s="687"/>
      <c r="G324" s="687"/>
      <c r="H324" s="687"/>
      <c r="I324" s="687"/>
      <c r="J324" s="687"/>
      <c r="K324" s="1626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</row>
    <row r="325" spans="1:26" ht="12" customHeight="1">
      <c r="A325" s="687"/>
      <c r="B325" s="687"/>
      <c r="C325" s="687"/>
      <c r="D325" s="687"/>
      <c r="E325" s="687"/>
      <c r="F325" s="687"/>
      <c r="G325" s="687"/>
      <c r="H325" s="687"/>
      <c r="I325" s="687"/>
      <c r="J325" s="687"/>
      <c r="K325" s="1626"/>
      <c r="L325" s="687"/>
      <c r="M325" s="687"/>
      <c r="N325" s="687"/>
      <c r="O325" s="687"/>
      <c r="P325" s="687"/>
      <c r="Q325" s="687"/>
      <c r="R325" s="687"/>
      <c r="S325" s="687"/>
      <c r="T325" s="687"/>
      <c r="U325" s="687"/>
      <c r="V325" s="687"/>
      <c r="W325" s="687"/>
      <c r="X325" s="687"/>
      <c r="Y325" s="687"/>
      <c r="Z325" s="687"/>
    </row>
    <row r="326" spans="1:26" ht="12" customHeight="1">
      <c r="A326" s="687"/>
      <c r="B326" s="687"/>
      <c r="C326" s="687"/>
      <c r="D326" s="687"/>
      <c r="E326" s="687"/>
      <c r="F326" s="687"/>
      <c r="G326" s="687"/>
      <c r="H326" s="687"/>
      <c r="I326" s="687"/>
      <c r="J326" s="687"/>
      <c r="K326" s="1626"/>
      <c r="L326" s="687"/>
      <c r="M326" s="687"/>
      <c r="N326" s="687"/>
      <c r="O326" s="687"/>
      <c r="P326" s="687"/>
      <c r="Q326" s="687"/>
      <c r="R326" s="687"/>
      <c r="S326" s="687"/>
      <c r="T326" s="687"/>
      <c r="U326" s="687"/>
      <c r="V326" s="687"/>
      <c r="W326" s="687"/>
      <c r="X326" s="687"/>
      <c r="Y326" s="687"/>
      <c r="Z326" s="687"/>
    </row>
    <row r="327" spans="1:26" ht="12" customHeight="1">
      <c r="A327" s="687"/>
      <c r="B327" s="687"/>
      <c r="C327" s="687"/>
      <c r="D327" s="687"/>
      <c r="E327" s="687"/>
      <c r="F327" s="687"/>
      <c r="G327" s="687"/>
      <c r="H327" s="687"/>
      <c r="I327" s="687"/>
      <c r="J327" s="687"/>
      <c r="K327" s="1626"/>
      <c r="L327" s="687"/>
      <c r="M327" s="687"/>
      <c r="N327" s="687"/>
      <c r="O327" s="687"/>
      <c r="P327" s="687"/>
      <c r="Q327" s="687"/>
      <c r="R327" s="687"/>
      <c r="S327" s="687"/>
      <c r="T327" s="687"/>
      <c r="U327" s="687"/>
      <c r="V327" s="687"/>
      <c r="W327" s="687"/>
      <c r="X327" s="687"/>
      <c r="Y327" s="687"/>
      <c r="Z327" s="687"/>
    </row>
    <row r="328" spans="1:26" ht="12" customHeight="1">
      <c r="A328" s="687"/>
      <c r="B328" s="687"/>
      <c r="C328" s="687"/>
      <c r="D328" s="687"/>
      <c r="E328" s="687"/>
      <c r="F328" s="687"/>
      <c r="G328" s="687"/>
      <c r="H328" s="687"/>
      <c r="I328" s="687"/>
      <c r="J328" s="687"/>
      <c r="K328" s="1626"/>
      <c r="L328" s="687"/>
      <c r="M328" s="687"/>
      <c r="N328" s="687"/>
      <c r="O328" s="687"/>
      <c r="P328" s="687"/>
      <c r="Q328" s="687"/>
      <c r="R328" s="687"/>
      <c r="S328" s="687"/>
      <c r="T328" s="687"/>
      <c r="U328" s="687"/>
      <c r="V328" s="687"/>
      <c r="W328" s="687"/>
      <c r="X328" s="687"/>
      <c r="Y328" s="687"/>
      <c r="Z328" s="687"/>
    </row>
    <row r="329" spans="1:26" ht="12" customHeight="1">
      <c r="A329" s="687"/>
      <c r="B329" s="687"/>
      <c r="C329" s="687"/>
      <c r="D329" s="687"/>
      <c r="E329" s="687"/>
      <c r="F329" s="687"/>
      <c r="G329" s="687"/>
      <c r="H329" s="687"/>
      <c r="I329" s="687"/>
      <c r="J329" s="687"/>
      <c r="K329" s="1626"/>
      <c r="L329" s="687"/>
      <c r="M329" s="687"/>
      <c r="N329" s="687"/>
      <c r="O329" s="687"/>
      <c r="P329" s="687"/>
      <c r="Q329" s="687"/>
      <c r="R329" s="687"/>
      <c r="S329" s="687"/>
      <c r="T329" s="687"/>
      <c r="U329" s="687"/>
      <c r="V329" s="687"/>
      <c r="W329" s="687"/>
      <c r="X329" s="687"/>
      <c r="Y329" s="687"/>
      <c r="Z329" s="687"/>
    </row>
    <row r="330" spans="1:26" ht="12" customHeight="1">
      <c r="A330" s="687"/>
      <c r="B330" s="687"/>
      <c r="C330" s="687"/>
      <c r="D330" s="687"/>
      <c r="E330" s="687"/>
      <c r="F330" s="687"/>
      <c r="G330" s="687"/>
      <c r="H330" s="687"/>
      <c r="I330" s="687"/>
      <c r="J330" s="687"/>
      <c r="K330" s="1626"/>
      <c r="L330" s="1706"/>
      <c r="M330" s="687"/>
      <c r="N330" s="687"/>
      <c r="O330" s="687"/>
      <c r="P330" s="687"/>
      <c r="Q330" s="687"/>
      <c r="R330" s="687"/>
      <c r="S330" s="687"/>
      <c r="T330" s="687"/>
      <c r="U330" s="687"/>
      <c r="V330" s="687"/>
      <c r="W330" s="687"/>
      <c r="X330" s="687"/>
      <c r="Y330" s="687"/>
      <c r="Z330" s="687"/>
    </row>
    <row r="331" spans="1:26" ht="12" customHeight="1">
      <c r="A331" s="687"/>
      <c r="B331" s="687"/>
      <c r="C331" s="687"/>
      <c r="D331" s="687"/>
      <c r="E331" s="687"/>
      <c r="F331" s="687"/>
      <c r="G331" s="687"/>
      <c r="H331" s="687"/>
      <c r="I331" s="687"/>
      <c r="J331" s="687"/>
      <c r="K331" s="1626"/>
      <c r="L331" s="1626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</row>
    <row r="332" spans="1:26" ht="12" customHeight="1">
      <c r="A332" s="687"/>
      <c r="B332" s="687"/>
      <c r="C332" s="687"/>
      <c r="D332" s="687"/>
      <c r="E332" s="687"/>
      <c r="F332" s="687"/>
      <c r="G332" s="687"/>
      <c r="H332" s="687"/>
      <c r="I332" s="687"/>
      <c r="J332" s="687"/>
      <c r="K332" s="1626"/>
      <c r="L332" s="1626"/>
      <c r="M332" s="687"/>
      <c r="N332" s="687"/>
      <c r="O332" s="687"/>
      <c r="P332" s="687"/>
      <c r="Q332" s="687"/>
      <c r="R332" s="687"/>
      <c r="S332" s="687"/>
      <c r="T332" s="687"/>
      <c r="U332" s="687"/>
      <c r="V332" s="687"/>
      <c r="W332" s="687"/>
      <c r="X332" s="687"/>
      <c r="Y332" s="687"/>
      <c r="Z332" s="687"/>
    </row>
    <row r="333" spans="1:26" ht="12" customHeight="1">
      <c r="A333" s="687"/>
      <c r="B333" s="687"/>
      <c r="C333" s="687"/>
      <c r="D333" s="687"/>
      <c r="E333" s="687"/>
      <c r="F333" s="687"/>
      <c r="G333" s="687"/>
      <c r="H333" s="687"/>
      <c r="I333" s="687"/>
      <c r="J333" s="687"/>
      <c r="K333" s="1626"/>
      <c r="L333" s="1626"/>
      <c r="M333" s="687"/>
      <c r="N333" s="687"/>
      <c r="O333" s="687"/>
      <c r="P333" s="687"/>
      <c r="Q333" s="687"/>
      <c r="R333" s="687"/>
      <c r="S333" s="687"/>
      <c r="T333" s="687"/>
      <c r="U333" s="687"/>
      <c r="V333" s="687"/>
      <c r="W333" s="687"/>
      <c r="X333" s="687"/>
      <c r="Y333" s="687"/>
      <c r="Z333" s="687"/>
    </row>
    <row r="334" spans="1:26" ht="12" customHeight="1">
      <c r="A334" s="687"/>
      <c r="B334" s="687"/>
      <c r="C334" s="687"/>
      <c r="D334" s="687"/>
      <c r="E334" s="687"/>
      <c r="F334" s="687"/>
      <c r="G334" s="687"/>
      <c r="H334" s="687"/>
      <c r="I334" s="687"/>
      <c r="J334" s="687"/>
      <c r="K334" s="1626"/>
      <c r="L334" s="1626"/>
      <c r="M334" s="687"/>
      <c r="N334" s="687"/>
      <c r="O334" s="687"/>
      <c r="P334" s="687"/>
      <c r="Q334" s="687"/>
      <c r="R334" s="687"/>
      <c r="S334" s="687"/>
      <c r="T334" s="687"/>
      <c r="U334" s="687"/>
      <c r="V334" s="687"/>
      <c r="W334" s="687"/>
      <c r="X334" s="687"/>
      <c r="Y334" s="687"/>
      <c r="Z334" s="687"/>
    </row>
    <row r="335" spans="1:26" ht="12" customHeight="1">
      <c r="A335" s="687"/>
      <c r="B335" s="687"/>
      <c r="C335" s="687"/>
      <c r="D335" s="687"/>
      <c r="E335" s="687"/>
      <c r="F335" s="687"/>
      <c r="G335" s="687"/>
      <c r="H335" s="687"/>
      <c r="I335" s="687"/>
      <c r="J335" s="687"/>
      <c r="K335" s="1626"/>
      <c r="L335" s="1626"/>
      <c r="M335" s="687"/>
      <c r="N335" s="687"/>
      <c r="O335" s="687"/>
      <c r="P335" s="687"/>
      <c r="Q335" s="687"/>
      <c r="R335" s="687"/>
      <c r="S335" s="687"/>
      <c r="T335" s="687"/>
      <c r="U335" s="687"/>
      <c r="V335" s="687"/>
      <c r="W335" s="687"/>
      <c r="X335" s="687"/>
      <c r="Y335" s="687"/>
      <c r="Z335" s="687"/>
    </row>
    <row r="336" spans="1:26" ht="12" customHeight="1">
      <c r="A336" s="687"/>
      <c r="B336" s="687"/>
      <c r="C336" s="687"/>
      <c r="D336" s="687"/>
      <c r="E336" s="687"/>
      <c r="F336" s="687"/>
      <c r="G336" s="687"/>
      <c r="H336" s="687"/>
      <c r="I336" s="687"/>
      <c r="J336" s="687"/>
      <c r="K336" s="1626"/>
      <c r="L336" s="1626"/>
      <c r="M336" s="687"/>
      <c r="N336" s="687"/>
      <c r="O336" s="687"/>
      <c r="P336" s="687"/>
      <c r="Q336" s="687"/>
      <c r="R336" s="687"/>
      <c r="S336" s="687"/>
      <c r="T336" s="687"/>
      <c r="U336" s="687"/>
      <c r="V336" s="687"/>
      <c r="W336" s="687"/>
      <c r="X336" s="687"/>
      <c r="Y336" s="687"/>
      <c r="Z336" s="687"/>
    </row>
    <row r="337" spans="1:26" ht="12" customHeight="1">
      <c r="A337" s="687"/>
      <c r="B337" s="687"/>
      <c r="C337" s="687"/>
      <c r="D337" s="687"/>
      <c r="E337" s="687"/>
      <c r="F337" s="687"/>
      <c r="G337" s="687"/>
      <c r="H337" s="687"/>
      <c r="I337" s="687"/>
      <c r="J337" s="687"/>
      <c r="K337" s="1626"/>
      <c r="L337" s="1626"/>
      <c r="M337" s="687"/>
      <c r="N337" s="687"/>
      <c r="O337" s="687"/>
      <c r="P337" s="687"/>
      <c r="Q337" s="687"/>
      <c r="R337" s="687"/>
      <c r="S337" s="687"/>
      <c r="T337" s="687"/>
      <c r="U337" s="687"/>
      <c r="V337" s="687"/>
      <c r="W337" s="687"/>
      <c r="X337" s="687"/>
      <c r="Y337" s="687"/>
      <c r="Z337" s="687"/>
    </row>
    <row r="338" spans="1:26" ht="12" customHeight="1">
      <c r="A338" s="687"/>
      <c r="B338" s="687"/>
      <c r="C338" s="687"/>
      <c r="D338" s="687"/>
      <c r="E338" s="687"/>
      <c r="F338" s="687"/>
      <c r="G338" s="687"/>
      <c r="H338" s="687"/>
      <c r="I338" s="687"/>
      <c r="J338" s="687"/>
      <c r="K338" s="1626"/>
      <c r="L338" s="1626"/>
      <c r="M338" s="687"/>
      <c r="N338" s="687"/>
      <c r="O338" s="687"/>
      <c r="P338" s="687"/>
      <c r="Q338" s="687"/>
      <c r="R338" s="687"/>
      <c r="S338" s="687"/>
      <c r="T338" s="687"/>
      <c r="U338" s="687"/>
      <c r="V338" s="687"/>
      <c r="W338" s="687"/>
      <c r="X338" s="687"/>
      <c r="Y338" s="687"/>
      <c r="Z338" s="687"/>
    </row>
    <row r="339" spans="1:26" ht="12" customHeight="1">
      <c r="A339" s="688" t="s">
        <v>1319</v>
      </c>
      <c r="B339" s="901" t="s">
        <v>1498</v>
      </c>
      <c r="C339" s="687"/>
      <c r="D339" s="687"/>
      <c r="E339" s="687"/>
      <c r="F339" s="687"/>
      <c r="G339" s="687"/>
      <c r="H339" s="687"/>
      <c r="I339" s="687"/>
      <c r="J339" s="687"/>
      <c r="K339" s="1626"/>
      <c r="L339" s="1626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</row>
    <row r="340" spans="1:26" ht="12" customHeight="1">
      <c r="A340" s="687"/>
      <c r="B340" s="873" t="s">
        <v>1446</v>
      </c>
      <c r="C340" s="857" t="s">
        <v>1490</v>
      </c>
      <c r="D340" s="857" t="s">
        <v>1499</v>
      </c>
      <c r="E340" s="857" t="s">
        <v>1500</v>
      </c>
      <c r="F340" s="687"/>
      <c r="G340" s="687"/>
      <c r="H340" s="687"/>
      <c r="I340" s="687"/>
      <c r="J340" s="687"/>
      <c r="K340" s="1626"/>
      <c r="L340" s="1626"/>
      <c r="M340" s="687"/>
      <c r="N340" s="687"/>
      <c r="O340" s="687"/>
      <c r="P340" s="687"/>
      <c r="Q340" s="687"/>
      <c r="R340" s="687"/>
      <c r="S340" s="687"/>
      <c r="T340" s="687"/>
      <c r="U340" s="687"/>
      <c r="V340" s="687"/>
      <c r="W340" s="687"/>
      <c r="X340" s="687"/>
      <c r="Y340" s="687"/>
      <c r="Z340" s="687"/>
    </row>
    <row r="341" spans="1:26" ht="12" customHeight="1">
      <c r="A341" s="687"/>
      <c r="B341" s="902">
        <f>IF(D341*E341&gt;50,C341*50,C341*D341*E341)</f>
        <v>4120</v>
      </c>
      <c r="C341" s="905">
        <f>토지조서!C38</f>
        <v>82.4</v>
      </c>
      <c r="D341" s="905">
        <f>토지조서!$E$38</f>
        <v>8543.75</v>
      </c>
      <c r="E341" s="906">
        <v>0.3</v>
      </c>
      <c r="F341" s="687"/>
      <c r="G341" s="839"/>
      <c r="H341" s="687"/>
      <c r="I341" s="687"/>
      <c r="J341" s="687"/>
      <c r="K341" s="1626"/>
      <c r="L341" s="1626"/>
      <c r="M341" s="687"/>
      <c r="N341" s="687"/>
      <c r="O341" s="687"/>
      <c r="P341" s="687"/>
      <c r="Q341" s="687"/>
      <c r="R341" s="687"/>
      <c r="S341" s="687"/>
      <c r="T341" s="687"/>
      <c r="U341" s="687"/>
      <c r="V341" s="687"/>
      <c r="W341" s="687"/>
      <c r="X341" s="687"/>
      <c r="Y341" s="687"/>
      <c r="Z341" s="687"/>
    </row>
    <row r="342" spans="1:26" ht="12" customHeight="1">
      <c r="A342" s="687"/>
      <c r="B342" s="687" t="s">
        <v>1501</v>
      </c>
      <c r="C342" s="687"/>
      <c r="D342" s="687"/>
      <c r="E342" s="687"/>
      <c r="F342" s="687"/>
      <c r="G342" s="687"/>
      <c r="H342" s="687"/>
      <c r="I342" s="687"/>
      <c r="J342" s="687"/>
      <c r="K342" s="1626"/>
      <c r="L342" s="1626"/>
      <c r="M342" s="687"/>
      <c r="N342" s="687"/>
      <c r="O342" s="687"/>
      <c r="P342" s="687"/>
      <c r="Q342" s="687"/>
      <c r="R342" s="687"/>
      <c r="S342" s="687"/>
      <c r="T342" s="687"/>
      <c r="U342" s="687"/>
      <c r="V342" s="687"/>
      <c r="W342" s="687"/>
      <c r="X342" s="687"/>
      <c r="Y342" s="687"/>
      <c r="Z342" s="687"/>
    </row>
    <row r="343" spans="1:26" ht="12" customHeight="1">
      <c r="A343" s="687"/>
      <c r="B343" s="687"/>
      <c r="C343" s="687"/>
      <c r="D343" s="687"/>
      <c r="E343" s="687"/>
      <c r="F343" s="687"/>
      <c r="G343" s="687"/>
      <c r="H343" s="687"/>
      <c r="I343" s="687"/>
      <c r="J343" s="687"/>
      <c r="K343" s="1626"/>
      <c r="L343" s="1626"/>
      <c r="M343" s="687"/>
      <c r="N343" s="687"/>
      <c r="O343" s="687"/>
      <c r="P343" s="687"/>
      <c r="Q343" s="687"/>
      <c r="R343" s="687"/>
      <c r="S343" s="687"/>
      <c r="T343" s="687"/>
      <c r="U343" s="687"/>
      <c r="V343" s="687"/>
      <c r="W343" s="687"/>
      <c r="X343" s="687"/>
      <c r="Y343" s="687"/>
      <c r="Z343" s="687"/>
    </row>
    <row r="344" spans="1:26" ht="12" customHeight="1">
      <c r="A344" s="687"/>
      <c r="B344" s="687"/>
      <c r="C344" s="687"/>
      <c r="D344" s="687"/>
      <c r="E344" s="687"/>
      <c r="F344" s="687"/>
      <c r="G344" s="687"/>
      <c r="H344" s="687"/>
      <c r="I344" s="687"/>
      <c r="J344" s="687"/>
      <c r="K344" s="1626"/>
      <c r="L344" s="1626"/>
      <c r="M344" s="687"/>
      <c r="N344" s="687"/>
      <c r="O344" s="687"/>
      <c r="P344" s="687"/>
      <c r="Q344" s="687"/>
      <c r="R344" s="687"/>
      <c r="S344" s="687"/>
      <c r="T344" s="687"/>
      <c r="U344" s="687"/>
      <c r="V344" s="687"/>
      <c r="W344" s="687"/>
      <c r="X344" s="687"/>
      <c r="Y344" s="687"/>
      <c r="Z344" s="687"/>
    </row>
    <row r="345" spans="1:26" ht="12" customHeight="1">
      <c r="A345" s="688" t="s">
        <v>1319</v>
      </c>
      <c r="B345" s="901" t="s">
        <v>1502</v>
      </c>
      <c r="C345" s="687"/>
      <c r="D345" s="687" t="s">
        <v>1503</v>
      </c>
      <c r="E345" s="687"/>
      <c r="F345" s="687"/>
      <c r="G345" s="687"/>
      <c r="H345" s="687"/>
      <c r="I345" s="687"/>
      <c r="J345" s="687"/>
      <c r="K345" s="1626"/>
      <c r="L345" s="1626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</row>
    <row r="346" spans="1:26" ht="12" customHeight="1">
      <c r="A346" s="687"/>
      <c r="B346" s="873" t="s">
        <v>1504</v>
      </c>
      <c r="C346" s="857" t="s">
        <v>1505</v>
      </c>
      <c r="D346" s="857" t="s">
        <v>1506</v>
      </c>
      <c r="E346" s="857" t="s">
        <v>132</v>
      </c>
      <c r="F346" s="687"/>
      <c r="G346" s="687"/>
      <c r="H346" s="687"/>
      <c r="I346" s="687"/>
      <c r="J346" s="687"/>
      <c r="K346" s="1626"/>
      <c r="L346" s="1626"/>
      <c r="M346" s="687"/>
      <c r="N346" s="687"/>
      <c r="O346" s="687"/>
      <c r="P346" s="687"/>
      <c r="Q346" s="687"/>
      <c r="R346" s="687"/>
      <c r="S346" s="687"/>
      <c r="T346" s="687"/>
      <c r="U346" s="687"/>
      <c r="V346" s="687"/>
      <c r="W346" s="687"/>
      <c r="X346" s="687"/>
      <c r="Y346" s="687"/>
      <c r="Z346" s="687"/>
    </row>
    <row r="347" spans="1:26" ht="12" customHeight="1">
      <c r="A347" s="687"/>
      <c r="B347" s="902">
        <f>(C347*60%)*D347*E347/12</f>
        <v>5363104.4054237399</v>
      </c>
      <c r="C347" s="907">
        <f>사업검토!M60</f>
        <v>937605665.2838707</v>
      </c>
      <c r="D347" s="908">
        <v>2.5999999999999999E-3</v>
      </c>
      <c r="E347" s="907">
        <f>사업검토!L12+4</f>
        <v>44</v>
      </c>
      <c r="F347" s="687"/>
      <c r="G347" s="687"/>
      <c r="H347" s="687"/>
      <c r="I347" s="687"/>
      <c r="J347" s="687"/>
      <c r="K347" s="1626"/>
      <c r="L347" s="1626"/>
      <c r="M347" s="687"/>
      <c r="N347" s="687"/>
      <c r="O347" s="687"/>
      <c r="P347" s="687"/>
      <c r="Q347" s="687"/>
      <c r="R347" s="687"/>
      <c r="S347" s="687"/>
      <c r="T347" s="687"/>
      <c r="U347" s="687"/>
      <c r="V347" s="687"/>
      <c r="W347" s="687"/>
      <c r="X347" s="687"/>
      <c r="Y347" s="687"/>
      <c r="Z347" s="687"/>
    </row>
    <row r="348" spans="1:26" ht="12" customHeight="1">
      <c r="A348" s="687"/>
      <c r="B348" s="687" t="s">
        <v>1507</v>
      </c>
      <c r="C348" s="687"/>
      <c r="D348" s="687"/>
      <c r="E348" s="687"/>
      <c r="F348" s="687"/>
      <c r="G348" s="687"/>
      <c r="H348" s="687"/>
      <c r="I348" s="687"/>
      <c r="J348" s="687"/>
      <c r="K348" s="1626"/>
      <c r="L348" s="1626"/>
      <c r="M348" s="687"/>
      <c r="N348" s="687"/>
      <c r="O348" s="687"/>
      <c r="P348" s="687"/>
      <c r="Q348" s="687"/>
      <c r="R348" s="687"/>
      <c r="S348" s="687"/>
      <c r="T348" s="687"/>
      <c r="U348" s="687"/>
      <c r="V348" s="687"/>
      <c r="W348" s="687"/>
      <c r="X348" s="687"/>
      <c r="Y348" s="687"/>
      <c r="Z348" s="687"/>
    </row>
    <row r="349" spans="1:26" ht="12" customHeight="1">
      <c r="A349" s="687"/>
      <c r="B349" s="687"/>
      <c r="C349" s="687"/>
      <c r="D349" s="687"/>
      <c r="E349" s="687"/>
      <c r="F349" s="687"/>
      <c r="G349" s="687"/>
      <c r="H349" s="687"/>
      <c r="I349" s="687"/>
      <c r="J349" s="687"/>
      <c r="K349" s="1626"/>
      <c r="L349" s="1626"/>
      <c r="M349" s="687"/>
      <c r="N349" s="687"/>
      <c r="O349" s="687"/>
      <c r="P349" s="687"/>
      <c r="Q349" s="687"/>
      <c r="R349" s="687"/>
      <c r="S349" s="687"/>
      <c r="T349" s="687"/>
      <c r="U349" s="687"/>
      <c r="V349" s="687"/>
      <c r="W349" s="687"/>
      <c r="X349" s="687"/>
      <c r="Y349" s="687"/>
      <c r="Z349" s="687"/>
    </row>
    <row r="350" spans="1:26" ht="12" customHeight="1">
      <c r="A350" s="687"/>
      <c r="B350" s="687"/>
      <c r="C350" s="687"/>
      <c r="D350" s="687"/>
      <c r="E350" s="687"/>
      <c r="F350" s="687"/>
      <c r="G350" s="687"/>
      <c r="H350" s="687"/>
      <c r="I350" s="687"/>
      <c r="J350" s="687"/>
      <c r="K350" s="1626"/>
      <c r="L350" s="1626"/>
      <c r="M350" s="687"/>
      <c r="N350" s="687"/>
      <c r="O350" s="687"/>
      <c r="P350" s="687"/>
      <c r="Q350" s="687"/>
      <c r="R350" s="687"/>
      <c r="S350" s="687"/>
      <c r="T350" s="687"/>
      <c r="U350" s="687"/>
      <c r="V350" s="687"/>
      <c r="W350" s="687"/>
      <c r="X350" s="687"/>
      <c r="Y350" s="687"/>
      <c r="Z350" s="687"/>
    </row>
    <row r="351" spans="1:26" ht="12" customHeight="1">
      <c r="A351" s="688" t="s">
        <v>1319</v>
      </c>
      <c r="B351" s="901" t="s">
        <v>1508</v>
      </c>
      <c r="C351" s="687"/>
      <c r="D351" s="687"/>
      <c r="E351" s="687" t="s">
        <v>1509</v>
      </c>
      <c r="F351" s="687"/>
      <c r="G351" s="687"/>
      <c r="H351" s="687"/>
      <c r="I351" s="687"/>
      <c r="J351" s="687"/>
      <c r="K351" s="1626"/>
      <c r="L351" s="1626"/>
      <c r="M351" s="687"/>
      <c r="N351" s="687"/>
      <c r="O351" s="687"/>
      <c r="P351" s="687"/>
      <c r="Q351" s="687"/>
      <c r="R351" s="687"/>
      <c r="S351" s="687"/>
      <c r="T351" s="687"/>
      <c r="U351" s="687"/>
      <c r="V351" s="687"/>
      <c r="W351" s="687"/>
      <c r="X351" s="687"/>
      <c r="Y351" s="687"/>
      <c r="Z351" s="687"/>
    </row>
    <row r="352" spans="1:26" ht="12" customHeight="1">
      <c r="A352" s="687"/>
      <c r="B352" s="873" t="s">
        <v>1510</v>
      </c>
      <c r="C352" s="909" t="s">
        <v>13</v>
      </c>
      <c r="D352" s="910" t="s">
        <v>1511</v>
      </c>
      <c r="E352" s="910" t="s">
        <v>1512</v>
      </c>
      <c r="F352" s="910" t="s">
        <v>1513</v>
      </c>
      <c r="G352" s="911" t="s">
        <v>1514</v>
      </c>
      <c r="H352" s="687"/>
      <c r="I352" s="687"/>
      <c r="J352" s="687"/>
      <c r="K352" s="1626"/>
      <c r="L352" s="1626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</row>
    <row r="353" spans="1:26" ht="12" customHeight="1">
      <c r="A353" s="687"/>
      <c r="B353" s="912" t="e">
        <f>G356/1000</f>
        <v>#REF!</v>
      </c>
      <c r="C353" s="913" t="str">
        <f>건축개요!C22</f>
        <v>아파트</v>
      </c>
      <c r="D353" s="914">
        <f>건축개요!C24</f>
        <v>153042.91</v>
      </c>
      <c r="E353" s="915">
        <f>C182</f>
        <v>2380000</v>
      </c>
      <c r="F353" s="916">
        <v>1E-3</v>
      </c>
      <c r="G353" s="917">
        <f t="shared" ref="G353:G355" si="6">D353*E353*F353</f>
        <v>364242125.80000001</v>
      </c>
      <c r="H353" s="687"/>
      <c r="I353" s="687"/>
      <c r="J353" s="687"/>
      <c r="K353" s="1626"/>
      <c r="L353" s="1626"/>
      <c r="M353" s="687"/>
      <c r="N353" s="687"/>
      <c r="O353" s="687"/>
      <c r="P353" s="687"/>
      <c r="Q353" s="687"/>
      <c r="R353" s="687"/>
      <c r="S353" s="687"/>
      <c r="T353" s="687"/>
      <c r="U353" s="687"/>
      <c r="V353" s="687"/>
      <c r="W353" s="687"/>
      <c r="X353" s="687"/>
      <c r="Y353" s="687"/>
      <c r="Z353" s="687"/>
    </row>
    <row r="354" spans="1:26" ht="12" customHeight="1">
      <c r="A354" s="687"/>
      <c r="B354" s="687"/>
      <c r="C354" s="918" t="e">
        <f>건축개요!#REF!</f>
        <v>#REF!</v>
      </c>
      <c r="D354" s="914" t="e">
        <f>건축개요!#REF!</f>
        <v>#REF!</v>
      </c>
      <c r="E354" s="919">
        <f t="shared" ref="E354:E355" si="7">E353</f>
        <v>2380000</v>
      </c>
      <c r="F354" s="916">
        <v>7.0000000000000001E-3</v>
      </c>
      <c r="G354" s="917" t="e">
        <f t="shared" si="6"/>
        <v>#REF!</v>
      </c>
      <c r="H354" s="687"/>
      <c r="I354" s="687"/>
      <c r="J354" s="687"/>
      <c r="K354" s="1626"/>
      <c r="L354" s="1626"/>
      <c r="M354" s="687"/>
      <c r="N354" s="687"/>
      <c r="O354" s="687"/>
      <c r="P354" s="687"/>
      <c r="Q354" s="687"/>
      <c r="R354" s="687"/>
      <c r="S354" s="687"/>
      <c r="T354" s="687"/>
      <c r="U354" s="687"/>
      <c r="V354" s="687"/>
      <c r="W354" s="687"/>
      <c r="X354" s="687"/>
      <c r="Y354" s="687"/>
      <c r="Z354" s="687"/>
    </row>
    <row r="355" spans="1:26" ht="12" customHeight="1">
      <c r="A355" s="687"/>
      <c r="B355" s="687"/>
      <c r="C355" s="920" t="str">
        <f>건축개요!D22</f>
        <v>근생시설</v>
      </c>
      <c r="D355" s="914">
        <f>건축개요!D24</f>
        <v>2710.54</v>
      </c>
      <c r="E355" s="919">
        <f t="shared" si="7"/>
        <v>2380000</v>
      </c>
      <c r="F355" s="916">
        <v>7.0000000000000001E-3</v>
      </c>
      <c r="G355" s="917">
        <f t="shared" si="6"/>
        <v>45157596.399999999</v>
      </c>
      <c r="H355" s="687"/>
      <c r="I355" s="687"/>
      <c r="J355" s="687"/>
      <c r="K355" s="1626"/>
      <c r="L355" s="1626"/>
      <c r="M355" s="687"/>
      <c r="N355" s="687"/>
      <c r="O355" s="687"/>
      <c r="P355" s="687"/>
      <c r="Q355" s="687"/>
      <c r="R355" s="687"/>
      <c r="S355" s="687"/>
      <c r="T355" s="687"/>
      <c r="U355" s="687"/>
      <c r="V355" s="687"/>
      <c r="W355" s="687"/>
      <c r="X355" s="687"/>
      <c r="Y355" s="687"/>
      <c r="Z355" s="687"/>
    </row>
    <row r="356" spans="1:26" ht="12" customHeight="1">
      <c r="A356" s="687"/>
      <c r="B356" s="687"/>
      <c r="C356" s="921" t="s">
        <v>34</v>
      </c>
      <c r="D356" s="922" t="e">
        <f>SUM(D353:D355)</f>
        <v>#REF!</v>
      </c>
      <c r="E356" s="923"/>
      <c r="F356" s="923"/>
      <c r="G356" s="924" t="e">
        <f>SUM(G353:G355)</f>
        <v>#REF!</v>
      </c>
      <c r="H356" s="687"/>
      <c r="I356" s="687"/>
      <c r="J356" s="687"/>
      <c r="K356" s="687"/>
      <c r="L356" s="1626"/>
      <c r="M356" s="687"/>
      <c r="N356" s="687"/>
      <c r="O356" s="687"/>
      <c r="P356" s="687"/>
      <c r="Q356" s="687"/>
      <c r="R356" s="687"/>
      <c r="S356" s="687"/>
      <c r="T356" s="687"/>
      <c r="U356" s="687"/>
      <c r="V356" s="687"/>
      <c r="W356" s="687"/>
      <c r="X356" s="687"/>
      <c r="Y356" s="687"/>
      <c r="Z356" s="687"/>
    </row>
    <row r="357" spans="1:26" ht="12" customHeight="1">
      <c r="A357" s="687"/>
      <c r="B357" s="687"/>
      <c r="C357" s="687"/>
      <c r="D357" s="687"/>
      <c r="E357" s="687"/>
      <c r="F357" s="687"/>
      <c r="G357" s="687"/>
      <c r="H357" s="687"/>
      <c r="I357" s="687"/>
      <c r="J357" s="687"/>
      <c r="K357" s="687"/>
      <c r="L357" s="1626"/>
      <c r="M357" s="687"/>
      <c r="N357" s="687"/>
      <c r="O357" s="687"/>
      <c r="P357" s="687"/>
      <c r="Q357" s="687"/>
      <c r="R357" s="687"/>
      <c r="S357" s="687"/>
      <c r="T357" s="687"/>
      <c r="U357" s="687"/>
      <c r="V357" s="687"/>
      <c r="W357" s="687"/>
      <c r="X357" s="687"/>
      <c r="Y357" s="687"/>
      <c r="Z357" s="687"/>
    </row>
    <row r="358" spans="1:26" ht="12" customHeight="1">
      <c r="A358" s="687"/>
      <c r="B358" s="687"/>
      <c r="C358" s="687"/>
      <c r="D358" s="687"/>
      <c r="E358" s="687"/>
      <c r="F358" s="687"/>
      <c r="G358" s="687"/>
      <c r="H358" s="687"/>
      <c r="I358" s="687"/>
      <c r="J358" s="687"/>
      <c r="K358" s="687"/>
      <c r="L358" s="1626"/>
      <c r="M358" s="687"/>
      <c r="N358" s="687"/>
      <c r="O358" s="687"/>
      <c r="P358" s="687"/>
      <c r="Q358" s="687"/>
      <c r="R358" s="687"/>
      <c r="S358" s="687"/>
      <c r="T358" s="687"/>
      <c r="U358" s="687"/>
      <c r="V358" s="687"/>
      <c r="W358" s="687"/>
      <c r="X358" s="687"/>
      <c r="Y358" s="687"/>
      <c r="Z358" s="687"/>
    </row>
    <row r="359" spans="1:26" ht="12" customHeight="1">
      <c r="A359" s="687"/>
      <c r="B359" s="687"/>
      <c r="C359" s="687"/>
      <c r="D359" s="687"/>
      <c r="E359" s="687"/>
      <c r="F359" s="687"/>
      <c r="G359" s="687"/>
      <c r="H359" s="687"/>
      <c r="I359" s="687"/>
      <c r="J359" s="687"/>
      <c r="K359" s="687"/>
      <c r="L359" s="1626"/>
      <c r="M359" s="687"/>
      <c r="N359" s="687"/>
      <c r="O359" s="687"/>
      <c r="P359" s="687"/>
      <c r="Q359" s="687"/>
      <c r="R359" s="687"/>
      <c r="S359" s="687"/>
      <c r="T359" s="687"/>
      <c r="U359" s="687"/>
      <c r="V359" s="687"/>
      <c r="W359" s="687"/>
      <c r="X359" s="687"/>
      <c r="Y359" s="687"/>
      <c r="Z359" s="687"/>
    </row>
    <row r="360" spans="1:26" ht="12" customHeight="1">
      <c r="A360" s="687"/>
      <c r="B360" s="687"/>
      <c r="C360" s="687"/>
      <c r="D360" s="687"/>
      <c r="E360" s="687"/>
      <c r="F360" s="687"/>
      <c r="G360" s="687"/>
      <c r="H360" s="687"/>
      <c r="I360" s="687"/>
      <c r="J360" s="687"/>
      <c r="K360" s="687"/>
      <c r="L360" s="1626"/>
      <c r="M360" s="687"/>
      <c r="N360" s="687"/>
      <c r="O360" s="687"/>
      <c r="P360" s="687"/>
      <c r="Q360" s="687"/>
      <c r="R360" s="687"/>
      <c r="S360" s="687"/>
      <c r="T360" s="687"/>
      <c r="U360" s="687"/>
      <c r="V360" s="687"/>
      <c r="W360" s="687"/>
      <c r="X360" s="687"/>
      <c r="Y360" s="687"/>
      <c r="Z360" s="687"/>
    </row>
    <row r="361" spans="1:26" ht="12" customHeight="1">
      <c r="A361" s="687"/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1626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</row>
    <row r="362" spans="1:26" ht="12" customHeight="1">
      <c r="A362" s="687"/>
      <c r="B362" s="687"/>
      <c r="C362" s="687"/>
      <c r="D362" s="687"/>
      <c r="E362" s="687"/>
      <c r="F362" s="687"/>
      <c r="G362" s="687"/>
      <c r="H362" s="687"/>
      <c r="I362" s="687"/>
      <c r="J362" s="687"/>
      <c r="K362" s="687"/>
      <c r="L362" s="1626"/>
      <c r="M362" s="687"/>
      <c r="N362" s="687"/>
      <c r="O362" s="687"/>
      <c r="P362" s="687"/>
      <c r="Q362" s="687"/>
      <c r="R362" s="687"/>
      <c r="S362" s="687"/>
      <c r="T362" s="687"/>
      <c r="U362" s="687"/>
      <c r="V362" s="687"/>
      <c r="W362" s="687"/>
      <c r="X362" s="687"/>
      <c r="Y362" s="687"/>
      <c r="Z362" s="687"/>
    </row>
    <row r="363" spans="1:26" ht="12" customHeight="1">
      <c r="A363" s="687"/>
      <c r="B363" s="687"/>
      <c r="C363" s="687"/>
      <c r="D363" s="687"/>
      <c r="E363" s="687"/>
      <c r="F363" s="687"/>
      <c r="G363" s="687"/>
      <c r="H363" s="687"/>
      <c r="I363" s="687"/>
      <c r="J363" s="687"/>
      <c r="K363" s="687"/>
      <c r="L363" s="1626"/>
      <c r="M363" s="687"/>
      <c r="N363" s="687"/>
      <c r="O363" s="687"/>
      <c r="P363" s="687"/>
      <c r="Q363" s="687"/>
      <c r="R363" s="687"/>
      <c r="S363" s="687"/>
      <c r="T363" s="687"/>
      <c r="U363" s="687"/>
      <c r="V363" s="687"/>
      <c r="W363" s="687"/>
      <c r="X363" s="687"/>
      <c r="Y363" s="687"/>
      <c r="Z363" s="687"/>
    </row>
    <row r="364" spans="1:26" ht="12" customHeight="1">
      <c r="A364" s="687"/>
      <c r="B364" s="687"/>
      <c r="C364" s="687"/>
      <c r="D364" s="687"/>
      <c r="E364" s="687"/>
      <c r="F364" s="687"/>
      <c r="G364" s="687"/>
      <c r="H364" s="687"/>
      <c r="I364" s="687"/>
      <c r="J364" s="687"/>
      <c r="K364" s="687"/>
      <c r="L364" s="1626"/>
      <c r="M364" s="687"/>
      <c r="N364" s="687"/>
      <c r="O364" s="687"/>
      <c r="P364" s="687"/>
      <c r="Q364" s="687"/>
      <c r="R364" s="687"/>
      <c r="S364" s="687"/>
      <c r="T364" s="687"/>
      <c r="U364" s="687"/>
      <c r="V364" s="687"/>
      <c r="W364" s="687"/>
      <c r="X364" s="687"/>
      <c r="Y364" s="687"/>
      <c r="Z364" s="687"/>
    </row>
    <row r="365" spans="1:26" ht="12" customHeight="1">
      <c r="A365" s="687"/>
      <c r="B365" s="687"/>
      <c r="C365" s="687"/>
      <c r="D365" s="687"/>
      <c r="E365" s="687"/>
      <c r="F365" s="687"/>
      <c r="G365" s="687"/>
      <c r="H365" s="687"/>
      <c r="I365" s="687"/>
      <c r="J365" s="687"/>
      <c r="K365" s="687"/>
      <c r="L365" s="1626"/>
      <c r="M365" s="687"/>
      <c r="N365" s="687"/>
      <c r="O365" s="687"/>
      <c r="P365" s="687"/>
      <c r="Q365" s="687"/>
      <c r="R365" s="687"/>
      <c r="S365" s="687"/>
      <c r="T365" s="687"/>
      <c r="U365" s="687"/>
      <c r="V365" s="687"/>
      <c r="W365" s="687"/>
      <c r="X365" s="687"/>
      <c r="Y365" s="687"/>
      <c r="Z365" s="687"/>
    </row>
    <row r="366" spans="1:26" ht="12" customHeight="1">
      <c r="A366" s="687"/>
      <c r="B366" s="687"/>
      <c r="C366" s="687"/>
      <c r="D366" s="687"/>
      <c r="E366" s="687"/>
      <c r="F366" s="687"/>
      <c r="G366" s="687"/>
      <c r="H366" s="687"/>
      <c r="I366" s="687"/>
      <c r="J366" s="687"/>
      <c r="K366" s="687"/>
      <c r="L366" s="1626"/>
      <c r="M366" s="687"/>
      <c r="N366" s="687"/>
      <c r="O366" s="687"/>
      <c r="P366" s="687"/>
      <c r="Q366" s="687"/>
      <c r="R366" s="687"/>
      <c r="S366" s="687"/>
      <c r="T366" s="687"/>
      <c r="U366" s="687"/>
      <c r="V366" s="687"/>
      <c r="W366" s="687"/>
      <c r="X366" s="687"/>
      <c r="Y366" s="687"/>
      <c r="Z366" s="687"/>
    </row>
    <row r="367" spans="1:26" ht="12" customHeight="1">
      <c r="A367" s="687"/>
      <c r="B367" s="687"/>
      <c r="C367" s="687"/>
      <c r="D367" s="687"/>
      <c r="E367" s="687"/>
      <c r="F367" s="687"/>
      <c r="G367" s="687"/>
      <c r="H367" s="687"/>
      <c r="I367" s="687"/>
      <c r="J367" s="687"/>
      <c r="K367" s="687"/>
      <c r="L367" s="1626"/>
      <c r="M367" s="687"/>
      <c r="N367" s="687"/>
      <c r="O367" s="687"/>
      <c r="P367" s="687"/>
      <c r="Q367" s="687"/>
      <c r="R367" s="687"/>
      <c r="S367" s="687"/>
      <c r="T367" s="687"/>
      <c r="U367" s="687"/>
      <c r="V367" s="687"/>
      <c r="W367" s="687"/>
      <c r="X367" s="687"/>
      <c r="Y367" s="687"/>
      <c r="Z367" s="687"/>
    </row>
    <row r="368" spans="1:26" ht="12" customHeight="1">
      <c r="A368" s="687"/>
      <c r="B368" s="687"/>
      <c r="C368" s="687"/>
      <c r="D368" s="687"/>
      <c r="E368" s="687"/>
      <c r="F368" s="687"/>
      <c r="G368" s="687"/>
      <c r="H368" s="687"/>
      <c r="I368" s="687"/>
      <c r="J368" s="687"/>
      <c r="K368" s="687"/>
      <c r="L368" s="1626"/>
      <c r="M368" s="687"/>
      <c r="N368" s="687"/>
      <c r="O368" s="687"/>
      <c r="P368" s="687"/>
      <c r="Q368" s="687"/>
      <c r="R368" s="687"/>
      <c r="S368" s="687"/>
      <c r="T368" s="687"/>
      <c r="U368" s="687"/>
      <c r="V368" s="687"/>
      <c r="W368" s="687"/>
      <c r="X368" s="687"/>
      <c r="Y368" s="687"/>
      <c r="Z368" s="687"/>
    </row>
    <row r="369" spans="1:26" ht="12" customHeight="1">
      <c r="A369" s="687"/>
      <c r="B369" s="687"/>
      <c r="C369" s="687"/>
      <c r="D369" s="687"/>
      <c r="E369" s="687"/>
      <c r="F369" s="687"/>
      <c r="G369" s="687"/>
      <c r="H369" s="687"/>
      <c r="I369" s="687"/>
      <c r="J369" s="687"/>
      <c r="K369" s="687"/>
      <c r="L369" s="1626"/>
      <c r="M369" s="687"/>
      <c r="N369" s="687"/>
      <c r="O369" s="687"/>
      <c r="P369" s="687"/>
      <c r="Q369" s="687"/>
      <c r="R369" s="687"/>
      <c r="S369" s="687"/>
      <c r="T369" s="687"/>
      <c r="U369" s="687"/>
      <c r="V369" s="687"/>
      <c r="W369" s="687"/>
      <c r="X369" s="687"/>
      <c r="Y369" s="687"/>
      <c r="Z369" s="687"/>
    </row>
    <row r="370" spans="1:26" ht="12" customHeight="1">
      <c r="A370" s="687"/>
      <c r="B370" s="687"/>
      <c r="C370" s="687"/>
      <c r="D370" s="687"/>
      <c r="E370" s="687"/>
      <c r="F370" s="687"/>
      <c r="G370" s="687"/>
      <c r="H370" s="687"/>
      <c r="I370" s="687"/>
      <c r="J370" s="687"/>
      <c r="K370" s="687"/>
      <c r="L370" s="1626"/>
      <c r="M370" s="687"/>
      <c r="N370" s="687"/>
      <c r="O370" s="687"/>
      <c r="P370" s="687"/>
      <c r="Q370" s="687"/>
      <c r="R370" s="687"/>
      <c r="S370" s="687"/>
      <c r="T370" s="687"/>
      <c r="U370" s="687"/>
      <c r="V370" s="687"/>
      <c r="W370" s="687"/>
      <c r="X370" s="687"/>
      <c r="Y370" s="687"/>
      <c r="Z370" s="687"/>
    </row>
    <row r="371" spans="1:26" ht="12" customHeight="1">
      <c r="A371" s="687"/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1626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</row>
    <row r="372" spans="1:26" ht="12" customHeight="1">
      <c r="A372" s="687"/>
      <c r="B372" s="687"/>
      <c r="C372" s="687"/>
      <c r="D372" s="687"/>
      <c r="E372" s="687"/>
      <c r="F372" s="687"/>
      <c r="G372" s="687"/>
      <c r="H372" s="687"/>
      <c r="I372" s="687"/>
      <c r="J372" s="687"/>
      <c r="K372" s="687"/>
      <c r="L372" s="1626"/>
      <c r="M372" s="687"/>
      <c r="N372" s="687"/>
      <c r="O372" s="687"/>
      <c r="P372" s="687"/>
      <c r="Q372" s="687"/>
      <c r="R372" s="687"/>
      <c r="S372" s="687"/>
      <c r="T372" s="687"/>
      <c r="U372" s="687"/>
      <c r="V372" s="687"/>
      <c r="W372" s="687"/>
      <c r="X372" s="687"/>
      <c r="Y372" s="687"/>
      <c r="Z372" s="687"/>
    </row>
    <row r="373" spans="1:26" ht="12" customHeight="1">
      <c r="A373" s="687"/>
      <c r="B373" s="687"/>
      <c r="C373" s="687"/>
      <c r="D373" s="687"/>
      <c r="E373" s="687"/>
      <c r="F373" s="687"/>
      <c r="G373" s="687"/>
      <c r="H373" s="687"/>
      <c r="I373" s="687"/>
      <c r="J373" s="687"/>
      <c r="K373" s="687"/>
      <c r="L373" s="1626"/>
      <c r="M373" s="687"/>
      <c r="N373" s="687"/>
      <c r="O373" s="687"/>
      <c r="P373" s="687"/>
      <c r="Q373" s="687"/>
      <c r="R373" s="687"/>
      <c r="S373" s="687"/>
      <c r="T373" s="687"/>
      <c r="U373" s="687"/>
      <c r="V373" s="687"/>
      <c r="W373" s="687"/>
      <c r="X373" s="687"/>
      <c r="Y373" s="687"/>
      <c r="Z373" s="687"/>
    </row>
    <row r="374" spans="1:26" ht="12" customHeight="1">
      <c r="A374" s="687"/>
      <c r="B374" s="687"/>
      <c r="C374" s="687"/>
      <c r="D374" s="687"/>
      <c r="E374" s="687"/>
      <c r="F374" s="687"/>
      <c r="G374" s="687"/>
      <c r="H374" s="687"/>
      <c r="I374" s="687"/>
      <c r="J374" s="687"/>
      <c r="K374" s="687"/>
      <c r="L374" s="1626"/>
      <c r="M374" s="687"/>
      <c r="N374" s="687"/>
      <c r="O374" s="687"/>
      <c r="P374" s="687"/>
      <c r="Q374" s="687"/>
      <c r="R374" s="687"/>
      <c r="S374" s="687"/>
      <c r="T374" s="687"/>
      <c r="U374" s="687"/>
      <c r="V374" s="687"/>
      <c r="W374" s="687"/>
      <c r="X374" s="687"/>
      <c r="Y374" s="687"/>
      <c r="Z374" s="687"/>
    </row>
    <row r="375" spans="1:26" ht="12" customHeight="1">
      <c r="A375" s="687"/>
      <c r="B375" s="687"/>
      <c r="C375" s="687"/>
      <c r="D375" s="687"/>
      <c r="E375" s="687"/>
      <c r="F375" s="687"/>
      <c r="G375" s="687"/>
      <c r="H375" s="687"/>
      <c r="I375" s="687"/>
      <c r="J375" s="687"/>
      <c r="K375" s="687"/>
      <c r="L375" s="1626"/>
      <c r="M375" s="687"/>
      <c r="N375" s="687"/>
      <c r="O375" s="687"/>
      <c r="P375" s="687"/>
      <c r="Q375" s="687"/>
      <c r="R375" s="687"/>
      <c r="S375" s="687"/>
      <c r="T375" s="687"/>
      <c r="U375" s="687"/>
      <c r="V375" s="687"/>
      <c r="W375" s="687"/>
      <c r="X375" s="687"/>
      <c r="Y375" s="687"/>
      <c r="Z375" s="687"/>
    </row>
    <row r="376" spans="1:26" ht="12" customHeight="1">
      <c r="A376" s="687"/>
      <c r="B376" s="687"/>
      <c r="C376" s="687"/>
      <c r="D376" s="687"/>
      <c r="E376" s="687"/>
      <c r="F376" s="687"/>
      <c r="G376" s="687"/>
      <c r="H376" s="687"/>
      <c r="I376" s="687"/>
      <c r="J376" s="687"/>
      <c r="K376" s="687"/>
      <c r="L376" s="1626"/>
      <c r="M376" s="687"/>
      <c r="N376" s="687"/>
      <c r="O376" s="687"/>
      <c r="P376" s="687"/>
      <c r="Q376" s="687"/>
      <c r="R376" s="687"/>
      <c r="S376" s="687"/>
      <c r="T376" s="687"/>
      <c r="U376" s="687"/>
      <c r="V376" s="687"/>
      <c r="W376" s="687"/>
      <c r="X376" s="687"/>
      <c r="Y376" s="687"/>
      <c r="Z376" s="687"/>
    </row>
    <row r="377" spans="1:26" ht="12" customHeight="1">
      <c r="A377" s="687"/>
      <c r="B377" s="687"/>
      <c r="C377" s="687"/>
      <c r="D377" s="687"/>
      <c r="E377" s="687"/>
      <c r="F377" s="687"/>
      <c r="G377" s="687"/>
      <c r="H377" s="687"/>
      <c r="I377" s="687"/>
      <c r="J377" s="687"/>
      <c r="K377" s="687"/>
      <c r="L377" s="1626"/>
      <c r="M377" s="687"/>
      <c r="N377" s="687"/>
      <c r="O377" s="687"/>
      <c r="P377" s="687"/>
      <c r="Q377" s="687"/>
      <c r="R377" s="687"/>
      <c r="S377" s="687"/>
      <c r="T377" s="687"/>
      <c r="U377" s="687"/>
      <c r="V377" s="687"/>
      <c r="W377" s="687"/>
      <c r="X377" s="687"/>
      <c r="Y377" s="687"/>
      <c r="Z377" s="687"/>
    </row>
    <row r="378" spans="1:26" ht="12" customHeight="1">
      <c r="A378" s="687"/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1626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</row>
    <row r="379" spans="1:26" ht="12" customHeight="1">
      <c r="A379" s="687"/>
      <c r="B379" s="687"/>
      <c r="C379" s="687"/>
      <c r="D379" s="687"/>
      <c r="E379" s="687"/>
      <c r="F379" s="687"/>
      <c r="G379" s="687"/>
      <c r="H379" s="687"/>
      <c r="I379" s="687"/>
      <c r="J379" s="687"/>
      <c r="K379" s="687"/>
      <c r="L379" s="1626"/>
      <c r="M379" s="687"/>
      <c r="N379" s="687"/>
      <c r="O379" s="687"/>
      <c r="P379" s="687"/>
      <c r="Q379" s="687"/>
      <c r="R379" s="687"/>
      <c r="S379" s="687"/>
      <c r="T379" s="687"/>
      <c r="U379" s="687"/>
      <c r="V379" s="687"/>
      <c r="W379" s="687"/>
      <c r="X379" s="687"/>
      <c r="Y379" s="687"/>
      <c r="Z379" s="687"/>
    </row>
    <row r="380" spans="1:26" ht="12" customHeight="1">
      <c r="A380" s="687"/>
      <c r="B380" s="687"/>
      <c r="C380" s="687"/>
      <c r="D380" s="687"/>
      <c r="E380" s="687"/>
      <c r="F380" s="687"/>
      <c r="G380" s="687"/>
      <c r="H380" s="687"/>
      <c r="I380" s="687"/>
      <c r="J380" s="687"/>
      <c r="K380" s="687"/>
      <c r="L380" s="1626"/>
      <c r="M380" s="687"/>
      <c r="N380" s="687"/>
      <c r="O380" s="687"/>
      <c r="P380" s="687"/>
      <c r="Q380" s="687"/>
      <c r="R380" s="687"/>
      <c r="S380" s="687"/>
      <c r="T380" s="687"/>
      <c r="U380" s="687"/>
      <c r="V380" s="687"/>
      <c r="W380" s="687"/>
      <c r="X380" s="687"/>
      <c r="Y380" s="687"/>
      <c r="Z380" s="687"/>
    </row>
    <row r="381" spans="1:26" ht="12" customHeight="1">
      <c r="A381" s="687"/>
      <c r="B381" s="687"/>
      <c r="C381" s="687"/>
      <c r="D381" s="687"/>
      <c r="E381" s="687"/>
      <c r="F381" s="687"/>
      <c r="G381" s="687"/>
      <c r="H381" s="687"/>
      <c r="I381" s="687"/>
      <c r="J381" s="687"/>
      <c r="K381" s="687"/>
      <c r="L381" s="1626"/>
      <c r="M381" s="687"/>
      <c r="N381" s="687"/>
      <c r="O381" s="687"/>
      <c r="P381" s="687"/>
      <c r="Q381" s="687"/>
      <c r="R381" s="687"/>
      <c r="S381" s="687"/>
      <c r="T381" s="687"/>
      <c r="U381" s="687"/>
      <c r="V381" s="687"/>
      <c r="W381" s="687"/>
      <c r="X381" s="687"/>
      <c r="Y381" s="687"/>
      <c r="Z381" s="687"/>
    </row>
    <row r="382" spans="1:26" ht="12" customHeight="1">
      <c r="A382" s="687"/>
      <c r="B382" s="687"/>
      <c r="C382" s="687"/>
      <c r="D382" s="687"/>
      <c r="E382" s="687"/>
      <c r="F382" s="687"/>
      <c r="G382" s="687"/>
      <c r="H382" s="687"/>
      <c r="I382" s="687"/>
      <c r="J382" s="687"/>
      <c r="K382" s="687"/>
      <c r="L382" s="1626"/>
      <c r="M382" s="687"/>
      <c r="N382" s="687"/>
      <c r="O382" s="687"/>
      <c r="P382" s="687"/>
      <c r="Q382" s="687"/>
      <c r="R382" s="687"/>
      <c r="S382" s="687"/>
      <c r="T382" s="687"/>
      <c r="U382" s="687"/>
      <c r="V382" s="687"/>
      <c r="W382" s="687"/>
      <c r="X382" s="687"/>
      <c r="Y382" s="687"/>
      <c r="Z382" s="687"/>
    </row>
    <row r="383" spans="1:26" ht="12" customHeight="1">
      <c r="A383" s="687"/>
      <c r="B383" s="687"/>
      <c r="C383" s="687"/>
      <c r="D383" s="687"/>
      <c r="E383" s="687"/>
      <c r="F383" s="687"/>
      <c r="G383" s="687"/>
      <c r="H383" s="687"/>
      <c r="I383" s="687"/>
      <c r="J383" s="687"/>
      <c r="K383" s="687"/>
      <c r="L383" s="1626"/>
      <c r="M383" s="687"/>
      <c r="N383" s="687"/>
      <c r="O383" s="687"/>
      <c r="P383" s="687"/>
      <c r="Q383" s="687"/>
      <c r="R383" s="687"/>
      <c r="S383" s="687"/>
      <c r="T383" s="687"/>
      <c r="U383" s="687"/>
      <c r="V383" s="687"/>
      <c r="W383" s="687"/>
      <c r="X383" s="687"/>
      <c r="Y383" s="687"/>
      <c r="Z383" s="687"/>
    </row>
    <row r="384" spans="1:26" ht="12" customHeight="1">
      <c r="A384" s="687"/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1626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</row>
    <row r="385" spans="1:26" ht="12" customHeight="1">
      <c r="A385" s="687"/>
      <c r="B385" s="687"/>
      <c r="C385" s="687"/>
      <c r="D385" s="687"/>
      <c r="E385" s="687"/>
      <c r="F385" s="687"/>
      <c r="G385" s="687"/>
      <c r="H385" s="687"/>
      <c r="I385" s="687"/>
      <c r="J385" s="687"/>
      <c r="K385" s="687"/>
      <c r="L385" s="1626"/>
      <c r="M385" s="687"/>
      <c r="N385" s="687"/>
      <c r="O385" s="687"/>
      <c r="P385" s="687"/>
      <c r="Q385" s="687"/>
      <c r="R385" s="687"/>
      <c r="S385" s="687"/>
      <c r="T385" s="687"/>
      <c r="U385" s="687"/>
      <c r="V385" s="687"/>
      <c r="W385" s="687"/>
      <c r="X385" s="687"/>
      <c r="Y385" s="687"/>
      <c r="Z385" s="687"/>
    </row>
    <row r="386" spans="1:26" ht="12" customHeight="1">
      <c r="A386" s="687"/>
      <c r="B386" s="687"/>
      <c r="C386" s="687"/>
      <c r="D386" s="687"/>
      <c r="E386" s="687"/>
      <c r="F386" s="687"/>
      <c r="G386" s="687"/>
      <c r="H386" s="687"/>
      <c r="I386" s="687"/>
      <c r="J386" s="687"/>
      <c r="K386" s="687"/>
      <c r="L386" s="1626"/>
      <c r="M386" s="687"/>
      <c r="N386" s="687"/>
      <c r="O386" s="687"/>
      <c r="P386" s="687"/>
      <c r="Q386" s="687"/>
      <c r="R386" s="687"/>
      <c r="S386" s="687"/>
      <c r="T386" s="687"/>
      <c r="U386" s="687"/>
      <c r="V386" s="687"/>
      <c r="W386" s="687"/>
      <c r="X386" s="687"/>
      <c r="Y386" s="687"/>
      <c r="Z386" s="687"/>
    </row>
    <row r="387" spans="1:26" ht="12" customHeight="1">
      <c r="A387" s="687"/>
      <c r="B387" s="687"/>
      <c r="C387" s="687"/>
      <c r="D387" s="687"/>
      <c r="E387" s="687"/>
      <c r="F387" s="687"/>
      <c r="G387" s="687"/>
      <c r="H387" s="687"/>
      <c r="I387" s="687"/>
      <c r="J387" s="687"/>
      <c r="K387" s="687"/>
      <c r="L387" s="1626"/>
      <c r="M387" s="687"/>
      <c r="N387" s="687"/>
      <c r="O387" s="687"/>
      <c r="P387" s="687"/>
      <c r="Q387" s="687"/>
      <c r="R387" s="687"/>
      <c r="S387" s="687"/>
      <c r="T387" s="687"/>
      <c r="U387" s="687"/>
      <c r="V387" s="687"/>
      <c r="W387" s="687"/>
      <c r="X387" s="687"/>
      <c r="Y387" s="687"/>
      <c r="Z387" s="687"/>
    </row>
    <row r="388" spans="1:26" ht="12" customHeight="1">
      <c r="A388" s="687"/>
      <c r="B388" s="687"/>
      <c r="C388" s="687"/>
      <c r="D388" s="687"/>
      <c r="E388" s="687"/>
      <c r="F388" s="687"/>
      <c r="G388" s="687"/>
      <c r="H388" s="687"/>
      <c r="I388" s="687"/>
      <c r="J388" s="687"/>
      <c r="K388" s="687"/>
      <c r="L388" s="1626"/>
      <c r="M388" s="687"/>
      <c r="N388" s="687"/>
      <c r="O388" s="687"/>
      <c r="P388" s="687"/>
      <c r="Q388" s="687"/>
      <c r="R388" s="687"/>
      <c r="S388" s="687"/>
      <c r="T388" s="687"/>
      <c r="U388" s="687"/>
      <c r="V388" s="687"/>
      <c r="W388" s="687"/>
      <c r="X388" s="687"/>
      <c r="Y388" s="687"/>
      <c r="Z388" s="687"/>
    </row>
    <row r="389" spans="1:26" ht="12" customHeight="1">
      <c r="A389" s="687"/>
      <c r="B389" s="687"/>
      <c r="C389" s="687"/>
      <c r="D389" s="687"/>
      <c r="E389" s="687"/>
      <c r="F389" s="687"/>
      <c r="G389" s="687"/>
      <c r="H389" s="687"/>
      <c r="I389" s="687"/>
      <c r="J389" s="687"/>
      <c r="K389" s="687"/>
      <c r="L389" s="1626"/>
      <c r="M389" s="687"/>
      <c r="N389" s="687"/>
      <c r="O389" s="687"/>
      <c r="P389" s="687"/>
      <c r="Q389" s="687"/>
      <c r="R389" s="687"/>
      <c r="S389" s="687"/>
      <c r="T389" s="687"/>
      <c r="U389" s="687"/>
      <c r="V389" s="687"/>
      <c r="W389" s="687"/>
      <c r="X389" s="687"/>
      <c r="Y389" s="687"/>
      <c r="Z389" s="687"/>
    </row>
    <row r="390" spans="1:26" ht="12" customHeight="1">
      <c r="A390" s="687"/>
      <c r="B390" s="687"/>
      <c r="C390" s="687"/>
      <c r="D390" s="687"/>
      <c r="E390" s="687"/>
      <c r="F390" s="687"/>
      <c r="G390" s="687"/>
      <c r="H390" s="687"/>
      <c r="I390" s="687"/>
      <c r="J390" s="687"/>
      <c r="K390" s="687"/>
      <c r="L390" s="1626"/>
      <c r="M390" s="687"/>
      <c r="N390" s="687"/>
      <c r="O390" s="687"/>
      <c r="P390" s="687"/>
      <c r="Q390" s="687"/>
      <c r="R390" s="687"/>
      <c r="S390" s="687"/>
      <c r="T390" s="687"/>
      <c r="U390" s="687"/>
      <c r="V390" s="687"/>
      <c r="W390" s="687"/>
      <c r="X390" s="687"/>
      <c r="Y390" s="687"/>
      <c r="Z390" s="687"/>
    </row>
    <row r="391" spans="1:26" ht="12" customHeight="1">
      <c r="A391" s="687"/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1626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</row>
    <row r="392" spans="1:26" ht="12" customHeight="1">
      <c r="A392" s="687"/>
      <c r="B392" s="687"/>
      <c r="C392" s="687"/>
      <c r="D392" s="687"/>
      <c r="E392" s="687"/>
      <c r="F392" s="687"/>
      <c r="G392" s="687"/>
      <c r="H392" s="687"/>
      <c r="I392" s="687"/>
      <c r="J392" s="687"/>
      <c r="K392" s="687"/>
      <c r="L392" s="1626"/>
      <c r="M392" s="687"/>
      <c r="N392" s="687"/>
      <c r="O392" s="687"/>
      <c r="P392" s="687"/>
      <c r="Q392" s="687"/>
      <c r="R392" s="687"/>
      <c r="S392" s="687"/>
      <c r="T392" s="687"/>
      <c r="U392" s="687"/>
      <c r="V392" s="687"/>
      <c r="W392" s="687"/>
      <c r="X392" s="687"/>
      <c r="Y392" s="687"/>
      <c r="Z392" s="687"/>
    </row>
    <row r="393" spans="1:26" ht="12" customHeight="1">
      <c r="A393" s="687"/>
      <c r="B393" s="687"/>
      <c r="C393" s="687"/>
      <c r="D393" s="687"/>
      <c r="E393" s="687"/>
      <c r="F393" s="687"/>
      <c r="G393" s="687"/>
      <c r="H393" s="687"/>
      <c r="I393" s="687"/>
      <c r="J393" s="687"/>
      <c r="K393" s="687"/>
      <c r="L393" s="1626"/>
      <c r="M393" s="687"/>
      <c r="N393" s="687"/>
      <c r="O393" s="687"/>
      <c r="P393" s="687"/>
      <c r="Q393" s="687"/>
      <c r="R393" s="687"/>
      <c r="S393" s="687"/>
      <c r="T393" s="687"/>
      <c r="U393" s="687"/>
      <c r="V393" s="687"/>
      <c r="W393" s="687"/>
      <c r="X393" s="687"/>
      <c r="Y393" s="687"/>
      <c r="Z393" s="687"/>
    </row>
    <row r="394" spans="1:26" ht="12" customHeight="1">
      <c r="A394" s="687"/>
      <c r="B394" s="687"/>
      <c r="C394" s="687"/>
      <c r="D394" s="687"/>
      <c r="E394" s="687"/>
      <c r="F394" s="687"/>
      <c r="G394" s="687"/>
      <c r="H394" s="687"/>
      <c r="I394" s="687"/>
      <c r="J394" s="687"/>
      <c r="K394" s="687"/>
      <c r="L394" s="1626"/>
      <c r="M394" s="687"/>
      <c r="N394" s="687"/>
      <c r="O394" s="687"/>
      <c r="P394" s="687"/>
      <c r="Q394" s="687"/>
      <c r="R394" s="687"/>
      <c r="S394" s="687"/>
      <c r="T394" s="687"/>
      <c r="U394" s="687"/>
      <c r="V394" s="687"/>
      <c r="W394" s="687"/>
      <c r="X394" s="687"/>
      <c r="Y394" s="687"/>
      <c r="Z394" s="687"/>
    </row>
    <row r="395" spans="1:26" ht="12" customHeight="1">
      <c r="A395" s="687"/>
      <c r="B395" s="687"/>
      <c r="C395" s="687"/>
      <c r="D395" s="687"/>
      <c r="E395" s="687"/>
      <c r="F395" s="687"/>
      <c r="G395" s="687"/>
      <c r="H395" s="687"/>
      <c r="I395" s="687"/>
      <c r="J395" s="687"/>
      <c r="K395" s="687"/>
      <c r="L395" s="1626"/>
      <c r="M395" s="687"/>
      <c r="N395" s="687"/>
      <c r="O395" s="687"/>
      <c r="P395" s="687"/>
      <c r="Q395" s="687"/>
      <c r="R395" s="687"/>
      <c r="S395" s="687"/>
      <c r="T395" s="687"/>
      <c r="U395" s="687"/>
      <c r="V395" s="687"/>
      <c r="W395" s="687"/>
      <c r="X395" s="687"/>
      <c r="Y395" s="687"/>
      <c r="Z395" s="687"/>
    </row>
    <row r="396" spans="1:26" ht="12" customHeight="1">
      <c r="A396" s="687"/>
      <c r="B396" s="687"/>
      <c r="C396" s="687"/>
      <c r="D396" s="687"/>
      <c r="E396" s="687"/>
      <c r="F396" s="687"/>
      <c r="G396" s="687"/>
      <c r="H396" s="687"/>
      <c r="I396" s="687"/>
      <c r="J396" s="687"/>
      <c r="K396" s="687"/>
      <c r="L396" s="687"/>
      <c r="M396" s="687"/>
      <c r="N396" s="687"/>
      <c r="O396" s="687"/>
      <c r="P396" s="687"/>
      <c r="Q396" s="687"/>
      <c r="R396" s="687"/>
      <c r="S396" s="687"/>
      <c r="T396" s="687"/>
      <c r="U396" s="687"/>
      <c r="V396" s="687"/>
      <c r="W396" s="687"/>
      <c r="X396" s="687"/>
      <c r="Y396" s="687"/>
      <c r="Z396" s="687"/>
    </row>
    <row r="397" spans="1:26" ht="12" customHeight="1">
      <c r="A397" s="687"/>
      <c r="B397" s="687"/>
      <c r="C397" s="687"/>
      <c r="D397" s="687"/>
      <c r="E397" s="687"/>
      <c r="F397" s="687"/>
      <c r="G397" s="687"/>
      <c r="H397" s="687"/>
      <c r="I397" s="687"/>
      <c r="J397" s="687"/>
      <c r="K397" s="687"/>
      <c r="L397" s="687"/>
      <c r="M397" s="687"/>
      <c r="N397" s="687"/>
      <c r="O397" s="687"/>
      <c r="P397" s="687"/>
      <c r="Q397" s="687"/>
      <c r="R397" s="687"/>
      <c r="S397" s="687"/>
      <c r="T397" s="687"/>
      <c r="U397" s="687"/>
      <c r="V397" s="687"/>
      <c r="W397" s="687"/>
      <c r="X397" s="687"/>
      <c r="Y397" s="687"/>
      <c r="Z397" s="687"/>
    </row>
    <row r="398" spans="1:26" ht="12" customHeight="1">
      <c r="A398" s="687"/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</row>
    <row r="399" spans="1:26" ht="12" customHeight="1">
      <c r="A399" s="687"/>
      <c r="B399" s="687"/>
      <c r="C399" s="687"/>
      <c r="D399" s="687"/>
      <c r="E399" s="687"/>
      <c r="F399" s="687"/>
      <c r="G399" s="687"/>
      <c r="H399" s="687"/>
      <c r="I399" s="687"/>
      <c r="J399" s="687"/>
      <c r="K399" s="687"/>
      <c r="L399" s="687"/>
      <c r="M399" s="687"/>
      <c r="N399" s="687"/>
      <c r="O399" s="687"/>
      <c r="P399" s="687"/>
      <c r="Q399" s="687"/>
      <c r="R399" s="687"/>
      <c r="S399" s="687"/>
      <c r="T399" s="687"/>
      <c r="U399" s="687"/>
      <c r="V399" s="687"/>
      <c r="W399" s="687"/>
      <c r="X399" s="687"/>
      <c r="Y399" s="687"/>
      <c r="Z399" s="687"/>
    </row>
    <row r="400" spans="1:26" ht="12" customHeight="1">
      <c r="A400" s="687"/>
      <c r="B400" s="687"/>
      <c r="C400" s="687"/>
      <c r="D400" s="687"/>
      <c r="E400" s="687"/>
      <c r="F400" s="687"/>
      <c r="G400" s="687"/>
      <c r="H400" s="687"/>
      <c r="I400" s="687"/>
      <c r="J400" s="687"/>
      <c r="K400" s="687"/>
      <c r="L400" s="687"/>
      <c r="M400" s="687"/>
      <c r="N400" s="687"/>
      <c r="O400" s="687"/>
      <c r="P400" s="687"/>
      <c r="Q400" s="687"/>
      <c r="R400" s="687"/>
      <c r="S400" s="687"/>
      <c r="T400" s="687"/>
      <c r="U400" s="687"/>
      <c r="V400" s="687"/>
      <c r="W400" s="687"/>
      <c r="X400" s="687"/>
      <c r="Y400" s="687"/>
      <c r="Z400" s="687"/>
    </row>
    <row r="401" spans="1:26" ht="12" customHeight="1">
      <c r="A401" s="687"/>
      <c r="B401" s="687"/>
      <c r="C401" s="687"/>
      <c r="D401" s="687"/>
      <c r="E401" s="687"/>
      <c r="F401" s="687"/>
      <c r="G401" s="687"/>
      <c r="H401" s="687"/>
      <c r="I401" s="687"/>
      <c r="J401" s="687"/>
      <c r="K401" s="687"/>
      <c r="L401" s="687"/>
      <c r="M401" s="687"/>
      <c r="N401" s="687"/>
      <c r="O401" s="687"/>
      <c r="P401" s="687"/>
      <c r="Q401" s="687"/>
      <c r="R401" s="687"/>
      <c r="S401" s="687"/>
      <c r="T401" s="687"/>
      <c r="U401" s="687"/>
      <c r="V401" s="687"/>
      <c r="W401" s="687"/>
      <c r="X401" s="687"/>
      <c r="Y401" s="687"/>
      <c r="Z401" s="687"/>
    </row>
    <row r="402" spans="1:26" ht="12" customHeight="1">
      <c r="A402" s="687"/>
      <c r="B402" s="687"/>
      <c r="C402" s="687"/>
      <c r="D402" s="687"/>
      <c r="E402" s="687"/>
      <c r="F402" s="687"/>
      <c r="G402" s="687"/>
      <c r="H402" s="687"/>
      <c r="I402" s="687"/>
      <c r="J402" s="687"/>
      <c r="K402" s="687"/>
      <c r="L402" s="687"/>
      <c r="M402" s="687"/>
      <c r="N402" s="687"/>
      <c r="O402" s="687"/>
      <c r="P402" s="687"/>
      <c r="Q402" s="687"/>
      <c r="R402" s="687"/>
      <c r="S402" s="687"/>
      <c r="T402" s="687"/>
      <c r="U402" s="687"/>
      <c r="V402" s="687"/>
      <c r="W402" s="687"/>
      <c r="X402" s="687"/>
      <c r="Y402" s="687"/>
      <c r="Z402" s="687"/>
    </row>
    <row r="403" spans="1:26" ht="12" customHeight="1">
      <c r="A403" s="687"/>
      <c r="B403" s="687"/>
      <c r="C403" s="687"/>
      <c r="D403" s="687"/>
      <c r="E403" s="687"/>
      <c r="F403" s="687"/>
      <c r="G403" s="687"/>
      <c r="H403" s="687"/>
      <c r="I403" s="687"/>
      <c r="J403" s="687"/>
      <c r="K403" s="687"/>
      <c r="L403" s="687"/>
      <c r="M403" s="687"/>
      <c r="N403" s="687"/>
      <c r="O403" s="687"/>
      <c r="P403" s="687"/>
      <c r="Q403" s="687"/>
      <c r="R403" s="687"/>
      <c r="S403" s="687"/>
      <c r="T403" s="687"/>
      <c r="U403" s="687"/>
      <c r="V403" s="687"/>
      <c r="W403" s="687"/>
      <c r="X403" s="687"/>
      <c r="Y403" s="687"/>
      <c r="Z403" s="687"/>
    </row>
    <row r="404" spans="1:26" ht="12" customHeight="1">
      <c r="A404" s="687"/>
      <c r="B404" s="687"/>
      <c r="C404" s="687"/>
      <c r="D404" s="687"/>
      <c r="E404" s="687"/>
      <c r="F404" s="687"/>
      <c r="G404" s="687"/>
      <c r="H404" s="687"/>
      <c r="I404" s="687"/>
      <c r="J404" s="687"/>
      <c r="K404" s="687"/>
      <c r="L404" s="687"/>
      <c r="M404" s="687"/>
      <c r="N404" s="687"/>
      <c r="O404" s="687"/>
      <c r="P404" s="687"/>
      <c r="Q404" s="687"/>
      <c r="R404" s="687"/>
      <c r="S404" s="687"/>
      <c r="T404" s="687"/>
      <c r="U404" s="687"/>
      <c r="V404" s="687"/>
      <c r="W404" s="687"/>
      <c r="X404" s="687"/>
      <c r="Y404" s="687"/>
      <c r="Z404" s="687"/>
    </row>
    <row r="405" spans="1:26" ht="12" customHeight="1">
      <c r="A405" s="687"/>
      <c r="B405" s="687"/>
      <c r="C405" s="687"/>
      <c r="D405" s="687"/>
      <c r="E405" s="687"/>
      <c r="F405" s="687"/>
      <c r="G405" s="687"/>
      <c r="H405" s="687"/>
      <c r="I405" s="687"/>
      <c r="J405" s="687"/>
      <c r="K405" s="687"/>
      <c r="L405" s="687"/>
      <c r="M405" s="687"/>
      <c r="N405" s="687"/>
      <c r="O405" s="687"/>
      <c r="P405" s="687"/>
      <c r="Q405" s="687"/>
      <c r="R405" s="687"/>
      <c r="S405" s="687"/>
      <c r="T405" s="687"/>
      <c r="U405" s="687"/>
      <c r="V405" s="687"/>
      <c r="W405" s="687"/>
      <c r="X405" s="687"/>
      <c r="Y405" s="687"/>
      <c r="Z405" s="687"/>
    </row>
    <row r="406" spans="1:26" ht="12" customHeight="1">
      <c r="A406" s="687"/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</row>
    <row r="407" spans="1:26" ht="12" customHeight="1">
      <c r="A407" s="687"/>
      <c r="B407" s="687"/>
      <c r="C407" s="687"/>
      <c r="D407" s="687"/>
      <c r="E407" s="687"/>
      <c r="F407" s="687"/>
      <c r="G407" s="687"/>
      <c r="H407" s="687"/>
      <c r="I407" s="687"/>
      <c r="J407" s="687"/>
      <c r="K407" s="687"/>
      <c r="L407" s="687"/>
      <c r="M407" s="687"/>
      <c r="N407" s="687"/>
      <c r="O407" s="687"/>
      <c r="P407" s="687"/>
      <c r="Q407" s="687"/>
      <c r="R407" s="687"/>
      <c r="S407" s="687"/>
      <c r="T407" s="687"/>
      <c r="U407" s="687"/>
      <c r="V407" s="687"/>
      <c r="W407" s="687"/>
      <c r="X407" s="687"/>
      <c r="Y407" s="687"/>
      <c r="Z407" s="687"/>
    </row>
    <row r="408" spans="1:26" ht="12" customHeight="1">
      <c r="A408" s="687"/>
      <c r="B408" s="687"/>
      <c r="C408" s="687"/>
      <c r="D408" s="687"/>
      <c r="E408" s="687"/>
      <c r="F408" s="687"/>
      <c r="G408" s="687"/>
      <c r="H408" s="687"/>
      <c r="I408" s="687"/>
      <c r="J408" s="687"/>
      <c r="K408" s="687"/>
      <c r="L408" s="687"/>
      <c r="M408" s="687"/>
      <c r="N408" s="687"/>
      <c r="O408" s="687"/>
      <c r="P408" s="687"/>
      <c r="Q408" s="687"/>
      <c r="R408" s="687"/>
      <c r="S408" s="687"/>
      <c r="T408" s="687"/>
      <c r="U408" s="687"/>
      <c r="V408" s="687"/>
      <c r="W408" s="687"/>
      <c r="X408" s="687"/>
      <c r="Y408" s="687"/>
      <c r="Z408" s="687"/>
    </row>
    <row r="409" spans="1:26" ht="12" customHeight="1">
      <c r="A409" s="687"/>
      <c r="B409" s="687"/>
      <c r="C409" s="687"/>
      <c r="D409" s="687"/>
      <c r="E409" s="687"/>
      <c r="F409" s="687"/>
      <c r="G409" s="687"/>
      <c r="H409" s="687"/>
      <c r="I409" s="687"/>
      <c r="J409" s="687"/>
      <c r="K409" s="687"/>
      <c r="L409" s="687"/>
      <c r="M409" s="687"/>
      <c r="N409" s="687"/>
      <c r="O409" s="687"/>
      <c r="P409" s="687"/>
      <c r="Q409" s="687"/>
      <c r="R409" s="687"/>
      <c r="S409" s="687"/>
      <c r="T409" s="687"/>
      <c r="U409" s="687"/>
      <c r="V409" s="687"/>
      <c r="W409" s="687"/>
      <c r="X409" s="687"/>
      <c r="Y409" s="687"/>
      <c r="Z409" s="687"/>
    </row>
    <row r="410" spans="1:26" ht="12" customHeight="1">
      <c r="A410" s="687"/>
      <c r="B410" s="687"/>
      <c r="C410" s="687"/>
      <c r="D410" s="687"/>
      <c r="E410" s="687"/>
      <c r="F410" s="687"/>
      <c r="G410" s="687"/>
      <c r="H410" s="687"/>
      <c r="I410" s="687"/>
      <c r="J410" s="687"/>
      <c r="K410" s="687"/>
      <c r="L410" s="687"/>
      <c r="M410" s="687"/>
      <c r="N410" s="687"/>
      <c r="O410" s="687"/>
      <c r="P410" s="687"/>
      <c r="Q410" s="687"/>
      <c r="R410" s="687"/>
      <c r="S410" s="687"/>
      <c r="T410" s="687"/>
      <c r="U410" s="687"/>
      <c r="V410" s="687"/>
      <c r="W410" s="687"/>
      <c r="X410" s="687"/>
      <c r="Y410" s="687"/>
      <c r="Z410" s="687"/>
    </row>
    <row r="411" spans="1:26" ht="12" customHeight="1">
      <c r="A411" s="687"/>
      <c r="B411" s="687"/>
      <c r="C411" s="687"/>
      <c r="D411" s="687"/>
      <c r="E411" s="687"/>
      <c r="F411" s="687"/>
      <c r="G411" s="687"/>
      <c r="H411" s="687"/>
      <c r="I411" s="687"/>
      <c r="J411" s="687"/>
      <c r="K411" s="687"/>
      <c r="L411" s="687"/>
      <c r="M411" s="687"/>
      <c r="N411" s="687"/>
      <c r="O411" s="687"/>
      <c r="P411" s="687"/>
      <c r="Q411" s="687"/>
      <c r="R411" s="687"/>
      <c r="S411" s="687"/>
      <c r="T411" s="687"/>
      <c r="U411" s="687"/>
      <c r="V411" s="687"/>
      <c r="W411" s="687"/>
      <c r="X411" s="687"/>
      <c r="Y411" s="687"/>
      <c r="Z411" s="687"/>
    </row>
    <row r="412" spans="1:26" ht="12" customHeight="1">
      <c r="A412" s="687"/>
      <c r="B412" s="687"/>
      <c r="C412" s="687"/>
      <c r="D412" s="687"/>
      <c r="E412" s="687"/>
      <c r="F412" s="687"/>
      <c r="G412" s="687"/>
      <c r="H412" s="687"/>
      <c r="I412" s="687"/>
      <c r="J412" s="687"/>
      <c r="K412" s="687"/>
      <c r="L412" s="687"/>
      <c r="M412" s="687"/>
      <c r="N412" s="687"/>
      <c r="O412" s="687"/>
      <c r="P412" s="687"/>
      <c r="Q412" s="687"/>
      <c r="R412" s="687"/>
      <c r="S412" s="687"/>
      <c r="T412" s="687"/>
      <c r="U412" s="687"/>
      <c r="V412" s="687"/>
      <c r="W412" s="687"/>
      <c r="X412" s="687"/>
      <c r="Y412" s="687"/>
      <c r="Z412" s="687"/>
    </row>
    <row r="413" spans="1:26" ht="12" customHeight="1">
      <c r="A413" s="687"/>
      <c r="B413" s="687"/>
      <c r="C413" s="687"/>
      <c r="D413" s="687"/>
      <c r="E413" s="687"/>
      <c r="F413" s="687"/>
      <c r="G413" s="687"/>
      <c r="H413" s="687"/>
      <c r="I413" s="687"/>
      <c r="J413" s="687"/>
      <c r="K413" s="687"/>
      <c r="L413" s="687"/>
      <c r="M413" s="687"/>
      <c r="N413" s="687"/>
      <c r="O413" s="687"/>
      <c r="P413" s="687"/>
      <c r="Q413" s="687"/>
      <c r="R413" s="687"/>
      <c r="S413" s="687"/>
      <c r="T413" s="687"/>
      <c r="U413" s="687"/>
      <c r="V413" s="687"/>
      <c r="W413" s="687"/>
      <c r="X413" s="687"/>
      <c r="Y413" s="687"/>
      <c r="Z413" s="687"/>
    </row>
    <row r="414" spans="1:26" ht="12" customHeight="1">
      <c r="A414" s="687"/>
      <c r="B414" s="687"/>
      <c r="C414" s="687"/>
      <c r="D414" s="687"/>
      <c r="E414" s="687"/>
      <c r="F414" s="687"/>
      <c r="G414" s="687"/>
      <c r="H414" s="687"/>
      <c r="I414" s="687"/>
      <c r="J414" s="687"/>
      <c r="K414" s="687"/>
      <c r="L414" s="687"/>
      <c r="M414" s="687"/>
      <c r="N414" s="687"/>
      <c r="O414" s="687"/>
      <c r="P414" s="687"/>
      <c r="Q414" s="687"/>
      <c r="R414" s="687"/>
      <c r="S414" s="687"/>
      <c r="T414" s="687"/>
      <c r="U414" s="687"/>
      <c r="V414" s="687"/>
      <c r="W414" s="687"/>
      <c r="X414" s="687"/>
      <c r="Y414" s="687"/>
      <c r="Z414" s="687"/>
    </row>
    <row r="415" spans="1:26" ht="12" customHeight="1">
      <c r="A415" s="687"/>
      <c r="B415" s="687"/>
      <c r="C415" s="687"/>
      <c r="D415" s="687"/>
      <c r="E415" s="687"/>
      <c r="F415" s="687"/>
      <c r="G415" s="687"/>
      <c r="H415" s="687"/>
      <c r="I415" s="687"/>
      <c r="J415" s="687"/>
      <c r="K415" s="687"/>
      <c r="L415" s="687"/>
      <c r="M415" s="687"/>
      <c r="N415" s="687"/>
      <c r="O415" s="687"/>
      <c r="P415" s="687"/>
      <c r="Q415" s="687"/>
      <c r="R415" s="687"/>
      <c r="S415" s="687"/>
      <c r="T415" s="687"/>
      <c r="U415" s="687"/>
      <c r="V415" s="687"/>
      <c r="W415" s="687"/>
      <c r="X415" s="687"/>
      <c r="Y415" s="687"/>
      <c r="Z415" s="687"/>
    </row>
    <row r="416" spans="1:26" ht="12" customHeight="1">
      <c r="A416" s="687"/>
      <c r="B416" s="687"/>
      <c r="C416" s="687"/>
      <c r="D416" s="687"/>
      <c r="E416" s="687"/>
      <c r="F416" s="687"/>
      <c r="G416" s="687"/>
      <c r="H416" s="687"/>
      <c r="I416" s="687"/>
      <c r="J416" s="687"/>
      <c r="K416" s="687"/>
      <c r="L416" s="687"/>
      <c r="M416" s="687"/>
      <c r="N416" s="687"/>
      <c r="O416" s="687"/>
      <c r="P416" s="687"/>
      <c r="Q416" s="687"/>
      <c r="R416" s="687"/>
      <c r="S416" s="687"/>
      <c r="T416" s="687"/>
      <c r="U416" s="687"/>
      <c r="V416" s="687"/>
      <c r="W416" s="687"/>
      <c r="X416" s="687"/>
      <c r="Y416" s="687"/>
      <c r="Z416" s="687"/>
    </row>
    <row r="417" spans="1:26" ht="12" customHeight="1">
      <c r="A417" s="687"/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</row>
    <row r="418" spans="1:26" ht="12" customHeight="1">
      <c r="A418" s="687"/>
      <c r="B418" s="687"/>
      <c r="C418" s="687"/>
      <c r="D418" s="687"/>
      <c r="E418" s="687"/>
      <c r="F418" s="687"/>
      <c r="G418" s="687"/>
      <c r="H418" s="687"/>
      <c r="I418" s="687"/>
      <c r="J418" s="687"/>
      <c r="K418" s="687"/>
      <c r="L418" s="687"/>
      <c r="M418" s="687"/>
      <c r="N418" s="687"/>
      <c r="O418" s="687"/>
      <c r="P418" s="687"/>
      <c r="Q418" s="687"/>
      <c r="R418" s="687"/>
      <c r="S418" s="687"/>
      <c r="T418" s="687"/>
      <c r="U418" s="687"/>
      <c r="V418" s="687"/>
      <c r="W418" s="687"/>
      <c r="X418" s="687"/>
      <c r="Y418" s="687"/>
      <c r="Z418" s="687"/>
    </row>
    <row r="419" spans="1:26" ht="12" customHeight="1">
      <c r="A419" s="687"/>
      <c r="B419" s="687"/>
      <c r="C419" s="687"/>
      <c r="D419" s="687"/>
      <c r="E419" s="687"/>
      <c r="F419" s="687"/>
      <c r="G419" s="687"/>
      <c r="H419" s="687"/>
      <c r="I419" s="687"/>
      <c r="J419" s="687"/>
      <c r="K419" s="687"/>
      <c r="L419" s="687"/>
      <c r="M419" s="687"/>
      <c r="N419" s="687"/>
      <c r="O419" s="687"/>
      <c r="P419" s="687"/>
      <c r="Q419" s="687"/>
      <c r="R419" s="687"/>
      <c r="S419" s="687"/>
      <c r="T419" s="687"/>
      <c r="U419" s="687"/>
      <c r="V419" s="687"/>
      <c r="W419" s="687"/>
      <c r="X419" s="687"/>
      <c r="Y419" s="687"/>
      <c r="Z419" s="687"/>
    </row>
    <row r="420" spans="1:26" ht="12" customHeight="1">
      <c r="A420" s="687"/>
      <c r="B420" s="687"/>
      <c r="C420" s="687"/>
      <c r="D420" s="687"/>
      <c r="E420" s="687"/>
      <c r="F420" s="687"/>
      <c r="G420" s="687"/>
      <c r="H420" s="687"/>
      <c r="I420" s="687"/>
      <c r="J420" s="687"/>
      <c r="K420" s="687"/>
      <c r="L420" s="687"/>
      <c r="M420" s="687"/>
      <c r="N420" s="687"/>
      <c r="O420" s="687"/>
      <c r="P420" s="687"/>
      <c r="Q420" s="687"/>
      <c r="R420" s="687"/>
      <c r="S420" s="687"/>
      <c r="T420" s="687"/>
      <c r="U420" s="687"/>
      <c r="V420" s="687"/>
      <c r="W420" s="687"/>
      <c r="X420" s="687"/>
      <c r="Y420" s="687"/>
      <c r="Z420" s="687"/>
    </row>
    <row r="421" spans="1:26" ht="12" customHeight="1">
      <c r="A421" s="687"/>
      <c r="B421" s="687"/>
      <c r="C421" s="687"/>
      <c r="D421" s="687"/>
      <c r="E421" s="687"/>
      <c r="F421" s="687"/>
      <c r="G421" s="687"/>
      <c r="H421" s="687"/>
      <c r="I421" s="687"/>
      <c r="J421" s="687"/>
      <c r="K421" s="687"/>
      <c r="L421" s="687"/>
      <c r="M421" s="687"/>
      <c r="N421" s="687"/>
      <c r="O421" s="687"/>
      <c r="P421" s="687"/>
      <c r="Q421" s="687"/>
      <c r="R421" s="687"/>
      <c r="S421" s="687"/>
      <c r="T421" s="687"/>
      <c r="U421" s="687"/>
      <c r="V421" s="687"/>
      <c r="W421" s="687"/>
      <c r="X421" s="687"/>
      <c r="Y421" s="687"/>
      <c r="Z421" s="687"/>
    </row>
    <row r="422" spans="1:26" ht="12" customHeight="1">
      <c r="A422" s="687"/>
      <c r="B422" s="687"/>
      <c r="C422" s="687"/>
      <c r="D422" s="687"/>
      <c r="E422" s="687"/>
      <c r="F422" s="687"/>
      <c r="G422" s="687"/>
      <c r="H422" s="687"/>
      <c r="I422" s="687"/>
      <c r="J422" s="687"/>
      <c r="K422" s="687"/>
      <c r="L422" s="687"/>
      <c r="M422" s="687"/>
      <c r="N422" s="687"/>
      <c r="O422" s="687"/>
      <c r="P422" s="687"/>
      <c r="Q422" s="687"/>
      <c r="R422" s="687"/>
      <c r="S422" s="687"/>
      <c r="T422" s="687"/>
      <c r="U422" s="687"/>
      <c r="V422" s="687"/>
      <c r="W422" s="687"/>
      <c r="X422" s="687"/>
      <c r="Y422" s="687"/>
      <c r="Z422" s="687"/>
    </row>
    <row r="423" spans="1:26" ht="12" customHeight="1">
      <c r="A423" s="687"/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</row>
    <row r="424" spans="1:26" ht="12" customHeight="1">
      <c r="A424" s="687"/>
      <c r="B424" s="687"/>
      <c r="C424" s="687"/>
      <c r="D424" s="687"/>
      <c r="E424" s="687"/>
      <c r="F424" s="687"/>
      <c r="G424" s="687"/>
      <c r="H424" s="687"/>
      <c r="I424" s="687"/>
      <c r="J424" s="687"/>
      <c r="K424" s="687"/>
      <c r="L424" s="687"/>
      <c r="M424" s="687"/>
      <c r="N424" s="687"/>
      <c r="O424" s="687"/>
      <c r="P424" s="687"/>
      <c r="Q424" s="687"/>
      <c r="R424" s="687"/>
      <c r="S424" s="687"/>
      <c r="T424" s="687"/>
      <c r="U424" s="687"/>
      <c r="V424" s="687"/>
      <c r="W424" s="687"/>
      <c r="X424" s="687"/>
      <c r="Y424" s="687"/>
      <c r="Z424" s="687"/>
    </row>
    <row r="425" spans="1:26" ht="12" customHeight="1">
      <c r="A425" s="687"/>
      <c r="B425" s="687"/>
      <c r="C425" s="687"/>
      <c r="D425" s="687"/>
      <c r="E425" s="687"/>
      <c r="F425" s="687"/>
      <c r="G425" s="687"/>
      <c r="H425" s="687"/>
      <c r="I425" s="687"/>
      <c r="J425" s="687"/>
      <c r="K425" s="687"/>
      <c r="L425" s="687"/>
      <c r="M425" s="687"/>
      <c r="N425" s="687"/>
      <c r="O425" s="687"/>
      <c r="P425" s="687"/>
      <c r="Q425" s="687"/>
      <c r="R425" s="687"/>
      <c r="S425" s="687"/>
      <c r="T425" s="687"/>
      <c r="U425" s="687"/>
      <c r="V425" s="687"/>
      <c r="W425" s="687"/>
      <c r="X425" s="687"/>
      <c r="Y425" s="687"/>
      <c r="Z425" s="687"/>
    </row>
    <row r="426" spans="1:26" ht="12" customHeight="1">
      <c r="A426" s="687"/>
      <c r="B426" s="687"/>
      <c r="C426" s="687"/>
      <c r="D426" s="687"/>
      <c r="E426" s="687"/>
      <c r="F426" s="687"/>
      <c r="G426" s="687"/>
      <c r="H426" s="687"/>
      <c r="I426" s="687"/>
      <c r="J426" s="687"/>
      <c r="K426" s="687"/>
      <c r="L426" s="687"/>
      <c r="M426" s="687"/>
      <c r="N426" s="687"/>
      <c r="O426" s="687"/>
      <c r="P426" s="687"/>
      <c r="Q426" s="687"/>
      <c r="R426" s="687"/>
      <c r="S426" s="687"/>
      <c r="T426" s="687"/>
      <c r="U426" s="687"/>
      <c r="V426" s="687"/>
      <c r="W426" s="687"/>
      <c r="X426" s="687"/>
      <c r="Y426" s="687"/>
      <c r="Z426" s="687"/>
    </row>
    <row r="427" spans="1:26" ht="12" customHeight="1">
      <c r="A427" s="687"/>
      <c r="B427" s="687"/>
      <c r="C427" s="687"/>
      <c r="D427" s="687"/>
      <c r="E427" s="687"/>
      <c r="F427" s="687"/>
      <c r="G427" s="687"/>
      <c r="H427" s="687"/>
      <c r="I427" s="687"/>
      <c r="J427" s="687"/>
      <c r="K427" s="687"/>
      <c r="L427" s="687"/>
      <c r="M427" s="687"/>
      <c r="N427" s="687"/>
      <c r="O427" s="687"/>
      <c r="P427" s="687"/>
      <c r="Q427" s="687"/>
      <c r="R427" s="687"/>
      <c r="S427" s="687"/>
      <c r="T427" s="687"/>
      <c r="U427" s="687"/>
      <c r="V427" s="687"/>
      <c r="W427" s="687"/>
      <c r="X427" s="687"/>
      <c r="Y427" s="687"/>
      <c r="Z427" s="687"/>
    </row>
    <row r="428" spans="1:26" ht="12" customHeight="1">
      <c r="A428" s="687"/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</row>
    <row r="429" spans="1:26" ht="12" customHeight="1">
      <c r="A429" s="687"/>
      <c r="B429" s="687"/>
      <c r="C429" s="687"/>
      <c r="D429" s="687"/>
      <c r="E429" s="687"/>
      <c r="F429" s="687"/>
      <c r="G429" s="687"/>
      <c r="H429" s="687"/>
      <c r="I429" s="687"/>
      <c r="J429" s="687"/>
      <c r="K429" s="687"/>
      <c r="L429" s="687"/>
      <c r="M429" s="687"/>
      <c r="N429" s="687"/>
      <c r="O429" s="687"/>
      <c r="P429" s="687"/>
      <c r="Q429" s="687"/>
      <c r="R429" s="687"/>
      <c r="S429" s="687"/>
      <c r="T429" s="687"/>
      <c r="U429" s="687"/>
      <c r="V429" s="687"/>
      <c r="W429" s="687"/>
      <c r="X429" s="687"/>
      <c r="Y429" s="687"/>
      <c r="Z429" s="687"/>
    </row>
    <row r="430" spans="1:26" ht="12" customHeight="1">
      <c r="A430" s="687"/>
      <c r="B430" s="687"/>
      <c r="C430" s="687"/>
      <c r="D430" s="687"/>
      <c r="E430" s="687"/>
      <c r="F430" s="687"/>
      <c r="G430" s="687"/>
      <c r="H430" s="687"/>
      <c r="I430" s="687"/>
      <c r="J430" s="687"/>
      <c r="K430" s="687"/>
      <c r="L430" s="687"/>
      <c r="M430" s="687"/>
      <c r="N430" s="687"/>
      <c r="O430" s="687"/>
      <c r="P430" s="687"/>
      <c r="Q430" s="687"/>
      <c r="R430" s="687"/>
      <c r="S430" s="687"/>
      <c r="T430" s="687"/>
      <c r="U430" s="687"/>
      <c r="V430" s="687"/>
      <c r="W430" s="687"/>
      <c r="X430" s="687"/>
      <c r="Y430" s="687"/>
      <c r="Z430" s="687"/>
    </row>
    <row r="431" spans="1:26" ht="12" customHeight="1">
      <c r="A431" s="687"/>
      <c r="B431" s="687"/>
      <c r="C431" s="687"/>
      <c r="D431" s="687"/>
      <c r="E431" s="687"/>
      <c r="F431" s="687"/>
      <c r="G431" s="687"/>
      <c r="H431" s="687"/>
      <c r="I431" s="687"/>
      <c r="J431" s="687"/>
      <c r="K431" s="687"/>
      <c r="L431" s="687"/>
      <c r="M431" s="687"/>
      <c r="N431" s="687"/>
      <c r="O431" s="687"/>
      <c r="P431" s="687"/>
      <c r="Q431" s="687"/>
      <c r="R431" s="687"/>
      <c r="S431" s="687"/>
      <c r="T431" s="687"/>
      <c r="U431" s="687"/>
      <c r="V431" s="687"/>
      <c r="W431" s="687"/>
      <c r="X431" s="687"/>
      <c r="Y431" s="687"/>
      <c r="Z431" s="687"/>
    </row>
    <row r="432" spans="1:26" ht="12" customHeight="1">
      <c r="A432" s="687"/>
      <c r="B432" s="687"/>
      <c r="C432" s="687"/>
      <c r="D432" s="687"/>
      <c r="E432" s="687"/>
      <c r="F432" s="687"/>
      <c r="G432" s="687"/>
      <c r="H432" s="687"/>
      <c r="I432" s="687"/>
      <c r="J432" s="687"/>
      <c r="K432" s="687"/>
      <c r="L432" s="687"/>
      <c r="M432" s="687"/>
      <c r="N432" s="687"/>
      <c r="O432" s="687"/>
      <c r="P432" s="687"/>
      <c r="Q432" s="687"/>
      <c r="R432" s="687"/>
      <c r="S432" s="687"/>
      <c r="T432" s="687"/>
      <c r="U432" s="687"/>
      <c r="V432" s="687"/>
      <c r="W432" s="687"/>
      <c r="X432" s="687"/>
      <c r="Y432" s="687"/>
      <c r="Z432" s="687"/>
    </row>
    <row r="433" spans="1:26" ht="12" customHeight="1">
      <c r="A433" s="687"/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</row>
    <row r="434" spans="1:26" ht="12" customHeight="1">
      <c r="A434" s="687"/>
      <c r="B434" s="687"/>
      <c r="C434" s="687"/>
      <c r="D434" s="687"/>
      <c r="E434" s="687"/>
      <c r="F434" s="687"/>
      <c r="G434" s="687"/>
      <c r="H434" s="687"/>
      <c r="I434" s="687"/>
      <c r="J434" s="687"/>
      <c r="K434" s="687"/>
      <c r="L434" s="687"/>
      <c r="M434" s="687"/>
      <c r="N434" s="687"/>
      <c r="O434" s="687"/>
      <c r="P434" s="687"/>
      <c r="Q434" s="687"/>
      <c r="R434" s="687"/>
      <c r="S434" s="687"/>
      <c r="T434" s="687"/>
      <c r="U434" s="687"/>
      <c r="V434" s="687"/>
      <c r="W434" s="687"/>
      <c r="X434" s="687"/>
      <c r="Y434" s="687"/>
      <c r="Z434" s="687"/>
    </row>
    <row r="435" spans="1:26" ht="12" customHeight="1">
      <c r="A435" s="687"/>
      <c r="B435" s="687"/>
      <c r="C435" s="687"/>
      <c r="D435" s="687"/>
      <c r="E435" s="687"/>
      <c r="F435" s="687"/>
      <c r="G435" s="687"/>
      <c r="H435" s="687"/>
      <c r="I435" s="687"/>
      <c r="J435" s="687"/>
      <c r="K435" s="687"/>
      <c r="L435" s="687"/>
      <c r="M435" s="687"/>
      <c r="N435" s="687"/>
      <c r="O435" s="687"/>
      <c r="P435" s="687"/>
      <c r="Q435" s="687"/>
      <c r="R435" s="687"/>
      <c r="S435" s="687"/>
      <c r="T435" s="687"/>
      <c r="U435" s="687"/>
      <c r="V435" s="687"/>
      <c r="W435" s="687"/>
      <c r="X435" s="687"/>
      <c r="Y435" s="687"/>
      <c r="Z435" s="687"/>
    </row>
    <row r="436" spans="1:26" ht="12" customHeight="1">
      <c r="A436" s="687"/>
      <c r="B436" s="687"/>
      <c r="C436" s="687"/>
      <c r="D436" s="687"/>
      <c r="E436" s="687"/>
      <c r="F436" s="687"/>
      <c r="G436" s="687"/>
      <c r="H436" s="687"/>
      <c r="I436" s="687"/>
      <c r="J436" s="687"/>
      <c r="K436" s="687"/>
      <c r="L436" s="687"/>
      <c r="M436" s="687"/>
      <c r="N436" s="687"/>
      <c r="O436" s="687"/>
      <c r="P436" s="687"/>
      <c r="Q436" s="687"/>
      <c r="R436" s="687"/>
      <c r="S436" s="687"/>
      <c r="T436" s="687"/>
      <c r="U436" s="687"/>
      <c r="V436" s="687"/>
      <c r="W436" s="687"/>
      <c r="X436" s="687"/>
      <c r="Y436" s="687"/>
      <c r="Z436" s="687"/>
    </row>
    <row r="437" spans="1:26" ht="12" customHeight="1">
      <c r="A437" s="687"/>
      <c r="B437" s="687"/>
      <c r="C437" s="687"/>
      <c r="D437" s="687"/>
      <c r="E437" s="687"/>
      <c r="F437" s="687"/>
      <c r="G437" s="687"/>
      <c r="H437" s="687"/>
      <c r="I437" s="687"/>
      <c r="J437" s="687"/>
      <c r="K437" s="687"/>
      <c r="L437" s="687"/>
      <c r="M437" s="687"/>
      <c r="N437" s="687"/>
      <c r="O437" s="687"/>
      <c r="P437" s="687"/>
      <c r="Q437" s="687"/>
      <c r="R437" s="687"/>
      <c r="S437" s="687"/>
      <c r="T437" s="687"/>
      <c r="U437" s="687"/>
      <c r="V437" s="687"/>
      <c r="W437" s="687"/>
      <c r="X437" s="687"/>
      <c r="Y437" s="687"/>
      <c r="Z437" s="687"/>
    </row>
    <row r="438" spans="1:26" ht="12" customHeight="1">
      <c r="A438" s="687"/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</row>
    <row r="439" spans="1:26" ht="12" customHeight="1">
      <c r="A439" s="687"/>
      <c r="B439" s="687"/>
      <c r="C439" s="687"/>
      <c r="D439" s="687"/>
      <c r="E439" s="687"/>
      <c r="F439" s="687"/>
      <c r="G439" s="687"/>
      <c r="H439" s="687"/>
      <c r="I439" s="687"/>
      <c r="J439" s="687"/>
      <c r="K439" s="687"/>
      <c r="L439" s="687"/>
      <c r="M439" s="687"/>
      <c r="N439" s="687"/>
      <c r="O439" s="687"/>
      <c r="P439" s="687"/>
      <c r="Q439" s="687"/>
      <c r="R439" s="687"/>
      <c r="S439" s="687"/>
      <c r="T439" s="687"/>
      <c r="U439" s="687"/>
      <c r="V439" s="687"/>
      <c r="W439" s="687"/>
      <c r="X439" s="687"/>
      <c r="Y439" s="687"/>
      <c r="Z439" s="687"/>
    </row>
    <row r="440" spans="1:26" ht="12" customHeight="1">
      <c r="A440" s="687"/>
      <c r="B440" s="687"/>
      <c r="C440" s="687"/>
      <c r="D440" s="687"/>
      <c r="E440" s="687"/>
      <c r="F440" s="687"/>
      <c r="G440" s="687"/>
      <c r="H440" s="687"/>
      <c r="I440" s="687"/>
      <c r="J440" s="687"/>
      <c r="K440" s="687"/>
      <c r="L440" s="687"/>
      <c r="M440" s="687"/>
      <c r="N440" s="687"/>
      <c r="O440" s="687"/>
      <c r="P440" s="687"/>
      <c r="Q440" s="687"/>
      <c r="R440" s="687"/>
      <c r="S440" s="687"/>
      <c r="T440" s="687"/>
      <c r="U440" s="687"/>
      <c r="V440" s="687"/>
      <c r="W440" s="687"/>
      <c r="X440" s="687"/>
      <c r="Y440" s="687"/>
      <c r="Z440" s="687"/>
    </row>
    <row r="441" spans="1:26" ht="12" customHeight="1">
      <c r="A441" s="687"/>
      <c r="B441" s="687"/>
      <c r="C441" s="687"/>
      <c r="D441" s="687"/>
      <c r="E441" s="687"/>
      <c r="F441" s="687"/>
      <c r="G441" s="687"/>
      <c r="H441" s="687"/>
      <c r="I441" s="687"/>
      <c r="J441" s="687"/>
      <c r="K441" s="687"/>
      <c r="L441" s="687"/>
      <c r="M441" s="687"/>
      <c r="N441" s="687"/>
      <c r="O441" s="687"/>
      <c r="P441" s="687"/>
      <c r="Q441" s="687"/>
      <c r="R441" s="687"/>
      <c r="S441" s="687"/>
      <c r="T441" s="687"/>
      <c r="U441" s="687"/>
      <c r="V441" s="687"/>
      <c r="W441" s="687"/>
      <c r="X441" s="687"/>
      <c r="Y441" s="687"/>
      <c r="Z441" s="687"/>
    </row>
    <row r="442" spans="1:26" ht="12" customHeight="1">
      <c r="A442" s="687"/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</row>
    <row r="443" spans="1:26" ht="12" customHeight="1">
      <c r="A443" s="687"/>
      <c r="B443" s="687"/>
      <c r="C443" s="687"/>
      <c r="D443" s="687"/>
      <c r="E443" s="687"/>
      <c r="F443" s="687"/>
      <c r="G443" s="687"/>
      <c r="H443" s="687"/>
      <c r="I443" s="687"/>
      <c r="J443" s="687"/>
      <c r="K443" s="687"/>
      <c r="L443" s="687"/>
      <c r="M443" s="687"/>
      <c r="N443" s="687"/>
      <c r="O443" s="687"/>
      <c r="P443" s="687"/>
      <c r="Q443" s="687"/>
      <c r="R443" s="687"/>
      <c r="S443" s="687"/>
      <c r="T443" s="687"/>
      <c r="U443" s="687"/>
      <c r="V443" s="687"/>
      <c r="W443" s="687"/>
      <c r="X443" s="687"/>
      <c r="Y443" s="687"/>
      <c r="Z443" s="687"/>
    </row>
    <row r="444" spans="1:26" ht="12" customHeight="1">
      <c r="A444" s="687"/>
      <c r="B444" s="687"/>
      <c r="C444" s="687"/>
      <c r="D444" s="687"/>
      <c r="E444" s="687"/>
      <c r="F444" s="687"/>
      <c r="G444" s="687"/>
      <c r="H444" s="687"/>
      <c r="I444" s="687"/>
      <c r="J444" s="687"/>
      <c r="K444" s="687"/>
      <c r="L444" s="687"/>
      <c r="M444" s="687"/>
      <c r="N444" s="687"/>
      <c r="O444" s="687"/>
      <c r="P444" s="687"/>
      <c r="Q444" s="687"/>
      <c r="R444" s="687"/>
      <c r="S444" s="687"/>
      <c r="T444" s="687"/>
      <c r="U444" s="687"/>
      <c r="V444" s="687"/>
      <c r="W444" s="687"/>
      <c r="X444" s="687"/>
      <c r="Y444" s="687"/>
      <c r="Z444" s="687"/>
    </row>
    <row r="445" spans="1:26" ht="12" customHeight="1">
      <c r="A445" s="687"/>
      <c r="B445" s="687"/>
      <c r="C445" s="687"/>
      <c r="D445" s="687"/>
      <c r="E445" s="687"/>
      <c r="F445" s="687"/>
      <c r="G445" s="687"/>
      <c r="H445" s="687"/>
      <c r="I445" s="687"/>
      <c r="J445" s="687"/>
      <c r="K445" s="687"/>
      <c r="L445" s="687"/>
      <c r="M445" s="687"/>
      <c r="N445" s="687"/>
      <c r="O445" s="687"/>
      <c r="P445" s="687"/>
      <c r="Q445" s="687"/>
      <c r="R445" s="687"/>
      <c r="S445" s="687"/>
      <c r="T445" s="687"/>
      <c r="U445" s="687"/>
      <c r="V445" s="687"/>
      <c r="W445" s="687"/>
      <c r="X445" s="687"/>
      <c r="Y445" s="687"/>
      <c r="Z445" s="687"/>
    </row>
    <row r="446" spans="1:26" ht="12" customHeight="1">
      <c r="A446" s="687"/>
      <c r="B446" s="687"/>
      <c r="C446" s="687"/>
      <c r="D446" s="687"/>
      <c r="E446" s="687"/>
      <c r="F446" s="687"/>
      <c r="G446" s="687"/>
      <c r="H446" s="687"/>
      <c r="I446" s="687"/>
      <c r="J446" s="687"/>
      <c r="K446" s="687"/>
      <c r="L446" s="687"/>
      <c r="M446" s="687"/>
      <c r="N446" s="687"/>
      <c r="O446" s="687"/>
      <c r="P446" s="687"/>
      <c r="Q446" s="687"/>
      <c r="R446" s="687"/>
      <c r="S446" s="687"/>
      <c r="T446" s="687"/>
      <c r="U446" s="687"/>
      <c r="V446" s="687"/>
      <c r="W446" s="687"/>
      <c r="X446" s="687"/>
      <c r="Y446" s="687"/>
      <c r="Z446" s="687"/>
    </row>
    <row r="447" spans="1:26" ht="12" customHeight="1">
      <c r="A447" s="687"/>
      <c r="B447" s="687"/>
      <c r="C447" s="687"/>
      <c r="D447" s="687"/>
      <c r="E447" s="687"/>
      <c r="F447" s="687"/>
      <c r="G447" s="687"/>
      <c r="H447" s="687"/>
      <c r="I447" s="687"/>
      <c r="J447" s="687"/>
      <c r="K447" s="687"/>
      <c r="L447" s="687"/>
      <c r="M447" s="687"/>
      <c r="N447" s="687"/>
      <c r="O447" s="687"/>
      <c r="P447" s="687"/>
      <c r="Q447" s="687"/>
      <c r="R447" s="687"/>
      <c r="S447" s="687"/>
      <c r="T447" s="687"/>
      <c r="U447" s="687"/>
      <c r="V447" s="687"/>
      <c r="W447" s="687"/>
      <c r="X447" s="687"/>
      <c r="Y447" s="687"/>
      <c r="Z447" s="687"/>
    </row>
    <row r="448" spans="1:26" ht="12" customHeight="1">
      <c r="A448" s="687"/>
      <c r="B448" s="687"/>
      <c r="C448" s="687"/>
      <c r="D448" s="687"/>
      <c r="E448" s="687"/>
      <c r="F448" s="687"/>
      <c r="G448" s="687"/>
      <c r="H448" s="687"/>
      <c r="I448" s="687"/>
      <c r="J448" s="687"/>
      <c r="K448" s="687"/>
      <c r="L448" s="687"/>
      <c r="M448" s="687"/>
      <c r="N448" s="687"/>
      <c r="O448" s="687"/>
      <c r="P448" s="687"/>
      <c r="Q448" s="687"/>
      <c r="R448" s="687"/>
      <c r="S448" s="687"/>
      <c r="T448" s="687"/>
      <c r="U448" s="687"/>
      <c r="V448" s="687"/>
      <c r="W448" s="687"/>
      <c r="X448" s="687"/>
      <c r="Y448" s="687"/>
      <c r="Z448" s="687"/>
    </row>
    <row r="449" spans="1:26" ht="12" customHeight="1">
      <c r="A449" s="687"/>
      <c r="B449" s="687"/>
      <c r="C449" s="687"/>
      <c r="D449" s="687"/>
      <c r="E449" s="687"/>
      <c r="F449" s="687"/>
      <c r="G449" s="687"/>
      <c r="H449" s="687"/>
      <c r="I449" s="687"/>
      <c r="J449" s="687"/>
      <c r="K449" s="687"/>
      <c r="L449" s="687"/>
      <c r="M449" s="687"/>
      <c r="N449" s="687"/>
      <c r="O449" s="687"/>
      <c r="P449" s="687"/>
      <c r="Q449" s="687"/>
      <c r="R449" s="687"/>
      <c r="S449" s="687"/>
      <c r="T449" s="687"/>
      <c r="U449" s="687"/>
      <c r="V449" s="687"/>
      <c r="W449" s="687"/>
      <c r="X449" s="687"/>
      <c r="Y449" s="687"/>
      <c r="Z449" s="687"/>
    </row>
    <row r="450" spans="1:26" ht="12" customHeight="1">
      <c r="A450" s="687"/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</row>
    <row r="451" spans="1:26" ht="12" customHeight="1">
      <c r="A451" s="687"/>
      <c r="B451" s="687"/>
      <c r="C451" s="687"/>
      <c r="D451" s="687"/>
      <c r="E451" s="687"/>
      <c r="F451" s="687"/>
      <c r="G451" s="687"/>
      <c r="H451" s="687"/>
      <c r="I451" s="687"/>
      <c r="J451" s="687"/>
      <c r="K451" s="687"/>
      <c r="L451" s="687"/>
      <c r="M451" s="687"/>
      <c r="N451" s="687"/>
      <c r="O451" s="687"/>
      <c r="P451" s="687"/>
      <c r="Q451" s="687"/>
      <c r="R451" s="687"/>
      <c r="S451" s="687"/>
      <c r="T451" s="687"/>
      <c r="U451" s="687"/>
      <c r="V451" s="687"/>
      <c r="W451" s="687"/>
      <c r="X451" s="687"/>
      <c r="Y451" s="687"/>
      <c r="Z451" s="687"/>
    </row>
    <row r="452" spans="1:26" ht="12" customHeight="1">
      <c r="A452" s="687"/>
      <c r="B452" s="687"/>
      <c r="C452" s="687"/>
      <c r="D452" s="687"/>
      <c r="E452" s="687"/>
      <c r="F452" s="687"/>
      <c r="G452" s="687"/>
      <c r="H452" s="687"/>
      <c r="I452" s="687"/>
      <c r="J452" s="687"/>
      <c r="K452" s="687"/>
      <c r="L452" s="687"/>
      <c r="M452" s="687"/>
      <c r="N452" s="687"/>
      <c r="O452" s="687"/>
      <c r="P452" s="687"/>
      <c r="Q452" s="687"/>
      <c r="R452" s="687"/>
      <c r="S452" s="687"/>
      <c r="T452" s="687"/>
      <c r="U452" s="687"/>
      <c r="V452" s="687"/>
      <c r="W452" s="687"/>
      <c r="X452" s="687"/>
      <c r="Y452" s="687"/>
      <c r="Z452" s="687"/>
    </row>
    <row r="453" spans="1:26" ht="12" customHeight="1">
      <c r="A453" s="687"/>
      <c r="B453" s="687"/>
      <c r="C453" s="687"/>
      <c r="D453" s="687"/>
      <c r="E453" s="687"/>
      <c r="F453" s="687"/>
      <c r="G453" s="687"/>
      <c r="H453" s="687"/>
      <c r="I453" s="687"/>
      <c r="J453" s="687"/>
      <c r="K453" s="687"/>
      <c r="L453" s="687"/>
      <c r="M453" s="687"/>
      <c r="N453" s="687"/>
      <c r="O453" s="687"/>
      <c r="P453" s="687"/>
      <c r="Q453" s="687"/>
      <c r="R453" s="687"/>
      <c r="S453" s="687"/>
      <c r="T453" s="687"/>
      <c r="U453" s="687"/>
      <c r="V453" s="687"/>
      <c r="W453" s="687"/>
      <c r="X453" s="687"/>
      <c r="Y453" s="687"/>
      <c r="Z453" s="687"/>
    </row>
    <row r="454" spans="1:26" ht="12" customHeight="1">
      <c r="A454" s="687"/>
      <c r="B454" s="687"/>
      <c r="C454" s="687"/>
      <c r="D454" s="687"/>
      <c r="E454" s="687"/>
      <c r="F454" s="687"/>
      <c r="G454" s="687"/>
      <c r="H454" s="687"/>
      <c r="I454" s="687"/>
      <c r="J454" s="687"/>
      <c r="K454" s="687"/>
      <c r="L454" s="687"/>
      <c r="M454" s="687"/>
      <c r="N454" s="687"/>
      <c r="O454" s="687"/>
      <c r="P454" s="687"/>
      <c r="Q454" s="687"/>
      <c r="R454" s="687"/>
      <c r="S454" s="687"/>
      <c r="T454" s="687"/>
      <c r="U454" s="687"/>
      <c r="V454" s="687"/>
      <c r="W454" s="687"/>
      <c r="X454" s="687"/>
      <c r="Y454" s="687"/>
      <c r="Z454" s="687"/>
    </row>
    <row r="455" spans="1:26" ht="12" customHeight="1">
      <c r="A455" s="687"/>
      <c r="B455" s="687"/>
      <c r="C455" s="687"/>
      <c r="D455" s="687"/>
      <c r="E455" s="687"/>
      <c r="F455" s="687"/>
      <c r="G455" s="687"/>
      <c r="H455" s="687"/>
      <c r="I455" s="687"/>
      <c r="J455" s="687"/>
      <c r="K455" s="687"/>
      <c r="L455" s="687"/>
      <c r="M455" s="687"/>
      <c r="N455" s="687"/>
      <c r="O455" s="687"/>
      <c r="P455" s="687"/>
      <c r="Q455" s="687"/>
      <c r="R455" s="687"/>
      <c r="S455" s="687"/>
      <c r="T455" s="687"/>
      <c r="U455" s="687"/>
      <c r="V455" s="687"/>
      <c r="W455" s="687"/>
      <c r="X455" s="687"/>
      <c r="Y455" s="687"/>
      <c r="Z455" s="687"/>
    </row>
    <row r="456" spans="1:26" ht="12" customHeight="1">
      <c r="A456" s="687"/>
      <c r="B456" s="687"/>
      <c r="C456" s="687"/>
      <c r="D456" s="687"/>
      <c r="E456" s="687"/>
      <c r="F456" s="687"/>
      <c r="G456" s="687"/>
      <c r="H456" s="687"/>
      <c r="I456" s="687"/>
      <c r="J456" s="687"/>
      <c r="K456" s="687"/>
      <c r="L456" s="687"/>
      <c r="M456" s="687"/>
      <c r="N456" s="687"/>
      <c r="O456" s="687"/>
      <c r="P456" s="687"/>
      <c r="Q456" s="687"/>
      <c r="R456" s="687"/>
      <c r="S456" s="687"/>
      <c r="T456" s="687"/>
      <c r="U456" s="687"/>
      <c r="V456" s="687"/>
      <c r="W456" s="687"/>
      <c r="X456" s="687"/>
      <c r="Y456" s="687"/>
      <c r="Z456" s="687"/>
    </row>
    <row r="457" spans="1:26" ht="12" customHeight="1">
      <c r="A457" s="687"/>
      <c r="B457" s="687"/>
      <c r="C457" s="687"/>
      <c r="D457" s="687"/>
      <c r="E457" s="687"/>
      <c r="F457" s="687"/>
      <c r="G457" s="687"/>
      <c r="H457" s="687"/>
      <c r="I457" s="687"/>
      <c r="J457" s="687"/>
      <c r="K457" s="687"/>
      <c r="L457" s="687"/>
      <c r="M457" s="687"/>
      <c r="N457" s="687"/>
      <c r="O457" s="687"/>
      <c r="P457" s="687"/>
      <c r="Q457" s="687"/>
      <c r="R457" s="687"/>
      <c r="S457" s="687"/>
      <c r="T457" s="687"/>
      <c r="U457" s="687"/>
      <c r="V457" s="687"/>
      <c r="W457" s="687"/>
      <c r="X457" s="687"/>
      <c r="Y457" s="687"/>
      <c r="Z457" s="687"/>
    </row>
    <row r="458" spans="1:26" ht="12" customHeight="1">
      <c r="A458" s="687"/>
      <c r="B458" s="687"/>
      <c r="C458" s="687"/>
      <c r="D458" s="687"/>
      <c r="E458" s="687"/>
      <c r="F458" s="687"/>
      <c r="G458" s="687"/>
      <c r="H458" s="687"/>
      <c r="I458" s="687"/>
      <c r="J458" s="687"/>
      <c r="K458" s="687"/>
      <c r="L458" s="687"/>
      <c r="M458" s="687"/>
      <c r="N458" s="687"/>
      <c r="O458" s="687"/>
      <c r="P458" s="687"/>
      <c r="Q458" s="687"/>
      <c r="R458" s="687"/>
      <c r="S458" s="687"/>
      <c r="T458" s="687"/>
      <c r="U458" s="687"/>
      <c r="V458" s="687"/>
      <c r="W458" s="687"/>
      <c r="X458" s="687"/>
      <c r="Y458" s="687"/>
      <c r="Z458" s="687"/>
    </row>
    <row r="459" spans="1:26" ht="12" customHeight="1">
      <c r="A459" s="687"/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</row>
    <row r="460" spans="1:26" ht="12" customHeight="1">
      <c r="A460" s="687"/>
      <c r="B460" s="687"/>
      <c r="C460" s="687"/>
      <c r="D460" s="687"/>
      <c r="E460" s="687"/>
      <c r="F460" s="687"/>
      <c r="G460" s="687"/>
      <c r="H460" s="687"/>
      <c r="I460" s="687"/>
      <c r="J460" s="687"/>
      <c r="K460" s="687"/>
      <c r="L460" s="687"/>
      <c r="M460" s="687"/>
      <c r="N460" s="687"/>
      <c r="O460" s="687"/>
      <c r="P460" s="687"/>
      <c r="Q460" s="687"/>
      <c r="R460" s="687"/>
      <c r="S460" s="687"/>
      <c r="T460" s="687"/>
      <c r="U460" s="687"/>
      <c r="V460" s="687"/>
      <c r="W460" s="687"/>
      <c r="X460" s="687"/>
      <c r="Y460" s="687"/>
      <c r="Z460" s="687"/>
    </row>
    <row r="461" spans="1:26" ht="12" customHeight="1">
      <c r="A461" s="687"/>
      <c r="B461" s="687"/>
      <c r="C461" s="687"/>
      <c r="D461" s="687"/>
      <c r="E461" s="687"/>
      <c r="F461" s="687"/>
      <c r="G461" s="687"/>
      <c r="H461" s="687"/>
      <c r="I461" s="687"/>
      <c r="J461" s="687"/>
      <c r="K461" s="687"/>
      <c r="L461" s="687"/>
      <c r="M461" s="687"/>
      <c r="N461" s="687"/>
      <c r="O461" s="687"/>
      <c r="P461" s="687"/>
      <c r="Q461" s="687"/>
      <c r="R461" s="687"/>
      <c r="S461" s="687"/>
      <c r="T461" s="687"/>
      <c r="U461" s="687"/>
      <c r="V461" s="687"/>
      <c r="W461" s="687"/>
      <c r="X461" s="687"/>
      <c r="Y461" s="687"/>
      <c r="Z461" s="687"/>
    </row>
    <row r="462" spans="1:26" ht="12" customHeight="1">
      <c r="A462" s="687"/>
      <c r="B462" s="687"/>
      <c r="C462" s="687"/>
      <c r="D462" s="687"/>
      <c r="E462" s="687"/>
      <c r="F462" s="687"/>
      <c r="G462" s="687"/>
      <c r="H462" s="687"/>
      <c r="I462" s="687"/>
      <c r="J462" s="687"/>
      <c r="K462" s="687"/>
      <c r="L462" s="687"/>
      <c r="M462" s="687"/>
      <c r="N462" s="687"/>
      <c r="O462" s="687"/>
      <c r="P462" s="687"/>
      <c r="Q462" s="687"/>
      <c r="R462" s="687"/>
      <c r="S462" s="687"/>
      <c r="T462" s="687"/>
      <c r="U462" s="687"/>
      <c r="V462" s="687"/>
      <c r="W462" s="687"/>
      <c r="X462" s="687"/>
      <c r="Y462" s="687"/>
      <c r="Z462" s="687"/>
    </row>
    <row r="463" spans="1:26" ht="12" customHeight="1">
      <c r="A463" s="687"/>
      <c r="B463" s="687"/>
      <c r="C463" s="687"/>
      <c r="D463" s="687"/>
      <c r="E463" s="687"/>
      <c r="F463" s="687"/>
      <c r="G463" s="687"/>
      <c r="H463" s="687"/>
      <c r="I463" s="687"/>
      <c r="J463" s="687"/>
      <c r="K463" s="687"/>
      <c r="L463" s="687"/>
      <c r="M463" s="687"/>
      <c r="N463" s="687"/>
      <c r="O463" s="687"/>
      <c r="P463" s="687"/>
      <c r="Q463" s="687"/>
      <c r="R463" s="687"/>
      <c r="S463" s="687"/>
      <c r="T463" s="687"/>
      <c r="U463" s="687"/>
      <c r="V463" s="687"/>
      <c r="W463" s="687"/>
      <c r="X463" s="687"/>
      <c r="Y463" s="687"/>
      <c r="Z463" s="687"/>
    </row>
    <row r="464" spans="1:26" ht="12" customHeight="1">
      <c r="A464" s="687"/>
      <c r="B464" s="687"/>
      <c r="C464" s="687"/>
      <c r="D464" s="687"/>
      <c r="E464" s="687"/>
      <c r="F464" s="687"/>
      <c r="G464" s="687"/>
      <c r="H464" s="687"/>
      <c r="I464" s="687"/>
      <c r="J464" s="687"/>
      <c r="K464" s="687"/>
      <c r="L464" s="687"/>
      <c r="M464" s="687"/>
      <c r="N464" s="687"/>
      <c r="O464" s="687"/>
      <c r="P464" s="687"/>
      <c r="Q464" s="687"/>
      <c r="R464" s="687"/>
      <c r="S464" s="687"/>
      <c r="T464" s="687"/>
      <c r="U464" s="687"/>
      <c r="V464" s="687"/>
      <c r="W464" s="687"/>
      <c r="X464" s="687"/>
      <c r="Y464" s="687"/>
      <c r="Z464" s="687"/>
    </row>
    <row r="465" spans="1:26" ht="12" customHeight="1">
      <c r="A465" s="687"/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</row>
    <row r="466" spans="1:26" ht="12" customHeight="1">
      <c r="A466" s="687"/>
      <c r="B466" s="687"/>
      <c r="C466" s="687"/>
      <c r="D466" s="687"/>
      <c r="E466" s="687"/>
      <c r="F466" s="687"/>
      <c r="G466" s="687"/>
      <c r="H466" s="687"/>
      <c r="I466" s="687"/>
      <c r="J466" s="687"/>
      <c r="K466" s="687"/>
      <c r="L466" s="687"/>
      <c r="M466" s="687"/>
      <c r="N466" s="687"/>
      <c r="O466" s="687"/>
      <c r="P466" s="687"/>
      <c r="Q466" s="687"/>
      <c r="R466" s="687"/>
      <c r="S466" s="687"/>
      <c r="T466" s="687"/>
      <c r="U466" s="687"/>
      <c r="V466" s="687"/>
      <c r="W466" s="687"/>
      <c r="X466" s="687"/>
      <c r="Y466" s="687"/>
      <c r="Z466" s="687"/>
    </row>
    <row r="467" spans="1:26" ht="12" customHeight="1">
      <c r="A467" s="687"/>
      <c r="B467" s="687"/>
      <c r="C467" s="687"/>
      <c r="D467" s="687"/>
      <c r="E467" s="687"/>
      <c r="F467" s="687"/>
      <c r="G467" s="687"/>
      <c r="H467" s="687"/>
      <c r="I467" s="687"/>
      <c r="J467" s="687"/>
      <c r="K467" s="687"/>
      <c r="L467" s="687"/>
      <c r="M467" s="687"/>
      <c r="N467" s="687"/>
      <c r="O467" s="687"/>
      <c r="P467" s="687"/>
      <c r="Q467" s="687"/>
      <c r="R467" s="687"/>
      <c r="S467" s="687"/>
      <c r="T467" s="687"/>
      <c r="U467" s="687"/>
      <c r="V467" s="687"/>
      <c r="W467" s="687"/>
      <c r="X467" s="687"/>
      <c r="Y467" s="687"/>
      <c r="Z467" s="687"/>
    </row>
    <row r="468" spans="1:26" ht="12" customHeight="1">
      <c r="A468" s="687"/>
      <c r="B468" s="687"/>
      <c r="C468" s="687"/>
      <c r="D468" s="687"/>
      <c r="E468" s="687"/>
      <c r="F468" s="687"/>
      <c r="G468" s="687"/>
      <c r="H468" s="687"/>
      <c r="I468" s="687"/>
      <c r="J468" s="687"/>
      <c r="K468" s="687"/>
      <c r="L468" s="687"/>
      <c r="M468" s="687"/>
      <c r="N468" s="687"/>
      <c r="O468" s="687"/>
      <c r="P468" s="687"/>
      <c r="Q468" s="687"/>
      <c r="R468" s="687"/>
      <c r="S468" s="687"/>
      <c r="T468" s="687"/>
      <c r="U468" s="687"/>
      <c r="V468" s="687"/>
      <c r="W468" s="687"/>
      <c r="X468" s="687"/>
      <c r="Y468" s="687"/>
      <c r="Z468" s="687"/>
    </row>
    <row r="469" spans="1:26" ht="12" customHeight="1">
      <c r="A469" s="687"/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</row>
    <row r="470" spans="1:26" ht="12" customHeight="1">
      <c r="A470" s="687"/>
      <c r="B470" s="687"/>
      <c r="C470" s="687"/>
      <c r="D470" s="687"/>
      <c r="E470" s="687"/>
      <c r="F470" s="687"/>
      <c r="G470" s="687"/>
      <c r="H470" s="687"/>
      <c r="I470" s="687"/>
      <c r="J470" s="687"/>
      <c r="K470" s="687"/>
      <c r="L470" s="687"/>
      <c r="M470" s="687"/>
      <c r="N470" s="687"/>
      <c r="O470" s="687"/>
      <c r="P470" s="687"/>
      <c r="Q470" s="687"/>
      <c r="R470" s="687"/>
      <c r="S470" s="687"/>
      <c r="T470" s="687"/>
      <c r="U470" s="687"/>
      <c r="V470" s="687"/>
      <c r="W470" s="687"/>
      <c r="X470" s="687"/>
      <c r="Y470" s="687"/>
      <c r="Z470" s="687"/>
    </row>
    <row r="471" spans="1:26" ht="12" customHeight="1">
      <c r="A471" s="687"/>
      <c r="B471" s="687"/>
      <c r="C471" s="687"/>
      <c r="D471" s="687"/>
      <c r="E471" s="687"/>
      <c r="F471" s="687"/>
      <c r="G471" s="687"/>
      <c r="H471" s="687"/>
      <c r="I471" s="687"/>
      <c r="J471" s="687"/>
      <c r="K471" s="687"/>
      <c r="L471" s="687"/>
      <c r="M471" s="687"/>
      <c r="N471" s="687"/>
      <c r="O471" s="687"/>
      <c r="P471" s="687"/>
      <c r="Q471" s="687"/>
      <c r="R471" s="687"/>
      <c r="S471" s="687"/>
      <c r="T471" s="687"/>
      <c r="U471" s="687"/>
      <c r="V471" s="687"/>
      <c r="W471" s="687"/>
      <c r="X471" s="687"/>
      <c r="Y471" s="687"/>
      <c r="Z471" s="687"/>
    </row>
    <row r="472" spans="1:26" ht="12" customHeight="1">
      <c r="A472" s="687"/>
      <c r="B472" s="687"/>
      <c r="C472" s="687"/>
      <c r="D472" s="687"/>
      <c r="E472" s="687"/>
      <c r="F472" s="687"/>
      <c r="G472" s="687"/>
      <c r="H472" s="687"/>
      <c r="I472" s="687"/>
      <c r="J472" s="687"/>
      <c r="K472" s="687"/>
      <c r="L472" s="687"/>
      <c r="M472" s="687"/>
      <c r="N472" s="687"/>
      <c r="O472" s="687"/>
      <c r="P472" s="687"/>
      <c r="Q472" s="687"/>
      <c r="R472" s="687"/>
      <c r="S472" s="687"/>
      <c r="T472" s="687"/>
      <c r="U472" s="687"/>
      <c r="V472" s="687"/>
      <c r="W472" s="687"/>
      <c r="X472" s="687"/>
      <c r="Y472" s="687"/>
      <c r="Z472" s="687"/>
    </row>
    <row r="473" spans="1:26" ht="12" customHeight="1">
      <c r="A473" s="687"/>
      <c r="B473" s="687"/>
      <c r="C473" s="687"/>
      <c r="D473" s="687"/>
      <c r="E473" s="687"/>
      <c r="F473" s="687"/>
      <c r="G473" s="687"/>
      <c r="H473" s="687"/>
      <c r="I473" s="687"/>
      <c r="J473" s="687"/>
      <c r="K473" s="687"/>
      <c r="L473" s="687"/>
      <c r="M473" s="687"/>
      <c r="N473" s="687"/>
      <c r="O473" s="687"/>
      <c r="P473" s="687"/>
      <c r="Q473" s="687"/>
      <c r="R473" s="687"/>
      <c r="S473" s="687"/>
      <c r="T473" s="687"/>
      <c r="U473" s="687"/>
      <c r="V473" s="687"/>
      <c r="W473" s="687"/>
      <c r="X473" s="687"/>
      <c r="Y473" s="687"/>
      <c r="Z473" s="687"/>
    </row>
    <row r="474" spans="1:26" ht="12" customHeight="1">
      <c r="A474" s="687"/>
      <c r="B474" s="687"/>
      <c r="C474" s="687"/>
      <c r="D474" s="687"/>
      <c r="E474" s="687"/>
      <c r="F474" s="687"/>
      <c r="G474" s="687"/>
      <c r="H474" s="687"/>
      <c r="I474" s="687"/>
      <c r="J474" s="687"/>
      <c r="K474" s="687"/>
      <c r="L474" s="687"/>
      <c r="M474" s="687"/>
      <c r="N474" s="687"/>
      <c r="O474" s="687"/>
      <c r="P474" s="687"/>
      <c r="Q474" s="687"/>
      <c r="R474" s="687"/>
      <c r="S474" s="687"/>
      <c r="T474" s="687"/>
      <c r="U474" s="687"/>
      <c r="V474" s="687"/>
      <c r="W474" s="687"/>
      <c r="X474" s="687"/>
      <c r="Y474" s="687"/>
      <c r="Z474" s="687"/>
    </row>
    <row r="475" spans="1:26" ht="12" customHeight="1">
      <c r="A475" s="687"/>
      <c r="B475" s="687"/>
      <c r="C475" s="687"/>
      <c r="D475" s="687"/>
      <c r="E475" s="687"/>
      <c r="F475" s="687"/>
      <c r="G475" s="687"/>
      <c r="H475" s="687"/>
      <c r="I475" s="687"/>
      <c r="J475" s="687"/>
      <c r="K475" s="687"/>
      <c r="L475" s="687"/>
      <c r="M475" s="687"/>
      <c r="N475" s="687"/>
      <c r="O475" s="687"/>
      <c r="P475" s="687"/>
      <c r="Q475" s="687"/>
      <c r="R475" s="687"/>
      <c r="S475" s="687"/>
      <c r="T475" s="687"/>
      <c r="U475" s="687"/>
      <c r="V475" s="687"/>
      <c r="W475" s="687"/>
      <c r="X475" s="687"/>
      <c r="Y475" s="687"/>
      <c r="Z475" s="687"/>
    </row>
    <row r="476" spans="1:26" ht="12" customHeight="1">
      <c r="A476" s="687"/>
      <c r="B476" s="687"/>
      <c r="C476" s="687"/>
      <c r="D476" s="687"/>
      <c r="E476" s="687"/>
      <c r="F476" s="687"/>
      <c r="G476" s="687"/>
      <c r="H476" s="687"/>
      <c r="I476" s="687"/>
      <c r="J476" s="687"/>
      <c r="K476" s="687"/>
      <c r="L476" s="687"/>
      <c r="M476" s="687"/>
      <c r="N476" s="687"/>
      <c r="O476" s="687"/>
      <c r="P476" s="687"/>
      <c r="Q476" s="687"/>
      <c r="R476" s="687"/>
      <c r="S476" s="687"/>
      <c r="T476" s="687"/>
      <c r="U476" s="687"/>
      <c r="V476" s="687"/>
      <c r="W476" s="687"/>
      <c r="X476" s="687"/>
      <c r="Y476" s="687"/>
      <c r="Z476" s="687"/>
    </row>
    <row r="477" spans="1:26" ht="12" customHeight="1">
      <c r="A477" s="687"/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</row>
    <row r="478" spans="1:26" ht="12" customHeight="1">
      <c r="A478" s="687"/>
      <c r="B478" s="687"/>
      <c r="C478" s="687"/>
      <c r="D478" s="687"/>
      <c r="E478" s="687"/>
      <c r="F478" s="687"/>
      <c r="G478" s="687"/>
      <c r="H478" s="687"/>
      <c r="I478" s="687"/>
      <c r="J478" s="687"/>
      <c r="K478" s="687"/>
      <c r="L478" s="687"/>
      <c r="M478" s="687"/>
      <c r="N478" s="687"/>
      <c r="O478" s="687"/>
      <c r="P478" s="687"/>
      <c r="Q478" s="687"/>
      <c r="R478" s="687"/>
      <c r="S478" s="687"/>
      <c r="T478" s="687"/>
      <c r="U478" s="687"/>
      <c r="V478" s="687"/>
      <c r="W478" s="687"/>
      <c r="X478" s="687"/>
      <c r="Y478" s="687"/>
      <c r="Z478" s="687"/>
    </row>
    <row r="479" spans="1:26" ht="12" customHeight="1">
      <c r="A479" s="687"/>
      <c r="B479" s="687"/>
      <c r="C479" s="687"/>
      <c r="D479" s="687"/>
      <c r="E479" s="687"/>
      <c r="F479" s="687"/>
      <c r="G479" s="687"/>
      <c r="H479" s="687"/>
      <c r="I479" s="687"/>
      <c r="J479" s="687"/>
      <c r="K479" s="687"/>
      <c r="L479" s="687"/>
      <c r="M479" s="687"/>
      <c r="N479" s="687"/>
      <c r="O479" s="687"/>
      <c r="P479" s="687"/>
      <c r="Q479" s="687"/>
      <c r="R479" s="687"/>
      <c r="S479" s="687"/>
      <c r="T479" s="687"/>
      <c r="U479" s="687"/>
      <c r="V479" s="687"/>
      <c r="W479" s="687"/>
      <c r="X479" s="687"/>
      <c r="Y479" s="687"/>
      <c r="Z479" s="687"/>
    </row>
    <row r="480" spans="1:26" ht="12" customHeight="1">
      <c r="A480" s="687"/>
      <c r="B480" s="687"/>
      <c r="C480" s="687"/>
      <c r="D480" s="687"/>
      <c r="E480" s="687"/>
      <c r="F480" s="687"/>
      <c r="G480" s="687"/>
      <c r="H480" s="687"/>
      <c r="I480" s="687"/>
      <c r="J480" s="687"/>
      <c r="K480" s="687"/>
      <c r="L480" s="687"/>
      <c r="M480" s="687"/>
      <c r="N480" s="687"/>
      <c r="O480" s="687"/>
      <c r="P480" s="687"/>
      <c r="Q480" s="687"/>
      <c r="R480" s="687"/>
      <c r="S480" s="687"/>
      <c r="T480" s="687"/>
      <c r="U480" s="687"/>
      <c r="V480" s="687"/>
      <c r="W480" s="687"/>
      <c r="X480" s="687"/>
      <c r="Y480" s="687"/>
      <c r="Z480" s="687"/>
    </row>
    <row r="481" spans="1:26" ht="12" customHeight="1">
      <c r="A481" s="687"/>
      <c r="B481" s="687"/>
      <c r="C481" s="687"/>
      <c r="D481" s="687"/>
      <c r="E481" s="687"/>
      <c r="F481" s="687"/>
      <c r="G481" s="687"/>
      <c r="H481" s="687"/>
      <c r="I481" s="687"/>
      <c r="J481" s="687"/>
      <c r="K481" s="687"/>
      <c r="L481" s="687"/>
      <c r="M481" s="687"/>
      <c r="N481" s="687"/>
      <c r="O481" s="687"/>
      <c r="P481" s="687"/>
      <c r="Q481" s="687"/>
      <c r="R481" s="687"/>
      <c r="S481" s="687"/>
      <c r="T481" s="687"/>
      <c r="U481" s="687"/>
      <c r="V481" s="687"/>
      <c r="W481" s="687"/>
      <c r="X481" s="687"/>
      <c r="Y481" s="687"/>
      <c r="Z481" s="687"/>
    </row>
    <row r="482" spans="1:26" ht="12" customHeight="1">
      <c r="A482" s="687"/>
      <c r="B482" s="687"/>
      <c r="C482" s="687"/>
      <c r="D482" s="687"/>
      <c r="E482" s="687"/>
      <c r="F482" s="687"/>
      <c r="G482" s="687"/>
      <c r="H482" s="687"/>
      <c r="I482" s="687"/>
      <c r="J482" s="687"/>
      <c r="K482" s="687"/>
      <c r="L482" s="687"/>
      <c r="M482" s="687"/>
      <c r="N482" s="687"/>
      <c r="O482" s="687"/>
      <c r="P482" s="687"/>
      <c r="Q482" s="687"/>
      <c r="R482" s="687"/>
      <c r="S482" s="687"/>
      <c r="T482" s="687"/>
      <c r="U482" s="687"/>
      <c r="V482" s="687"/>
      <c r="W482" s="687"/>
      <c r="X482" s="687"/>
      <c r="Y482" s="687"/>
      <c r="Z482" s="687"/>
    </row>
    <row r="483" spans="1:26" ht="12" customHeight="1">
      <c r="A483" s="687"/>
      <c r="B483" s="687"/>
      <c r="C483" s="687"/>
      <c r="D483" s="687"/>
      <c r="E483" s="687"/>
      <c r="F483" s="687"/>
      <c r="G483" s="687"/>
      <c r="H483" s="687"/>
      <c r="I483" s="687"/>
      <c r="J483" s="687"/>
      <c r="K483" s="687"/>
      <c r="L483" s="687"/>
      <c r="M483" s="687"/>
      <c r="N483" s="687"/>
      <c r="O483" s="687"/>
      <c r="P483" s="687"/>
      <c r="Q483" s="687"/>
      <c r="R483" s="687"/>
      <c r="S483" s="687"/>
      <c r="T483" s="687"/>
      <c r="U483" s="687"/>
      <c r="V483" s="687"/>
      <c r="W483" s="687"/>
      <c r="X483" s="687"/>
      <c r="Y483" s="687"/>
      <c r="Z483" s="687"/>
    </row>
    <row r="484" spans="1:26" ht="12" customHeight="1">
      <c r="A484" s="687"/>
      <c r="B484" s="687"/>
      <c r="C484" s="687"/>
      <c r="D484" s="687"/>
      <c r="E484" s="687"/>
      <c r="F484" s="687"/>
      <c r="G484" s="687"/>
      <c r="H484" s="687"/>
      <c r="I484" s="687"/>
      <c r="J484" s="687"/>
      <c r="K484" s="687"/>
      <c r="L484" s="687"/>
      <c r="M484" s="687"/>
      <c r="N484" s="687"/>
      <c r="O484" s="687"/>
      <c r="P484" s="687"/>
      <c r="Q484" s="687"/>
      <c r="R484" s="687"/>
      <c r="S484" s="687"/>
      <c r="T484" s="687"/>
      <c r="U484" s="687"/>
      <c r="V484" s="687"/>
      <c r="W484" s="687"/>
      <c r="X484" s="687"/>
      <c r="Y484" s="687"/>
      <c r="Z484" s="687"/>
    </row>
    <row r="485" spans="1:26" ht="12" customHeight="1">
      <c r="A485" s="687"/>
      <c r="B485" s="687"/>
      <c r="C485" s="687"/>
      <c r="D485" s="687"/>
      <c r="E485" s="687"/>
      <c r="F485" s="687"/>
      <c r="G485" s="687"/>
      <c r="H485" s="687"/>
      <c r="I485" s="687"/>
      <c r="J485" s="687"/>
      <c r="K485" s="687"/>
      <c r="L485" s="687"/>
      <c r="M485" s="687"/>
      <c r="N485" s="687"/>
      <c r="O485" s="687"/>
      <c r="P485" s="687"/>
      <c r="Q485" s="687"/>
      <c r="R485" s="687"/>
      <c r="S485" s="687"/>
      <c r="T485" s="687"/>
      <c r="U485" s="687"/>
      <c r="V485" s="687"/>
      <c r="W485" s="687"/>
      <c r="X485" s="687"/>
      <c r="Y485" s="687"/>
      <c r="Z485" s="687"/>
    </row>
    <row r="486" spans="1:26" ht="12" customHeight="1">
      <c r="A486" s="687"/>
      <c r="B486" s="687"/>
      <c r="C486" s="687"/>
      <c r="D486" s="687"/>
      <c r="E486" s="687"/>
      <c r="F486" s="687"/>
      <c r="G486" s="687"/>
      <c r="H486" s="687"/>
      <c r="I486" s="687"/>
      <c r="J486" s="687"/>
      <c r="K486" s="687"/>
      <c r="L486" s="687"/>
      <c r="M486" s="687"/>
      <c r="N486" s="687"/>
      <c r="O486" s="687"/>
      <c r="P486" s="687"/>
      <c r="Q486" s="687"/>
      <c r="R486" s="687"/>
      <c r="S486" s="687"/>
      <c r="T486" s="687"/>
      <c r="U486" s="687"/>
      <c r="V486" s="687"/>
      <c r="W486" s="687"/>
      <c r="X486" s="687"/>
      <c r="Y486" s="687"/>
      <c r="Z486" s="687"/>
    </row>
    <row r="487" spans="1:26" ht="12" customHeight="1">
      <c r="A487" s="687"/>
      <c r="B487" s="687"/>
      <c r="C487" s="687"/>
      <c r="D487" s="687"/>
      <c r="E487" s="687"/>
      <c r="F487" s="687"/>
      <c r="G487" s="687"/>
      <c r="H487" s="687"/>
      <c r="I487" s="687"/>
      <c r="J487" s="687"/>
      <c r="K487" s="687"/>
      <c r="L487" s="687"/>
      <c r="M487" s="687"/>
      <c r="N487" s="687"/>
      <c r="O487" s="687"/>
      <c r="P487" s="687"/>
      <c r="Q487" s="687"/>
      <c r="R487" s="687"/>
      <c r="S487" s="687"/>
      <c r="T487" s="687"/>
      <c r="U487" s="687"/>
      <c r="V487" s="687"/>
      <c r="W487" s="687"/>
      <c r="X487" s="687"/>
      <c r="Y487" s="687"/>
      <c r="Z487" s="687"/>
    </row>
    <row r="488" spans="1:26" ht="12" customHeight="1">
      <c r="A488" s="687"/>
      <c r="B488" s="687"/>
      <c r="C488" s="687"/>
      <c r="D488" s="687"/>
      <c r="E488" s="687"/>
      <c r="F488" s="687"/>
      <c r="G488" s="687"/>
      <c r="H488" s="687"/>
      <c r="I488" s="687"/>
      <c r="J488" s="687"/>
      <c r="K488" s="687"/>
      <c r="L488" s="687"/>
      <c r="M488" s="687"/>
      <c r="N488" s="687"/>
      <c r="O488" s="687"/>
      <c r="P488" s="687"/>
      <c r="Q488" s="687"/>
      <c r="R488" s="687"/>
      <c r="S488" s="687"/>
      <c r="T488" s="687"/>
      <c r="U488" s="687"/>
      <c r="V488" s="687"/>
      <c r="W488" s="687"/>
      <c r="X488" s="687"/>
      <c r="Y488" s="687"/>
      <c r="Z488" s="687"/>
    </row>
    <row r="489" spans="1:26" ht="12" customHeight="1">
      <c r="A489" s="687"/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</row>
    <row r="490" spans="1:26" ht="12" customHeight="1">
      <c r="A490" s="687"/>
      <c r="B490" s="687"/>
      <c r="C490" s="687"/>
      <c r="D490" s="687"/>
      <c r="E490" s="687"/>
      <c r="F490" s="687"/>
      <c r="G490" s="687"/>
      <c r="H490" s="687"/>
      <c r="I490" s="687"/>
      <c r="J490" s="687"/>
      <c r="K490" s="687"/>
      <c r="L490" s="687"/>
      <c r="M490" s="687"/>
      <c r="N490" s="687"/>
      <c r="O490" s="687"/>
      <c r="P490" s="687"/>
      <c r="Q490" s="687"/>
      <c r="R490" s="687"/>
      <c r="S490" s="687"/>
      <c r="T490" s="687"/>
      <c r="U490" s="687"/>
      <c r="V490" s="687"/>
      <c r="W490" s="687"/>
      <c r="X490" s="687"/>
      <c r="Y490" s="687"/>
      <c r="Z490" s="687"/>
    </row>
    <row r="491" spans="1:26" ht="12" customHeight="1">
      <c r="A491" s="687"/>
      <c r="B491" s="687"/>
      <c r="C491" s="687"/>
      <c r="D491" s="687"/>
      <c r="E491" s="687"/>
      <c r="F491" s="687"/>
      <c r="G491" s="687"/>
      <c r="H491" s="687"/>
      <c r="I491" s="687"/>
      <c r="J491" s="687"/>
      <c r="K491" s="687"/>
      <c r="L491" s="687"/>
      <c r="M491" s="687"/>
      <c r="N491" s="687"/>
      <c r="O491" s="687"/>
      <c r="P491" s="687"/>
      <c r="Q491" s="687"/>
      <c r="R491" s="687"/>
      <c r="S491" s="687"/>
      <c r="T491" s="687"/>
      <c r="U491" s="687"/>
      <c r="V491" s="687"/>
      <c r="W491" s="687"/>
      <c r="X491" s="687"/>
      <c r="Y491" s="687"/>
      <c r="Z491" s="687"/>
    </row>
    <row r="492" spans="1:26" ht="12" customHeight="1">
      <c r="A492" s="687"/>
      <c r="B492" s="687"/>
      <c r="C492" s="687"/>
      <c r="D492" s="687"/>
      <c r="E492" s="687"/>
      <c r="F492" s="687"/>
      <c r="G492" s="687"/>
      <c r="H492" s="687"/>
      <c r="I492" s="687"/>
      <c r="J492" s="687"/>
      <c r="K492" s="687"/>
      <c r="L492" s="687"/>
      <c r="M492" s="687"/>
      <c r="N492" s="687"/>
      <c r="O492" s="687"/>
      <c r="P492" s="687"/>
      <c r="Q492" s="687"/>
      <c r="R492" s="687"/>
      <c r="S492" s="687"/>
      <c r="T492" s="687"/>
      <c r="U492" s="687"/>
      <c r="V492" s="687"/>
      <c r="W492" s="687"/>
      <c r="X492" s="687"/>
      <c r="Y492" s="687"/>
      <c r="Z492" s="687"/>
    </row>
    <row r="493" spans="1:26" ht="12" customHeight="1">
      <c r="A493" s="687"/>
      <c r="B493" s="687"/>
      <c r="C493" s="687"/>
      <c r="D493" s="687"/>
      <c r="E493" s="687"/>
      <c r="F493" s="687"/>
      <c r="G493" s="687"/>
      <c r="H493" s="687"/>
      <c r="I493" s="687"/>
      <c r="J493" s="687"/>
      <c r="K493" s="687"/>
      <c r="L493" s="687"/>
      <c r="M493" s="687"/>
      <c r="N493" s="687"/>
      <c r="O493" s="687"/>
      <c r="P493" s="687"/>
      <c r="Q493" s="687"/>
      <c r="R493" s="687"/>
      <c r="S493" s="687"/>
      <c r="T493" s="687"/>
      <c r="U493" s="687"/>
      <c r="V493" s="687"/>
      <c r="W493" s="687"/>
      <c r="X493" s="687"/>
      <c r="Y493" s="687"/>
      <c r="Z493" s="687"/>
    </row>
    <row r="494" spans="1:26" ht="12" customHeight="1">
      <c r="A494" s="687"/>
      <c r="B494" s="687"/>
      <c r="C494" s="687"/>
      <c r="D494" s="687"/>
      <c r="E494" s="687"/>
      <c r="F494" s="687"/>
      <c r="G494" s="687"/>
      <c r="H494" s="687"/>
      <c r="I494" s="687"/>
      <c r="J494" s="687"/>
      <c r="K494" s="687"/>
      <c r="L494" s="687"/>
      <c r="M494" s="687"/>
      <c r="N494" s="687"/>
      <c r="O494" s="687"/>
      <c r="P494" s="687"/>
      <c r="Q494" s="687"/>
      <c r="R494" s="687"/>
      <c r="S494" s="687"/>
      <c r="T494" s="687"/>
      <c r="U494" s="687"/>
      <c r="V494" s="687"/>
      <c r="W494" s="687"/>
      <c r="X494" s="687"/>
      <c r="Y494" s="687"/>
      <c r="Z494" s="687"/>
    </row>
    <row r="495" spans="1:26" ht="12" customHeight="1">
      <c r="A495" s="687"/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</row>
    <row r="496" spans="1:26" ht="12" customHeight="1">
      <c r="A496" s="687"/>
      <c r="B496" s="687"/>
      <c r="C496" s="687"/>
      <c r="D496" s="687"/>
      <c r="E496" s="687"/>
      <c r="F496" s="687"/>
      <c r="G496" s="687"/>
      <c r="H496" s="687"/>
      <c r="I496" s="687"/>
      <c r="J496" s="687"/>
      <c r="K496" s="687"/>
      <c r="L496" s="687"/>
      <c r="M496" s="687"/>
      <c r="N496" s="687"/>
      <c r="O496" s="687"/>
      <c r="P496" s="687"/>
      <c r="Q496" s="687"/>
      <c r="R496" s="687"/>
      <c r="S496" s="687"/>
      <c r="T496" s="687"/>
      <c r="U496" s="687"/>
      <c r="V496" s="687"/>
      <c r="W496" s="687"/>
      <c r="X496" s="687"/>
      <c r="Y496" s="687"/>
      <c r="Z496" s="687"/>
    </row>
    <row r="497" spans="1:26" ht="12" customHeight="1">
      <c r="A497" s="687"/>
      <c r="B497" s="687"/>
      <c r="C497" s="687"/>
      <c r="D497" s="687"/>
      <c r="E497" s="687"/>
      <c r="F497" s="687"/>
      <c r="G497" s="687"/>
      <c r="H497" s="687"/>
      <c r="I497" s="687"/>
      <c r="J497" s="687"/>
      <c r="K497" s="687"/>
      <c r="L497" s="687"/>
      <c r="M497" s="687"/>
      <c r="N497" s="687"/>
      <c r="O497" s="687"/>
      <c r="P497" s="687"/>
      <c r="Q497" s="687"/>
      <c r="R497" s="687"/>
      <c r="S497" s="687"/>
      <c r="T497" s="687"/>
      <c r="U497" s="687"/>
      <c r="V497" s="687"/>
      <c r="W497" s="687"/>
      <c r="X497" s="687"/>
      <c r="Y497" s="687"/>
      <c r="Z497" s="687"/>
    </row>
    <row r="498" spans="1:26" ht="12" customHeight="1">
      <c r="A498" s="687"/>
      <c r="B498" s="687"/>
      <c r="C498" s="687"/>
      <c r="D498" s="687"/>
      <c r="E498" s="687"/>
      <c r="F498" s="687"/>
      <c r="G498" s="687"/>
      <c r="H498" s="687"/>
      <c r="I498" s="687"/>
      <c r="J498" s="687"/>
      <c r="K498" s="687"/>
      <c r="L498" s="687"/>
      <c r="M498" s="687"/>
      <c r="N498" s="687"/>
      <c r="O498" s="687"/>
      <c r="P498" s="687"/>
      <c r="Q498" s="687"/>
      <c r="R498" s="687"/>
      <c r="S498" s="687"/>
      <c r="T498" s="687"/>
      <c r="U498" s="687"/>
      <c r="V498" s="687"/>
      <c r="W498" s="687"/>
      <c r="X498" s="687"/>
      <c r="Y498" s="687"/>
      <c r="Z498" s="687"/>
    </row>
    <row r="499" spans="1:26" ht="12" customHeight="1">
      <c r="A499" s="687"/>
      <c r="B499" s="687"/>
      <c r="C499" s="687"/>
      <c r="D499" s="687"/>
      <c r="E499" s="687"/>
      <c r="F499" s="687"/>
      <c r="G499" s="687"/>
      <c r="H499" s="687"/>
      <c r="I499" s="687"/>
      <c r="J499" s="687"/>
      <c r="K499" s="687"/>
      <c r="L499" s="687"/>
      <c r="M499" s="687"/>
      <c r="N499" s="687"/>
      <c r="O499" s="687"/>
      <c r="P499" s="687"/>
      <c r="Q499" s="687"/>
      <c r="R499" s="687"/>
      <c r="S499" s="687"/>
      <c r="T499" s="687"/>
      <c r="U499" s="687"/>
      <c r="V499" s="687"/>
      <c r="W499" s="687"/>
      <c r="X499" s="687"/>
      <c r="Y499" s="687"/>
      <c r="Z499" s="687"/>
    </row>
    <row r="500" spans="1:26" ht="12" customHeight="1">
      <c r="A500" s="687"/>
      <c r="B500" s="687"/>
      <c r="C500" s="687"/>
      <c r="D500" s="687"/>
      <c r="E500" s="687"/>
      <c r="F500" s="687"/>
      <c r="G500" s="687"/>
      <c r="H500" s="687"/>
      <c r="I500" s="687"/>
      <c r="J500" s="687"/>
      <c r="K500" s="687"/>
      <c r="L500" s="687"/>
      <c r="M500" s="687"/>
      <c r="N500" s="687"/>
      <c r="O500" s="687"/>
      <c r="P500" s="687"/>
      <c r="Q500" s="687"/>
      <c r="R500" s="687"/>
      <c r="S500" s="687"/>
      <c r="T500" s="687"/>
      <c r="U500" s="687"/>
      <c r="V500" s="687"/>
      <c r="W500" s="687"/>
      <c r="X500" s="687"/>
      <c r="Y500" s="687"/>
      <c r="Z500" s="687"/>
    </row>
    <row r="501" spans="1:26" ht="12" customHeight="1">
      <c r="A501" s="687"/>
      <c r="B501" s="687"/>
      <c r="C501" s="687"/>
      <c r="D501" s="687"/>
      <c r="E501" s="687"/>
      <c r="F501" s="687"/>
      <c r="G501" s="687"/>
      <c r="H501" s="687"/>
      <c r="I501" s="687"/>
      <c r="J501" s="687"/>
      <c r="K501" s="687"/>
      <c r="L501" s="687"/>
      <c r="M501" s="687"/>
      <c r="N501" s="687"/>
      <c r="O501" s="687"/>
      <c r="P501" s="687"/>
      <c r="Q501" s="687"/>
      <c r="R501" s="687"/>
      <c r="S501" s="687"/>
      <c r="T501" s="687"/>
      <c r="U501" s="687"/>
      <c r="V501" s="687"/>
      <c r="W501" s="687"/>
      <c r="X501" s="687"/>
      <c r="Y501" s="687"/>
      <c r="Z501" s="687"/>
    </row>
    <row r="502" spans="1:26" ht="12" customHeight="1">
      <c r="A502" s="687"/>
      <c r="B502" s="687"/>
      <c r="C502" s="687"/>
      <c r="D502" s="687"/>
      <c r="E502" s="687"/>
      <c r="F502" s="687"/>
      <c r="G502" s="687"/>
      <c r="H502" s="687"/>
      <c r="I502" s="687"/>
      <c r="J502" s="687"/>
      <c r="K502" s="687"/>
      <c r="L502" s="687"/>
      <c r="M502" s="687"/>
      <c r="N502" s="687"/>
      <c r="O502" s="687"/>
      <c r="P502" s="687"/>
      <c r="Q502" s="687"/>
      <c r="R502" s="687"/>
      <c r="S502" s="687"/>
      <c r="T502" s="687"/>
      <c r="U502" s="687"/>
      <c r="V502" s="687"/>
      <c r="W502" s="687"/>
      <c r="X502" s="687"/>
      <c r="Y502" s="687"/>
      <c r="Z502" s="687"/>
    </row>
    <row r="503" spans="1:26" ht="12" customHeight="1">
      <c r="A503" s="687"/>
      <c r="B503" s="687"/>
      <c r="C503" s="687"/>
      <c r="D503" s="687"/>
      <c r="E503" s="687"/>
      <c r="F503" s="687"/>
      <c r="G503" s="687"/>
      <c r="H503" s="687"/>
      <c r="I503" s="687"/>
      <c r="J503" s="687"/>
      <c r="K503" s="687"/>
      <c r="L503" s="687"/>
      <c r="M503" s="687"/>
      <c r="N503" s="687"/>
      <c r="O503" s="687"/>
      <c r="P503" s="687"/>
      <c r="Q503" s="687"/>
      <c r="R503" s="687"/>
      <c r="S503" s="687"/>
      <c r="T503" s="687"/>
      <c r="U503" s="687"/>
      <c r="V503" s="687"/>
      <c r="W503" s="687"/>
      <c r="X503" s="687"/>
      <c r="Y503" s="687"/>
      <c r="Z503" s="687"/>
    </row>
    <row r="504" spans="1:26" ht="12" customHeight="1">
      <c r="A504" s="687"/>
      <c r="B504" s="687"/>
      <c r="C504" s="687"/>
      <c r="D504" s="687"/>
      <c r="E504" s="687"/>
      <c r="F504" s="687"/>
      <c r="G504" s="687"/>
      <c r="H504" s="687"/>
      <c r="I504" s="687"/>
      <c r="J504" s="687"/>
      <c r="K504" s="687"/>
      <c r="L504" s="687"/>
      <c r="M504" s="687"/>
      <c r="N504" s="687"/>
      <c r="O504" s="687"/>
      <c r="P504" s="687"/>
      <c r="Q504" s="687"/>
      <c r="R504" s="687"/>
      <c r="S504" s="687"/>
      <c r="T504" s="687"/>
      <c r="U504" s="687"/>
      <c r="V504" s="687"/>
      <c r="W504" s="687"/>
      <c r="X504" s="687"/>
      <c r="Y504" s="687"/>
      <c r="Z504" s="687"/>
    </row>
    <row r="505" spans="1:26" ht="12" customHeight="1">
      <c r="A505" s="687"/>
      <c r="B505" s="687"/>
      <c r="C505" s="687"/>
      <c r="D505" s="687"/>
      <c r="E505" s="687"/>
      <c r="F505" s="687"/>
      <c r="G505" s="687"/>
      <c r="H505" s="687"/>
      <c r="I505" s="687"/>
      <c r="J505" s="687"/>
      <c r="K505" s="687"/>
      <c r="L505" s="687"/>
      <c r="M505" s="687"/>
      <c r="N505" s="687"/>
      <c r="O505" s="687"/>
      <c r="P505" s="687"/>
      <c r="Q505" s="687"/>
      <c r="R505" s="687"/>
      <c r="S505" s="687"/>
      <c r="T505" s="687"/>
      <c r="U505" s="687"/>
      <c r="V505" s="687"/>
      <c r="W505" s="687"/>
      <c r="X505" s="687"/>
      <c r="Y505" s="687"/>
      <c r="Z505" s="687"/>
    </row>
    <row r="506" spans="1:26" ht="12" customHeight="1">
      <c r="A506" s="687"/>
      <c r="B506" s="687"/>
      <c r="C506" s="687"/>
      <c r="D506" s="687"/>
      <c r="E506" s="687"/>
      <c r="F506" s="687"/>
      <c r="G506" s="687"/>
      <c r="H506" s="687"/>
      <c r="I506" s="687"/>
      <c r="J506" s="687"/>
      <c r="K506" s="687"/>
      <c r="L506" s="687"/>
      <c r="M506" s="687"/>
      <c r="N506" s="687"/>
      <c r="O506" s="687"/>
      <c r="P506" s="687"/>
      <c r="Q506" s="687"/>
      <c r="R506" s="687"/>
      <c r="S506" s="687"/>
      <c r="T506" s="687"/>
      <c r="U506" s="687"/>
      <c r="V506" s="687"/>
      <c r="W506" s="687"/>
      <c r="X506" s="687"/>
      <c r="Y506" s="687"/>
      <c r="Z506" s="687"/>
    </row>
    <row r="507" spans="1:26" ht="12" customHeight="1">
      <c r="A507" s="687"/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</row>
    <row r="508" spans="1:26" ht="12" customHeight="1">
      <c r="A508" s="687"/>
      <c r="B508" s="687"/>
      <c r="C508" s="687"/>
      <c r="D508" s="687"/>
      <c r="E508" s="687"/>
      <c r="F508" s="687"/>
      <c r="G508" s="687"/>
      <c r="H508" s="687"/>
      <c r="I508" s="687"/>
      <c r="J508" s="687"/>
      <c r="K508" s="687"/>
      <c r="L508" s="687"/>
      <c r="M508" s="687"/>
      <c r="N508" s="687"/>
      <c r="O508" s="687"/>
      <c r="P508" s="687"/>
      <c r="Q508" s="687"/>
      <c r="R508" s="687"/>
      <c r="S508" s="687"/>
      <c r="T508" s="687"/>
      <c r="U508" s="687"/>
      <c r="V508" s="687"/>
      <c r="W508" s="687"/>
      <c r="X508" s="687"/>
      <c r="Y508" s="687"/>
      <c r="Z508" s="687"/>
    </row>
    <row r="509" spans="1:26" ht="12" customHeight="1">
      <c r="A509" s="687"/>
      <c r="B509" s="687"/>
      <c r="C509" s="687"/>
      <c r="D509" s="687"/>
      <c r="E509" s="687"/>
      <c r="F509" s="687"/>
      <c r="G509" s="687"/>
      <c r="H509" s="687"/>
      <c r="I509" s="687"/>
      <c r="J509" s="687"/>
      <c r="K509" s="687"/>
      <c r="L509" s="687"/>
      <c r="M509" s="687"/>
      <c r="N509" s="687"/>
      <c r="O509" s="687"/>
      <c r="P509" s="687"/>
      <c r="Q509" s="687"/>
      <c r="R509" s="687"/>
      <c r="S509" s="687"/>
      <c r="T509" s="687"/>
      <c r="U509" s="687"/>
      <c r="V509" s="687"/>
      <c r="W509" s="687"/>
      <c r="X509" s="687"/>
      <c r="Y509" s="687"/>
      <c r="Z509" s="687"/>
    </row>
    <row r="510" spans="1:26" ht="12" customHeight="1">
      <c r="A510" s="687"/>
      <c r="B510" s="687"/>
      <c r="C510" s="687"/>
      <c r="D510" s="687"/>
      <c r="E510" s="687"/>
      <c r="F510" s="687"/>
      <c r="G510" s="687"/>
      <c r="H510" s="687"/>
      <c r="I510" s="687"/>
      <c r="J510" s="687"/>
      <c r="K510" s="687"/>
      <c r="L510" s="687"/>
      <c r="M510" s="687"/>
      <c r="N510" s="687"/>
      <c r="O510" s="687"/>
      <c r="P510" s="687"/>
      <c r="Q510" s="687"/>
      <c r="R510" s="687"/>
      <c r="S510" s="687"/>
      <c r="T510" s="687"/>
      <c r="U510" s="687"/>
      <c r="V510" s="687"/>
      <c r="W510" s="687"/>
      <c r="X510" s="687"/>
      <c r="Y510" s="687"/>
      <c r="Z510" s="687"/>
    </row>
    <row r="511" spans="1:26" ht="12" customHeight="1">
      <c r="A511" s="687"/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</row>
    <row r="512" spans="1:26" ht="12" customHeight="1">
      <c r="A512" s="687"/>
      <c r="B512" s="687"/>
      <c r="C512" s="687"/>
      <c r="D512" s="687"/>
      <c r="E512" s="687"/>
      <c r="F512" s="687"/>
      <c r="G512" s="687"/>
      <c r="H512" s="687"/>
      <c r="I512" s="687"/>
      <c r="J512" s="687"/>
      <c r="K512" s="687"/>
      <c r="L512" s="687"/>
      <c r="M512" s="687"/>
      <c r="N512" s="687"/>
      <c r="O512" s="687"/>
      <c r="P512" s="687"/>
      <c r="Q512" s="687"/>
      <c r="R512" s="687"/>
      <c r="S512" s="687"/>
      <c r="T512" s="687"/>
      <c r="U512" s="687"/>
      <c r="V512" s="687"/>
      <c r="W512" s="687"/>
      <c r="X512" s="687"/>
      <c r="Y512" s="687"/>
      <c r="Z512" s="687"/>
    </row>
    <row r="513" spans="1:26" ht="12" customHeight="1">
      <c r="A513" s="687"/>
      <c r="B513" s="687"/>
      <c r="C513" s="687"/>
      <c r="D513" s="687"/>
      <c r="E513" s="687"/>
      <c r="F513" s="687"/>
      <c r="G513" s="687"/>
      <c r="H513" s="687"/>
      <c r="I513" s="687"/>
      <c r="J513" s="687"/>
      <c r="K513" s="687"/>
      <c r="L513" s="687"/>
      <c r="M513" s="687"/>
      <c r="N513" s="687"/>
      <c r="O513" s="687"/>
      <c r="P513" s="687"/>
      <c r="Q513" s="687"/>
      <c r="R513" s="687"/>
      <c r="S513" s="687"/>
      <c r="T513" s="687"/>
      <c r="U513" s="687"/>
      <c r="V513" s="687"/>
      <c r="W513" s="687"/>
      <c r="X513" s="687"/>
      <c r="Y513" s="687"/>
      <c r="Z513" s="687"/>
    </row>
    <row r="514" spans="1:26" ht="12" customHeight="1">
      <c r="A514" s="687"/>
      <c r="B514" s="687"/>
      <c r="C514" s="687"/>
      <c r="D514" s="687"/>
      <c r="E514" s="687"/>
      <c r="F514" s="687"/>
      <c r="G514" s="687"/>
      <c r="H514" s="687"/>
      <c r="I514" s="687"/>
      <c r="J514" s="687"/>
      <c r="K514" s="687"/>
      <c r="L514" s="687"/>
      <c r="M514" s="687"/>
      <c r="N514" s="687"/>
      <c r="O514" s="687"/>
      <c r="P514" s="687"/>
      <c r="Q514" s="687"/>
      <c r="R514" s="687"/>
      <c r="S514" s="687"/>
      <c r="T514" s="687"/>
      <c r="U514" s="687"/>
      <c r="V514" s="687"/>
      <c r="W514" s="687"/>
      <c r="X514" s="687"/>
      <c r="Y514" s="687"/>
      <c r="Z514" s="687"/>
    </row>
    <row r="515" spans="1:26" ht="12" customHeight="1">
      <c r="A515" s="687"/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</row>
    <row r="516" spans="1:26" ht="12" customHeight="1">
      <c r="A516" s="687"/>
      <c r="B516" s="687"/>
      <c r="C516" s="687"/>
      <c r="D516" s="687"/>
      <c r="E516" s="687"/>
      <c r="F516" s="687"/>
      <c r="G516" s="687"/>
      <c r="H516" s="687"/>
      <c r="I516" s="687"/>
      <c r="J516" s="687"/>
      <c r="K516" s="687"/>
      <c r="L516" s="687"/>
      <c r="M516" s="687"/>
      <c r="N516" s="687"/>
      <c r="O516" s="687"/>
      <c r="P516" s="687"/>
      <c r="Q516" s="687"/>
      <c r="R516" s="687"/>
      <c r="S516" s="687"/>
      <c r="T516" s="687"/>
      <c r="U516" s="687"/>
      <c r="V516" s="687"/>
      <c r="W516" s="687"/>
      <c r="X516" s="687"/>
      <c r="Y516" s="687"/>
      <c r="Z516" s="687"/>
    </row>
    <row r="517" spans="1:26" ht="12" customHeight="1">
      <c r="A517" s="687"/>
      <c r="B517" s="687"/>
      <c r="C517" s="687"/>
      <c r="D517" s="687"/>
      <c r="E517" s="687"/>
      <c r="F517" s="687"/>
      <c r="G517" s="687"/>
      <c r="H517" s="687"/>
      <c r="I517" s="687"/>
      <c r="J517" s="687"/>
      <c r="K517" s="687"/>
      <c r="L517" s="687"/>
      <c r="M517" s="687"/>
      <c r="N517" s="687"/>
      <c r="O517" s="687"/>
      <c r="P517" s="687"/>
      <c r="Q517" s="687"/>
      <c r="R517" s="687"/>
      <c r="S517" s="687"/>
      <c r="T517" s="687"/>
      <c r="U517" s="687"/>
      <c r="V517" s="687"/>
      <c r="W517" s="687"/>
      <c r="X517" s="687"/>
      <c r="Y517" s="687"/>
      <c r="Z517" s="687"/>
    </row>
    <row r="518" spans="1:26" ht="12" customHeight="1">
      <c r="A518" s="687"/>
      <c r="B518" s="687"/>
      <c r="C518" s="687"/>
      <c r="D518" s="687"/>
      <c r="E518" s="687"/>
      <c r="F518" s="687"/>
      <c r="G518" s="687"/>
      <c r="H518" s="687"/>
      <c r="I518" s="687"/>
      <c r="J518" s="687"/>
      <c r="K518" s="687"/>
      <c r="L518" s="687"/>
      <c r="M518" s="687"/>
      <c r="N518" s="687"/>
      <c r="O518" s="687"/>
      <c r="P518" s="687"/>
      <c r="Q518" s="687"/>
      <c r="R518" s="687"/>
      <c r="S518" s="687"/>
      <c r="T518" s="687"/>
      <c r="U518" s="687"/>
      <c r="V518" s="687"/>
      <c r="W518" s="687"/>
      <c r="X518" s="687"/>
      <c r="Y518" s="687"/>
      <c r="Z518" s="687"/>
    </row>
    <row r="519" spans="1:26" ht="12" customHeight="1">
      <c r="A519" s="687"/>
      <c r="B519" s="687"/>
      <c r="C519" s="687"/>
      <c r="D519" s="687"/>
      <c r="E519" s="687"/>
      <c r="F519" s="687"/>
      <c r="G519" s="687"/>
      <c r="H519" s="687"/>
      <c r="I519" s="687"/>
      <c r="J519" s="687"/>
      <c r="K519" s="687"/>
      <c r="L519" s="687"/>
      <c r="M519" s="687"/>
      <c r="N519" s="687"/>
      <c r="O519" s="687"/>
      <c r="P519" s="687"/>
      <c r="Q519" s="687"/>
      <c r="R519" s="687"/>
      <c r="S519" s="687"/>
      <c r="T519" s="687"/>
      <c r="U519" s="687"/>
      <c r="V519" s="687"/>
      <c r="W519" s="687"/>
      <c r="X519" s="687"/>
      <c r="Y519" s="687"/>
      <c r="Z519" s="687"/>
    </row>
    <row r="520" spans="1:26" ht="12" customHeight="1">
      <c r="A520" s="687"/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</row>
    <row r="521" spans="1:26" ht="12" customHeight="1">
      <c r="A521" s="687"/>
      <c r="B521" s="687"/>
      <c r="C521" s="687"/>
      <c r="D521" s="687"/>
      <c r="E521" s="687"/>
      <c r="F521" s="687"/>
      <c r="G521" s="687"/>
      <c r="H521" s="687"/>
      <c r="I521" s="687"/>
      <c r="J521" s="687"/>
      <c r="K521" s="687"/>
      <c r="L521" s="687"/>
      <c r="M521" s="687"/>
      <c r="N521" s="687"/>
      <c r="O521" s="687"/>
      <c r="P521" s="687"/>
      <c r="Q521" s="687"/>
      <c r="R521" s="687"/>
      <c r="S521" s="687"/>
      <c r="T521" s="687"/>
      <c r="U521" s="687"/>
      <c r="V521" s="687"/>
      <c r="W521" s="687"/>
      <c r="X521" s="687"/>
      <c r="Y521" s="687"/>
      <c r="Z521" s="687"/>
    </row>
    <row r="522" spans="1:26" ht="12" customHeight="1">
      <c r="A522" s="687"/>
      <c r="B522" s="687"/>
      <c r="C522" s="687"/>
      <c r="D522" s="687"/>
      <c r="E522" s="687"/>
      <c r="F522" s="687"/>
      <c r="G522" s="687"/>
      <c r="H522" s="687"/>
      <c r="I522" s="687"/>
      <c r="J522" s="687"/>
      <c r="K522" s="687"/>
      <c r="L522" s="687"/>
      <c r="M522" s="687"/>
      <c r="N522" s="687"/>
      <c r="O522" s="687"/>
      <c r="P522" s="687"/>
      <c r="Q522" s="687"/>
      <c r="R522" s="687"/>
      <c r="S522" s="687"/>
      <c r="T522" s="687"/>
      <c r="U522" s="687"/>
      <c r="V522" s="687"/>
      <c r="W522" s="687"/>
      <c r="X522" s="687"/>
      <c r="Y522" s="687"/>
      <c r="Z522" s="687"/>
    </row>
    <row r="523" spans="1:26" ht="12" customHeight="1">
      <c r="A523" s="687"/>
      <c r="B523" s="687"/>
      <c r="C523" s="687"/>
      <c r="D523" s="687"/>
      <c r="E523" s="687"/>
      <c r="F523" s="687"/>
      <c r="G523" s="687"/>
      <c r="H523" s="687"/>
      <c r="I523" s="687"/>
      <c r="J523" s="687"/>
      <c r="K523" s="687"/>
      <c r="L523" s="687"/>
      <c r="M523" s="687"/>
      <c r="N523" s="687"/>
      <c r="O523" s="687"/>
      <c r="P523" s="687"/>
      <c r="Q523" s="687"/>
      <c r="R523" s="687"/>
      <c r="S523" s="687"/>
      <c r="T523" s="687"/>
      <c r="U523" s="687"/>
      <c r="V523" s="687"/>
      <c r="W523" s="687"/>
      <c r="X523" s="687"/>
      <c r="Y523" s="687"/>
      <c r="Z523" s="687"/>
    </row>
    <row r="524" spans="1:26" ht="12" customHeight="1">
      <c r="A524" s="687"/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</row>
    <row r="525" spans="1:26" ht="12" customHeight="1">
      <c r="A525" s="687"/>
      <c r="B525" s="687"/>
      <c r="C525" s="687"/>
      <c r="D525" s="687"/>
      <c r="E525" s="687"/>
      <c r="F525" s="687"/>
      <c r="G525" s="687"/>
      <c r="H525" s="687"/>
      <c r="I525" s="687"/>
      <c r="J525" s="687"/>
      <c r="K525" s="687"/>
      <c r="L525" s="687"/>
      <c r="M525" s="687"/>
      <c r="N525" s="687"/>
      <c r="O525" s="687"/>
      <c r="P525" s="687"/>
      <c r="Q525" s="687"/>
      <c r="R525" s="687"/>
      <c r="S525" s="687"/>
      <c r="T525" s="687"/>
      <c r="U525" s="687"/>
      <c r="V525" s="687"/>
      <c r="W525" s="687"/>
      <c r="X525" s="687"/>
      <c r="Y525" s="687"/>
      <c r="Z525" s="687"/>
    </row>
    <row r="526" spans="1:26" ht="12" customHeight="1">
      <c r="A526" s="687"/>
      <c r="B526" s="687"/>
      <c r="C526" s="687"/>
      <c r="D526" s="687"/>
      <c r="E526" s="687"/>
      <c r="F526" s="687"/>
      <c r="G526" s="687"/>
      <c r="H526" s="687"/>
      <c r="I526" s="687"/>
      <c r="J526" s="687"/>
      <c r="K526" s="687"/>
      <c r="L526" s="687"/>
      <c r="M526" s="687"/>
      <c r="N526" s="687"/>
      <c r="O526" s="687"/>
      <c r="P526" s="687"/>
      <c r="Q526" s="687"/>
      <c r="R526" s="687"/>
      <c r="S526" s="687"/>
      <c r="T526" s="687"/>
      <c r="U526" s="687"/>
      <c r="V526" s="687"/>
      <c r="W526" s="687"/>
      <c r="X526" s="687"/>
      <c r="Y526" s="687"/>
      <c r="Z526" s="687"/>
    </row>
    <row r="527" spans="1:26" ht="12" customHeight="1">
      <c r="A527" s="687"/>
      <c r="B527" s="687"/>
      <c r="C527" s="687"/>
      <c r="D527" s="687"/>
      <c r="E527" s="687"/>
      <c r="F527" s="687"/>
      <c r="G527" s="687"/>
      <c r="H527" s="687"/>
      <c r="I527" s="687"/>
      <c r="J527" s="687"/>
      <c r="K527" s="687"/>
      <c r="L527" s="687"/>
      <c r="M527" s="687"/>
      <c r="N527" s="687"/>
      <c r="O527" s="687"/>
      <c r="P527" s="687"/>
      <c r="Q527" s="687"/>
      <c r="R527" s="687"/>
      <c r="S527" s="687"/>
      <c r="T527" s="687"/>
      <c r="U527" s="687"/>
      <c r="V527" s="687"/>
      <c r="W527" s="687"/>
      <c r="X527" s="687"/>
      <c r="Y527" s="687"/>
      <c r="Z527" s="687"/>
    </row>
    <row r="528" spans="1:26" ht="12" customHeight="1">
      <c r="A528" s="687"/>
      <c r="B528" s="687"/>
      <c r="C528" s="687"/>
      <c r="D528" s="687"/>
      <c r="E528" s="687"/>
      <c r="F528" s="687"/>
      <c r="G528" s="687"/>
      <c r="H528" s="687"/>
      <c r="I528" s="687"/>
      <c r="J528" s="687"/>
      <c r="K528" s="687"/>
      <c r="L528" s="687"/>
      <c r="M528" s="687"/>
      <c r="N528" s="687"/>
      <c r="O528" s="687"/>
      <c r="P528" s="687"/>
      <c r="Q528" s="687"/>
      <c r="R528" s="687"/>
      <c r="S528" s="687"/>
      <c r="T528" s="687"/>
      <c r="U528" s="687"/>
      <c r="V528" s="687"/>
      <c r="W528" s="687"/>
      <c r="X528" s="687"/>
      <c r="Y528" s="687"/>
      <c r="Z528" s="687"/>
    </row>
    <row r="529" spans="1:26" ht="12" customHeight="1">
      <c r="A529" s="687"/>
      <c r="B529" s="687"/>
      <c r="C529" s="687"/>
      <c r="D529" s="687"/>
      <c r="E529" s="687"/>
      <c r="F529" s="687"/>
      <c r="G529" s="687"/>
      <c r="H529" s="687"/>
      <c r="I529" s="687"/>
      <c r="J529" s="687"/>
      <c r="K529" s="687"/>
      <c r="L529" s="687"/>
      <c r="M529" s="687"/>
      <c r="N529" s="687"/>
      <c r="O529" s="687"/>
      <c r="P529" s="687"/>
      <c r="Q529" s="687"/>
      <c r="R529" s="687"/>
      <c r="S529" s="687"/>
      <c r="T529" s="687"/>
      <c r="U529" s="687"/>
      <c r="V529" s="687"/>
      <c r="W529" s="687"/>
      <c r="X529" s="687"/>
      <c r="Y529" s="687"/>
      <c r="Z529" s="687"/>
    </row>
    <row r="530" spans="1:26" ht="12" customHeight="1">
      <c r="A530" s="687"/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</row>
    <row r="531" spans="1:26" ht="12" customHeight="1">
      <c r="A531" s="687"/>
      <c r="B531" s="687"/>
      <c r="C531" s="687"/>
      <c r="D531" s="687"/>
      <c r="E531" s="687"/>
      <c r="F531" s="687"/>
      <c r="G531" s="687"/>
      <c r="H531" s="687"/>
      <c r="I531" s="687"/>
      <c r="J531" s="687"/>
      <c r="K531" s="687"/>
      <c r="L531" s="687"/>
      <c r="M531" s="687"/>
      <c r="N531" s="687"/>
      <c r="O531" s="687"/>
      <c r="P531" s="687"/>
      <c r="Q531" s="687"/>
      <c r="R531" s="687"/>
      <c r="S531" s="687"/>
      <c r="T531" s="687"/>
      <c r="U531" s="687"/>
      <c r="V531" s="687"/>
      <c r="W531" s="687"/>
      <c r="X531" s="687"/>
      <c r="Y531" s="687"/>
      <c r="Z531" s="687"/>
    </row>
    <row r="532" spans="1:26" ht="12" customHeight="1">
      <c r="A532" s="687"/>
      <c r="B532" s="687"/>
      <c r="C532" s="687"/>
      <c r="D532" s="687"/>
      <c r="E532" s="687"/>
      <c r="F532" s="687"/>
      <c r="G532" s="687"/>
      <c r="H532" s="687"/>
      <c r="I532" s="687"/>
      <c r="J532" s="687"/>
      <c r="K532" s="687"/>
      <c r="L532" s="687"/>
      <c r="M532" s="687"/>
      <c r="N532" s="687"/>
      <c r="O532" s="687"/>
      <c r="P532" s="687"/>
      <c r="Q532" s="687"/>
      <c r="R532" s="687"/>
      <c r="S532" s="687"/>
      <c r="T532" s="687"/>
      <c r="U532" s="687"/>
      <c r="V532" s="687"/>
      <c r="W532" s="687"/>
      <c r="X532" s="687"/>
      <c r="Y532" s="687"/>
      <c r="Z532" s="687"/>
    </row>
    <row r="533" spans="1:26" ht="12" customHeight="1">
      <c r="A533" s="687"/>
      <c r="B533" s="687"/>
      <c r="C533" s="687"/>
      <c r="D533" s="687"/>
      <c r="E533" s="687"/>
      <c r="F533" s="687"/>
      <c r="G533" s="687"/>
      <c r="H533" s="687"/>
      <c r="I533" s="687"/>
      <c r="J533" s="687"/>
      <c r="K533" s="687"/>
      <c r="L533" s="687"/>
      <c r="M533" s="687"/>
      <c r="N533" s="687"/>
      <c r="O533" s="687"/>
      <c r="P533" s="687"/>
      <c r="Q533" s="687"/>
      <c r="R533" s="687"/>
      <c r="S533" s="687"/>
      <c r="T533" s="687"/>
      <c r="U533" s="687"/>
      <c r="V533" s="687"/>
      <c r="W533" s="687"/>
      <c r="X533" s="687"/>
      <c r="Y533" s="687"/>
      <c r="Z533" s="687"/>
    </row>
    <row r="534" spans="1:26" ht="12" customHeight="1">
      <c r="A534" s="687"/>
      <c r="B534" s="687"/>
      <c r="C534" s="687"/>
      <c r="D534" s="687"/>
      <c r="E534" s="687"/>
      <c r="F534" s="687"/>
      <c r="G534" s="687"/>
      <c r="H534" s="687"/>
      <c r="I534" s="687"/>
      <c r="J534" s="687"/>
      <c r="K534" s="687"/>
      <c r="L534" s="687"/>
      <c r="M534" s="687"/>
      <c r="N534" s="687"/>
      <c r="O534" s="687"/>
      <c r="P534" s="687"/>
      <c r="Q534" s="687"/>
      <c r="R534" s="687"/>
      <c r="S534" s="687"/>
      <c r="T534" s="687"/>
      <c r="U534" s="687"/>
      <c r="V534" s="687"/>
      <c r="W534" s="687"/>
      <c r="X534" s="687"/>
      <c r="Y534" s="687"/>
      <c r="Z534" s="687"/>
    </row>
    <row r="535" spans="1:26" ht="12" customHeight="1">
      <c r="A535" s="687"/>
      <c r="B535" s="687"/>
      <c r="C535" s="687"/>
      <c r="D535" s="687"/>
      <c r="E535" s="687"/>
      <c r="F535" s="687"/>
      <c r="G535" s="687"/>
      <c r="H535" s="687"/>
      <c r="I535" s="687"/>
      <c r="J535" s="687"/>
      <c r="K535" s="687"/>
      <c r="L535" s="687"/>
      <c r="M535" s="687"/>
      <c r="N535" s="687"/>
      <c r="O535" s="687"/>
      <c r="P535" s="687"/>
      <c r="Q535" s="687"/>
      <c r="R535" s="687"/>
      <c r="S535" s="687"/>
      <c r="T535" s="687"/>
      <c r="U535" s="687"/>
      <c r="V535" s="687"/>
      <c r="W535" s="687"/>
      <c r="X535" s="687"/>
      <c r="Y535" s="687"/>
      <c r="Z535" s="687"/>
    </row>
    <row r="536" spans="1:26" ht="12" customHeight="1">
      <c r="A536" s="687"/>
      <c r="B536" s="687"/>
      <c r="C536" s="687"/>
      <c r="D536" s="687"/>
      <c r="E536" s="687"/>
      <c r="F536" s="687"/>
      <c r="G536" s="687"/>
      <c r="H536" s="687"/>
      <c r="I536" s="687"/>
      <c r="J536" s="687"/>
      <c r="K536" s="687"/>
      <c r="L536" s="687"/>
      <c r="M536" s="687"/>
      <c r="N536" s="687"/>
      <c r="O536" s="687"/>
      <c r="P536" s="687"/>
      <c r="Q536" s="687"/>
      <c r="R536" s="687"/>
      <c r="S536" s="687"/>
      <c r="T536" s="687"/>
      <c r="U536" s="687"/>
      <c r="V536" s="687"/>
      <c r="W536" s="687"/>
      <c r="X536" s="687"/>
      <c r="Y536" s="687"/>
      <c r="Z536" s="687"/>
    </row>
    <row r="537" spans="1:26" ht="12" customHeight="1">
      <c r="A537" s="687"/>
      <c r="B537" s="687"/>
      <c r="C537" s="687"/>
      <c r="D537" s="687"/>
      <c r="E537" s="687"/>
      <c r="F537" s="687"/>
      <c r="G537" s="687"/>
      <c r="H537" s="687"/>
      <c r="I537" s="687"/>
      <c r="J537" s="687"/>
      <c r="K537" s="687"/>
      <c r="L537" s="687"/>
      <c r="M537" s="687"/>
      <c r="N537" s="687"/>
      <c r="O537" s="687"/>
      <c r="P537" s="687"/>
      <c r="Q537" s="687"/>
      <c r="R537" s="687"/>
      <c r="S537" s="687"/>
      <c r="T537" s="687"/>
      <c r="U537" s="687"/>
      <c r="V537" s="687"/>
      <c r="W537" s="687"/>
      <c r="X537" s="687"/>
      <c r="Y537" s="687"/>
      <c r="Z537" s="687"/>
    </row>
    <row r="538" spans="1:26" ht="12" customHeight="1">
      <c r="A538" s="687"/>
      <c r="B538" s="687"/>
      <c r="C538" s="687"/>
      <c r="D538" s="687"/>
      <c r="E538" s="687"/>
      <c r="F538" s="687"/>
      <c r="G538" s="687"/>
      <c r="H538" s="687"/>
      <c r="I538" s="687"/>
      <c r="J538" s="687"/>
      <c r="K538" s="687"/>
      <c r="L538" s="687"/>
      <c r="M538" s="687"/>
      <c r="N538" s="687"/>
      <c r="O538" s="687"/>
      <c r="P538" s="687"/>
      <c r="Q538" s="687"/>
      <c r="R538" s="687"/>
      <c r="S538" s="687"/>
      <c r="T538" s="687"/>
      <c r="U538" s="687"/>
      <c r="V538" s="687"/>
      <c r="W538" s="687"/>
      <c r="X538" s="687"/>
      <c r="Y538" s="687"/>
      <c r="Z538" s="687"/>
    </row>
    <row r="539" spans="1:26" ht="12" customHeight="1">
      <c r="A539" s="687"/>
      <c r="B539" s="687"/>
      <c r="C539" s="687"/>
      <c r="D539" s="687"/>
      <c r="E539" s="687"/>
      <c r="F539" s="687"/>
      <c r="G539" s="687"/>
      <c r="H539" s="687"/>
      <c r="I539" s="687"/>
      <c r="J539" s="687"/>
      <c r="K539" s="687"/>
      <c r="L539" s="687"/>
      <c r="M539" s="687"/>
      <c r="N539" s="687"/>
      <c r="O539" s="687"/>
      <c r="P539" s="687"/>
      <c r="Q539" s="687"/>
      <c r="R539" s="687"/>
      <c r="S539" s="687"/>
      <c r="T539" s="687"/>
      <c r="U539" s="687"/>
      <c r="V539" s="687"/>
      <c r="W539" s="687"/>
      <c r="X539" s="687"/>
      <c r="Y539" s="687"/>
      <c r="Z539" s="687"/>
    </row>
    <row r="540" spans="1:26" ht="12" customHeight="1">
      <c r="A540" s="687"/>
      <c r="B540" s="687"/>
      <c r="C540" s="687"/>
      <c r="D540" s="687"/>
      <c r="E540" s="687"/>
      <c r="F540" s="687"/>
      <c r="G540" s="687"/>
      <c r="H540" s="687"/>
      <c r="I540" s="687"/>
      <c r="J540" s="687"/>
      <c r="K540" s="687"/>
      <c r="L540" s="687"/>
      <c r="M540" s="687"/>
      <c r="N540" s="687"/>
      <c r="O540" s="687"/>
      <c r="P540" s="687"/>
      <c r="Q540" s="687"/>
      <c r="R540" s="687"/>
      <c r="S540" s="687"/>
      <c r="T540" s="687"/>
      <c r="U540" s="687"/>
      <c r="V540" s="687"/>
      <c r="W540" s="687"/>
      <c r="X540" s="687"/>
      <c r="Y540" s="687"/>
      <c r="Z540" s="687"/>
    </row>
    <row r="541" spans="1:26" ht="12" customHeight="1">
      <c r="A541" s="687"/>
      <c r="B541" s="687"/>
      <c r="C541" s="687"/>
      <c r="D541" s="687"/>
      <c r="E541" s="687"/>
      <c r="F541" s="687"/>
      <c r="G541" s="687"/>
      <c r="H541" s="687"/>
      <c r="I541" s="687"/>
      <c r="J541" s="687"/>
      <c r="K541" s="687"/>
      <c r="L541" s="687"/>
      <c r="M541" s="687"/>
      <c r="N541" s="687"/>
      <c r="O541" s="687"/>
      <c r="P541" s="687"/>
      <c r="Q541" s="687"/>
      <c r="R541" s="687"/>
      <c r="S541" s="687"/>
      <c r="T541" s="687"/>
      <c r="U541" s="687"/>
      <c r="V541" s="687"/>
      <c r="W541" s="687"/>
      <c r="X541" s="687"/>
      <c r="Y541" s="687"/>
      <c r="Z541" s="687"/>
    </row>
    <row r="542" spans="1:26" ht="12" customHeight="1">
      <c r="A542" s="687"/>
      <c r="B542" s="687"/>
      <c r="C542" s="687"/>
      <c r="D542" s="687"/>
      <c r="E542" s="687"/>
      <c r="F542" s="687"/>
      <c r="G542" s="687"/>
      <c r="H542" s="687"/>
      <c r="I542" s="687"/>
      <c r="J542" s="687"/>
      <c r="K542" s="687"/>
      <c r="L542" s="687"/>
      <c r="M542" s="687"/>
      <c r="N542" s="687"/>
      <c r="O542" s="687"/>
      <c r="P542" s="687"/>
      <c r="Q542" s="687"/>
      <c r="R542" s="687"/>
      <c r="S542" s="687"/>
      <c r="T542" s="687"/>
      <c r="U542" s="687"/>
      <c r="V542" s="687"/>
      <c r="W542" s="687"/>
      <c r="X542" s="687"/>
      <c r="Y542" s="687"/>
      <c r="Z542" s="687"/>
    </row>
    <row r="543" spans="1:26" ht="12" customHeight="1">
      <c r="A543" s="687"/>
      <c r="B543" s="687"/>
      <c r="C543" s="687"/>
      <c r="D543" s="687"/>
      <c r="E543" s="687"/>
      <c r="F543" s="687"/>
      <c r="G543" s="687"/>
      <c r="H543" s="687"/>
      <c r="I543" s="687"/>
      <c r="J543" s="687"/>
      <c r="K543" s="687"/>
      <c r="L543" s="687"/>
      <c r="M543" s="687"/>
      <c r="N543" s="687"/>
      <c r="O543" s="687"/>
      <c r="P543" s="687"/>
      <c r="Q543" s="687"/>
      <c r="R543" s="687"/>
      <c r="S543" s="687"/>
      <c r="T543" s="687"/>
      <c r="U543" s="687"/>
      <c r="V543" s="687"/>
      <c r="W543" s="687"/>
      <c r="X543" s="687"/>
      <c r="Y543" s="687"/>
      <c r="Z543" s="687"/>
    </row>
    <row r="544" spans="1:26" ht="12" customHeight="1">
      <c r="A544" s="687"/>
      <c r="B544" s="687"/>
      <c r="C544" s="687"/>
      <c r="D544" s="687"/>
      <c r="E544" s="687"/>
      <c r="F544" s="687"/>
      <c r="G544" s="687"/>
      <c r="H544" s="687"/>
      <c r="I544" s="687"/>
      <c r="J544" s="687"/>
      <c r="K544" s="687"/>
      <c r="L544" s="687"/>
      <c r="M544" s="687"/>
      <c r="N544" s="687"/>
      <c r="O544" s="687"/>
      <c r="P544" s="687"/>
      <c r="Q544" s="687"/>
      <c r="R544" s="687"/>
      <c r="S544" s="687"/>
      <c r="T544" s="687"/>
      <c r="U544" s="687"/>
      <c r="V544" s="687"/>
      <c r="W544" s="687"/>
      <c r="X544" s="687"/>
      <c r="Y544" s="687"/>
      <c r="Z544" s="687"/>
    </row>
    <row r="545" spans="1:26" ht="12" customHeight="1">
      <c r="A545" s="687"/>
      <c r="B545" s="687"/>
      <c r="C545" s="687"/>
      <c r="D545" s="687"/>
      <c r="E545" s="687"/>
      <c r="F545" s="687"/>
      <c r="G545" s="687"/>
      <c r="H545" s="687"/>
      <c r="I545" s="687"/>
      <c r="J545" s="687"/>
      <c r="K545" s="687"/>
      <c r="L545" s="687"/>
      <c r="M545" s="687"/>
      <c r="N545" s="687"/>
      <c r="O545" s="687"/>
      <c r="P545" s="687"/>
      <c r="Q545" s="687"/>
      <c r="R545" s="687"/>
      <c r="S545" s="687"/>
      <c r="T545" s="687"/>
      <c r="U545" s="687"/>
      <c r="V545" s="687"/>
      <c r="W545" s="687"/>
      <c r="X545" s="687"/>
      <c r="Y545" s="687"/>
      <c r="Z545" s="687"/>
    </row>
    <row r="546" spans="1:26" ht="12" customHeight="1">
      <c r="A546" s="687"/>
      <c r="B546" s="687"/>
      <c r="C546" s="687"/>
      <c r="D546" s="687"/>
      <c r="E546" s="687"/>
      <c r="F546" s="687"/>
      <c r="G546" s="687"/>
      <c r="H546" s="687"/>
      <c r="I546" s="687"/>
      <c r="J546" s="687"/>
      <c r="K546" s="687"/>
      <c r="L546" s="687"/>
      <c r="M546" s="687"/>
      <c r="N546" s="687"/>
      <c r="O546" s="687"/>
      <c r="P546" s="687"/>
      <c r="Q546" s="687"/>
      <c r="R546" s="687"/>
      <c r="S546" s="687"/>
      <c r="T546" s="687"/>
      <c r="U546" s="687"/>
      <c r="V546" s="687"/>
      <c r="W546" s="687"/>
      <c r="X546" s="687"/>
      <c r="Y546" s="687"/>
      <c r="Z546" s="687"/>
    </row>
    <row r="547" spans="1:26" ht="12" customHeight="1">
      <c r="A547" s="687"/>
      <c r="B547" s="687"/>
      <c r="C547" s="687"/>
      <c r="D547" s="687"/>
      <c r="E547" s="687"/>
      <c r="F547" s="687"/>
      <c r="G547" s="687"/>
      <c r="H547" s="687"/>
      <c r="I547" s="687"/>
      <c r="J547" s="687"/>
      <c r="K547" s="687"/>
      <c r="L547" s="687"/>
      <c r="M547" s="687"/>
      <c r="N547" s="687"/>
      <c r="O547" s="687"/>
      <c r="P547" s="687"/>
      <c r="Q547" s="687"/>
      <c r="R547" s="687"/>
      <c r="S547" s="687"/>
      <c r="T547" s="687"/>
      <c r="U547" s="687"/>
      <c r="V547" s="687"/>
      <c r="W547" s="687"/>
      <c r="X547" s="687"/>
      <c r="Y547" s="687"/>
      <c r="Z547" s="687"/>
    </row>
    <row r="548" spans="1:26" ht="12" customHeight="1">
      <c r="A548" s="687"/>
      <c r="B548" s="687"/>
      <c r="C548" s="687"/>
      <c r="D548" s="687"/>
      <c r="E548" s="687"/>
      <c r="F548" s="687"/>
      <c r="G548" s="687"/>
      <c r="H548" s="687"/>
      <c r="I548" s="687"/>
      <c r="J548" s="687"/>
      <c r="K548" s="687"/>
      <c r="L548" s="687"/>
      <c r="M548" s="687"/>
      <c r="N548" s="687"/>
      <c r="O548" s="687"/>
      <c r="P548" s="687"/>
      <c r="Q548" s="687"/>
      <c r="R548" s="687"/>
      <c r="S548" s="687"/>
      <c r="T548" s="687"/>
      <c r="U548" s="687"/>
      <c r="V548" s="687"/>
      <c r="W548" s="687"/>
      <c r="X548" s="687"/>
      <c r="Y548" s="687"/>
      <c r="Z548" s="687"/>
    </row>
    <row r="549" spans="1:26" ht="12" customHeight="1">
      <c r="A549" s="687"/>
      <c r="B549" s="687"/>
      <c r="C549" s="687"/>
      <c r="D549" s="687"/>
      <c r="E549" s="687"/>
      <c r="F549" s="687"/>
      <c r="G549" s="687"/>
      <c r="H549" s="687"/>
      <c r="I549" s="687"/>
      <c r="J549" s="687"/>
      <c r="K549" s="687"/>
      <c r="L549" s="687"/>
      <c r="M549" s="687"/>
      <c r="N549" s="687"/>
      <c r="O549" s="687"/>
      <c r="P549" s="687"/>
      <c r="Q549" s="687"/>
      <c r="R549" s="687"/>
      <c r="S549" s="687"/>
      <c r="T549" s="687"/>
      <c r="U549" s="687"/>
      <c r="V549" s="687"/>
      <c r="W549" s="687"/>
      <c r="X549" s="687"/>
      <c r="Y549" s="687"/>
      <c r="Z549" s="687"/>
    </row>
    <row r="550" spans="1:26" ht="12" customHeight="1">
      <c r="A550" s="687"/>
      <c r="B550" s="687"/>
      <c r="C550" s="687"/>
      <c r="D550" s="687"/>
      <c r="E550" s="687"/>
      <c r="F550" s="687"/>
      <c r="G550" s="687"/>
      <c r="H550" s="687"/>
      <c r="I550" s="687"/>
      <c r="J550" s="687"/>
      <c r="K550" s="687"/>
      <c r="L550" s="687"/>
      <c r="M550" s="687"/>
      <c r="N550" s="687"/>
      <c r="O550" s="687"/>
      <c r="P550" s="687"/>
      <c r="Q550" s="687"/>
      <c r="R550" s="687"/>
      <c r="S550" s="687"/>
      <c r="T550" s="687"/>
      <c r="U550" s="687"/>
      <c r="V550" s="687"/>
      <c r="W550" s="687"/>
      <c r="X550" s="687"/>
      <c r="Y550" s="687"/>
      <c r="Z550" s="687"/>
    </row>
    <row r="551" spans="1:26" ht="12" customHeight="1">
      <c r="A551" s="687"/>
      <c r="B551" s="687"/>
      <c r="C551" s="687"/>
      <c r="D551" s="687"/>
      <c r="E551" s="687"/>
      <c r="F551" s="687"/>
      <c r="G551" s="687"/>
      <c r="H551" s="687"/>
      <c r="I551" s="687"/>
      <c r="J551" s="687"/>
      <c r="K551" s="687"/>
      <c r="L551" s="687"/>
      <c r="M551" s="687"/>
      <c r="N551" s="687"/>
      <c r="O551" s="687"/>
      <c r="P551" s="687"/>
      <c r="Q551" s="687"/>
      <c r="R551" s="687"/>
      <c r="S551" s="687"/>
      <c r="T551" s="687"/>
      <c r="U551" s="687"/>
      <c r="V551" s="687"/>
      <c r="W551" s="687"/>
      <c r="X551" s="687"/>
      <c r="Y551" s="687"/>
      <c r="Z551" s="687"/>
    </row>
    <row r="552" spans="1:26" ht="12" customHeight="1">
      <c r="A552" s="687"/>
      <c r="B552" s="687"/>
      <c r="C552" s="687"/>
      <c r="D552" s="687"/>
      <c r="E552" s="687"/>
      <c r="F552" s="687"/>
      <c r="G552" s="687"/>
      <c r="H552" s="687"/>
      <c r="I552" s="687"/>
      <c r="J552" s="687"/>
      <c r="K552" s="687"/>
      <c r="L552" s="687"/>
      <c r="M552" s="687"/>
      <c r="N552" s="687"/>
      <c r="O552" s="687"/>
      <c r="P552" s="687"/>
      <c r="Q552" s="687"/>
      <c r="R552" s="687"/>
      <c r="S552" s="687"/>
      <c r="T552" s="687"/>
      <c r="U552" s="687"/>
      <c r="V552" s="687"/>
      <c r="W552" s="687"/>
      <c r="X552" s="687"/>
      <c r="Y552" s="687"/>
      <c r="Z552" s="687"/>
    </row>
    <row r="553" spans="1:26" ht="12" customHeight="1">
      <c r="A553" s="687"/>
      <c r="B553" s="687"/>
      <c r="C553" s="687"/>
      <c r="D553" s="687"/>
      <c r="E553" s="687"/>
      <c r="F553" s="687"/>
      <c r="G553" s="687"/>
      <c r="H553" s="687"/>
      <c r="I553" s="687"/>
      <c r="J553" s="687"/>
      <c r="K553" s="687"/>
      <c r="L553" s="687"/>
      <c r="M553" s="687"/>
      <c r="N553" s="687"/>
      <c r="O553" s="687"/>
      <c r="P553" s="687"/>
      <c r="Q553" s="687"/>
      <c r="R553" s="687"/>
      <c r="S553" s="687"/>
      <c r="T553" s="687"/>
      <c r="U553" s="687"/>
      <c r="V553" s="687"/>
      <c r="W553" s="687"/>
      <c r="X553" s="687"/>
      <c r="Y553" s="687"/>
      <c r="Z553" s="687"/>
    </row>
    <row r="554" spans="1:26" ht="12" customHeight="1">
      <c r="A554" s="687"/>
      <c r="B554" s="687"/>
      <c r="C554" s="687"/>
      <c r="D554" s="687"/>
      <c r="E554" s="687"/>
      <c r="F554" s="687"/>
      <c r="G554" s="687"/>
      <c r="H554" s="687"/>
      <c r="I554" s="687"/>
      <c r="J554" s="687"/>
      <c r="K554" s="687"/>
      <c r="L554" s="687"/>
      <c r="M554" s="687"/>
      <c r="N554" s="687"/>
      <c r="O554" s="687"/>
      <c r="P554" s="687"/>
      <c r="Q554" s="687"/>
      <c r="R554" s="687"/>
      <c r="S554" s="687"/>
      <c r="T554" s="687"/>
      <c r="U554" s="687"/>
      <c r="V554" s="687"/>
      <c r="W554" s="687"/>
      <c r="X554" s="687"/>
      <c r="Y554" s="687"/>
      <c r="Z554" s="687"/>
    </row>
    <row r="555" spans="1:26" ht="12" customHeight="1">
      <c r="A555" s="687"/>
      <c r="B555" s="687"/>
      <c r="C555" s="687"/>
      <c r="D555" s="687"/>
      <c r="E555" s="687"/>
      <c r="F555" s="687"/>
      <c r="G555" s="687"/>
      <c r="H555" s="687"/>
      <c r="I555" s="687"/>
      <c r="J555" s="687"/>
      <c r="K555" s="687"/>
      <c r="L555" s="687"/>
      <c r="M555" s="687"/>
      <c r="N555" s="687"/>
      <c r="O555" s="687"/>
      <c r="P555" s="687"/>
      <c r="Q555" s="687"/>
      <c r="R555" s="687"/>
      <c r="S555" s="687"/>
      <c r="T555" s="687"/>
      <c r="U555" s="687"/>
      <c r="V555" s="687"/>
      <c r="W555" s="687"/>
      <c r="X555" s="687"/>
      <c r="Y555" s="687"/>
      <c r="Z555" s="687"/>
    </row>
    <row r="556" spans="1:26" ht="12" customHeight="1">
      <c r="A556" s="687"/>
      <c r="B556" s="687"/>
      <c r="C556" s="687"/>
      <c r="D556" s="687"/>
      <c r="E556" s="687"/>
      <c r="F556" s="687"/>
      <c r="G556" s="687"/>
      <c r="H556" s="687"/>
      <c r="I556" s="687"/>
      <c r="J556" s="687"/>
      <c r="K556" s="687"/>
      <c r="L556" s="687"/>
      <c r="M556" s="687"/>
      <c r="N556" s="687"/>
      <c r="O556" s="687"/>
      <c r="P556" s="687"/>
      <c r="Q556" s="687"/>
      <c r="R556" s="687"/>
      <c r="S556" s="687"/>
      <c r="T556" s="687"/>
      <c r="U556" s="687"/>
      <c r="V556" s="687"/>
      <c r="W556" s="687"/>
      <c r="X556" s="687"/>
      <c r="Y556" s="687"/>
      <c r="Z556" s="687"/>
    </row>
    <row r="557" spans="1:26" ht="12" customHeight="1">
      <c r="A557" s="687"/>
      <c r="B557" s="687"/>
      <c r="C557" s="687"/>
      <c r="D557" s="687"/>
      <c r="E557" s="687"/>
      <c r="F557" s="687"/>
      <c r="G557" s="687"/>
      <c r="H557" s="687"/>
      <c r="I557" s="687"/>
      <c r="J557" s="687"/>
      <c r="K557" s="687"/>
      <c r="L557" s="687"/>
      <c r="M557" s="687"/>
      <c r="N557" s="687"/>
      <c r="O557" s="687"/>
      <c r="P557" s="687"/>
      <c r="Q557" s="687"/>
      <c r="R557" s="687"/>
      <c r="S557" s="687"/>
      <c r="T557" s="687"/>
      <c r="U557" s="687"/>
      <c r="V557" s="687"/>
      <c r="W557" s="687"/>
      <c r="X557" s="687"/>
      <c r="Y557" s="687"/>
      <c r="Z557" s="687"/>
    </row>
    <row r="558" spans="1:26" ht="12" customHeight="1">
      <c r="A558" s="687"/>
      <c r="B558" s="687"/>
      <c r="C558" s="687"/>
      <c r="D558" s="687"/>
      <c r="E558" s="687"/>
      <c r="F558" s="687"/>
      <c r="G558" s="687"/>
      <c r="H558" s="687"/>
      <c r="I558" s="687"/>
      <c r="J558" s="687"/>
      <c r="K558" s="687"/>
      <c r="L558" s="687"/>
      <c r="M558" s="687"/>
      <c r="N558" s="687"/>
      <c r="O558" s="687"/>
      <c r="P558" s="687"/>
      <c r="Q558" s="687"/>
      <c r="R558" s="687"/>
      <c r="S558" s="687"/>
      <c r="T558" s="687"/>
      <c r="U558" s="687"/>
      <c r="V558" s="687"/>
      <c r="W558" s="687"/>
      <c r="X558" s="687"/>
      <c r="Y558" s="687"/>
      <c r="Z558" s="687"/>
    </row>
    <row r="559" spans="1:26" ht="12" customHeight="1">
      <c r="A559" s="687"/>
      <c r="B559" s="687"/>
      <c r="C559" s="687"/>
      <c r="D559" s="687"/>
      <c r="E559" s="687"/>
      <c r="F559" s="687"/>
      <c r="G559" s="687"/>
      <c r="H559" s="687"/>
      <c r="I559" s="687"/>
      <c r="J559" s="687"/>
      <c r="K559" s="687"/>
      <c r="L559" s="687"/>
      <c r="M559" s="687"/>
      <c r="N559" s="687"/>
      <c r="O559" s="687"/>
      <c r="P559" s="687"/>
      <c r="Q559" s="687"/>
      <c r="R559" s="687"/>
      <c r="S559" s="687"/>
      <c r="T559" s="687"/>
      <c r="U559" s="687"/>
      <c r="V559" s="687"/>
      <c r="W559" s="687"/>
      <c r="X559" s="687"/>
      <c r="Y559" s="687"/>
      <c r="Z559" s="687"/>
    </row>
    <row r="560" spans="1:26" ht="12" customHeight="1">
      <c r="A560" s="687"/>
      <c r="B560" s="687"/>
      <c r="C560" s="687"/>
      <c r="D560" s="687"/>
      <c r="E560" s="687"/>
      <c r="F560" s="687"/>
      <c r="G560" s="687"/>
      <c r="H560" s="687"/>
      <c r="I560" s="687"/>
      <c r="J560" s="687"/>
      <c r="K560" s="687"/>
      <c r="L560" s="687"/>
      <c r="M560" s="687"/>
      <c r="N560" s="687"/>
      <c r="O560" s="687"/>
      <c r="P560" s="687"/>
      <c r="Q560" s="687"/>
      <c r="R560" s="687"/>
      <c r="S560" s="687"/>
      <c r="T560" s="687"/>
      <c r="U560" s="687"/>
      <c r="V560" s="687"/>
      <c r="W560" s="687"/>
      <c r="X560" s="687"/>
      <c r="Y560" s="687"/>
      <c r="Z560" s="687"/>
    </row>
    <row r="561" spans="1:26" ht="12" customHeight="1">
      <c r="A561" s="687"/>
      <c r="B561" s="687"/>
      <c r="C561" s="687"/>
      <c r="D561" s="687"/>
      <c r="E561" s="687"/>
      <c r="F561" s="687"/>
      <c r="G561" s="687"/>
      <c r="H561" s="687"/>
      <c r="I561" s="687"/>
      <c r="J561" s="687"/>
      <c r="K561" s="687"/>
      <c r="L561" s="687"/>
      <c r="M561" s="687"/>
      <c r="N561" s="687"/>
      <c r="O561" s="687"/>
      <c r="P561" s="687"/>
      <c r="Q561" s="687"/>
      <c r="R561" s="687"/>
      <c r="S561" s="687"/>
      <c r="T561" s="687"/>
      <c r="U561" s="687"/>
      <c r="V561" s="687"/>
      <c r="W561" s="687"/>
      <c r="X561" s="687"/>
      <c r="Y561" s="687"/>
      <c r="Z561" s="687"/>
    </row>
    <row r="562" spans="1:26" ht="12" customHeight="1">
      <c r="A562" s="687"/>
      <c r="B562" s="687"/>
      <c r="C562" s="687"/>
      <c r="D562" s="687"/>
      <c r="E562" s="687"/>
      <c r="F562" s="687"/>
      <c r="G562" s="687"/>
      <c r="H562" s="687"/>
      <c r="I562" s="687"/>
      <c r="J562" s="687"/>
      <c r="K562" s="687"/>
      <c r="L562" s="687"/>
      <c r="M562" s="687"/>
      <c r="N562" s="687"/>
      <c r="O562" s="687"/>
      <c r="P562" s="687"/>
      <c r="Q562" s="687"/>
      <c r="R562" s="687"/>
      <c r="S562" s="687"/>
      <c r="T562" s="687"/>
      <c r="U562" s="687"/>
      <c r="V562" s="687"/>
      <c r="W562" s="687"/>
      <c r="X562" s="687"/>
      <c r="Y562" s="687"/>
      <c r="Z562" s="687"/>
    </row>
    <row r="563" spans="1:26" ht="12" customHeight="1">
      <c r="A563" s="687"/>
      <c r="B563" s="687"/>
      <c r="C563" s="687"/>
      <c r="D563" s="687"/>
      <c r="E563" s="687"/>
      <c r="F563" s="687"/>
      <c r="G563" s="687"/>
      <c r="H563" s="687"/>
      <c r="I563" s="687"/>
      <c r="J563" s="687"/>
      <c r="K563" s="687"/>
      <c r="L563" s="687"/>
      <c r="M563" s="687"/>
      <c r="N563" s="687"/>
      <c r="O563" s="687"/>
      <c r="P563" s="687"/>
      <c r="Q563" s="687"/>
      <c r="R563" s="687"/>
      <c r="S563" s="687"/>
      <c r="T563" s="687"/>
      <c r="U563" s="687"/>
      <c r="V563" s="687"/>
      <c r="W563" s="687"/>
      <c r="X563" s="687"/>
      <c r="Y563" s="687"/>
      <c r="Z563" s="687"/>
    </row>
    <row r="564" spans="1:26" ht="12" customHeight="1">
      <c r="A564" s="687"/>
      <c r="B564" s="687"/>
      <c r="C564" s="687"/>
      <c r="D564" s="687"/>
      <c r="E564" s="687"/>
      <c r="F564" s="687"/>
      <c r="G564" s="687"/>
      <c r="H564" s="687"/>
      <c r="I564" s="687"/>
      <c r="J564" s="687"/>
      <c r="K564" s="687"/>
      <c r="L564" s="687"/>
      <c r="M564" s="687"/>
      <c r="N564" s="687"/>
      <c r="O564" s="687"/>
      <c r="P564" s="687"/>
      <c r="Q564" s="687"/>
      <c r="R564" s="687"/>
      <c r="S564" s="687"/>
      <c r="T564" s="687"/>
      <c r="U564" s="687"/>
      <c r="V564" s="687"/>
      <c r="W564" s="687"/>
      <c r="X564" s="687"/>
      <c r="Y564" s="687"/>
      <c r="Z564" s="687"/>
    </row>
    <row r="565" spans="1:26" ht="12" customHeight="1">
      <c r="A565" s="687"/>
      <c r="B565" s="687"/>
      <c r="C565" s="687"/>
      <c r="D565" s="687"/>
      <c r="E565" s="687"/>
      <c r="F565" s="687"/>
      <c r="G565" s="687"/>
      <c r="H565" s="687"/>
      <c r="I565" s="687"/>
      <c r="J565" s="687"/>
      <c r="K565" s="687"/>
      <c r="L565" s="687"/>
      <c r="M565" s="687"/>
      <c r="N565" s="687"/>
      <c r="O565" s="687"/>
      <c r="P565" s="687"/>
      <c r="Q565" s="687"/>
      <c r="R565" s="687"/>
      <c r="S565" s="687"/>
      <c r="T565" s="687"/>
      <c r="U565" s="687"/>
      <c r="V565" s="687"/>
      <c r="W565" s="687"/>
      <c r="X565" s="687"/>
      <c r="Y565" s="687"/>
      <c r="Z565" s="687"/>
    </row>
    <row r="566" spans="1:26" ht="12" customHeight="1">
      <c r="A566" s="687"/>
      <c r="B566" s="687"/>
      <c r="C566" s="687"/>
      <c r="D566" s="687"/>
      <c r="E566" s="687"/>
      <c r="F566" s="687"/>
      <c r="G566" s="687"/>
      <c r="H566" s="687"/>
      <c r="I566" s="687"/>
      <c r="J566" s="687"/>
      <c r="K566" s="687"/>
      <c r="L566" s="687"/>
      <c r="M566" s="687"/>
      <c r="N566" s="687"/>
      <c r="O566" s="687"/>
      <c r="P566" s="687"/>
      <c r="Q566" s="687"/>
      <c r="R566" s="687"/>
      <c r="S566" s="687"/>
      <c r="T566" s="687"/>
      <c r="U566" s="687"/>
      <c r="V566" s="687"/>
      <c r="W566" s="687"/>
      <c r="X566" s="687"/>
      <c r="Y566" s="687"/>
      <c r="Z566" s="687"/>
    </row>
    <row r="567" spans="1:26" ht="12" customHeight="1">
      <c r="A567" s="687"/>
      <c r="B567" s="687"/>
      <c r="C567" s="687"/>
      <c r="D567" s="687"/>
      <c r="E567" s="687"/>
      <c r="F567" s="687"/>
      <c r="G567" s="687"/>
      <c r="H567" s="687"/>
      <c r="I567" s="687"/>
      <c r="J567" s="687"/>
      <c r="K567" s="687"/>
      <c r="L567" s="687"/>
      <c r="M567" s="687"/>
      <c r="N567" s="687"/>
      <c r="O567" s="687"/>
      <c r="P567" s="687"/>
      <c r="Q567" s="687"/>
      <c r="R567" s="687"/>
      <c r="S567" s="687"/>
      <c r="T567" s="687"/>
      <c r="U567" s="687"/>
      <c r="V567" s="687"/>
      <c r="W567" s="687"/>
      <c r="X567" s="687"/>
      <c r="Y567" s="687"/>
      <c r="Z567" s="687"/>
    </row>
    <row r="568" spans="1:26" ht="12" customHeight="1">
      <c r="A568" s="687"/>
      <c r="B568" s="687"/>
      <c r="C568" s="687"/>
      <c r="D568" s="687"/>
      <c r="E568" s="687"/>
      <c r="F568" s="687"/>
      <c r="G568" s="687"/>
      <c r="H568" s="687"/>
      <c r="I568" s="687"/>
      <c r="J568" s="687"/>
      <c r="K568" s="687"/>
      <c r="L568" s="687"/>
      <c r="M568" s="687"/>
      <c r="N568" s="687"/>
      <c r="O568" s="687"/>
      <c r="P568" s="687"/>
      <c r="Q568" s="687"/>
      <c r="R568" s="687"/>
      <c r="S568" s="687"/>
      <c r="T568" s="687"/>
      <c r="U568" s="687"/>
      <c r="V568" s="687"/>
      <c r="W568" s="687"/>
      <c r="X568" s="687"/>
      <c r="Y568" s="687"/>
      <c r="Z568" s="687"/>
    </row>
    <row r="569" spans="1:26" ht="12" customHeight="1">
      <c r="A569" s="687"/>
      <c r="B569" s="687"/>
      <c r="C569" s="687"/>
      <c r="D569" s="687"/>
      <c r="E569" s="687"/>
      <c r="F569" s="687"/>
      <c r="G569" s="687"/>
      <c r="H569" s="687"/>
      <c r="I569" s="687"/>
      <c r="J569" s="687"/>
      <c r="K569" s="687"/>
      <c r="L569" s="687"/>
      <c r="M569" s="687"/>
      <c r="N569" s="687"/>
      <c r="O569" s="687"/>
      <c r="P569" s="687"/>
      <c r="Q569" s="687"/>
      <c r="R569" s="687"/>
      <c r="S569" s="687"/>
      <c r="T569" s="687"/>
      <c r="U569" s="687"/>
      <c r="V569" s="687"/>
      <c r="W569" s="687"/>
      <c r="X569" s="687"/>
      <c r="Y569" s="687"/>
      <c r="Z569" s="687"/>
    </row>
    <row r="570" spans="1:26" ht="12" customHeight="1">
      <c r="A570" s="687"/>
      <c r="B570" s="687"/>
      <c r="C570" s="687"/>
      <c r="D570" s="687"/>
      <c r="E570" s="687"/>
      <c r="F570" s="687"/>
      <c r="G570" s="687"/>
      <c r="H570" s="687"/>
      <c r="I570" s="687"/>
      <c r="J570" s="687"/>
      <c r="K570" s="687"/>
      <c r="L570" s="687"/>
      <c r="M570" s="687"/>
      <c r="N570" s="687"/>
      <c r="O570" s="687"/>
      <c r="P570" s="687"/>
      <c r="Q570" s="687"/>
      <c r="R570" s="687"/>
      <c r="S570" s="687"/>
      <c r="T570" s="687"/>
      <c r="U570" s="687"/>
      <c r="V570" s="687"/>
      <c r="W570" s="687"/>
      <c r="X570" s="687"/>
      <c r="Y570" s="687"/>
      <c r="Z570" s="687"/>
    </row>
    <row r="571" spans="1:26" ht="12" customHeight="1">
      <c r="A571" s="687"/>
      <c r="B571" s="687"/>
      <c r="C571" s="687"/>
      <c r="D571" s="687"/>
      <c r="E571" s="687"/>
      <c r="F571" s="687"/>
      <c r="G571" s="687"/>
      <c r="H571" s="687"/>
      <c r="I571" s="687"/>
      <c r="J571" s="687"/>
      <c r="K571" s="687"/>
      <c r="L571" s="687"/>
      <c r="M571" s="687"/>
      <c r="N571" s="687"/>
      <c r="O571" s="687"/>
      <c r="P571" s="687"/>
      <c r="Q571" s="687"/>
      <c r="R571" s="687"/>
      <c r="S571" s="687"/>
      <c r="T571" s="687"/>
      <c r="U571" s="687"/>
      <c r="V571" s="687"/>
      <c r="W571" s="687"/>
      <c r="X571" s="687"/>
      <c r="Y571" s="687"/>
      <c r="Z571" s="687"/>
    </row>
    <row r="572" spans="1:26" ht="12" customHeight="1">
      <c r="A572" s="687"/>
      <c r="B572" s="687"/>
      <c r="C572" s="687"/>
      <c r="D572" s="687"/>
      <c r="E572" s="687"/>
      <c r="F572" s="687"/>
      <c r="G572" s="687"/>
      <c r="H572" s="687"/>
      <c r="I572" s="687"/>
      <c r="J572" s="687"/>
      <c r="K572" s="687"/>
      <c r="L572" s="687"/>
      <c r="M572" s="687"/>
      <c r="N572" s="687"/>
      <c r="O572" s="687"/>
      <c r="P572" s="687"/>
      <c r="Q572" s="687"/>
      <c r="R572" s="687"/>
      <c r="S572" s="687"/>
      <c r="T572" s="687"/>
      <c r="U572" s="687"/>
      <c r="V572" s="687"/>
      <c r="W572" s="687"/>
      <c r="X572" s="687"/>
      <c r="Y572" s="687"/>
      <c r="Z572" s="687"/>
    </row>
    <row r="573" spans="1:26" ht="12" customHeight="1">
      <c r="A573" s="687"/>
      <c r="B573" s="687"/>
      <c r="C573" s="687"/>
      <c r="D573" s="687"/>
      <c r="E573" s="687"/>
      <c r="F573" s="687"/>
      <c r="G573" s="687"/>
      <c r="H573" s="687"/>
      <c r="I573" s="687"/>
      <c r="J573" s="687"/>
      <c r="K573" s="687"/>
      <c r="L573" s="687"/>
      <c r="M573" s="687"/>
      <c r="N573" s="687"/>
      <c r="O573" s="687"/>
      <c r="P573" s="687"/>
      <c r="Q573" s="687"/>
      <c r="R573" s="687"/>
      <c r="S573" s="687"/>
      <c r="T573" s="687"/>
      <c r="U573" s="687"/>
      <c r="V573" s="687"/>
      <c r="W573" s="687"/>
      <c r="X573" s="687"/>
      <c r="Y573" s="687"/>
      <c r="Z573" s="687"/>
    </row>
    <row r="574" spans="1:26" ht="12" customHeight="1">
      <c r="A574" s="687"/>
      <c r="B574" s="687"/>
      <c r="C574" s="687"/>
      <c r="D574" s="687"/>
      <c r="E574" s="687"/>
      <c r="F574" s="687"/>
      <c r="G574" s="687"/>
      <c r="H574" s="687"/>
      <c r="I574" s="687"/>
      <c r="J574" s="687"/>
      <c r="K574" s="687"/>
      <c r="L574" s="687"/>
      <c r="M574" s="687"/>
      <c r="N574" s="687"/>
      <c r="O574" s="687"/>
      <c r="P574" s="687"/>
      <c r="Q574" s="687"/>
      <c r="R574" s="687"/>
      <c r="S574" s="687"/>
      <c r="T574" s="687"/>
      <c r="U574" s="687"/>
      <c r="V574" s="687"/>
      <c r="W574" s="687"/>
      <c r="X574" s="687"/>
      <c r="Y574" s="687"/>
      <c r="Z574" s="687"/>
    </row>
    <row r="575" spans="1:26" ht="12" customHeight="1">
      <c r="A575" s="687"/>
      <c r="B575" s="687"/>
      <c r="C575" s="687"/>
      <c r="D575" s="687"/>
      <c r="E575" s="687"/>
      <c r="F575" s="687"/>
      <c r="G575" s="687"/>
      <c r="H575" s="687"/>
      <c r="I575" s="687"/>
      <c r="J575" s="687"/>
      <c r="K575" s="687"/>
      <c r="L575" s="687"/>
      <c r="M575" s="687"/>
      <c r="N575" s="687"/>
      <c r="O575" s="687"/>
      <c r="P575" s="687"/>
      <c r="Q575" s="687"/>
      <c r="R575" s="687"/>
      <c r="S575" s="687"/>
      <c r="T575" s="687"/>
      <c r="U575" s="687"/>
      <c r="V575" s="687"/>
      <c r="W575" s="687"/>
      <c r="X575" s="687"/>
      <c r="Y575" s="687"/>
      <c r="Z575" s="687"/>
    </row>
    <row r="576" spans="1:26" ht="12" customHeight="1">
      <c r="A576" s="687"/>
      <c r="B576" s="687"/>
      <c r="C576" s="687"/>
      <c r="D576" s="687"/>
      <c r="E576" s="687"/>
      <c r="F576" s="687"/>
      <c r="G576" s="687"/>
      <c r="H576" s="687"/>
      <c r="I576" s="687"/>
      <c r="J576" s="687"/>
      <c r="K576" s="687"/>
      <c r="L576" s="687"/>
      <c r="M576" s="687"/>
      <c r="N576" s="687"/>
      <c r="O576" s="687"/>
      <c r="P576" s="687"/>
      <c r="Q576" s="687"/>
      <c r="R576" s="687"/>
      <c r="S576" s="687"/>
      <c r="T576" s="687"/>
      <c r="U576" s="687"/>
      <c r="V576" s="687"/>
      <c r="W576" s="687"/>
      <c r="X576" s="687"/>
      <c r="Y576" s="687"/>
      <c r="Z576" s="687"/>
    </row>
    <row r="577" spans="1:26" ht="12" customHeight="1">
      <c r="A577" s="687"/>
      <c r="B577" s="687"/>
      <c r="C577" s="687"/>
      <c r="D577" s="687"/>
      <c r="E577" s="687"/>
      <c r="F577" s="687"/>
      <c r="G577" s="687"/>
      <c r="H577" s="687"/>
      <c r="I577" s="687"/>
      <c r="J577" s="687"/>
      <c r="K577" s="687"/>
      <c r="L577" s="687"/>
      <c r="M577" s="687"/>
      <c r="N577" s="687"/>
      <c r="O577" s="687"/>
      <c r="P577" s="687"/>
      <c r="Q577" s="687"/>
      <c r="R577" s="687"/>
      <c r="S577" s="687"/>
      <c r="T577" s="687"/>
      <c r="U577" s="687"/>
      <c r="V577" s="687"/>
      <c r="W577" s="687"/>
      <c r="X577" s="687"/>
      <c r="Y577" s="687"/>
      <c r="Z577" s="687"/>
    </row>
    <row r="578" spans="1:26" ht="12" customHeight="1">
      <c r="A578" s="687"/>
      <c r="B578" s="687"/>
      <c r="C578" s="687"/>
      <c r="D578" s="687"/>
      <c r="E578" s="687"/>
      <c r="F578" s="687"/>
      <c r="G578" s="687"/>
      <c r="H578" s="687"/>
      <c r="I578" s="687"/>
      <c r="J578" s="687"/>
      <c r="K578" s="687"/>
      <c r="L578" s="687"/>
      <c r="M578" s="687"/>
      <c r="N578" s="687"/>
      <c r="O578" s="687"/>
      <c r="P578" s="687"/>
      <c r="Q578" s="687"/>
      <c r="R578" s="687"/>
      <c r="S578" s="687"/>
      <c r="T578" s="687"/>
      <c r="U578" s="687"/>
      <c r="V578" s="687"/>
      <c r="W578" s="687"/>
      <c r="X578" s="687"/>
      <c r="Y578" s="687"/>
      <c r="Z578" s="687"/>
    </row>
    <row r="579" spans="1:26" ht="12" customHeight="1">
      <c r="A579" s="687"/>
      <c r="B579" s="687"/>
      <c r="C579" s="687"/>
      <c r="D579" s="687"/>
      <c r="E579" s="687"/>
      <c r="F579" s="687"/>
      <c r="G579" s="687"/>
      <c r="H579" s="687"/>
      <c r="I579" s="687"/>
      <c r="J579" s="687"/>
      <c r="K579" s="687"/>
      <c r="L579" s="687"/>
      <c r="M579" s="687"/>
      <c r="N579" s="687"/>
      <c r="O579" s="687"/>
      <c r="P579" s="687"/>
      <c r="Q579" s="687"/>
      <c r="R579" s="687"/>
      <c r="S579" s="687"/>
      <c r="T579" s="687"/>
      <c r="U579" s="687"/>
      <c r="V579" s="687"/>
      <c r="W579" s="687"/>
      <c r="X579" s="687"/>
      <c r="Y579" s="687"/>
      <c r="Z579" s="687"/>
    </row>
    <row r="580" spans="1:26" ht="12" customHeight="1">
      <c r="A580" s="687"/>
      <c r="B580" s="687"/>
      <c r="C580" s="687"/>
      <c r="D580" s="687"/>
      <c r="E580" s="687"/>
      <c r="F580" s="687"/>
      <c r="G580" s="687"/>
      <c r="H580" s="687"/>
      <c r="I580" s="687"/>
      <c r="J580" s="687"/>
      <c r="K580" s="687"/>
      <c r="L580" s="687"/>
      <c r="M580" s="687"/>
      <c r="N580" s="687"/>
      <c r="O580" s="687"/>
      <c r="P580" s="687"/>
      <c r="Q580" s="687"/>
      <c r="R580" s="687"/>
      <c r="S580" s="687"/>
      <c r="T580" s="687"/>
      <c r="U580" s="687"/>
      <c r="V580" s="687"/>
      <c r="W580" s="687"/>
      <c r="X580" s="687"/>
      <c r="Y580" s="687"/>
      <c r="Z580" s="687"/>
    </row>
    <row r="581" spans="1:26" ht="12" customHeight="1">
      <c r="A581" s="687"/>
      <c r="B581" s="687"/>
      <c r="C581" s="687"/>
      <c r="D581" s="687"/>
      <c r="E581" s="687"/>
      <c r="F581" s="687"/>
      <c r="G581" s="687"/>
      <c r="H581" s="687"/>
      <c r="I581" s="687"/>
      <c r="J581" s="687"/>
      <c r="K581" s="687"/>
      <c r="L581" s="687"/>
      <c r="M581" s="687"/>
      <c r="N581" s="687"/>
      <c r="O581" s="687"/>
      <c r="P581" s="687"/>
      <c r="Q581" s="687"/>
      <c r="R581" s="687"/>
      <c r="S581" s="687"/>
      <c r="T581" s="687"/>
      <c r="U581" s="687"/>
      <c r="V581" s="687"/>
      <c r="W581" s="687"/>
      <c r="X581" s="687"/>
      <c r="Y581" s="687"/>
      <c r="Z581" s="687"/>
    </row>
    <row r="582" spans="1:26" ht="12" customHeight="1">
      <c r="A582" s="687"/>
      <c r="B582" s="687"/>
      <c r="C582" s="687"/>
      <c r="D582" s="687"/>
      <c r="E582" s="687"/>
      <c r="F582" s="687"/>
      <c r="G582" s="687"/>
      <c r="H582" s="687"/>
      <c r="I582" s="687"/>
      <c r="J582" s="687"/>
      <c r="K582" s="687"/>
      <c r="L582" s="687"/>
      <c r="M582" s="687"/>
      <c r="N582" s="687"/>
      <c r="O582" s="687"/>
      <c r="P582" s="687"/>
      <c r="Q582" s="687"/>
      <c r="R582" s="687"/>
      <c r="S582" s="687"/>
      <c r="T582" s="687"/>
      <c r="U582" s="687"/>
      <c r="V582" s="687"/>
      <c r="W582" s="687"/>
      <c r="X582" s="687"/>
      <c r="Y582" s="687"/>
      <c r="Z582" s="687"/>
    </row>
    <row r="583" spans="1:26" ht="12" customHeight="1">
      <c r="A583" s="687"/>
      <c r="B583" s="687"/>
      <c r="C583" s="687"/>
      <c r="D583" s="687"/>
      <c r="E583" s="687"/>
      <c r="F583" s="687"/>
      <c r="G583" s="687"/>
      <c r="H583" s="687"/>
      <c r="I583" s="687"/>
      <c r="J583" s="687"/>
      <c r="K583" s="687"/>
      <c r="L583" s="687"/>
      <c r="M583" s="687"/>
      <c r="N583" s="687"/>
      <c r="O583" s="687"/>
      <c r="P583" s="687"/>
      <c r="Q583" s="687"/>
      <c r="R583" s="687"/>
      <c r="S583" s="687"/>
      <c r="T583" s="687"/>
      <c r="U583" s="687"/>
      <c r="V583" s="687"/>
      <c r="W583" s="687"/>
      <c r="X583" s="687"/>
      <c r="Y583" s="687"/>
      <c r="Z583" s="687"/>
    </row>
    <row r="584" spans="1:26" ht="12" customHeight="1">
      <c r="A584" s="687"/>
      <c r="B584" s="687"/>
      <c r="C584" s="687"/>
      <c r="D584" s="687"/>
      <c r="E584" s="687"/>
      <c r="F584" s="687"/>
      <c r="G584" s="687"/>
      <c r="H584" s="687"/>
      <c r="I584" s="687"/>
      <c r="J584" s="687"/>
      <c r="K584" s="687"/>
      <c r="L584" s="687"/>
      <c r="M584" s="687"/>
      <c r="N584" s="687"/>
      <c r="O584" s="687"/>
      <c r="P584" s="687"/>
      <c r="Q584" s="687"/>
      <c r="R584" s="687"/>
      <c r="S584" s="687"/>
      <c r="T584" s="687"/>
      <c r="U584" s="687"/>
      <c r="V584" s="687"/>
      <c r="W584" s="687"/>
      <c r="X584" s="687"/>
      <c r="Y584" s="687"/>
      <c r="Z584" s="687"/>
    </row>
    <row r="585" spans="1:26" ht="12" customHeight="1">
      <c r="A585" s="687"/>
      <c r="B585" s="687"/>
      <c r="C585" s="687"/>
      <c r="D585" s="687"/>
      <c r="E585" s="687"/>
      <c r="F585" s="687"/>
      <c r="G585" s="687"/>
      <c r="H585" s="687"/>
      <c r="I585" s="687"/>
      <c r="J585" s="687"/>
      <c r="K585" s="687"/>
      <c r="L585" s="687"/>
      <c r="M585" s="687"/>
      <c r="N585" s="687"/>
      <c r="O585" s="687"/>
      <c r="P585" s="687"/>
      <c r="Q585" s="687"/>
      <c r="R585" s="687"/>
      <c r="S585" s="687"/>
      <c r="T585" s="687"/>
      <c r="U585" s="687"/>
      <c r="V585" s="687"/>
      <c r="W585" s="687"/>
      <c r="X585" s="687"/>
      <c r="Y585" s="687"/>
      <c r="Z585" s="687"/>
    </row>
    <row r="586" spans="1:26" ht="12" customHeight="1">
      <c r="A586" s="687"/>
      <c r="B586" s="687"/>
      <c r="C586" s="687"/>
      <c r="D586" s="687"/>
      <c r="E586" s="687"/>
      <c r="F586" s="687"/>
      <c r="G586" s="687"/>
      <c r="H586" s="687"/>
      <c r="I586" s="687"/>
      <c r="J586" s="687"/>
      <c r="K586" s="687"/>
      <c r="L586" s="687"/>
      <c r="M586" s="687"/>
      <c r="N586" s="687"/>
      <c r="O586" s="687"/>
      <c r="P586" s="687"/>
      <c r="Q586" s="687"/>
      <c r="R586" s="687"/>
      <c r="S586" s="687"/>
      <c r="T586" s="687"/>
      <c r="U586" s="687"/>
      <c r="V586" s="687"/>
      <c r="W586" s="687"/>
      <c r="X586" s="687"/>
      <c r="Y586" s="687"/>
      <c r="Z586" s="687"/>
    </row>
    <row r="587" spans="1:26" ht="12" customHeight="1">
      <c r="A587" s="687"/>
      <c r="B587" s="687"/>
      <c r="C587" s="687"/>
      <c r="D587" s="687"/>
      <c r="E587" s="687"/>
      <c r="F587" s="687"/>
      <c r="G587" s="687"/>
      <c r="H587" s="687"/>
      <c r="I587" s="687"/>
      <c r="J587" s="687"/>
      <c r="K587" s="687"/>
      <c r="L587" s="687"/>
      <c r="M587" s="687"/>
      <c r="N587" s="687"/>
      <c r="O587" s="687"/>
      <c r="P587" s="687"/>
      <c r="Q587" s="687"/>
      <c r="R587" s="687"/>
      <c r="S587" s="687"/>
      <c r="T587" s="687"/>
      <c r="U587" s="687"/>
      <c r="V587" s="687"/>
      <c r="W587" s="687"/>
      <c r="X587" s="687"/>
      <c r="Y587" s="687"/>
      <c r="Z587" s="687"/>
    </row>
    <row r="588" spans="1:26" ht="12" customHeight="1">
      <c r="A588" s="687"/>
      <c r="B588" s="687"/>
      <c r="C588" s="687"/>
      <c r="D588" s="687"/>
      <c r="E588" s="687"/>
      <c r="F588" s="687"/>
      <c r="G588" s="687"/>
      <c r="H588" s="687"/>
      <c r="I588" s="687"/>
      <c r="J588" s="687"/>
      <c r="K588" s="687"/>
      <c r="L588" s="687"/>
      <c r="M588" s="687"/>
      <c r="N588" s="687"/>
      <c r="O588" s="687"/>
      <c r="P588" s="687"/>
      <c r="Q588" s="687"/>
      <c r="R588" s="687"/>
      <c r="S588" s="687"/>
      <c r="T588" s="687"/>
      <c r="U588" s="687"/>
      <c r="V588" s="687"/>
      <c r="W588" s="687"/>
      <c r="X588" s="687"/>
      <c r="Y588" s="687"/>
      <c r="Z588" s="687"/>
    </row>
    <row r="589" spans="1:26" ht="12" customHeight="1">
      <c r="A589" s="687"/>
      <c r="B589" s="687"/>
      <c r="C589" s="687"/>
      <c r="D589" s="687"/>
      <c r="E589" s="687"/>
      <c r="F589" s="687"/>
      <c r="G589" s="687"/>
      <c r="H589" s="687"/>
      <c r="I589" s="687"/>
      <c r="J589" s="687"/>
      <c r="K589" s="687"/>
      <c r="L589" s="687"/>
      <c r="M589" s="687"/>
      <c r="N589" s="687"/>
      <c r="O589" s="687"/>
      <c r="P589" s="687"/>
      <c r="Q589" s="687"/>
      <c r="R589" s="687"/>
      <c r="S589" s="687"/>
      <c r="T589" s="687"/>
      <c r="U589" s="687"/>
      <c r="V589" s="687"/>
      <c r="W589" s="687"/>
      <c r="X589" s="687"/>
      <c r="Y589" s="687"/>
      <c r="Z589" s="687"/>
    </row>
    <row r="590" spans="1:26" ht="12" customHeight="1">
      <c r="A590" s="687"/>
      <c r="B590" s="687"/>
      <c r="C590" s="687"/>
      <c r="D590" s="687"/>
      <c r="E590" s="687"/>
      <c r="F590" s="687"/>
      <c r="G590" s="687"/>
      <c r="H590" s="687"/>
      <c r="I590" s="687"/>
      <c r="J590" s="687"/>
      <c r="K590" s="687"/>
      <c r="L590" s="687"/>
      <c r="M590" s="687"/>
      <c r="N590" s="687"/>
      <c r="O590" s="687"/>
      <c r="P590" s="687"/>
      <c r="Q590" s="687"/>
      <c r="R590" s="687"/>
      <c r="S590" s="687"/>
      <c r="T590" s="687"/>
      <c r="U590" s="687"/>
      <c r="V590" s="687"/>
      <c r="W590" s="687"/>
      <c r="X590" s="687"/>
      <c r="Y590" s="687"/>
      <c r="Z590" s="687"/>
    </row>
    <row r="591" spans="1:26" ht="12" customHeight="1">
      <c r="A591" s="687"/>
      <c r="B591" s="687"/>
      <c r="C591" s="687"/>
      <c r="D591" s="687"/>
      <c r="E591" s="687"/>
      <c r="F591" s="687"/>
      <c r="G591" s="687"/>
      <c r="H591" s="687"/>
      <c r="I591" s="687"/>
      <c r="J591" s="687"/>
      <c r="K591" s="687"/>
      <c r="L591" s="687"/>
      <c r="M591" s="687"/>
      <c r="N591" s="687"/>
      <c r="O591" s="687"/>
      <c r="P591" s="687"/>
      <c r="Q591" s="687"/>
      <c r="R591" s="687"/>
      <c r="S591" s="687"/>
      <c r="T591" s="687"/>
      <c r="U591" s="687"/>
      <c r="V591" s="687"/>
      <c r="W591" s="687"/>
      <c r="X591" s="687"/>
      <c r="Y591" s="687"/>
      <c r="Z591" s="687"/>
    </row>
    <row r="592" spans="1:26" ht="12" customHeight="1">
      <c r="A592" s="687"/>
      <c r="B592" s="687"/>
      <c r="C592" s="687"/>
      <c r="D592" s="687"/>
      <c r="E592" s="687"/>
      <c r="F592" s="687"/>
      <c r="G592" s="687"/>
      <c r="H592" s="687"/>
      <c r="I592" s="687"/>
      <c r="J592" s="687"/>
      <c r="K592" s="687"/>
      <c r="L592" s="687"/>
      <c r="M592" s="687"/>
      <c r="N592" s="687"/>
      <c r="O592" s="687"/>
      <c r="P592" s="687"/>
      <c r="Q592" s="687"/>
      <c r="R592" s="687"/>
      <c r="S592" s="687"/>
      <c r="T592" s="687"/>
      <c r="U592" s="687"/>
      <c r="V592" s="687"/>
      <c r="W592" s="687"/>
      <c r="X592" s="687"/>
      <c r="Y592" s="687"/>
      <c r="Z592" s="687"/>
    </row>
    <row r="593" spans="1:26" ht="12" customHeight="1">
      <c r="A593" s="687"/>
      <c r="B593" s="687"/>
      <c r="C593" s="687"/>
      <c r="D593" s="687"/>
      <c r="E593" s="687"/>
      <c r="F593" s="687"/>
      <c r="G593" s="687"/>
      <c r="H593" s="687"/>
      <c r="I593" s="687"/>
      <c r="J593" s="687"/>
      <c r="K593" s="687"/>
      <c r="L593" s="687"/>
      <c r="M593" s="687"/>
      <c r="N593" s="687"/>
      <c r="O593" s="687"/>
      <c r="P593" s="687"/>
      <c r="Q593" s="687"/>
      <c r="R593" s="687"/>
      <c r="S593" s="687"/>
      <c r="T593" s="687"/>
      <c r="U593" s="687"/>
      <c r="V593" s="687"/>
      <c r="W593" s="687"/>
      <c r="X593" s="687"/>
      <c r="Y593" s="687"/>
      <c r="Z593" s="687"/>
    </row>
    <row r="594" spans="1:26" ht="12" customHeight="1">
      <c r="A594" s="687"/>
      <c r="B594" s="687"/>
      <c r="C594" s="687"/>
      <c r="D594" s="687"/>
      <c r="E594" s="687"/>
      <c r="F594" s="687"/>
      <c r="G594" s="687"/>
      <c r="H594" s="687"/>
      <c r="I594" s="687"/>
      <c r="J594" s="687"/>
      <c r="K594" s="687"/>
      <c r="L594" s="687"/>
      <c r="M594" s="687"/>
      <c r="N594" s="687"/>
      <c r="O594" s="687"/>
      <c r="P594" s="687"/>
      <c r="Q594" s="687"/>
      <c r="R594" s="687"/>
      <c r="S594" s="687"/>
      <c r="T594" s="687"/>
      <c r="U594" s="687"/>
      <c r="V594" s="687"/>
      <c r="W594" s="687"/>
      <c r="X594" s="687"/>
      <c r="Y594" s="687"/>
      <c r="Z594" s="687"/>
    </row>
    <row r="595" spans="1:26" ht="12" customHeight="1">
      <c r="A595" s="687"/>
      <c r="B595" s="687"/>
      <c r="C595" s="687"/>
      <c r="D595" s="687"/>
      <c r="E595" s="687"/>
      <c r="F595" s="687"/>
      <c r="G595" s="687"/>
      <c r="H595" s="687"/>
      <c r="I595" s="687"/>
      <c r="J595" s="687"/>
      <c r="K595" s="687"/>
      <c r="L595" s="687"/>
      <c r="M595" s="687"/>
      <c r="N595" s="687"/>
      <c r="O595" s="687"/>
      <c r="P595" s="687"/>
      <c r="Q595" s="687"/>
      <c r="R595" s="687"/>
      <c r="S595" s="687"/>
      <c r="T595" s="687"/>
      <c r="U595" s="687"/>
      <c r="V595" s="687"/>
      <c r="W595" s="687"/>
      <c r="X595" s="687"/>
      <c r="Y595" s="687"/>
      <c r="Z595" s="687"/>
    </row>
    <row r="596" spans="1:26" ht="12" customHeight="1">
      <c r="A596" s="687"/>
      <c r="B596" s="687"/>
      <c r="C596" s="687"/>
      <c r="D596" s="687"/>
      <c r="E596" s="687"/>
      <c r="F596" s="687"/>
      <c r="G596" s="687"/>
      <c r="H596" s="687"/>
      <c r="I596" s="687"/>
      <c r="J596" s="687"/>
      <c r="K596" s="687"/>
      <c r="L596" s="687"/>
      <c r="M596" s="687"/>
      <c r="N596" s="687"/>
      <c r="O596" s="687"/>
      <c r="P596" s="687"/>
      <c r="Q596" s="687"/>
      <c r="R596" s="687"/>
      <c r="S596" s="687"/>
      <c r="T596" s="687"/>
      <c r="U596" s="687"/>
      <c r="V596" s="687"/>
      <c r="W596" s="687"/>
      <c r="X596" s="687"/>
      <c r="Y596" s="687"/>
      <c r="Z596" s="687"/>
    </row>
    <row r="597" spans="1:26" ht="12" customHeight="1">
      <c r="A597" s="687"/>
      <c r="B597" s="687"/>
      <c r="C597" s="687"/>
      <c r="D597" s="687"/>
      <c r="E597" s="687"/>
      <c r="F597" s="687"/>
      <c r="G597" s="687"/>
      <c r="H597" s="687"/>
      <c r="I597" s="687"/>
      <c r="J597" s="687"/>
      <c r="K597" s="687"/>
      <c r="L597" s="687"/>
      <c r="M597" s="687"/>
      <c r="N597" s="687"/>
      <c r="O597" s="687"/>
      <c r="P597" s="687"/>
      <c r="Q597" s="687"/>
      <c r="R597" s="687"/>
      <c r="S597" s="687"/>
      <c r="T597" s="687"/>
      <c r="U597" s="687"/>
      <c r="V597" s="687"/>
      <c r="W597" s="687"/>
      <c r="X597" s="687"/>
      <c r="Y597" s="687"/>
      <c r="Z597" s="687"/>
    </row>
    <row r="598" spans="1:26" ht="12" customHeight="1">
      <c r="A598" s="687"/>
      <c r="B598" s="687"/>
      <c r="C598" s="687"/>
      <c r="D598" s="687"/>
      <c r="E598" s="687"/>
      <c r="F598" s="687"/>
      <c r="G598" s="687"/>
      <c r="H598" s="687"/>
      <c r="I598" s="687"/>
      <c r="J598" s="687"/>
      <c r="K598" s="687"/>
      <c r="L598" s="687"/>
      <c r="M598" s="687"/>
      <c r="N598" s="687"/>
      <c r="O598" s="687"/>
      <c r="P598" s="687"/>
      <c r="Q598" s="687"/>
      <c r="R598" s="687"/>
      <c r="S598" s="687"/>
      <c r="T598" s="687"/>
      <c r="U598" s="687"/>
      <c r="V598" s="687"/>
      <c r="W598" s="687"/>
      <c r="X598" s="687"/>
      <c r="Y598" s="687"/>
      <c r="Z598" s="687"/>
    </row>
    <row r="599" spans="1:26" ht="12" customHeight="1">
      <c r="A599" s="687"/>
      <c r="B599" s="687"/>
      <c r="C599" s="687"/>
      <c r="D599" s="687"/>
      <c r="E599" s="687"/>
      <c r="F599" s="687"/>
      <c r="G599" s="687"/>
      <c r="H599" s="687"/>
      <c r="I599" s="687"/>
      <c r="J599" s="687"/>
      <c r="K599" s="687"/>
      <c r="L599" s="687"/>
      <c r="M599" s="687"/>
      <c r="N599" s="687"/>
      <c r="O599" s="687"/>
      <c r="P599" s="687"/>
      <c r="Q599" s="687"/>
      <c r="R599" s="687"/>
      <c r="S599" s="687"/>
      <c r="T599" s="687"/>
      <c r="U599" s="687"/>
      <c r="V599" s="687"/>
      <c r="W599" s="687"/>
      <c r="X599" s="687"/>
      <c r="Y599" s="687"/>
      <c r="Z599" s="687"/>
    </row>
    <row r="600" spans="1:26" ht="12" customHeight="1">
      <c r="A600" s="687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87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</row>
    <row r="601" spans="1:26" ht="12" customHeight="1">
      <c r="A601" s="687"/>
      <c r="B601" s="687"/>
      <c r="C601" s="687"/>
      <c r="D601" s="687"/>
      <c r="E601" s="687"/>
      <c r="F601" s="687"/>
      <c r="G601" s="687"/>
      <c r="H601" s="687"/>
      <c r="I601" s="687"/>
      <c r="J601" s="687"/>
      <c r="K601" s="687"/>
      <c r="L601" s="687"/>
      <c r="M601" s="687"/>
      <c r="N601" s="687"/>
      <c r="O601" s="687"/>
      <c r="P601" s="687"/>
      <c r="Q601" s="687"/>
      <c r="R601" s="687"/>
      <c r="S601" s="687"/>
      <c r="T601" s="687"/>
      <c r="U601" s="687"/>
      <c r="V601" s="687"/>
      <c r="W601" s="687"/>
      <c r="X601" s="687"/>
      <c r="Y601" s="687"/>
      <c r="Z601" s="687"/>
    </row>
    <row r="602" spans="1:26" ht="12" customHeight="1">
      <c r="A602" s="687"/>
      <c r="B602" s="687"/>
      <c r="C602" s="687"/>
      <c r="D602" s="687"/>
      <c r="E602" s="687"/>
      <c r="F602" s="687"/>
      <c r="G602" s="687"/>
      <c r="H602" s="687"/>
      <c r="I602" s="687"/>
      <c r="J602" s="687"/>
      <c r="K602" s="687"/>
      <c r="L602" s="687"/>
      <c r="M602" s="687"/>
      <c r="N602" s="687"/>
      <c r="O602" s="687"/>
      <c r="P602" s="687"/>
      <c r="Q602" s="687"/>
      <c r="R602" s="687"/>
      <c r="S602" s="687"/>
      <c r="T602" s="687"/>
      <c r="U602" s="687"/>
      <c r="V602" s="687"/>
      <c r="W602" s="687"/>
      <c r="X602" s="687"/>
      <c r="Y602" s="687"/>
      <c r="Z602" s="687"/>
    </row>
    <row r="603" spans="1:26" ht="12" customHeight="1">
      <c r="A603" s="687"/>
      <c r="B603" s="687"/>
      <c r="C603" s="687"/>
      <c r="D603" s="687"/>
      <c r="E603" s="687"/>
      <c r="F603" s="687"/>
      <c r="G603" s="687"/>
      <c r="H603" s="687"/>
      <c r="I603" s="687"/>
      <c r="J603" s="687"/>
      <c r="K603" s="687"/>
      <c r="L603" s="687"/>
      <c r="M603" s="687"/>
      <c r="N603" s="687"/>
      <c r="O603" s="687"/>
      <c r="P603" s="687"/>
      <c r="Q603" s="687"/>
      <c r="R603" s="687"/>
      <c r="S603" s="687"/>
      <c r="T603" s="687"/>
      <c r="U603" s="687"/>
      <c r="V603" s="687"/>
      <c r="W603" s="687"/>
      <c r="X603" s="687"/>
      <c r="Y603" s="687"/>
      <c r="Z603" s="687"/>
    </row>
    <row r="604" spans="1:26" ht="12" customHeight="1">
      <c r="A604" s="687"/>
      <c r="B604" s="687"/>
      <c r="C604" s="687"/>
      <c r="D604" s="687"/>
      <c r="E604" s="687"/>
      <c r="F604" s="687"/>
      <c r="G604" s="687"/>
      <c r="H604" s="687"/>
      <c r="I604" s="687"/>
      <c r="J604" s="687"/>
      <c r="K604" s="687"/>
      <c r="L604" s="687"/>
      <c r="M604" s="687"/>
      <c r="N604" s="687"/>
      <c r="O604" s="687"/>
      <c r="P604" s="687"/>
      <c r="Q604" s="687"/>
      <c r="R604" s="687"/>
      <c r="S604" s="687"/>
      <c r="T604" s="687"/>
      <c r="U604" s="687"/>
      <c r="V604" s="687"/>
      <c r="W604" s="687"/>
      <c r="X604" s="687"/>
      <c r="Y604" s="687"/>
      <c r="Z604" s="687"/>
    </row>
    <row r="605" spans="1:26" ht="12" customHeight="1">
      <c r="A605" s="687"/>
      <c r="B605" s="687"/>
      <c r="C605" s="687"/>
      <c r="D605" s="687"/>
      <c r="E605" s="687"/>
      <c r="F605" s="687"/>
      <c r="G605" s="687"/>
      <c r="H605" s="687"/>
      <c r="I605" s="687"/>
      <c r="J605" s="687"/>
      <c r="K605" s="687"/>
      <c r="L605" s="687"/>
      <c r="M605" s="687"/>
      <c r="N605" s="687"/>
      <c r="O605" s="687"/>
      <c r="P605" s="687"/>
      <c r="Q605" s="687"/>
      <c r="R605" s="687"/>
      <c r="S605" s="687"/>
      <c r="T605" s="687"/>
      <c r="U605" s="687"/>
      <c r="V605" s="687"/>
      <c r="W605" s="687"/>
      <c r="X605" s="687"/>
      <c r="Y605" s="687"/>
      <c r="Z605" s="687"/>
    </row>
    <row r="606" spans="1:26" ht="12" customHeight="1">
      <c r="A606" s="687"/>
      <c r="B606" s="687"/>
      <c r="C606" s="687"/>
      <c r="D606" s="687"/>
      <c r="E606" s="687"/>
      <c r="F606" s="687"/>
      <c r="G606" s="687"/>
      <c r="H606" s="687"/>
      <c r="I606" s="687"/>
      <c r="J606" s="687"/>
      <c r="K606" s="687"/>
      <c r="L606" s="687"/>
      <c r="M606" s="687"/>
      <c r="N606" s="687"/>
      <c r="O606" s="687"/>
      <c r="P606" s="687"/>
      <c r="Q606" s="687"/>
      <c r="R606" s="687"/>
      <c r="S606" s="687"/>
      <c r="T606" s="687"/>
      <c r="U606" s="687"/>
      <c r="V606" s="687"/>
      <c r="W606" s="687"/>
      <c r="X606" s="687"/>
      <c r="Y606" s="687"/>
      <c r="Z606" s="687"/>
    </row>
    <row r="607" spans="1:26" ht="12" customHeight="1">
      <c r="A607" s="687"/>
      <c r="B607" s="687"/>
      <c r="C607" s="687"/>
      <c r="D607" s="687"/>
      <c r="E607" s="687"/>
      <c r="F607" s="687"/>
      <c r="G607" s="687"/>
      <c r="H607" s="687"/>
      <c r="I607" s="687"/>
      <c r="J607" s="687"/>
      <c r="K607" s="687"/>
      <c r="L607" s="687"/>
      <c r="M607" s="687"/>
      <c r="N607" s="687"/>
      <c r="O607" s="687"/>
      <c r="P607" s="687"/>
      <c r="Q607" s="687"/>
      <c r="R607" s="687"/>
      <c r="S607" s="687"/>
      <c r="T607" s="687"/>
      <c r="U607" s="687"/>
      <c r="V607" s="687"/>
      <c r="W607" s="687"/>
      <c r="X607" s="687"/>
      <c r="Y607" s="687"/>
      <c r="Z607" s="687"/>
    </row>
    <row r="608" spans="1:26" ht="12" customHeight="1">
      <c r="A608" s="687"/>
      <c r="B608" s="687"/>
      <c r="C608" s="687"/>
      <c r="D608" s="687"/>
      <c r="E608" s="687"/>
      <c r="F608" s="687"/>
      <c r="G608" s="687"/>
      <c r="H608" s="687"/>
      <c r="I608" s="687"/>
      <c r="J608" s="687"/>
      <c r="K608" s="687"/>
      <c r="L608" s="687"/>
      <c r="M608" s="687"/>
      <c r="N608" s="687"/>
      <c r="O608" s="687"/>
      <c r="P608" s="687"/>
      <c r="Q608" s="687"/>
      <c r="R608" s="687"/>
      <c r="S608" s="687"/>
      <c r="T608" s="687"/>
      <c r="U608" s="687"/>
      <c r="V608" s="687"/>
      <c r="W608" s="687"/>
      <c r="X608" s="687"/>
      <c r="Y608" s="687"/>
      <c r="Z608" s="687"/>
    </row>
    <row r="609" spans="1:26" ht="12" customHeight="1">
      <c r="A609" s="687"/>
      <c r="B609" s="687"/>
      <c r="C609" s="687"/>
      <c r="D609" s="687"/>
      <c r="E609" s="687"/>
      <c r="F609" s="687"/>
      <c r="G609" s="687"/>
      <c r="H609" s="687"/>
      <c r="I609" s="687"/>
      <c r="J609" s="687"/>
      <c r="K609" s="687"/>
      <c r="L609" s="687"/>
      <c r="M609" s="687"/>
      <c r="N609" s="687"/>
      <c r="O609" s="687"/>
      <c r="P609" s="687"/>
      <c r="Q609" s="687"/>
      <c r="R609" s="687"/>
      <c r="S609" s="687"/>
      <c r="T609" s="687"/>
      <c r="U609" s="687"/>
      <c r="V609" s="687"/>
      <c r="W609" s="687"/>
      <c r="X609" s="687"/>
      <c r="Y609" s="687"/>
      <c r="Z609" s="687"/>
    </row>
    <row r="610" spans="1:26" ht="12" customHeight="1">
      <c r="A610" s="687"/>
      <c r="B610" s="687"/>
      <c r="C610" s="687"/>
      <c r="D610" s="687"/>
      <c r="E610" s="687"/>
      <c r="F610" s="687"/>
      <c r="G610" s="687"/>
      <c r="H610" s="687"/>
      <c r="I610" s="687"/>
      <c r="J610" s="687"/>
      <c r="K610" s="687"/>
      <c r="L610" s="687"/>
      <c r="M610" s="687"/>
      <c r="N610" s="687"/>
      <c r="O610" s="687"/>
      <c r="P610" s="687"/>
      <c r="Q610" s="687"/>
      <c r="R610" s="687"/>
      <c r="S610" s="687"/>
      <c r="T610" s="687"/>
      <c r="U610" s="687"/>
      <c r="V610" s="687"/>
      <c r="W610" s="687"/>
      <c r="X610" s="687"/>
      <c r="Y610" s="687"/>
      <c r="Z610" s="687"/>
    </row>
    <row r="611" spans="1:26" ht="12" customHeight="1">
      <c r="A611" s="687"/>
      <c r="B611" s="687"/>
      <c r="C611" s="687"/>
      <c r="D611" s="687"/>
      <c r="E611" s="687"/>
      <c r="F611" s="687"/>
      <c r="G611" s="687"/>
      <c r="H611" s="687"/>
      <c r="I611" s="687"/>
      <c r="J611" s="687"/>
      <c r="K611" s="687"/>
      <c r="L611" s="687"/>
      <c r="M611" s="687"/>
      <c r="N611" s="687"/>
      <c r="O611" s="687"/>
      <c r="P611" s="687"/>
      <c r="Q611" s="687"/>
      <c r="R611" s="687"/>
      <c r="S611" s="687"/>
      <c r="T611" s="687"/>
      <c r="U611" s="687"/>
      <c r="V611" s="687"/>
      <c r="W611" s="687"/>
      <c r="X611" s="687"/>
      <c r="Y611" s="687"/>
      <c r="Z611" s="687"/>
    </row>
    <row r="612" spans="1:26" ht="12" customHeight="1">
      <c r="A612" s="687"/>
      <c r="B612" s="687"/>
      <c r="C612" s="687"/>
      <c r="D612" s="687"/>
      <c r="E612" s="687"/>
      <c r="F612" s="687"/>
      <c r="G612" s="687"/>
      <c r="H612" s="687"/>
      <c r="I612" s="687"/>
      <c r="J612" s="687"/>
      <c r="K612" s="687"/>
      <c r="L612" s="687"/>
      <c r="M612" s="687"/>
      <c r="N612" s="687"/>
      <c r="O612" s="687"/>
      <c r="P612" s="687"/>
      <c r="Q612" s="687"/>
      <c r="R612" s="687"/>
      <c r="S612" s="687"/>
      <c r="T612" s="687"/>
      <c r="U612" s="687"/>
      <c r="V612" s="687"/>
      <c r="W612" s="687"/>
      <c r="X612" s="687"/>
      <c r="Y612" s="687"/>
      <c r="Z612" s="687"/>
    </row>
    <row r="613" spans="1:26" ht="12" customHeight="1">
      <c r="A613" s="687"/>
      <c r="B613" s="687"/>
      <c r="C613" s="687"/>
      <c r="D613" s="687"/>
      <c r="E613" s="687"/>
      <c r="F613" s="687"/>
      <c r="G613" s="687"/>
      <c r="H613" s="687"/>
      <c r="I613" s="687"/>
      <c r="J613" s="687"/>
      <c r="K613" s="687"/>
      <c r="L613" s="687"/>
      <c r="M613" s="687"/>
      <c r="N613" s="687"/>
      <c r="O613" s="687"/>
      <c r="P613" s="687"/>
      <c r="Q613" s="687"/>
      <c r="R613" s="687"/>
      <c r="S613" s="687"/>
      <c r="T613" s="687"/>
      <c r="U613" s="687"/>
      <c r="V613" s="687"/>
      <c r="W613" s="687"/>
      <c r="X613" s="687"/>
      <c r="Y613" s="687"/>
      <c r="Z613" s="687"/>
    </row>
    <row r="614" spans="1:26" ht="12" customHeight="1">
      <c r="A614" s="687"/>
      <c r="B614" s="687"/>
      <c r="C614" s="687"/>
      <c r="D614" s="687"/>
      <c r="E614" s="687"/>
      <c r="F614" s="687"/>
      <c r="G614" s="687"/>
      <c r="H614" s="687"/>
      <c r="I614" s="687"/>
      <c r="J614" s="687"/>
      <c r="K614" s="687"/>
      <c r="L614" s="687"/>
      <c r="M614" s="687"/>
      <c r="N614" s="687"/>
      <c r="O614" s="687"/>
      <c r="P614" s="687"/>
      <c r="Q614" s="687"/>
      <c r="R614" s="687"/>
      <c r="S614" s="687"/>
      <c r="T614" s="687"/>
      <c r="U614" s="687"/>
      <c r="V614" s="687"/>
      <c r="W614" s="687"/>
      <c r="X614" s="687"/>
      <c r="Y614" s="687"/>
      <c r="Z614" s="687"/>
    </row>
    <row r="615" spans="1:26" ht="12" customHeight="1">
      <c r="A615" s="687"/>
      <c r="B615" s="687"/>
      <c r="C615" s="687"/>
      <c r="D615" s="687"/>
      <c r="E615" s="687"/>
      <c r="F615" s="687"/>
      <c r="G615" s="687"/>
      <c r="H615" s="687"/>
      <c r="I615" s="687"/>
      <c r="J615" s="687"/>
      <c r="K615" s="687"/>
      <c r="L615" s="687"/>
      <c r="M615" s="687"/>
      <c r="N615" s="687"/>
      <c r="O615" s="687"/>
      <c r="P615" s="687"/>
      <c r="Q615" s="687"/>
      <c r="R615" s="687"/>
      <c r="S615" s="687"/>
      <c r="T615" s="687"/>
      <c r="U615" s="687"/>
      <c r="V615" s="687"/>
      <c r="W615" s="687"/>
      <c r="X615" s="687"/>
      <c r="Y615" s="687"/>
      <c r="Z615" s="687"/>
    </row>
    <row r="616" spans="1:26" ht="12" customHeight="1">
      <c r="A616" s="687"/>
      <c r="B616" s="687"/>
      <c r="C616" s="687"/>
      <c r="D616" s="687"/>
      <c r="E616" s="687"/>
      <c r="F616" s="687"/>
      <c r="G616" s="687"/>
      <c r="H616" s="687"/>
      <c r="I616" s="687"/>
      <c r="J616" s="687"/>
      <c r="K616" s="687"/>
      <c r="L616" s="687"/>
      <c r="M616" s="687"/>
      <c r="N616" s="687"/>
      <c r="O616" s="687"/>
      <c r="P616" s="687"/>
      <c r="Q616" s="687"/>
      <c r="R616" s="687"/>
      <c r="S616" s="687"/>
      <c r="T616" s="687"/>
      <c r="U616" s="687"/>
      <c r="V616" s="687"/>
      <c r="W616" s="687"/>
      <c r="X616" s="687"/>
      <c r="Y616" s="687"/>
      <c r="Z616" s="687"/>
    </row>
    <row r="617" spans="1:26" ht="12" customHeight="1">
      <c r="A617" s="687"/>
      <c r="B617" s="687"/>
      <c r="C617" s="687"/>
      <c r="D617" s="687"/>
      <c r="E617" s="687"/>
      <c r="F617" s="687"/>
      <c r="G617" s="687"/>
      <c r="H617" s="687"/>
      <c r="I617" s="687"/>
      <c r="J617" s="687"/>
      <c r="K617" s="687"/>
      <c r="L617" s="687"/>
      <c r="M617" s="687"/>
      <c r="N617" s="687"/>
      <c r="O617" s="687"/>
      <c r="P617" s="687"/>
      <c r="Q617" s="687"/>
      <c r="R617" s="687"/>
      <c r="S617" s="687"/>
      <c r="T617" s="687"/>
      <c r="U617" s="687"/>
      <c r="V617" s="687"/>
      <c r="W617" s="687"/>
      <c r="X617" s="687"/>
      <c r="Y617" s="687"/>
      <c r="Z617" s="687"/>
    </row>
    <row r="618" spans="1:26" ht="12" customHeight="1">
      <c r="A618" s="687"/>
      <c r="B618" s="687"/>
      <c r="C618" s="687"/>
      <c r="D618" s="687"/>
      <c r="E618" s="687"/>
      <c r="F618" s="687"/>
      <c r="G618" s="687"/>
      <c r="H618" s="687"/>
      <c r="I618" s="687"/>
      <c r="J618" s="687"/>
      <c r="K618" s="687"/>
      <c r="L618" s="687"/>
      <c r="M618" s="687"/>
      <c r="N618" s="687"/>
      <c r="O618" s="687"/>
      <c r="P618" s="687"/>
      <c r="Q618" s="687"/>
      <c r="R618" s="687"/>
      <c r="S618" s="687"/>
      <c r="T618" s="687"/>
      <c r="U618" s="687"/>
      <c r="V618" s="687"/>
      <c r="W618" s="687"/>
      <c r="X618" s="687"/>
      <c r="Y618" s="687"/>
      <c r="Z618" s="687"/>
    </row>
    <row r="619" spans="1:26" ht="12" customHeight="1">
      <c r="A619" s="687"/>
      <c r="B619" s="687"/>
      <c r="C619" s="687"/>
      <c r="D619" s="687"/>
      <c r="E619" s="687"/>
      <c r="F619" s="687"/>
      <c r="G619" s="687"/>
      <c r="H619" s="687"/>
      <c r="I619" s="687"/>
      <c r="J619" s="687"/>
      <c r="K619" s="687"/>
      <c r="L619" s="687"/>
      <c r="M619" s="687"/>
      <c r="N619" s="687"/>
      <c r="O619" s="687"/>
      <c r="P619" s="687"/>
      <c r="Q619" s="687"/>
      <c r="R619" s="687"/>
      <c r="S619" s="687"/>
      <c r="T619" s="687"/>
      <c r="U619" s="687"/>
      <c r="V619" s="687"/>
      <c r="W619" s="687"/>
      <c r="X619" s="687"/>
      <c r="Y619" s="687"/>
      <c r="Z619" s="687"/>
    </row>
    <row r="620" spans="1:26" ht="12" customHeight="1">
      <c r="A620" s="687"/>
      <c r="B620" s="687"/>
      <c r="C620" s="687"/>
      <c r="D620" s="687"/>
      <c r="E620" s="687"/>
      <c r="F620" s="687"/>
      <c r="G620" s="687"/>
      <c r="H620" s="687"/>
      <c r="I620" s="687"/>
      <c r="J620" s="687"/>
      <c r="K620" s="687"/>
      <c r="L620" s="687"/>
      <c r="M620" s="687"/>
      <c r="N620" s="687"/>
      <c r="O620" s="687"/>
      <c r="P620" s="687"/>
      <c r="Q620" s="687"/>
      <c r="R620" s="687"/>
      <c r="S620" s="687"/>
      <c r="T620" s="687"/>
      <c r="U620" s="687"/>
      <c r="V620" s="687"/>
      <c r="W620" s="687"/>
      <c r="X620" s="687"/>
      <c r="Y620" s="687"/>
      <c r="Z620" s="687"/>
    </row>
    <row r="621" spans="1:26" ht="12" customHeight="1">
      <c r="A621" s="687"/>
      <c r="B621" s="687"/>
      <c r="C621" s="687"/>
      <c r="D621" s="687"/>
      <c r="E621" s="687"/>
      <c r="F621" s="687"/>
      <c r="G621" s="687"/>
      <c r="H621" s="687"/>
      <c r="I621" s="687"/>
      <c r="J621" s="687"/>
      <c r="K621" s="687"/>
      <c r="L621" s="687"/>
      <c r="M621" s="687"/>
      <c r="N621" s="687"/>
      <c r="O621" s="687"/>
      <c r="P621" s="687"/>
      <c r="Q621" s="687"/>
      <c r="R621" s="687"/>
      <c r="S621" s="687"/>
      <c r="T621" s="687"/>
      <c r="U621" s="687"/>
      <c r="V621" s="687"/>
      <c r="W621" s="687"/>
      <c r="X621" s="687"/>
      <c r="Y621" s="687"/>
      <c r="Z621" s="687"/>
    </row>
    <row r="622" spans="1:26" ht="12" customHeight="1">
      <c r="A622" s="687"/>
      <c r="B622" s="687"/>
      <c r="C622" s="687"/>
      <c r="D622" s="687"/>
      <c r="E622" s="687"/>
      <c r="F622" s="687"/>
      <c r="G622" s="687"/>
      <c r="H622" s="687"/>
      <c r="I622" s="687"/>
      <c r="J622" s="687"/>
      <c r="K622" s="687"/>
      <c r="L622" s="687"/>
      <c r="M622" s="687"/>
      <c r="N622" s="687"/>
      <c r="O622" s="687"/>
      <c r="P622" s="687"/>
      <c r="Q622" s="687"/>
      <c r="R622" s="687"/>
      <c r="S622" s="687"/>
      <c r="T622" s="687"/>
      <c r="U622" s="687"/>
      <c r="V622" s="687"/>
      <c r="W622" s="687"/>
      <c r="X622" s="687"/>
      <c r="Y622" s="687"/>
      <c r="Z622" s="687"/>
    </row>
    <row r="623" spans="1:26" ht="12" customHeight="1">
      <c r="A623" s="687"/>
      <c r="B623" s="687"/>
      <c r="C623" s="687"/>
      <c r="D623" s="687"/>
      <c r="E623" s="687"/>
      <c r="F623" s="687"/>
      <c r="G623" s="687"/>
      <c r="H623" s="687"/>
      <c r="I623" s="687"/>
      <c r="J623" s="687"/>
      <c r="K623" s="687"/>
      <c r="L623" s="687"/>
      <c r="M623" s="687"/>
      <c r="N623" s="687"/>
      <c r="O623" s="687"/>
      <c r="P623" s="687"/>
      <c r="Q623" s="687"/>
      <c r="R623" s="687"/>
      <c r="S623" s="687"/>
      <c r="T623" s="687"/>
      <c r="U623" s="687"/>
      <c r="V623" s="687"/>
      <c r="W623" s="687"/>
      <c r="X623" s="687"/>
      <c r="Y623" s="687"/>
      <c r="Z623" s="687"/>
    </row>
    <row r="624" spans="1:26" ht="12" customHeight="1">
      <c r="A624" s="687"/>
      <c r="B624" s="687"/>
      <c r="C624" s="687"/>
      <c r="D624" s="687"/>
      <c r="E624" s="687"/>
      <c r="F624" s="687"/>
      <c r="G624" s="687"/>
      <c r="H624" s="687"/>
      <c r="I624" s="687"/>
      <c r="J624" s="687"/>
      <c r="K624" s="687"/>
      <c r="L624" s="687"/>
      <c r="M624" s="687"/>
      <c r="N624" s="687"/>
      <c r="O624" s="687"/>
      <c r="P624" s="687"/>
      <c r="Q624" s="687"/>
      <c r="R624" s="687"/>
      <c r="S624" s="687"/>
      <c r="T624" s="687"/>
      <c r="U624" s="687"/>
      <c r="V624" s="687"/>
      <c r="W624" s="687"/>
      <c r="X624" s="687"/>
      <c r="Y624" s="687"/>
      <c r="Z624" s="687"/>
    </row>
    <row r="625" spans="1:26" ht="12" customHeight="1">
      <c r="A625" s="687"/>
      <c r="B625" s="687"/>
      <c r="C625" s="687"/>
      <c r="D625" s="687"/>
      <c r="E625" s="687"/>
      <c r="F625" s="687"/>
      <c r="G625" s="687"/>
      <c r="H625" s="687"/>
      <c r="I625" s="687"/>
      <c r="J625" s="687"/>
      <c r="K625" s="687"/>
      <c r="L625" s="687"/>
      <c r="M625" s="687"/>
      <c r="N625" s="687"/>
      <c r="O625" s="687"/>
      <c r="P625" s="687"/>
      <c r="Q625" s="687"/>
      <c r="R625" s="687"/>
      <c r="S625" s="687"/>
      <c r="T625" s="687"/>
      <c r="U625" s="687"/>
      <c r="V625" s="687"/>
      <c r="W625" s="687"/>
      <c r="X625" s="687"/>
      <c r="Y625" s="687"/>
      <c r="Z625" s="687"/>
    </row>
    <row r="626" spans="1:26" ht="12" customHeight="1">
      <c r="A626" s="687"/>
      <c r="B626" s="687"/>
      <c r="C626" s="687"/>
      <c r="D626" s="687"/>
      <c r="E626" s="687"/>
      <c r="F626" s="687"/>
      <c r="G626" s="687"/>
      <c r="H626" s="687"/>
      <c r="I626" s="687"/>
      <c r="J626" s="687"/>
      <c r="K626" s="687"/>
      <c r="L626" s="687"/>
      <c r="M626" s="687"/>
      <c r="N626" s="687"/>
      <c r="O626" s="687"/>
      <c r="P626" s="687"/>
      <c r="Q626" s="687"/>
      <c r="R626" s="687"/>
      <c r="S626" s="687"/>
      <c r="T626" s="687"/>
      <c r="U626" s="687"/>
      <c r="V626" s="687"/>
      <c r="W626" s="687"/>
      <c r="X626" s="687"/>
      <c r="Y626" s="687"/>
      <c r="Z626" s="687"/>
    </row>
    <row r="627" spans="1:26" ht="12" customHeight="1">
      <c r="A627" s="687"/>
      <c r="B627" s="687"/>
      <c r="C627" s="687"/>
      <c r="D627" s="687"/>
      <c r="E627" s="687"/>
      <c r="F627" s="687"/>
      <c r="G627" s="687"/>
      <c r="H627" s="687"/>
      <c r="I627" s="687"/>
      <c r="J627" s="687"/>
      <c r="K627" s="687"/>
      <c r="L627" s="687"/>
      <c r="M627" s="687"/>
      <c r="N627" s="687"/>
      <c r="O627" s="687"/>
      <c r="P627" s="687"/>
      <c r="Q627" s="687"/>
      <c r="R627" s="687"/>
      <c r="S627" s="687"/>
      <c r="T627" s="687"/>
      <c r="U627" s="687"/>
      <c r="V627" s="687"/>
      <c r="W627" s="687"/>
      <c r="X627" s="687"/>
      <c r="Y627" s="687"/>
      <c r="Z627" s="687"/>
    </row>
    <row r="628" spans="1:26" ht="12" customHeight="1">
      <c r="A628" s="687"/>
      <c r="B628" s="687"/>
      <c r="C628" s="687"/>
      <c r="D628" s="687"/>
      <c r="E628" s="687"/>
      <c r="F628" s="687"/>
      <c r="G628" s="687"/>
      <c r="H628" s="687"/>
      <c r="I628" s="687"/>
      <c r="J628" s="687"/>
      <c r="K628" s="687"/>
      <c r="L628" s="687"/>
      <c r="M628" s="687"/>
      <c r="N628" s="687"/>
      <c r="O628" s="687"/>
      <c r="P628" s="687"/>
      <c r="Q628" s="687"/>
      <c r="R628" s="687"/>
      <c r="S628" s="687"/>
      <c r="T628" s="687"/>
      <c r="U628" s="687"/>
      <c r="V628" s="687"/>
      <c r="W628" s="687"/>
      <c r="X628" s="687"/>
      <c r="Y628" s="687"/>
      <c r="Z628" s="687"/>
    </row>
    <row r="629" spans="1:26" ht="12" customHeight="1">
      <c r="A629" s="687"/>
      <c r="B629" s="687"/>
      <c r="C629" s="687"/>
      <c r="D629" s="687"/>
      <c r="E629" s="687"/>
      <c r="F629" s="687"/>
      <c r="G629" s="687"/>
      <c r="H629" s="687"/>
      <c r="I629" s="687"/>
      <c r="J629" s="687"/>
      <c r="K629" s="687"/>
      <c r="L629" s="687"/>
      <c r="M629" s="687"/>
      <c r="N629" s="687"/>
      <c r="O629" s="687"/>
      <c r="P629" s="687"/>
      <c r="Q629" s="687"/>
      <c r="R629" s="687"/>
      <c r="S629" s="687"/>
      <c r="T629" s="687"/>
      <c r="U629" s="687"/>
      <c r="V629" s="687"/>
      <c r="W629" s="687"/>
      <c r="X629" s="687"/>
      <c r="Y629" s="687"/>
      <c r="Z629" s="687"/>
    </row>
    <row r="630" spans="1:26" ht="12" customHeight="1">
      <c r="A630" s="687"/>
      <c r="B630" s="687"/>
      <c r="C630" s="687"/>
      <c r="D630" s="687"/>
      <c r="E630" s="687"/>
      <c r="F630" s="687"/>
      <c r="G630" s="687"/>
      <c r="H630" s="687"/>
      <c r="I630" s="687"/>
      <c r="J630" s="687"/>
      <c r="K630" s="687"/>
      <c r="L630" s="687"/>
      <c r="M630" s="687"/>
      <c r="N630" s="687"/>
      <c r="O630" s="687"/>
      <c r="P630" s="687"/>
      <c r="Q630" s="687"/>
      <c r="R630" s="687"/>
      <c r="S630" s="687"/>
      <c r="T630" s="687"/>
      <c r="U630" s="687"/>
      <c r="V630" s="687"/>
      <c r="W630" s="687"/>
      <c r="X630" s="687"/>
      <c r="Y630" s="687"/>
      <c r="Z630" s="687"/>
    </row>
    <row r="631" spans="1:26" ht="12" customHeight="1">
      <c r="A631" s="687"/>
      <c r="B631" s="687"/>
      <c r="C631" s="687"/>
      <c r="D631" s="687"/>
      <c r="E631" s="687"/>
      <c r="F631" s="687"/>
      <c r="G631" s="687"/>
      <c r="H631" s="687"/>
      <c r="I631" s="687"/>
      <c r="J631" s="687"/>
      <c r="K631" s="687"/>
      <c r="L631" s="687"/>
      <c r="M631" s="687"/>
      <c r="N631" s="687"/>
      <c r="O631" s="687"/>
      <c r="P631" s="687"/>
      <c r="Q631" s="687"/>
      <c r="R631" s="687"/>
      <c r="S631" s="687"/>
      <c r="T631" s="687"/>
      <c r="U631" s="687"/>
      <c r="V631" s="687"/>
      <c r="W631" s="687"/>
      <c r="X631" s="687"/>
      <c r="Y631" s="687"/>
      <c r="Z631" s="687"/>
    </row>
    <row r="632" spans="1:26" ht="12" customHeight="1">
      <c r="A632" s="687"/>
      <c r="B632" s="687"/>
      <c r="C632" s="687"/>
      <c r="D632" s="687"/>
      <c r="E632" s="687"/>
      <c r="F632" s="687"/>
      <c r="G632" s="687"/>
      <c r="H632" s="687"/>
      <c r="I632" s="687"/>
      <c r="J632" s="687"/>
      <c r="K632" s="687"/>
      <c r="L632" s="687"/>
      <c r="M632" s="687"/>
      <c r="N632" s="687"/>
      <c r="O632" s="687"/>
      <c r="P632" s="687"/>
      <c r="Q632" s="687"/>
      <c r="R632" s="687"/>
      <c r="S632" s="687"/>
      <c r="T632" s="687"/>
      <c r="U632" s="687"/>
      <c r="V632" s="687"/>
      <c r="W632" s="687"/>
      <c r="X632" s="687"/>
      <c r="Y632" s="687"/>
      <c r="Z632" s="687"/>
    </row>
    <row r="633" spans="1:26" ht="12" customHeight="1">
      <c r="A633" s="687"/>
      <c r="B633" s="687"/>
      <c r="C633" s="687"/>
      <c r="D633" s="687"/>
      <c r="E633" s="687"/>
      <c r="F633" s="687"/>
      <c r="G633" s="687"/>
      <c r="H633" s="687"/>
      <c r="I633" s="687"/>
      <c r="J633" s="687"/>
      <c r="K633" s="687"/>
      <c r="L633" s="687"/>
      <c r="M633" s="687"/>
      <c r="N633" s="687"/>
      <c r="O633" s="687"/>
      <c r="P633" s="687"/>
      <c r="Q633" s="687"/>
      <c r="R633" s="687"/>
      <c r="S633" s="687"/>
      <c r="T633" s="687"/>
      <c r="U633" s="687"/>
      <c r="V633" s="687"/>
      <c r="W633" s="687"/>
      <c r="X633" s="687"/>
      <c r="Y633" s="687"/>
      <c r="Z633" s="687"/>
    </row>
    <row r="634" spans="1:26" ht="12" customHeight="1">
      <c r="A634" s="687"/>
      <c r="B634" s="687"/>
      <c r="C634" s="687"/>
      <c r="D634" s="687"/>
      <c r="E634" s="687"/>
      <c r="F634" s="687"/>
      <c r="G634" s="687"/>
      <c r="H634" s="687"/>
      <c r="I634" s="687"/>
      <c r="J634" s="687"/>
      <c r="K634" s="687"/>
      <c r="L634" s="687"/>
      <c r="M634" s="687"/>
      <c r="N634" s="687"/>
      <c r="O634" s="687"/>
      <c r="P634" s="687"/>
      <c r="Q634" s="687"/>
      <c r="R634" s="687"/>
      <c r="S634" s="687"/>
      <c r="T634" s="687"/>
      <c r="U634" s="687"/>
      <c r="V634" s="687"/>
      <c r="W634" s="687"/>
      <c r="X634" s="687"/>
      <c r="Y634" s="687"/>
      <c r="Z634" s="687"/>
    </row>
    <row r="635" spans="1:26" ht="12" customHeight="1">
      <c r="A635" s="687"/>
      <c r="B635" s="687"/>
      <c r="C635" s="687"/>
      <c r="D635" s="687"/>
      <c r="E635" s="687"/>
      <c r="F635" s="687"/>
      <c r="G635" s="687"/>
      <c r="H635" s="687"/>
      <c r="I635" s="687"/>
      <c r="J635" s="687"/>
      <c r="K635" s="687"/>
      <c r="L635" s="687"/>
      <c r="M635" s="687"/>
      <c r="N635" s="687"/>
      <c r="O635" s="687"/>
      <c r="P635" s="687"/>
      <c r="Q635" s="687"/>
      <c r="R635" s="687"/>
      <c r="S635" s="687"/>
      <c r="T635" s="687"/>
      <c r="U635" s="687"/>
      <c r="V635" s="687"/>
      <c r="W635" s="687"/>
      <c r="X635" s="687"/>
      <c r="Y635" s="687"/>
      <c r="Z635" s="687"/>
    </row>
    <row r="636" spans="1:26" ht="12" customHeight="1">
      <c r="A636" s="687"/>
      <c r="B636" s="687"/>
      <c r="C636" s="687"/>
      <c r="D636" s="687"/>
      <c r="E636" s="687"/>
      <c r="F636" s="687"/>
      <c r="G636" s="687"/>
      <c r="H636" s="687"/>
      <c r="I636" s="687"/>
      <c r="J636" s="687"/>
      <c r="K636" s="687"/>
      <c r="L636" s="687"/>
      <c r="M636" s="687"/>
      <c r="N636" s="687"/>
      <c r="O636" s="687"/>
      <c r="P636" s="687"/>
      <c r="Q636" s="687"/>
      <c r="R636" s="687"/>
      <c r="S636" s="687"/>
      <c r="T636" s="687"/>
      <c r="U636" s="687"/>
      <c r="V636" s="687"/>
      <c r="W636" s="687"/>
      <c r="X636" s="687"/>
      <c r="Y636" s="687"/>
      <c r="Z636" s="687"/>
    </row>
    <row r="637" spans="1:26" ht="12" customHeight="1">
      <c r="A637" s="687"/>
      <c r="B637" s="687"/>
      <c r="C637" s="687"/>
      <c r="D637" s="687"/>
      <c r="E637" s="687"/>
      <c r="F637" s="687"/>
      <c r="G637" s="687"/>
      <c r="H637" s="687"/>
      <c r="I637" s="687"/>
      <c r="J637" s="687"/>
      <c r="K637" s="687"/>
      <c r="L637" s="687"/>
      <c r="M637" s="687"/>
      <c r="N637" s="687"/>
      <c r="O637" s="687"/>
      <c r="P637" s="687"/>
      <c r="Q637" s="687"/>
      <c r="R637" s="687"/>
      <c r="S637" s="687"/>
      <c r="T637" s="687"/>
      <c r="U637" s="687"/>
      <c r="V637" s="687"/>
      <c r="W637" s="687"/>
      <c r="X637" s="687"/>
      <c r="Y637" s="687"/>
      <c r="Z637" s="687"/>
    </row>
    <row r="638" spans="1:26" ht="12" customHeight="1">
      <c r="A638" s="687"/>
      <c r="B638" s="687"/>
      <c r="C638" s="687"/>
      <c r="D638" s="687"/>
      <c r="E638" s="687"/>
      <c r="F638" s="687"/>
      <c r="G638" s="687"/>
      <c r="H638" s="687"/>
      <c r="I638" s="687"/>
      <c r="J638" s="687"/>
      <c r="K638" s="687"/>
      <c r="L638" s="687"/>
      <c r="M638" s="687"/>
      <c r="N638" s="687"/>
      <c r="O638" s="687"/>
      <c r="P638" s="687"/>
      <c r="Q638" s="687"/>
      <c r="R638" s="687"/>
      <c r="S638" s="687"/>
      <c r="T638" s="687"/>
      <c r="U638" s="687"/>
      <c r="V638" s="687"/>
      <c r="W638" s="687"/>
      <c r="X638" s="687"/>
      <c r="Y638" s="687"/>
      <c r="Z638" s="687"/>
    </row>
    <row r="639" spans="1:26" ht="12" customHeight="1">
      <c r="A639" s="687"/>
      <c r="B639" s="687"/>
      <c r="C639" s="687"/>
      <c r="D639" s="687"/>
      <c r="E639" s="687"/>
      <c r="F639" s="687"/>
      <c r="G639" s="687"/>
      <c r="H639" s="687"/>
      <c r="I639" s="687"/>
      <c r="J639" s="687"/>
      <c r="K639" s="687"/>
      <c r="L639" s="687"/>
      <c r="M639" s="687"/>
      <c r="N639" s="687"/>
      <c r="O639" s="687"/>
      <c r="P639" s="687"/>
      <c r="Q639" s="687"/>
      <c r="R639" s="687"/>
      <c r="S639" s="687"/>
      <c r="T639" s="687"/>
      <c r="U639" s="687"/>
      <c r="V639" s="687"/>
      <c r="W639" s="687"/>
      <c r="X639" s="687"/>
      <c r="Y639" s="687"/>
      <c r="Z639" s="687"/>
    </row>
    <row r="640" spans="1:26" ht="12" customHeight="1">
      <c r="A640" s="687"/>
      <c r="B640" s="687"/>
      <c r="C640" s="687"/>
      <c r="D640" s="687"/>
      <c r="E640" s="687"/>
      <c r="F640" s="687"/>
      <c r="G640" s="687"/>
      <c r="H640" s="687"/>
      <c r="I640" s="687"/>
      <c r="J640" s="687"/>
      <c r="K640" s="687"/>
      <c r="L640" s="687"/>
      <c r="M640" s="687"/>
      <c r="N640" s="687"/>
      <c r="O640" s="687"/>
      <c r="P640" s="687"/>
      <c r="Q640" s="687"/>
      <c r="R640" s="687"/>
      <c r="S640" s="687"/>
      <c r="T640" s="687"/>
      <c r="U640" s="687"/>
      <c r="V640" s="687"/>
      <c r="W640" s="687"/>
      <c r="X640" s="687"/>
      <c r="Y640" s="687"/>
      <c r="Z640" s="687"/>
    </row>
    <row r="641" spans="1:26" ht="12" customHeight="1">
      <c r="A641" s="687"/>
      <c r="B641" s="687"/>
      <c r="C641" s="687"/>
      <c r="D641" s="687"/>
      <c r="E641" s="687"/>
      <c r="F641" s="687"/>
      <c r="G641" s="687"/>
      <c r="H641" s="687"/>
      <c r="I641" s="687"/>
      <c r="J641" s="687"/>
      <c r="K641" s="687"/>
      <c r="L641" s="687"/>
      <c r="M641" s="687"/>
      <c r="N641" s="687"/>
      <c r="O641" s="687"/>
      <c r="P641" s="687"/>
      <c r="Q641" s="687"/>
      <c r="R641" s="687"/>
      <c r="S641" s="687"/>
      <c r="T641" s="687"/>
      <c r="U641" s="687"/>
      <c r="V641" s="687"/>
      <c r="W641" s="687"/>
      <c r="X641" s="687"/>
      <c r="Y641" s="687"/>
      <c r="Z641" s="687"/>
    </row>
    <row r="642" spans="1:26" ht="12" customHeight="1">
      <c r="A642" s="687"/>
      <c r="B642" s="687"/>
      <c r="C642" s="687"/>
      <c r="D642" s="687"/>
      <c r="E642" s="687"/>
      <c r="F642" s="687"/>
      <c r="G642" s="687"/>
      <c r="H642" s="687"/>
      <c r="I642" s="687"/>
      <c r="J642" s="687"/>
      <c r="K642" s="687"/>
      <c r="L642" s="687"/>
      <c r="M642" s="687"/>
      <c r="N642" s="687"/>
      <c r="O642" s="687"/>
      <c r="P642" s="687"/>
      <c r="Q642" s="687"/>
      <c r="R642" s="687"/>
      <c r="S642" s="687"/>
      <c r="T642" s="687"/>
      <c r="U642" s="687"/>
      <c r="V642" s="687"/>
      <c r="W642" s="687"/>
      <c r="X642" s="687"/>
      <c r="Y642" s="687"/>
      <c r="Z642" s="687"/>
    </row>
    <row r="643" spans="1:26" ht="12" customHeight="1">
      <c r="A643" s="687"/>
      <c r="B643" s="687"/>
      <c r="C643" s="687"/>
      <c r="D643" s="687"/>
      <c r="E643" s="687"/>
      <c r="F643" s="687"/>
      <c r="G643" s="687"/>
      <c r="H643" s="687"/>
      <c r="I643" s="687"/>
      <c r="J643" s="687"/>
      <c r="K643" s="687"/>
      <c r="L643" s="687"/>
      <c r="M643" s="687"/>
      <c r="N643" s="687"/>
      <c r="O643" s="687"/>
      <c r="P643" s="687"/>
      <c r="Q643" s="687"/>
      <c r="R643" s="687"/>
      <c r="S643" s="687"/>
      <c r="T643" s="687"/>
      <c r="U643" s="687"/>
      <c r="V643" s="687"/>
      <c r="W643" s="687"/>
      <c r="X643" s="687"/>
      <c r="Y643" s="687"/>
      <c r="Z643" s="687"/>
    </row>
    <row r="644" spans="1:26" ht="12" customHeight="1">
      <c r="A644" s="687"/>
      <c r="B644" s="687"/>
      <c r="C644" s="687"/>
      <c r="D644" s="687"/>
      <c r="E644" s="687"/>
      <c r="F644" s="687"/>
      <c r="G644" s="687"/>
      <c r="H644" s="687"/>
      <c r="I644" s="687"/>
      <c r="J644" s="687"/>
      <c r="K644" s="687"/>
      <c r="L644" s="687"/>
      <c r="M644" s="687"/>
      <c r="N644" s="687"/>
      <c r="O644" s="687"/>
      <c r="P644" s="687"/>
      <c r="Q644" s="687"/>
      <c r="R644" s="687"/>
      <c r="S644" s="687"/>
      <c r="T644" s="687"/>
      <c r="U644" s="687"/>
      <c r="V644" s="687"/>
      <c r="W644" s="687"/>
      <c r="X644" s="687"/>
      <c r="Y644" s="687"/>
      <c r="Z644" s="687"/>
    </row>
    <row r="645" spans="1:26" ht="12" customHeight="1">
      <c r="A645" s="687"/>
      <c r="B645" s="687"/>
      <c r="C645" s="687"/>
      <c r="D645" s="687"/>
      <c r="E645" s="687"/>
      <c r="F645" s="687"/>
      <c r="G645" s="687"/>
      <c r="H645" s="687"/>
      <c r="I645" s="687"/>
      <c r="J645" s="687"/>
      <c r="K645" s="687"/>
      <c r="L645" s="687"/>
      <c r="M645" s="687"/>
      <c r="N645" s="687"/>
      <c r="O645" s="687"/>
      <c r="P645" s="687"/>
      <c r="Q645" s="687"/>
      <c r="R645" s="687"/>
      <c r="S645" s="687"/>
      <c r="T645" s="687"/>
      <c r="U645" s="687"/>
      <c r="V645" s="687"/>
      <c r="W645" s="687"/>
      <c r="X645" s="687"/>
      <c r="Y645" s="687"/>
      <c r="Z645" s="687"/>
    </row>
    <row r="646" spans="1:26" ht="12" customHeight="1">
      <c r="A646" s="687"/>
      <c r="B646" s="687"/>
      <c r="C646" s="687"/>
      <c r="D646" s="687"/>
      <c r="E646" s="687"/>
      <c r="F646" s="687"/>
      <c r="G646" s="687"/>
      <c r="H646" s="687"/>
      <c r="I646" s="687"/>
      <c r="J646" s="687"/>
      <c r="K646" s="687"/>
      <c r="L646" s="687"/>
      <c r="M646" s="687"/>
      <c r="N646" s="687"/>
      <c r="O646" s="687"/>
      <c r="P646" s="687"/>
      <c r="Q646" s="687"/>
      <c r="R646" s="687"/>
      <c r="S646" s="687"/>
      <c r="T646" s="687"/>
      <c r="U646" s="687"/>
      <c r="V646" s="687"/>
      <c r="W646" s="687"/>
      <c r="X646" s="687"/>
      <c r="Y646" s="687"/>
      <c r="Z646" s="687"/>
    </row>
    <row r="647" spans="1:26" ht="12" customHeight="1">
      <c r="A647" s="687"/>
      <c r="B647" s="687"/>
      <c r="C647" s="687"/>
      <c r="D647" s="687"/>
      <c r="E647" s="687"/>
      <c r="F647" s="687"/>
      <c r="G647" s="687"/>
      <c r="H647" s="687"/>
      <c r="I647" s="687"/>
      <c r="J647" s="687"/>
      <c r="K647" s="687"/>
      <c r="L647" s="687"/>
      <c r="M647" s="687"/>
      <c r="N647" s="687"/>
      <c r="O647" s="687"/>
      <c r="P647" s="687"/>
      <c r="Q647" s="687"/>
      <c r="R647" s="687"/>
      <c r="S647" s="687"/>
      <c r="T647" s="687"/>
      <c r="U647" s="687"/>
      <c r="V647" s="687"/>
      <c r="W647" s="687"/>
      <c r="X647" s="687"/>
      <c r="Y647" s="687"/>
      <c r="Z647" s="687"/>
    </row>
    <row r="648" spans="1:26" ht="12" customHeight="1">
      <c r="A648" s="687"/>
      <c r="B648" s="687"/>
      <c r="C648" s="687"/>
      <c r="D648" s="687"/>
      <c r="E648" s="687"/>
      <c r="F648" s="687"/>
      <c r="G648" s="687"/>
      <c r="H648" s="687"/>
      <c r="I648" s="687"/>
      <c r="J648" s="687"/>
      <c r="K648" s="687"/>
      <c r="L648" s="687"/>
      <c r="M648" s="687"/>
      <c r="N648" s="687"/>
      <c r="O648" s="687"/>
      <c r="P648" s="687"/>
      <c r="Q648" s="687"/>
      <c r="R648" s="687"/>
      <c r="S648" s="687"/>
      <c r="T648" s="687"/>
      <c r="U648" s="687"/>
      <c r="V648" s="687"/>
      <c r="W648" s="687"/>
      <c r="X648" s="687"/>
      <c r="Y648" s="687"/>
      <c r="Z648" s="687"/>
    </row>
    <row r="649" spans="1:26" ht="12" customHeight="1">
      <c r="A649" s="687"/>
      <c r="B649" s="687"/>
      <c r="C649" s="687"/>
      <c r="D649" s="687"/>
      <c r="E649" s="687"/>
      <c r="F649" s="687"/>
      <c r="G649" s="687"/>
      <c r="H649" s="687"/>
      <c r="I649" s="687"/>
      <c r="J649" s="687"/>
      <c r="K649" s="687"/>
      <c r="L649" s="687"/>
      <c r="M649" s="687"/>
      <c r="N649" s="687"/>
      <c r="O649" s="687"/>
      <c r="P649" s="687"/>
      <c r="Q649" s="687"/>
      <c r="R649" s="687"/>
      <c r="S649" s="687"/>
      <c r="T649" s="687"/>
      <c r="U649" s="687"/>
      <c r="V649" s="687"/>
      <c r="W649" s="687"/>
      <c r="X649" s="687"/>
      <c r="Y649" s="687"/>
      <c r="Z649" s="687"/>
    </row>
    <row r="650" spans="1:26" ht="12" customHeight="1">
      <c r="A650" s="687"/>
      <c r="B650" s="687"/>
      <c r="C650" s="687"/>
      <c r="D650" s="687"/>
      <c r="E650" s="687"/>
      <c r="F650" s="687"/>
      <c r="G650" s="687"/>
      <c r="H650" s="687"/>
      <c r="I650" s="687"/>
      <c r="J650" s="687"/>
      <c r="K650" s="687"/>
      <c r="L650" s="687"/>
      <c r="M650" s="687"/>
      <c r="N650" s="687"/>
      <c r="O650" s="687"/>
      <c r="P650" s="687"/>
      <c r="Q650" s="687"/>
      <c r="R650" s="687"/>
      <c r="S650" s="687"/>
      <c r="T650" s="687"/>
      <c r="U650" s="687"/>
      <c r="V650" s="687"/>
      <c r="W650" s="687"/>
      <c r="X650" s="687"/>
      <c r="Y650" s="687"/>
      <c r="Z650" s="687"/>
    </row>
    <row r="651" spans="1:26" ht="12" customHeight="1">
      <c r="A651" s="687"/>
      <c r="B651" s="687"/>
      <c r="C651" s="687"/>
      <c r="D651" s="687"/>
      <c r="E651" s="687"/>
      <c r="F651" s="687"/>
      <c r="G651" s="687"/>
      <c r="H651" s="687"/>
      <c r="I651" s="687"/>
      <c r="J651" s="687"/>
      <c r="K651" s="687"/>
      <c r="L651" s="687"/>
      <c r="M651" s="687"/>
      <c r="N651" s="687"/>
      <c r="O651" s="687"/>
      <c r="P651" s="687"/>
      <c r="Q651" s="687"/>
      <c r="R651" s="687"/>
      <c r="S651" s="687"/>
      <c r="T651" s="687"/>
      <c r="U651" s="687"/>
      <c r="V651" s="687"/>
      <c r="W651" s="687"/>
      <c r="X651" s="687"/>
      <c r="Y651" s="687"/>
      <c r="Z651" s="687"/>
    </row>
    <row r="652" spans="1:26" ht="12" customHeight="1">
      <c r="A652" s="687"/>
      <c r="B652" s="687"/>
      <c r="C652" s="687"/>
      <c r="D652" s="687"/>
      <c r="E652" s="687"/>
      <c r="F652" s="687"/>
      <c r="G652" s="687"/>
      <c r="H652" s="687"/>
      <c r="I652" s="687"/>
      <c r="J652" s="687"/>
      <c r="K652" s="687"/>
      <c r="L652" s="687"/>
      <c r="M652" s="687"/>
      <c r="N652" s="687"/>
      <c r="O652" s="687"/>
      <c r="P652" s="687"/>
      <c r="Q652" s="687"/>
      <c r="R652" s="687"/>
      <c r="S652" s="687"/>
      <c r="T652" s="687"/>
      <c r="U652" s="687"/>
      <c r="V652" s="687"/>
      <c r="W652" s="687"/>
      <c r="X652" s="687"/>
      <c r="Y652" s="687"/>
      <c r="Z652" s="687"/>
    </row>
    <row r="653" spans="1:26" ht="12" customHeight="1">
      <c r="A653" s="687"/>
      <c r="B653" s="687"/>
      <c r="C653" s="687"/>
      <c r="D653" s="687"/>
      <c r="E653" s="687"/>
      <c r="F653" s="687"/>
      <c r="G653" s="687"/>
      <c r="H653" s="687"/>
      <c r="I653" s="687"/>
      <c r="J653" s="687"/>
      <c r="K653" s="687"/>
      <c r="L653" s="687"/>
      <c r="M653" s="687"/>
      <c r="N653" s="687"/>
      <c r="O653" s="687"/>
      <c r="P653" s="687"/>
      <c r="Q653" s="687"/>
      <c r="R653" s="687"/>
      <c r="S653" s="687"/>
      <c r="T653" s="687"/>
      <c r="U653" s="687"/>
      <c r="V653" s="687"/>
      <c r="W653" s="687"/>
      <c r="X653" s="687"/>
      <c r="Y653" s="687"/>
      <c r="Z653" s="687"/>
    </row>
    <row r="654" spans="1:26" ht="12" customHeight="1">
      <c r="A654" s="687"/>
      <c r="B654" s="687"/>
      <c r="C654" s="687"/>
      <c r="D654" s="687"/>
      <c r="E654" s="687"/>
      <c r="F654" s="687"/>
      <c r="G654" s="687"/>
      <c r="H654" s="687"/>
      <c r="I654" s="687"/>
      <c r="J654" s="687"/>
      <c r="K654" s="687"/>
      <c r="L654" s="687"/>
      <c r="M654" s="687"/>
      <c r="N654" s="687"/>
      <c r="O654" s="687"/>
      <c r="P654" s="687"/>
      <c r="Q654" s="687"/>
      <c r="R654" s="687"/>
      <c r="S654" s="687"/>
      <c r="T654" s="687"/>
      <c r="U654" s="687"/>
      <c r="V654" s="687"/>
      <c r="W654" s="687"/>
      <c r="X654" s="687"/>
      <c r="Y654" s="687"/>
      <c r="Z654" s="687"/>
    </row>
    <row r="655" spans="1:26" ht="12" customHeight="1">
      <c r="A655" s="687"/>
      <c r="B655" s="687"/>
      <c r="C655" s="687"/>
      <c r="D655" s="687"/>
      <c r="E655" s="687"/>
      <c r="F655" s="687"/>
      <c r="G655" s="687"/>
      <c r="H655" s="687"/>
      <c r="I655" s="687"/>
      <c r="J655" s="687"/>
      <c r="K655" s="687"/>
      <c r="L655" s="687"/>
      <c r="M655" s="687"/>
      <c r="N655" s="687"/>
      <c r="O655" s="687"/>
      <c r="P655" s="687"/>
      <c r="Q655" s="687"/>
      <c r="R655" s="687"/>
      <c r="S655" s="687"/>
      <c r="T655" s="687"/>
      <c r="U655" s="687"/>
      <c r="V655" s="687"/>
      <c r="W655" s="687"/>
      <c r="X655" s="687"/>
      <c r="Y655" s="687"/>
      <c r="Z655" s="687"/>
    </row>
    <row r="656" spans="1:26" ht="12" customHeight="1">
      <c r="A656" s="687"/>
      <c r="B656" s="687"/>
      <c r="C656" s="687"/>
      <c r="D656" s="687"/>
      <c r="E656" s="687"/>
      <c r="F656" s="687"/>
      <c r="G656" s="687"/>
      <c r="H656" s="687"/>
      <c r="I656" s="687"/>
      <c r="J656" s="687"/>
      <c r="K656" s="687"/>
      <c r="L656" s="687"/>
      <c r="M656" s="687"/>
      <c r="N656" s="687"/>
      <c r="O656" s="687"/>
      <c r="P656" s="687"/>
      <c r="Q656" s="687"/>
      <c r="R656" s="687"/>
      <c r="S656" s="687"/>
      <c r="T656" s="687"/>
      <c r="U656" s="687"/>
      <c r="V656" s="687"/>
      <c r="W656" s="687"/>
      <c r="X656" s="687"/>
      <c r="Y656" s="687"/>
      <c r="Z656" s="687"/>
    </row>
    <row r="657" spans="1:26" ht="12" customHeight="1">
      <c r="A657" s="687"/>
      <c r="B657" s="687"/>
      <c r="C657" s="687"/>
      <c r="D657" s="687"/>
      <c r="E657" s="687"/>
      <c r="F657" s="687"/>
      <c r="G657" s="687"/>
      <c r="H657" s="687"/>
      <c r="I657" s="687"/>
      <c r="J657" s="687"/>
      <c r="K657" s="687"/>
      <c r="L657" s="687"/>
      <c r="M657" s="687"/>
      <c r="N657" s="687"/>
      <c r="O657" s="687"/>
      <c r="P657" s="687"/>
      <c r="Q657" s="687"/>
      <c r="R657" s="687"/>
      <c r="S657" s="687"/>
      <c r="T657" s="687"/>
      <c r="U657" s="687"/>
      <c r="V657" s="687"/>
      <c r="W657" s="687"/>
      <c r="X657" s="687"/>
      <c r="Y657" s="687"/>
      <c r="Z657" s="687"/>
    </row>
    <row r="658" spans="1:26" ht="12" customHeight="1">
      <c r="A658" s="687"/>
      <c r="B658" s="687"/>
      <c r="C658" s="687"/>
      <c r="D658" s="687"/>
      <c r="E658" s="687"/>
      <c r="F658" s="687"/>
      <c r="G658" s="687"/>
      <c r="H658" s="687"/>
      <c r="I658" s="687"/>
      <c r="J658" s="687"/>
      <c r="K658" s="687"/>
      <c r="L658" s="687"/>
      <c r="M658" s="687"/>
      <c r="N658" s="687"/>
      <c r="O658" s="687"/>
      <c r="P658" s="687"/>
      <c r="Q658" s="687"/>
      <c r="R658" s="687"/>
      <c r="S658" s="687"/>
      <c r="T658" s="687"/>
      <c r="U658" s="687"/>
      <c r="V658" s="687"/>
      <c r="W658" s="687"/>
      <c r="X658" s="687"/>
      <c r="Y658" s="687"/>
      <c r="Z658" s="687"/>
    </row>
    <row r="659" spans="1:26" ht="12" customHeight="1">
      <c r="A659" s="687"/>
      <c r="B659" s="687"/>
      <c r="C659" s="687"/>
      <c r="D659" s="687"/>
      <c r="E659" s="687"/>
      <c r="F659" s="687"/>
      <c r="G659" s="687"/>
      <c r="H659" s="687"/>
      <c r="I659" s="687"/>
      <c r="J659" s="687"/>
      <c r="K659" s="687"/>
      <c r="L659" s="687"/>
      <c r="M659" s="687"/>
      <c r="N659" s="687"/>
      <c r="O659" s="687"/>
      <c r="P659" s="687"/>
      <c r="Q659" s="687"/>
      <c r="R659" s="687"/>
      <c r="S659" s="687"/>
      <c r="T659" s="687"/>
      <c r="U659" s="687"/>
      <c r="V659" s="687"/>
      <c r="W659" s="687"/>
      <c r="X659" s="687"/>
      <c r="Y659" s="687"/>
      <c r="Z659" s="687"/>
    </row>
    <row r="660" spans="1:26" ht="12" customHeight="1">
      <c r="A660" s="687"/>
      <c r="B660" s="687"/>
      <c r="C660" s="687"/>
      <c r="D660" s="687"/>
      <c r="E660" s="687"/>
      <c r="F660" s="687"/>
      <c r="G660" s="687"/>
      <c r="H660" s="687"/>
      <c r="I660" s="687"/>
      <c r="J660" s="687"/>
      <c r="K660" s="687"/>
      <c r="L660" s="687"/>
      <c r="M660" s="687"/>
      <c r="N660" s="687"/>
      <c r="O660" s="687"/>
      <c r="P660" s="687"/>
      <c r="Q660" s="687"/>
      <c r="R660" s="687"/>
      <c r="S660" s="687"/>
      <c r="T660" s="687"/>
      <c r="U660" s="687"/>
      <c r="V660" s="687"/>
      <c r="W660" s="687"/>
      <c r="X660" s="687"/>
      <c r="Y660" s="687"/>
      <c r="Z660" s="687"/>
    </row>
    <row r="661" spans="1:26" ht="12" customHeight="1">
      <c r="A661" s="687"/>
      <c r="B661" s="687"/>
      <c r="C661" s="687"/>
      <c r="D661" s="687"/>
      <c r="E661" s="687"/>
      <c r="F661" s="687"/>
      <c r="G661" s="687"/>
      <c r="H661" s="687"/>
      <c r="I661" s="687"/>
      <c r="J661" s="687"/>
      <c r="K661" s="687"/>
      <c r="L661" s="687"/>
      <c r="M661" s="687"/>
      <c r="N661" s="687"/>
      <c r="O661" s="687"/>
      <c r="P661" s="687"/>
      <c r="Q661" s="687"/>
      <c r="R661" s="687"/>
      <c r="S661" s="687"/>
      <c r="T661" s="687"/>
      <c r="U661" s="687"/>
      <c r="V661" s="687"/>
      <c r="W661" s="687"/>
      <c r="X661" s="687"/>
      <c r="Y661" s="687"/>
      <c r="Z661" s="687"/>
    </row>
    <row r="662" spans="1:26" ht="12" customHeight="1">
      <c r="A662" s="687"/>
      <c r="B662" s="687"/>
      <c r="C662" s="687"/>
      <c r="D662" s="687"/>
      <c r="E662" s="687"/>
      <c r="F662" s="687"/>
      <c r="G662" s="687"/>
      <c r="H662" s="687"/>
      <c r="I662" s="687"/>
      <c r="J662" s="687"/>
      <c r="K662" s="687"/>
      <c r="L662" s="687"/>
      <c r="M662" s="687"/>
      <c r="N662" s="687"/>
      <c r="O662" s="687"/>
      <c r="P662" s="687"/>
      <c r="Q662" s="687"/>
      <c r="R662" s="687"/>
      <c r="S662" s="687"/>
      <c r="T662" s="687"/>
      <c r="U662" s="687"/>
      <c r="V662" s="687"/>
      <c r="W662" s="687"/>
      <c r="X662" s="687"/>
      <c r="Y662" s="687"/>
      <c r="Z662" s="687"/>
    </row>
    <row r="663" spans="1:26" ht="12" customHeight="1">
      <c r="A663" s="687"/>
      <c r="B663" s="687"/>
      <c r="C663" s="687"/>
      <c r="D663" s="687"/>
      <c r="E663" s="687"/>
      <c r="F663" s="687"/>
      <c r="G663" s="687"/>
      <c r="H663" s="687"/>
      <c r="I663" s="687"/>
      <c r="J663" s="687"/>
      <c r="K663" s="687"/>
      <c r="L663" s="687"/>
      <c r="M663" s="687"/>
      <c r="N663" s="687"/>
      <c r="O663" s="687"/>
      <c r="P663" s="687"/>
      <c r="Q663" s="687"/>
      <c r="R663" s="687"/>
      <c r="S663" s="687"/>
      <c r="T663" s="687"/>
      <c r="U663" s="687"/>
      <c r="V663" s="687"/>
      <c r="W663" s="687"/>
      <c r="X663" s="687"/>
      <c r="Y663" s="687"/>
      <c r="Z663" s="687"/>
    </row>
    <row r="664" spans="1:26" ht="12" customHeight="1">
      <c r="A664" s="687"/>
      <c r="B664" s="687"/>
      <c r="C664" s="687"/>
      <c r="D664" s="687"/>
      <c r="E664" s="687"/>
      <c r="F664" s="687"/>
      <c r="G664" s="687"/>
      <c r="H664" s="687"/>
      <c r="I664" s="687"/>
      <c r="J664" s="687"/>
      <c r="K664" s="687"/>
      <c r="L664" s="687"/>
      <c r="M664" s="687"/>
      <c r="N664" s="687"/>
      <c r="O664" s="687"/>
      <c r="P664" s="687"/>
      <c r="Q664" s="687"/>
      <c r="R664" s="687"/>
      <c r="S664" s="687"/>
      <c r="T664" s="687"/>
      <c r="U664" s="687"/>
      <c r="V664" s="687"/>
      <c r="W664" s="687"/>
      <c r="X664" s="687"/>
      <c r="Y664" s="687"/>
      <c r="Z664" s="687"/>
    </row>
    <row r="665" spans="1:26" ht="12" customHeight="1">
      <c r="A665" s="687"/>
      <c r="B665" s="687"/>
      <c r="C665" s="687"/>
      <c r="D665" s="687"/>
      <c r="E665" s="687"/>
      <c r="F665" s="687"/>
      <c r="G665" s="687"/>
      <c r="H665" s="687"/>
      <c r="I665" s="687"/>
      <c r="J665" s="687"/>
      <c r="K665" s="687"/>
      <c r="L665" s="687"/>
      <c r="M665" s="687"/>
      <c r="N665" s="687"/>
      <c r="O665" s="687"/>
      <c r="P665" s="687"/>
      <c r="Q665" s="687"/>
      <c r="R665" s="687"/>
      <c r="S665" s="687"/>
      <c r="T665" s="687"/>
      <c r="U665" s="687"/>
      <c r="V665" s="687"/>
      <c r="W665" s="687"/>
      <c r="X665" s="687"/>
      <c r="Y665" s="687"/>
      <c r="Z665" s="687"/>
    </row>
    <row r="666" spans="1:26" ht="12" customHeight="1">
      <c r="A666" s="687"/>
      <c r="B666" s="687"/>
      <c r="C666" s="687"/>
      <c r="D666" s="687"/>
      <c r="E666" s="687"/>
      <c r="F666" s="687"/>
      <c r="G666" s="687"/>
      <c r="H666" s="687"/>
      <c r="I666" s="687"/>
      <c r="J666" s="687"/>
      <c r="K666" s="687"/>
      <c r="L666" s="687"/>
      <c r="M666" s="687"/>
      <c r="N666" s="687"/>
      <c r="O666" s="687"/>
      <c r="P666" s="687"/>
      <c r="Q666" s="687"/>
      <c r="R666" s="687"/>
      <c r="S666" s="687"/>
      <c r="T666" s="687"/>
      <c r="U666" s="687"/>
      <c r="V666" s="687"/>
      <c r="W666" s="687"/>
      <c r="X666" s="687"/>
      <c r="Y666" s="687"/>
      <c r="Z666" s="687"/>
    </row>
    <row r="667" spans="1:26" ht="12" customHeight="1">
      <c r="A667" s="687"/>
      <c r="B667" s="687"/>
      <c r="C667" s="687"/>
      <c r="D667" s="687"/>
      <c r="E667" s="687"/>
      <c r="F667" s="687"/>
      <c r="G667" s="687"/>
      <c r="H667" s="687"/>
      <c r="I667" s="687"/>
      <c r="J667" s="687"/>
      <c r="K667" s="687"/>
      <c r="L667" s="687"/>
      <c r="M667" s="687"/>
      <c r="N667" s="687"/>
      <c r="O667" s="687"/>
      <c r="P667" s="687"/>
      <c r="Q667" s="687"/>
      <c r="R667" s="687"/>
      <c r="S667" s="687"/>
      <c r="T667" s="687"/>
      <c r="U667" s="687"/>
      <c r="V667" s="687"/>
      <c r="W667" s="687"/>
      <c r="X667" s="687"/>
      <c r="Y667" s="687"/>
      <c r="Z667" s="687"/>
    </row>
    <row r="668" spans="1:26" ht="12" customHeight="1">
      <c r="A668" s="687"/>
      <c r="B668" s="687"/>
      <c r="C668" s="687"/>
      <c r="D668" s="687"/>
      <c r="E668" s="687"/>
      <c r="F668" s="687"/>
      <c r="G668" s="687"/>
      <c r="H668" s="687"/>
      <c r="I668" s="687"/>
      <c r="J668" s="687"/>
      <c r="K668" s="687"/>
      <c r="L668" s="687"/>
      <c r="M668" s="687"/>
      <c r="N668" s="687"/>
      <c r="O668" s="687"/>
      <c r="P668" s="687"/>
      <c r="Q668" s="687"/>
      <c r="R668" s="687"/>
      <c r="S668" s="687"/>
      <c r="T668" s="687"/>
      <c r="U668" s="687"/>
      <c r="V668" s="687"/>
      <c r="W668" s="687"/>
      <c r="X668" s="687"/>
      <c r="Y668" s="687"/>
      <c r="Z668" s="687"/>
    </row>
    <row r="669" spans="1:26" ht="12" customHeight="1">
      <c r="A669" s="687"/>
      <c r="B669" s="687"/>
      <c r="C669" s="687"/>
      <c r="D669" s="687"/>
      <c r="E669" s="687"/>
      <c r="F669" s="687"/>
      <c r="G669" s="687"/>
      <c r="H669" s="687"/>
      <c r="I669" s="687"/>
      <c r="J669" s="687"/>
      <c r="K669" s="687"/>
      <c r="L669" s="687"/>
      <c r="M669" s="687"/>
      <c r="N669" s="687"/>
      <c r="O669" s="687"/>
      <c r="P669" s="687"/>
      <c r="Q669" s="687"/>
      <c r="R669" s="687"/>
      <c r="S669" s="687"/>
      <c r="T669" s="687"/>
      <c r="U669" s="687"/>
      <c r="V669" s="687"/>
      <c r="W669" s="687"/>
      <c r="X669" s="687"/>
      <c r="Y669" s="687"/>
      <c r="Z669" s="687"/>
    </row>
    <row r="670" spans="1:26" ht="12" customHeight="1">
      <c r="A670" s="687"/>
      <c r="B670" s="687"/>
      <c r="C670" s="687"/>
      <c r="D670" s="687"/>
      <c r="E670" s="687"/>
      <c r="F670" s="687"/>
      <c r="G670" s="687"/>
      <c r="H670" s="687"/>
      <c r="I670" s="687"/>
      <c r="J670" s="687"/>
      <c r="K670" s="687"/>
      <c r="L670" s="687"/>
      <c r="M670" s="687"/>
      <c r="N670" s="687"/>
      <c r="O670" s="687"/>
      <c r="P670" s="687"/>
      <c r="Q670" s="687"/>
      <c r="R670" s="687"/>
      <c r="S670" s="687"/>
      <c r="T670" s="687"/>
      <c r="U670" s="687"/>
      <c r="V670" s="687"/>
      <c r="W670" s="687"/>
      <c r="X670" s="687"/>
      <c r="Y670" s="687"/>
      <c r="Z670" s="687"/>
    </row>
    <row r="671" spans="1:26" ht="12" customHeight="1">
      <c r="A671" s="687"/>
      <c r="B671" s="687"/>
      <c r="C671" s="687"/>
      <c r="D671" s="687"/>
      <c r="E671" s="687"/>
      <c r="F671" s="687"/>
      <c r="G671" s="687"/>
      <c r="H671" s="687"/>
      <c r="I671" s="687"/>
      <c r="J671" s="687"/>
      <c r="K671" s="687"/>
      <c r="L671" s="687"/>
      <c r="M671" s="687"/>
      <c r="N671" s="687"/>
      <c r="O671" s="687"/>
      <c r="P671" s="687"/>
      <c r="Q671" s="687"/>
      <c r="R671" s="687"/>
      <c r="S671" s="687"/>
      <c r="T671" s="687"/>
      <c r="U671" s="687"/>
      <c r="V671" s="687"/>
      <c r="W671" s="687"/>
      <c r="X671" s="687"/>
      <c r="Y671" s="687"/>
      <c r="Z671" s="687"/>
    </row>
    <row r="672" spans="1:26" ht="12" customHeight="1">
      <c r="A672" s="687"/>
      <c r="B672" s="687"/>
      <c r="C672" s="687"/>
      <c r="D672" s="687"/>
      <c r="E672" s="687"/>
      <c r="F672" s="687"/>
      <c r="G672" s="687"/>
      <c r="H672" s="687"/>
      <c r="I672" s="687"/>
      <c r="J672" s="687"/>
      <c r="K672" s="687"/>
      <c r="L672" s="687"/>
      <c r="M672" s="687"/>
      <c r="N672" s="687"/>
      <c r="O672" s="687"/>
      <c r="P672" s="687"/>
      <c r="Q672" s="687"/>
      <c r="R672" s="687"/>
      <c r="S672" s="687"/>
      <c r="T672" s="687"/>
      <c r="U672" s="687"/>
      <c r="V672" s="687"/>
      <c r="W672" s="687"/>
      <c r="X672" s="687"/>
      <c r="Y672" s="687"/>
      <c r="Z672" s="687"/>
    </row>
    <row r="673" spans="1:26" ht="12" customHeight="1">
      <c r="A673" s="687"/>
      <c r="B673" s="687"/>
      <c r="C673" s="687"/>
      <c r="D673" s="687"/>
      <c r="E673" s="687"/>
      <c r="F673" s="687"/>
      <c r="G673" s="687"/>
      <c r="H673" s="687"/>
      <c r="I673" s="687"/>
      <c r="J673" s="687"/>
      <c r="K673" s="687"/>
      <c r="L673" s="687"/>
      <c r="M673" s="687"/>
      <c r="N673" s="687"/>
      <c r="O673" s="687"/>
      <c r="P673" s="687"/>
      <c r="Q673" s="687"/>
      <c r="R673" s="687"/>
      <c r="S673" s="687"/>
      <c r="T673" s="687"/>
      <c r="U673" s="687"/>
      <c r="V673" s="687"/>
      <c r="W673" s="687"/>
      <c r="X673" s="687"/>
      <c r="Y673" s="687"/>
      <c r="Z673" s="687"/>
    </row>
    <row r="674" spans="1:26" ht="12" customHeight="1">
      <c r="A674" s="687"/>
      <c r="B674" s="687"/>
      <c r="C674" s="687"/>
      <c r="D674" s="687"/>
      <c r="E674" s="687"/>
      <c r="F674" s="687"/>
      <c r="G674" s="687"/>
      <c r="H674" s="687"/>
      <c r="I674" s="687"/>
      <c r="J674" s="687"/>
      <c r="K674" s="687"/>
      <c r="L674" s="687"/>
      <c r="M674" s="687"/>
      <c r="N674" s="687"/>
      <c r="O674" s="687"/>
      <c r="P674" s="687"/>
      <c r="Q674" s="687"/>
      <c r="R674" s="687"/>
      <c r="S674" s="687"/>
      <c r="T674" s="687"/>
      <c r="U674" s="687"/>
      <c r="V674" s="687"/>
      <c r="W674" s="687"/>
      <c r="X674" s="687"/>
      <c r="Y674" s="687"/>
      <c r="Z674" s="687"/>
    </row>
    <row r="675" spans="1:26" ht="12" customHeight="1">
      <c r="A675" s="687"/>
      <c r="B675" s="687"/>
      <c r="C675" s="687"/>
      <c r="D675" s="687"/>
      <c r="E675" s="687"/>
      <c r="F675" s="687"/>
      <c r="G675" s="687"/>
      <c r="H675" s="687"/>
      <c r="I675" s="687"/>
      <c r="J675" s="687"/>
      <c r="K675" s="687"/>
      <c r="L675" s="687"/>
      <c r="M675" s="687"/>
      <c r="N675" s="687"/>
      <c r="O675" s="687"/>
      <c r="P675" s="687"/>
      <c r="Q675" s="687"/>
      <c r="R675" s="687"/>
      <c r="S675" s="687"/>
      <c r="T675" s="687"/>
      <c r="U675" s="687"/>
      <c r="V675" s="687"/>
      <c r="W675" s="687"/>
      <c r="X675" s="687"/>
      <c r="Y675" s="687"/>
      <c r="Z675" s="687"/>
    </row>
    <row r="676" spans="1:26" ht="12" customHeight="1">
      <c r="A676" s="687"/>
      <c r="B676" s="687"/>
      <c r="C676" s="687"/>
      <c r="D676" s="687"/>
      <c r="E676" s="687"/>
      <c r="F676" s="687"/>
      <c r="G676" s="687"/>
      <c r="H676" s="687"/>
      <c r="I676" s="687"/>
      <c r="J676" s="687"/>
      <c r="K676" s="687"/>
      <c r="L676" s="687"/>
      <c r="M676" s="687"/>
      <c r="N676" s="687"/>
      <c r="O676" s="687"/>
      <c r="P676" s="687"/>
      <c r="Q676" s="687"/>
      <c r="R676" s="687"/>
      <c r="S676" s="687"/>
      <c r="T676" s="687"/>
      <c r="U676" s="687"/>
      <c r="V676" s="687"/>
      <c r="W676" s="687"/>
      <c r="X676" s="687"/>
      <c r="Y676" s="687"/>
      <c r="Z676" s="687"/>
    </row>
    <row r="677" spans="1:26" ht="12" customHeight="1">
      <c r="A677" s="687"/>
      <c r="B677" s="687"/>
      <c r="C677" s="687"/>
      <c r="D677" s="687"/>
      <c r="E677" s="687"/>
      <c r="F677" s="687"/>
      <c r="G677" s="687"/>
      <c r="H677" s="687"/>
      <c r="I677" s="687"/>
      <c r="J677" s="687"/>
      <c r="K677" s="687"/>
      <c r="L677" s="687"/>
      <c r="M677" s="687"/>
      <c r="N677" s="687"/>
      <c r="O677" s="687"/>
      <c r="P677" s="687"/>
      <c r="Q677" s="687"/>
      <c r="R677" s="687"/>
      <c r="S677" s="687"/>
      <c r="T677" s="687"/>
      <c r="U677" s="687"/>
      <c r="V677" s="687"/>
      <c r="W677" s="687"/>
      <c r="X677" s="687"/>
      <c r="Y677" s="687"/>
      <c r="Z677" s="687"/>
    </row>
    <row r="678" spans="1:26" ht="12" customHeight="1">
      <c r="A678" s="687"/>
      <c r="B678" s="687"/>
      <c r="C678" s="687"/>
      <c r="D678" s="687"/>
      <c r="E678" s="687"/>
      <c r="F678" s="687"/>
      <c r="G678" s="687"/>
      <c r="H678" s="687"/>
      <c r="I678" s="687"/>
      <c r="J678" s="687"/>
      <c r="K678" s="687"/>
      <c r="L678" s="687"/>
      <c r="M678" s="687"/>
      <c r="N678" s="687"/>
      <c r="O678" s="687"/>
      <c r="P678" s="687"/>
      <c r="Q678" s="687"/>
      <c r="R678" s="687"/>
      <c r="S678" s="687"/>
      <c r="T678" s="687"/>
      <c r="U678" s="687"/>
      <c r="V678" s="687"/>
      <c r="W678" s="687"/>
      <c r="X678" s="687"/>
      <c r="Y678" s="687"/>
      <c r="Z678" s="687"/>
    </row>
    <row r="679" spans="1:26" ht="12" customHeight="1">
      <c r="A679" s="687"/>
      <c r="B679" s="687"/>
      <c r="C679" s="687"/>
      <c r="D679" s="687"/>
      <c r="E679" s="687"/>
      <c r="F679" s="687"/>
      <c r="G679" s="687"/>
      <c r="H679" s="687"/>
      <c r="I679" s="687"/>
      <c r="J679" s="687"/>
      <c r="K679" s="687"/>
      <c r="L679" s="687"/>
      <c r="M679" s="687"/>
      <c r="N679" s="687"/>
      <c r="O679" s="687"/>
      <c r="P679" s="687"/>
      <c r="Q679" s="687"/>
      <c r="R679" s="687"/>
      <c r="S679" s="687"/>
      <c r="T679" s="687"/>
      <c r="U679" s="687"/>
      <c r="V679" s="687"/>
      <c r="W679" s="687"/>
      <c r="X679" s="687"/>
      <c r="Y679" s="687"/>
      <c r="Z679" s="687"/>
    </row>
    <row r="680" spans="1:26" ht="12" customHeight="1">
      <c r="A680" s="687"/>
      <c r="B680" s="687"/>
      <c r="C680" s="687"/>
      <c r="D680" s="687"/>
      <c r="E680" s="687"/>
      <c r="F680" s="687"/>
      <c r="G680" s="687"/>
      <c r="H680" s="687"/>
      <c r="I680" s="687"/>
      <c r="J680" s="687"/>
      <c r="K680" s="687"/>
      <c r="L680" s="687"/>
      <c r="M680" s="687"/>
      <c r="N680" s="687"/>
      <c r="O680" s="687"/>
      <c r="P680" s="687"/>
      <c r="Q680" s="687"/>
      <c r="R680" s="687"/>
      <c r="S680" s="687"/>
      <c r="T680" s="687"/>
      <c r="U680" s="687"/>
      <c r="V680" s="687"/>
      <c r="W680" s="687"/>
      <c r="X680" s="687"/>
      <c r="Y680" s="687"/>
      <c r="Z680" s="687"/>
    </row>
    <row r="681" spans="1:26" ht="12" customHeight="1">
      <c r="A681" s="687"/>
      <c r="B681" s="687"/>
      <c r="C681" s="687"/>
      <c r="D681" s="687"/>
      <c r="E681" s="687"/>
      <c r="F681" s="687"/>
      <c r="G681" s="687"/>
      <c r="H681" s="687"/>
      <c r="I681" s="687"/>
      <c r="J681" s="687"/>
      <c r="K681" s="687"/>
      <c r="L681" s="687"/>
      <c r="M681" s="687"/>
      <c r="N681" s="687"/>
      <c r="O681" s="687"/>
      <c r="P681" s="687"/>
      <c r="Q681" s="687"/>
      <c r="R681" s="687"/>
      <c r="S681" s="687"/>
      <c r="T681" s="687"/>
      <c r="U681" s="687"/>
      <c r="V681" s="687"/>
      <c r="W681" s="687"/>
      <c r="X681" s="687"/>
      <c r="Y681" s="687"/>
      <c r="Z681" s="687"/>
    </row>
    <row r="682" spans="1:26" ht="12" customHeight="1">
      <c r="A682" s="687"/>
      <c r="B682" s="687"/>
      <c r="C682" s="687"/>
      <c r="D682" s="687"/>
      <c r="E682" s="687"/>
      <c r="F682" s="687"/>
      <c r="G682" s="687"/>
      <c r="H682" s="687"/>
      <c r="I682" s="687"/>
      <c r="J682" s="687"/>
      <c r="K682" s="687"/>
      <c r="L682" s="687"/>
      <c r="M682" s="687"/>
      <c r="N682" s="687"/>
      <c r="O682" s="687"/>
      <c r="P682" s="687"/>
      <c r="Q682" s="687"/>
      <c r="R682" s="687"/>
      <c r="S682" s="687"/>
      <c r="T682" s="687"/>
      <c r="U682" s="687"/>
      <c r="V682" s="687"/>
      <c r="W682" s="687"/>
      <c r="X682" s="687"/>
      <c r="Y682" s="687"/>
      <c r="Z682" s="687"/>
    </row>
    <row r="683" spans="1:26" ht="12" customHeight="1">
      <c r="A683" s="687"/>
      <c r="B683" s="687"/>
      <c r="C683" s="687"/>
      <c r="D683" s="687"/>
      <c r="E683" s="687"/>
      <c r="F683" s="687"/>
      <c r="G683" s="687"/>
      <c r="H683" s="687"/>
      <c r="I683" s="687"/>
      <c r="J683" s="687"/>
      <c r="K683" s="687"/>
      <c r="L683" s="687"/>
      <c r="M683" s="687"/>
      <c r="N683" s="687"/>
      <c r="O683" s="687"/>
      <c r="P683" s="687"/>
      <c r="Q683" s="687"/>
      <c r="R683" s="687"/>
      <c r="S683" s="687"/>
      <c r="T683" s="687"/>
      <c r="U683" s="687"/>
      <c r="V683" s="687"/>
      <c r="W683" s="687"/>
      <c r="X683" s="687"/>
      <c r="Y683" s="687"/>
      <c r="Z683" s="687"/>
    </row>
    <row r="684" spans="1:26" ht="12" customHeight="1">
      <c r="A684" s="687"/>
      <c r="B684" s="687"/>
      <c r="C684" s="687"/>
      <c r="D684" s="687"/>
      <c r="E684" s="687"/>
      <c r="F684" s="687"/>
      <c r="G684" s="687"/>
      <c r="H684" s="687"/>
      <c r="I684" s="687"/>
      <c r="J684" s="687"/>
      <c r="K684" s="687"/>
      <c r="L684" s="687"/>
      <c r="M684" s="687"/>
      <c r="N684" s="687"/>
      <c r="O684" s="687"/>
      <c r="P684" s="687"/>
      <c r="Q684" s="687"/>
      <c r="R684" s="687"/>
      <c r="S684" s="687"/>
      <c r="T684" s="687"/>
      <c r="U684" s="687"/>
      <c r="V684" s="687"/>
      <c r="W684" s="687"/>
      <c r="X684" s="687"/>
      <c r="Y684" s="687"/>
      <c r="Z684" s="687"/>
    </row>
    <row r="685" spans="1:26" ht="12" customHeight="1">
      <c r="A685" s="687"/>
      <c r="B685" s="687"/>
      <c r="C685" s="687"/>
      <c r="D685" s="687"/>
      <c r="E685" s="687"/>
      <c r="F685" s="687"/>
      <c r="G685" s="687"/>
      <c r="H685" s="687"/>
      <c r="I685" s="687"/>
      <c r="J685" s="687"/>
      <c r="K685" s="687"/>
      <c r="L685" s="687"/>
      <c r="M685" s="687"/>
      <c r="N685" s="687"/>
      <c r="O685" s="687"/>
      <c r="P685" s="687"/>
      <c r="Q685" s="687"/>
      <c r="R685" s="687"/>
      <c r="S685" s="687"/>
      <c r="T685" s="687"/>
      <c r="U685" s="687"/>
      <c r="V685" s="687"/>
      <c r="W685" s="687"/>
      <c r="X685" s="687"/>
      <c r="Y685" s="687"/>
      <c r="Z685" s="687"/>
    </row>
    <row r="686" spans="1:26" ht="12" customHeight="1">
      <c r="A686" s="687"/>
      <c r="B686" s="687"/>
      <c r="C686" s="687"/>
      <c r="D686" s="687"/>
      <c r="E686" s="687"/>
      <c r="F686" s="687"/>
      <c r="G686" s="687"/>
      <c r="H686" s="687"/>
      <c r="I686" s="687"/>
      <c r="J686" s="687"/>
      <c r="K686" s="687"/>
      <c r="L686" s="687"/>
      <c r="M686" s="687"/>
      <c r="N686" s="687"/>
      <c r="O686" s="687"/>
      <c r="P686" s="687"/>
      <c r="Q686" s="687"/>
      <c r="R686" s="687"/>
      <c r="S686" s="687"/>
      <c r="T686" s="687"/>
      <c r="U686" s="687"/>
      <c r="V686" s="687"/>
      <c r="W686" s="687"/>
      <c r="X686" s="687"/>
      <c r="Y686" s="687"/>
      <c r="Z686" s="687"/>
    </row>
    <row r="687" spans="1:26" ht="12" customHeight="1">
      <c r="A687" s="687"/>
      <c r="B687" s="687"/>
      <c r="C687" s="687"/>
      <c r="D687" s="687"/>
      <c r="E687" s="687"/>
      <c r="F687" s="687"/>
      <c r="G687" s="687"/>
      <c r="H687" s="687"/>
      <c r="I687" s="687"/>
      <c r="J687" s="687"/>
      <c r="K687" s="687"/>
      <c r="L687" s="687"/>
      <c r="M687" s="687"/>
      <c r="N687" s="687"/>
      <c r="O687" s="687"/>
      <c r="P687" s="687"/>
      <c r="Q687" s="687"/>
      <c r="R687" s="687"/>
      <c r="S687" s="687"/>
      <c r="T687" s="687"/>
      <c r="U687" s="687"/>
      <c r="V687" s="687"/>
      <c r="W687" s="687"/>
      <c r="X687" s="687"/>
      <c r="Y687" s="687"/>
      <c r="Z687" s="687"/>
    </row>
    <row r="688" spans="1:26" ht="12" customHeight="1">
      <c r="A688" s="687"/>
      <c r="B688" s="687"/>
      <c r="C688" s="687"/>
      <c r="D688" s="687"/>
      <c r="E688" s="687"/>
      <c r="F688" s="687"/>
      <c r="G688" s="687"/>
      <c r="H688" s="687"/>
      <c r="I688" s="687"/>
      <c r="J688" s="687"/>
      <c r="K688" s="687"/>
      <c r="L688" s="687"/>
      <c r="M688" s="687"/>
      <c r="N688" s="687"/>
      <c r="O688" s="687"/>
      <c r="P688" s="687"/>
      <c r="Q688" s="687"/>
      <c r="R688" s="687"/>
      <c r="S688" s="687"/>
      <c r="T688" s="687"/>
      <c r="U688" s="687"/>
      <c r="V688" s="687"/>
      <c r="W688" s="687"/>
      <c r="X688" s="687"/>
      <c r="Y688" s="687"/>
      <c r="Z688" s="687"/>
    </row>
    <row r="689" spans="1:26" ht="12" customHeight="1">
      <c r="A689" s="687"/>
      <c r="B689" s="687"/>
      <c r="C689" s="687"/>
      <c r="D689" s="687"/>
      <c r="E689" s="687"/>
      <c r="F689" s="687"/>
      <c r="G689" s="687"/>
      <c r="H689" s="687"/>
      <c r="I689" s="687"/>
      <c r="J689" s="687"/>
      <c r="K689" s="687"/>
      <c r="L689" s="687"/>
      <c r="M689" s="687"/>
      <c r="N689" s="687"/>
      <c r="O689" s="687"/>
      <c r="P689" s="687"/>
      <c r="Q689" s="687"/>
      <c r="R689" s="687"/>
      <c r="S689" s="687"/>
      <c r="T689" s="687"/>
      <c r="U689" s="687"/>
      <c r="V689" s="687"/>
      <c r="W689" s="687"/>
      <c r="X689" s="687"/>
      <c r="Y689" s="687"/>
      <c r="Z689" s="687"/>
    </row>
    <row r="690" spans="1:26" ht="12" customHeight="1">
      <c r="A690" s="687"/>
      <c r="B690" s="687"/>
      <c r="C690" s="687"/>
      <c r="D690" s="687"/>
      <c r="E690" s="687"/>
      <c r="F690" s="687"/>
      <c r="G690" s="687"/>
      <c r="H690" s="687"/>
      <c r="I690" s="687"/>
      <c r="J690" s="687"/>
      <c r="K690" s="687"/>
      <c r="L690" s="687"/>
      <c r="M690" s="687"/>
      <c r="N690" s="687"/>
      <c r="O690" s="687"/>
      <c r="P690" s="687"/>
      <c r="Q690" s="687"/>
      <c r="R690" s="687"/>
      <c r="S690" s="687"/>
      <c r="T690" s="687"/>
      <c r="U690" s="687"/>
      <c r="V690" s="687"/>
      <c r="W690" s="687"/>
      <c r="X690" s="687"/>
      <c r="Y690" s="687"/>
      <c r="Z690" s="687"/>
    </row>
    <row r="691" spans="1:26" ht="12" customHeight="1">
      <c r="A691" s="687"/>
      <c r="B691" s="687"/>
      <c r="C691" s="687"/>
      <c r="D691" s="687"/>
      <c r="E691" s="687"/>
      <c r="F691" s="687"/>
      <c r="G691" s="687"/>
      <c r="H691" s="687"/>
      <c r="I691" s="687"/>
      <c r="J691" s="687"/>
      <c r="K691" s="687"/>
      <c r="L691" s="687"/>
      <c r="M691" s="687"/>
      <c r="N691" s="687"/>
      <c r="O691" s="687"/>
      <c r="P691" s="687"/>
      <c r="Q691" s="687"/>
      <c r="R691" s="687"/>
      <c r="S691" s="687"/>
      <c r="T691" s="687"/>
      <c r="U691" s="687"/>
      <c r="V691" s="687"/>
      <c r="W691" s="687"/>
      <c r="X691" s="687"/>
      <c r="Y691" s="687"/>
      <c r="Z691" s="687"/>
    </row>
    <row r="692" spans="1:26" ht="12" customHeight="1">
      <c r="A692" s="687"/>
      <c r="B692" s="687"/>
      <c r="C692" s="687"/>
      <c r="D692" s="687"/>
      <c r="E692" s="687"/>
      <c r="F692" s="687"/>
      <c r="G692" s="687"/>
      <c r="H692" s="687"/>
      <c r="I692" s="687"/>
      <c r="J692" s="687"/>
      <c r="K692" s="687"/>
      <c r="L692" s="687"/>
      <c r="M692" s="687"/>
      <c r="N692" s="687"/>
      <c r="O692" s="687"/>
      <c r="P692" s="687"/>
      <c r="Q692" s="687"/>
      <c r="R692" s="687"/>
      <c r="S692" s="687"/>
      <c r="T692" s="687"/>
      <c r="U692" s="687"/>
      <c r="V692" s="687"/>
      <c r="W692" s="687"/>
      <c r="X692" s="687"/>
      <c r="Y692" s="687"/>
      <c r="Z692" s="687"/>
    </row>
    <row r="693" spans="1:26" ht="12" customHeight="1">
      <c r="A693" s="687"/>
      <c r="B693" s="687"/>
      <c r="C693" s="687"/>
      <c r="D693" s="687"/>
      <c r="E693" s="687"/>
      <c r="F693" s="687"/>
      <c r="G693" s="687"/>
      <c r="H693" s="687"/>
      <c r="I693" s="687"/>
      <c r="J693" s="687"/>
      <c r="K693" s="687"/>
      <c r="L693" s="687"/>
      <c r="M693" s="687"/>
      <c r="N693" s="687"/>
      <c r="O693" s="687"/>
      <c r="P693" s="687"/>
      <c r="Q693" s="687"/>
      <c r="R693" s="687"/>
      <c r="S693" s="687"/>
      <c r="T693" s="687"/>
      <c r="U693" s="687"/>
      <c r="V693" s="687"/>
      <c r="W693" s="687"/>
      <c r="X693" s="687"/>
      <c r="Y693" s="687"/>
      <c r="Z693" s="687"/>
    </row>
    <row r="694" spans="1:26" ht="12" customHeight="1">
      <c r="A694" s="687"/>
      <c r="B694" s="687"/>
      <c r="C694" s="687"/>
      <c r="D694" s="687"/>
      <c r="E694" s="687"/>
      <c r="F694" s="687"/>
      <c r="G694" s="687"/>
      <c r="H694" s="687"/>
      <c r="I694" s="687"/>
      <c r="J694" s="687"/>
      <c r="K694" s="687"/>
      <c r="L694" s="687"/>
      <c r="M694" s="687"/>
      <c r="N694" s="687"/>
      <c r="O694" s="687"/>
      <c r="P694" s="687"/>
      <c r="Q694" s="687"/>
      <c r="R694" s="687"/>
      <c r="S694" s="687"/>
      <c r="T694" s="687"/>
      <c r="U694" s="687"/>
      <c r="V694" s="687"/>
      <c r="W694" s="687"/>
      <c r="X694" s="687"/>
      <c r="Y694" s="687"/>
      <c r="Z694" s="687"/>
    </row>
    <row r="695" spans="1:26" ht="12" customHeight="1">
      <c r="A695" s="687"/>
      <c r="B695" s="687"/>
      <c r="C695" s="687"/>
      <c r="D695" s="687"/>
      <c r="E695" s="687"/>
      <c r="F695" s="687"/>
      <c r="G695" s="687"/>
      <c r="H695" s="687"/>
      <c r="I695" s="687"/>
      <c r="J695" s="687"/>
      <c r="K695" s="687"/>
      <c r="L695" s="687"/>
      <c r="M695" s="687"/>
      <c r="N695" s="687"/>
      <c r="O695" s="687"/>
      <c r="P695" s="687"/>
      <c r="Q695" s="687"/>
      <c r="R695" s="687"/>
      <c r="S695" s="687"/>
      <c r="T695" s="687"/>
      <c r="U695" s="687"/>
      <c r="V695" s="687"/>
      <c r="W695" s="687"/>
      <c r="X695" s="687"/>
      <c r="Y695" s="687"/>
      <c r="Z695" s="687"/>
    </row>
    <row r="696" spans="1:26" ht="12" customHeight="1">
      <c r="A696" s="687"/>
      <c r="B696" s="687"/>
      <c r="C696" s="687"/>
      <c r="D696" s="687"/>
      <c r="E696" s="687"/>
      <c r="F696" s="687"/>
      <c r="G696" s="687"/>
      <c r="H696" s="687"/>
      <c r="I696" s="687"/>
      <c r="J696" s="687"/>
      <c r="K696" s="687"/>
      <c r="L696" s="687"/>
      <c r="M696" s="687"/>
      <c r="N696" s="687"/>
      <c r="O696" s="687"/>
      <c r="P696" s="687"/>
      <c r="Q696" s="687"/>
      <c r="R696" s="687"/>
      <c r="S696" s="687"/>
      <c r="T696" s="687"/>
      <c r="U696" s="687"/>
      <c r="V696" s="687"/>
      <c r="W696" s="687"/>
      <c r="X696" s="687"/>
      <c r="Y696" s="687"/>
      <c r="Z696" s="687"/>
    </row>
    <row r="697" spans="1:26" ht="12" customHeight="1">
      <c r="A697" s="687"/>
      <c r="B697" s="687"/>
      <c r="C697" s="687"/>
      <c r="D697" s="687"/>
      <c r="E697" s="687"/>
      <c r="F697" s="687"/>
      <c r="G697" s="687"/>
      <c r="H697" s="687"/>
      <c r="I697" s="687"/>
      <c r="J697" s="687"/>
      <c r="K697" s="687"/>
      <c r="L697" s="687"/>
      <c r="M697" s="687"/>
      <c r="N697" s="687"/>
      <c r="O697" s="687"/>
      <c r="P697" s="687"/>
      <c r="Q697" s="687"/>
      <c r="R697" s="687"/>
      <c r="S697" s="687"/>
      <c r="T697" s="687"/>
      <c r="U697" s="687"/>
      <c r="V697" s="687"/>
      <c r="W697" s="687"/>
      <c r="X697" s="687"/>
      <c r="Y697" s="687"/>
      <c r="Z697" s="687"/>
    </row>
    <row r="698" spans="1:26" ht="12" customHeight="1">
      <c r="A698" s="687"/>
      <c r="B698" s="687"/>
      <c r="C698" s="687"/>
      <c r="D698" s="687"/>
      <c r="E698" s="687"/>
      <c r="F698" s="687"/>
      <c r="G698" s="687"/>
      <c r="H698" s="687"/>
      <c r="I698" s="687"/>
      <c r="J698" s="687"/>
      <c r="K698" s="687"/>
      <c r="L698" s="687"/>
      <c r="M698" s="687"/>
      <c r="N698" s="687"/>
      <c r="O698" s="687"/>
      <c r="P698" s="687"/>
      <c r="Q698" s="687"/>
      <c r="R698" s="687"/>
      <c r="S698" s="687"/>
      <c r="T698" s="687"/>
      <c r="U698" s="687"/>
      <c r="V698" s="687"/>
      <c r="W698" s="687"/>
      <c r="X698" s="687"/>
      <c r="Y698" s="687"/>
      <c r="Z698" s="687"/>
    </row>
    <row r="699" spans="1:26" ht="12" customHeight="1">
      <c r="A699" s="687"/>
      <c r="B699" s="687"/>
      <c r="C699" s="687"/>
      <c r="D699" s="687"/>
      <c r="E699" s="687"/>
      <c r="F699" s="687"/>
      <c r="G699" s="687"/>
      <c r="H699" s="687"/>
      <c r="I699" s="687"/>
      <c r="J699" s="687"/>
      <c r="K699" s="687"/>
      <c r="L699" s="687"/>
      <c r="M699" s="687"/>
      <c r="N699" s="687"/>
      <c r="O699" s="687"/>
      <c r="P699" s="687"/>
      <c r="Q699" s="687"/>
      <c r="R699" s="687"/>
      <c r="S699" s="687"/>
      <c r="T699" s="687"/>
      <c r="U699" s="687"/>
      <c r="V699" s="687"/>
      <c r="W699" s="687"/>
      <c r="X699" s="687"/>
      <c r="Y699" s="687"/>
      <c r="Z699" s="687"/>
    </row>
    <row r="700" spans="1:26" ht="12" customHeight="1">
      <c r="A700" s="687"/>
      <c r="B700" s="687"/>
      <c r="C700" s="687"/>
      <c r="D700" s="687"/>
      <c r="E700" s="687"/>
      <c r="F700" s="687"/>
      <c r="G700" s="687"/>
      <c r="H700" s="687"/>
      <c r="I700" s="687"/>
      <c r="J700" s="687"/>
      <c r="K700" s="687"/>
      <c r="L700" s="687"/>
      <c r="M700" s="687"/>
      <c r="N700" s="687"/>
      <c r="O700" s="687"/>
      <c r="P700" s="687"/>
      <c r="Q700" s="687"/>
      <c r="R700" s="687"/>
      <c r="S700" s="687"/>
      <c r="T700" s="687"/>
      <c r="U700" s="687"/>
      <c r="V700" s="687"/>
      <c r="W700" s="687"/>
      <c r="X700" s="687"/>
      <c r="Y700" s="687"/>
      <c r="Z700" s="687"/>
    </row>
    <row r="701" spans="1:26" ht="12" customHeight="1">
      <c r="A701" s="687"/>
      <c r="B701" s="687"/>
      <c r="C701" s="687"/>
      <c r="D701" s="687"/>
      <c r="E701" s="687"/>
      <c r="F701" s="687"/>
      <c r="G701" s="687"/>
      <c r="H701" s="687"/>
      <c r="I701" s="687"/>
      <c r="J701" s="687"/>
      <c r="K701" s="687"/>
      <c r="L701" s="687"/>
      <c r="M701" s="687"/>
      <c r="N701" s="687"/>
      <c r="O701" s="687"/>
      <c r="P701" s="687"/>
      <c r="Q701" s="687"/>
      <c r="R701" s="687"/>
      <c r="S701" s="687"/>
      <c r="T701" s="687"/>
      <c r="U701" s="687"/>
      <c r="V701" s="687"/>
      <c r="W701" s="687"/>
      <c r="X701" s="687"/>
      <c r="Y701" s="687"/>
      <c r="Z701" s="687"/>
    </row>
    <row r="702" spans="1:26" ht="12" customHeight="1">
      <c r="A702" s="687"/>
      <c r="B702" s="687"/>
      <c r="C702" s="687"/>
      <c r="D702" s="687"/>
      <c r="E702" s="687"/>
      <c r="F702" s="687"/>
      <c r="G702" s="687"/>
      <c r="H702" s="687"/>
      <c r="I702" s="687"/>
      <c r="J702" s="687"/>
      <c r="K702" s="687"/>
      <c r="L702" s="687"/>
      <c r="M702" s="687"/>
      <c r="N702" s="687"/>
      <c r="O702" s="687"/>
      <c r="P702" s="687"/>
      <c r="Q702" s="687"/>
      <c r="R702" s="687"/>
      <c r="S702" s="687"/>
      <c r="T702" s="687"/>
      <c r="U702" s="687"/>
      <c r="V702" s="687"/>
      <c r="W702" s="687"/>
      <c r="X702" s="687"/>
      <c r="Y702" s="687"/>
      <c r="Z702" s="687"/>
    </row>
    <row r="703" spans="1:26" ht="12" customHeight="1">
      <c r="A703" s="687"/>
      <c r="B703" s="687"/>
      <c r="C703" s="687"/>
      <c r="D703" s="687"/>
      <c r="E703" s="687"/>
      <c r="F703" s="687"/>
      <c r="G703" s="687"/>
      <c r="H703" s="687"/>
      <c r="I703" s="687"/>
      <c r="J703" s="687"/>
      <c r="K703" s="687"/>
      <c r="L703" s="687"/>
      <c r="M703" s="687"/>
      <c r="N703" s="687"/>
      <c r="O703" s="687"/>
      <c r="P703" s="687"/>
      <c r="Q703" s="687"/>
      <c r="R703" s="687"/>
      <c r="S703" s="687"/>
      <c r="T703" s="687"/>
      <c r="U703" s="687"/>
      <c r="V703" s="687"/>
      <c r="W703" s="687"/>
      <c r="X703" s="687"/>
      <c r="Y703" s="687"/>
      <c r="Z703" s="687"/>
    </row>
    <row r="704" spans="1:26" ht="12" customHeight="1">
      <c r="A704" s="687"/>
      <c r="B704" s="687"/>
      <c r="C704" s="687"/>
      <c r="D704" s="687"/>
      <c r="E704" s="687"/>
      <c r="F704" s="687"/>
      <c r="G704" s="687"/>
      <c r="H704" s="687"/>
      <c r="I704" s="687"/>
      <c r="J704" s="687"/>
      <c r="K704" s="687"/>
      <c r="L704" s="687"/>
      <c r="M704" s="687"/>
      <c r="N704" s="687"/>
      <c r="O704" s="687"/>
      <c r="P704" s="687"/>
      <c r="Q704" s="687"/>
      <c r="R704" s="687"/>
      <c r="S704" s="687"/>
      <c r="T704" s="687"/>
      <c r="U704" s="687"/>
      <c r="V704" s="687"/>
      <c r="W704" s="687"/>
      <c r="X704" s="687"/>
      <c r="Y704" s="687"/>
      <c r="Z704" s="687"/>
    </row>
    <row r="705" spans="1:26" ht="12" customHeight="1">
      <c r="A705" s="687"/>
      <c r="B705" s="687"/>
      <c r="C705" s="687"/>
      <c r="D705" s="687"/>
      <c r="E705" s="687"/>
      <c r="F705" s="687"/>
      <c r="G705" s="687"/>
      <c r="H705" s="687"/>
      <c r="I705" s="687"/>
      <c r="J705" s="687"/>
      <c r="K705" s="687"/>
      <c r="L705" s="687"/>
      <c r="M705" s="687"/>
      <c r="N705" s="687"/>
      <c r="O705" s="687"/>
      <c r="P705" s="687"/>
      <c r="Q705" s="687"/>
      <c r="R705" s="687"/>
      <c r="S705" s="687"/>
      <c r="T705" s="687"/>
      <c r="U705" s="687"/>
      <c r="V705" s="687"/>
      <c r="W705" s="687"/>
      <c r="X705" s="687"/>
      <c r="Y705" s="687"/>
      <c r="Z705" s="687"/>
    </row>
    <row r="706" spans="1:26" ht="12" customHeight="1">
      <c r="A706" s="687"/>
      <c r="B706" s="687"/>
      <c r="C706" s="687"/>
      <c r="D706" s="687"/>
      <c r="E706" s="687"/>
      <c r="F706" s="687"/>
      <c r="G706" s="687"/>
      <c r="H706" s="687"/>
      <c r="I706" s="687"/>
      <c r="J706" s="687"/>
      <c r="K706" s="687"/>
      <c r="L706" s="687"/>
      <c r="M706" s="687"/>
      <c r="N706" s="687"/>
      <c r="O706" s="687"/>
      <c r="P706" s="687"/>
      <c r="Q706" s="687"/>
      <c r="R706" s="687"/>
      <c r="S706" s="687"/>
      <c r="T706" s="687"/>
      <c r="U706" s="687"/>
      <c r="V706" s="687"/>
      <c r="W706" s="687"/>
      <c r="X706" s="687"/>
      <c r="Y706" s="687"/>
      <c r="Z706" s="687"/>
    </row>
    <row r="707" spans="1:26" ht="12" customHeight="1">
      <c r="A707" s="687"/>
      <c r="B707" s="687"/>
      <c r="C707" s="687"/>
      <c r="D707" s="687"/>
      <c r="E707" s="687"/>
      <c r="F707" s="687"/>
      <c r="G707" s="687"/>
      <c r="H707" s="687"/>
      <c r="I707" s="687"/>
      <c r="J707" s="687"/>
      <c r="K707" s="687"/>
      <c r="L707" s="687"/>
      <c r="M707" s="687"/>
      <c r="N707" s="687"/>
      <c r="O707" s="687"/>
      <c r="P707" s="687"/>
      <c r="Q707" s="687"/>
      <c r="R707" s="687"/>
      <c r="S707" s="687"/>
      <c r="T707" s="687"/>
      <c r="U707" s="687"/>
      <c r="V707" s="687"/>
      <c r="W707" s="687"/>
      <c r="X707" s="687"/>
      <c r="Y707" s="687"/>
      <c r="Z707" s="687"/>
    </row>
    <row r="708" spans="1:26" ht="12" customHeight="1">
      <c r="A708" s="687"/>
      <c r="B708" s="687"/>
      <c r="C708" s="687"/>
      <c r="D708" s="687"/>
      <c r="E708" s="687"/>
      <c r="F708" s="687"/>
      <c r="G708" s="687"/>
      <c r="H708" s="687"/>
      <c r="I708" s="687"/>
      <c r="J708" s="687"/>
      <c r="K708" s="687"/>
      <c r="L708" s="687"/>
      <c r="M708" s="687"/>
      <c r="N708" s="687"/>
      <c r="O708" s="687"/>
      <c r="P708" s="687"/>
      <c r="Q708" s="687"/>
      <c r="R708" s="687"/>
      <c r="S708" s="687"/>
      <c r="T708" s="687"/>
      <c r="U708" s="687"/>
      <c r="V708" s="687"/>
      <c r="W708" s="687"/>
      <c r="X708" s="687"/>
      <c r="Y708" s="687"/>
      <c r="Z708" s="687"/>
    </row>
    <row r="709" spans="1:26" ht="12" customHeight="1">
      <c r="A709" s="687"/>
      <c r="B709" s="687"/>
      <c r="C709" s="687"/>
      <c r="D709" s="687"/>
      <c r="E709" s="687"/>
      <c r="F709" s="687"/>
      <c r="G709" s="687"/>
      <c r="H709" s="687"/>
      <c r="I709" s="687"/>
      <c r="J709" s="687"/>
      <c r="K709" s="687"/>
      <c r="L709" s="687"/>
      <c r="M709" s="687"/>
      <c r="N709" s="687"/>
      <c r="O709" s="687"/>
      <c r="P709" s="687"/>
      <c r="Q709" s="687"/>
      <c r="R709" s="687"/>
      <c r="S709" s="687"/>
      <c r="T709" s="687"/>
      <c r="U709" s="687"/>
      <c r="V709" s="687"/>
      <c r="W709" s="687"/>
      <c r="X709" s="687"/>
      <c r="Y709" s="687"/>
      <c r="Z709" s="687"/>
    </row>
    <row r="710" spans="1:26" ht="12" customHeight="1">
      <c r="A710" s="687"/>
      <c r="B710" s="687"/>
      <c r="C710" s="687"/>
      <c r="D710" s="687"/>
      <c r="E710" s="687"/>
      <c r="F710" s="687"/>
      <c r="G710" s="687"/>
      <c r="H710" s="687"/>
      <c r="I710" s="687"/>
      <c r="J710" s="687"/>
      <c r="K710" s="687"/>
      <c r="L710" s="687"/>
      <c r="M710" s="687"/>
      <c r="N710" s="687"/>
      <c r="O710" s="687"/>
      <c r="P710" s="687"/>
      <c r="Q710" s="687"/>
      <c r="R710" s="687"/>
      <c r="S710" s="687"/>
      <c r="T710" s="687"/>
      <c r="U710" s="687"/>
      <c r="V710" s="687"/>
      <c r="W710" s="687"/>
      <c r="X710" s="687"/>
      <c r="Y710" s="687"/>
      <c r="Z710" s="687"/>
    </row>
    <row r="711" spans="1:26" ht="12" customHeight="1">
      <c r="A711" s="687"/>
      <c r="B711" s="687"/>
      <c r="C711" s="687"/>
      <c r="D711" s="687"/>
      <c r="E711" s="687"/>
      <c r="F711" s="687"/>
      <c r="G711" s="687"/>
      <c r="H711" s="687"/>
      <c r="I711" s="687"/>
      <c r="J711" s="687"/>
      <c r="K711" s="687"/>
      <c r="L711" s="687"/>
      <c r="M711" s="687"/>
      <c r="N711" s="687"/>
      <c r="O711" s="687"/>
      <c r="P711" s="687"/>
      <c r="Q711" s="687"/>
      <c r="R711" s="687"/>
      <c r="S711" s="687"/>
      <c r="T711" s="687"/>
      <c r="U711" s="687"/>
      <c r="V711" s="687"/>
      <c r="W711" s="687"/>
      <c r="X711" s="687"/>
      <c r="Y711" s="687"/>
      <c r="Z711" s="687"/>
    </row>
    <row r="712" spans="1:26" ht="12" customHeight="1">
      <c r="A712" s="687"/>
      <c r="B712" s="687"/>
      <c r="C712" s="687"/>
      <c r="D712" s="687"/>
      <c r="E712" s="687"/>
      <c r="F712" s="687"/>
      <c r="G712" s="687"/>
      <c r="H712" s="687"/>
      <c r="I712" s="687"/>
      <c r="J712" s="687"/>
      <c r="K712" s="687"/>
      <c r="L712" s="687"/>
      <c r="M712" s="687"/>
      <c r="N712" s="687"/>
      <c r="O712" s="687"/>
      <c r="P712" s="687"/>
      <c r="Q712" s="687"/>
      <c r="R712" s="687"/>
      <c r="S712" s="687"/>
      <c r="T712" s="687"/>
      <c r="U712" s="687"/>
      <c r="V712" s="687"/>
      <c r="W712" s="687"/>
      <c r="X712" s="687"/>
      <c r="Y712" s="687"/>
      <c r="Z712" s="687"/>
    </row>
    <row r="713" spans="1:26" ht="12" customHeight="1">
      <c r="A713" s="687"/>
      <c r="B713" s="687"/>
      <c r="C713" s="687"/>
      <c r="D713" s="687"/>
      <c r="E713" s="687"/>
      <c r="F713" s="687"/>
      <c r="G713" s="687"/>
      <c r="H713" s="687"/>
      <c r="I713" s="687"/>
      <c r="J713" s="687"/>
      <c r="K713" s="687"/>
      <c r="L713" s="687"/>
      <c r="M713" s="687"/>
      <c r="N713" s="687"/>
      <c r="O713" s="687"/>
      <c r="P713" s="687"/>
      <c r="Q713" s="687"/>
      <c r="R713" s="687"/>
      <c r="S713" s="687"/>
      <c r="T713" s="687"/>
      <c r="U713" s="687"/>
      <c r="V713" s="687"/>
      <c r="W713" s="687"/>
      <c r="X713" s="687"/>
      <c r="Y713" s="687"/>
      <c r="Z713" s="687"/>
    </row>
    <row r="714" spans="1:26" ht="12" customHeight="1">
      <c r="A714" s="687"/>
      <c r="B714" s="687"/>
      <c r="C714" s="687"/>
      <c r="D714" s="687"/>
      <c r="E714" s="687"/>
      <c r="F714" s="687"/>
      <c r="G714" s="687"/>
      <c r="H714" s="687"/>
      <c r="I714" s="687"/>
      <c r="J714" s="687"/>
      <c r="K714" s="687"/>
      <c r="L714" s="687"/>
      <c r="M714" s="687"/>
      <c r="N714" s="687"/>
      <c r="O714" s="687"/>
      <c r="P714" s="687"/>
      <c r="Q714" s="687"/>
      <c r="R714" s="687"/>
      <c r="S714" s="687"/>
      <c r="T714" s="687"/>
      <c r="U714" s="687"/>
      <c r="V714" s="687"/>
      <c r="W714" s="687"/>
      <c r="X714" s="687"/>
      <c r="Y714" s="687"/>
      <c r="Z714" s="687"/>
    </row>
    <row r="715" spans="1:26" ht="12" customHeight="1">
      <c r="A715" s="687"/>
      <c r="B715" s="687"/>
      <c r="C715" s="687"/>
      <c r="D715" s="687"/>
      <c r="E715" s="687"/>
      <c r="F715" s="687"/>
      <c r="G715" s="687"/>
      <c r="H715" s="687"/>
      <c r="I715" s="687"/>
      <c r="J715" s="687"/>
      <c r="K715" s="687"/>
      <c r="L715" s="687"/>
      <c r="M715" s="687"/>
      <c r="N715" s="687"/>
      <c r="O715" s="687"/>
      <c r="P715" s="687"/>
      <c r="Q715" s="687"/>
      <c r="R715" s="687"/>
      <c r="S715" s="687"/>
      <c r="T715" s="687"/>
      <c r="U715" s="687"/>
      <c r="V715" s="687"/>
      <c r="W715" s="687"/>
      <c r="X715" s="687"/>
      <c r="Y715" s="687"/>
      <c r="Z715" s="687"/>
    </row>
    <row r="716" spans="1:26" ht="12" customHeight="1">
      <c r="A716" s="687"/>
      <c r="B716" s="687"/>
      <c r="C716" s="687"/>
      <c r="D716" s="687"/>
      <c r="E716" s="687"/>
      <c r="F716" s="687"/>
      <c r="G716" s="687"/>
      <c r="H716" s="687"/>
      <c r="I716" s="687"/>
      <c r="J716" s="687"/>
      <c r="K716" s="687"/>
      <c r="L716" s="687"/>
      <c r="M716" s="687"/>
      <c r="N716" s="687"/>
      <c r="O716" s="687"/>
      <c r="P716" s="687"/>
      <c r="Q716" s="687"/>
      <c r="R716" s="687"/>
      <c r="S716" s="687"/>
      <c r="T716" s="687"/>
      <c r="U716" s="687"/>
      <c r="V716" s="687"/>
      <c r="W716" s="687"/>
      <c r="X716" s="687"/>
      <c r="Y716" s="687"/>
      <c r="Z716" s="687"/>
    </row>
    <row r="717" spans="1:26" ht="12" customHeight="1">
      <c r="A717" s="687"/>
      <c r="B717" s="687"/>
      <c r="C717" s="687"/>
      <c r="D717" s="687"/>
      <c r="E717" s="687"/>
      <c r="F717" s="687"/>
      <c r="G717" s="687"/>
      <c r="H717" s="687"/>
      <c r="I717" s="687"/>
      <c r="J717" s="687"/>
      <c r="K717" s="687"/>
      <c r="L717" s="687"/>
      <c r="M717" s="687"/>
      <c r="N717" s="687"/>
      <c r="O717" s="687"/>
      <c r="P717" s="687"/>
      <c r="Q717" s="687"/>
      <c r="R717" s="687"/>
      <c r="S717" s="687"/>
      <c r="T717" s="687"/>
      <c r="U717" s="687"/>
      <c r="V717" s="687"/>
      <c r="W717" s="687"/>
      <c r="X717" s="687"/>
      <c r="Y717" s="687"/>
      <c r="Z717" s="687"/>
    </row>
    <row r="718" spans="1:26" ht="12" customHeight="1">
      <c r="A718" s="687"/>
      <c r="B718" s="687"/>
      <c r="C718" s="687"/>
      <c r="D718" s="687"/>
      <c r="E718" s="687"/>
      <c r="F718" s="687"/>
      <c r="G718" s="687"/>
      <c r="H718" s="687"/>
      <c r="I718" s="687"/>
      <c r="J718" s="687"/>
      <c r="K718" s="687"/>
      <c r="L718" s="687"/>
      <c r="M718" s="687"/>
      <c r="N718" s="687"/>
      <c r="O718" s="687"/>
      <c r="P718" s="687"/>
      <c r="Q718" s="687"/>
      <c r="R718" s="687"/>
      <c r="S718" s="687"/>
      <c r="T718" s="687"/>
      <c r="U718" s="687"/>
      <c r="V718" s="687"/>
      <c r="W718" s="687"/>
      <c r="X718" s="687"/>
      <c r="Y718" s="687"/>
      <c r="Z718" s="687"/>
    </row>
    <row r="719" spans="1:26" ht="12" customHeight="1">
      <c r="A719" s="687"/>
      <c r="B719" s="687"/>
      <c r="C719" s="687"/>
      <c r="D719" s="687"/>
      <c r="E719" s="687"/>
      <c r="F719" s="687"/>
      <c r="G719" s="687"/>
      <c r="H719" s="687"/>
      <c r="I719" s="687"/>
      <c r="J719" s="687"/>
      <c r="K719" s="687"/>
      <c r="L719" s="687"/>
      <c r="M719" s="687"/>
      <c r="N719" s="687"/>
      <c r="O719" s="687"/>
      <c r="P719" s="687"/>
      <c r="Q719" s="687"/>
      <c r="R719" s="687"/>
      <c r="S719" s="687"/>
      <c r="T719" s="687"/>
      <c r="U719" s="687"/>
      <c r="V719" s="687"/>
      <c r="W719" s="687"/>
      <c r="X719" s="687"/>
      <c r="Y719" s="687"/>
      <c r="Z719" s="687"/>
    </row>
    <row r="720" spans="1:26" ht="12" customHeight="1">
      <c r="A720" s="687"/>
      <c r="B720" s="687"/>
      <c r="C720" s="687"/>
      <c r="D720" s="687"/>
      <c r="E720" s="687"/>
      <c r="F720" s="687"/>
      <c r="G720" s="687"/>
      <c r="H720" s="687"/>
      <c r="I720" s="687"/>
      <c r="J720" s="687"/>
      <c r="K720" s="687"/>
      <c r="L720" s="687"/>
      <c r="M720" s="687"/>
      <c r="N720" s="687"/>
      <c r="O720" s="687"/>
      <c r="P720" s="687"/>
      <c r="Q720" s="687"/>
      <c r="R720" s="687"/>
      <c r="S720" s="687"/>
      <c r="T720" s="687"/>
      <c r="U720" s="687"/>
      <c r="V720" s="687"/>
      <c r="W720" s="687"/>
      <c r="X720" s="687"/>
      <c r="Y720" s="687"/>
      <c r="Z720" s="687"/>
    </row>
    <row r="721" spans="1:26" ht="12" customHeight="1">
      <c r="A721" s="687"/>
      <c r="B721" s="687"/>
      <c r="C721" s="687"/>
      <c r="D721" s="687"/>
      <c r="E721" s="687"/>
      <c r="F721" s="687"/>
      <c r="G721" s="687"/>
      <c r="H721" s="687"/>
      <c r="I721" s="687"/>
      <c r="J721" s="687"/>
      <c r="K721" s="687"/>
      <c r="L721" s="687"/>
      <c r="M721" s="687"/>
      <c r="N721" s="687"/>
      <c r="O721" s="687"/>
      <c r="P721" s="687"/>
      <c r="Q721" s="687"/>
      <c r="R721" s="687"/>
      <c r="S721" s="687"/>
      <c r="T721" s="687"/>
      <c r="U721" s="687"/>
      <c r="V721" s="687"/>
      <c r="W721" s="687"/>
      <c r="X721" s="687"/>
      <c r="Y721" s="687"/>
      <c r="Z721" s="687"/>
    </row>
    <row r="722" spans="1:26" ht="12" customHeight="1">
      <c r="A722" s="687"/>
      <c r="B722" s="687"/>
      <c r="C722" s="687"/>
      <c r="D722" s="687"/>
      <c r="E722" s="687"/>
      <c r="F722" s="687"/>
      <c r="G722" s="687"/>
      <c r="H722" s="687"/>
      <c r="I722" s="687"/>
      <c r="J722" s="687"/>
      <c r="K722" s="687"/>
      <c r="L722" s="687"/>
      <c r="M722" s="687"/>
      <c r="N722" s="687"/>
      <c r="O722" s="687"/>
      <c r="P722" s="687"/>
      <c r="Q722" s="687"/>
      <c r="R722" s="687"/>
      <c r="S722" s="687"/>
      <c r="T722" s="687"/>
      <c r="U722" s="687"/>
      <c r="V722" s="687"/>
      <c r="W722" s="687"/>
      <c r="X722" s="687"/>
      <c r="Y722" s="687"/>
      <c r="Z722" s="687"/>
    </row>
    <row r="723" spans="1:26" ht="12" customHeight="1">
      <c r="A723" s="687"/>
      <c r="B723" s="687"/>
      <c r="C723" s="687"/>
      <c r="D723" s="687"/>
      <c r="E723" s="687"/>
      <c r="F723" s="687"/>
      <c r="G723" s="687"/>
      <c r="H723" s="687"/>
      <c r="I723" s="687"/>
      <c r="J723" s="687"/>
      <c r="K723" s="687"/>
      <c r="L723" s="687"/>
      <c r="M723" s="687"/>
      <c r="N723" s="687"/>
      <c r="O723" s="687"/>
      <c r="P723" s="687"/>
      <c r="Q723" s="687"/>
      <c r="R723" s="687"/>
      <c r="S723" s="687"/>
      <c r="T723" s="687"/>
      <c r="U723" s="687"/>
      <c r="V723" s="687"/>
      <c r="W723" s="687"/>
      <c r="X723" s="687"/>
      <c r="Y723" s="687"/>
      <c r="Z723" s="687"/>
    </row>
    <row r="724" spans="1:26" ht="12" customHeight="1">
      <c r="A724" s="687"/>
      <c r="B724" s="687"/>
      <c r="C724" s="687"/>
      <c r="D724" s="687"/>
      <c r="E724" s="687"/>
      <c r="F724" s="687"/>
      <c r="G724" s="687"/>
      <c r="H724" s="687"/>
      <c r="I724" s="687"/>
      <c r="J724" s="687"/>
      <c r="K724" s="687"/>
      <c r="L724" s="687"/>
      <c r="M724" s="687"/>
      <c r="N724" s="687"/>
      <c r="O724" s="687"/>
      <c r="P724" s="687"/>
      <c r="Q724" s="687"/>
      <c r="R724" s="687"/>
      <c r="S724" s="687"/>
      <c r="T724" s="687"/>
      <c r="U724" s="687"/>
      <c r="V724" s="687"/>
      <c r="W724" s="687"/>
      <c r="X724" s="687"/>
      <c r="Y724" s="687"/>
      <c r="Z724" s="687"/>
    </row>
    <row r="725" spans="1:26" ht="12" customHeight="1">
      <c r="A725" s="687"/>
      <c r="B725" s="687"/>
      <c r="C725" s="687"/>
      <c r="D725" s="687"/>
      <c r="E725" s="687"/>
      <c r="F725" s="687"/>
      <c r="G725" s="687"/>
      <c r="H725" s="687"/>
      <c r="I725" s="687"/>
      <c r="J725" s="687"/>
      <c r="K725" s="687"/>
      <c r="L725" s="687"/>
      <c r="M725" s="687"/>
      <c r="N725" s="687"/>
      <c r="O725" s="687"/>
      <c r="P725" s="687"/>
      <c r="Q725" s="687"/>
      <c r="R725" s="687"/>
      <c r="S725" s="687"/>
      <c r="T725" s="687"/>
      <c r="U725" s="687"/>
      <c r="V725" s="687"/>
      <c r="W725" s="687"/>
      <c r="X725" s="687"/>
      <c r="Y725" s="687"/>
      <c r="Z725" s="687"/>
    </row>
    <row r="726" spans="1:26" ht="12" customHeight="1">
      <c r="A726" s="687"/>
      <c r="B726" s="687"/>
      <c r="C726" s="687"/>
      <c r="D726" s="687"/>
      <c r="E726" s="687"/>
      <c r="F726" s="687"/>
      <c r="G726" s="687"/>
      <c r="H726" s="687"/>
      <c r="I726" s="687"/>
      <c r="J726" s="687"/>
      <c r="K726" s="687"/>
      <c r="L726" s="687"/>
      <c r="M726" s="687"/>
      <c r="N726" s="687"/>
      <c r="O726" s="687"/>
      <c r="P726" s="687"/>
      <c r="Q726" s="687"/>
      <c r="R726" s="687"/>
      <c r="S726" s="687"/>
      <c r="T726" s="687"/>
      <c r="U726" s="687"/>
      <c r="V726" s="687"/>
      <c r="W726" s="687"/>
      <c r="X726" s="687"/>
      <c r="Y726" s="687"/>
      <c r="Z726" s="687"/>
    </row>
    <row r="727" spans="1:26" ht="12" customHeight="1">
      <c r="A727" s="687"/>
      <c r="B727" s="687"/>
      <c r="C727" s="687"/>
      <c r="D727" s="687"/>
      <c r="E727" s="687"/>
      <c r="F727" s="687"/>
      <c r="G727" s="687"/>
      <c r="H727" s="687"/>
      <c r="I727" s="687"/>
      <c r="J727" s="687"/>
      <c r="K727" s="687"/>
      <c r="L727" s="687"/>
      <c r="M727" s="687"/>
      <c r="N727" s="687"/>
      <c r="O727" s="687"/>
      <c r="P727" s="687"/>
      <c r="Q727" s="687"/>
      <c r="R727" s="687"/>
      <c r="S727" s="687"/>
      <c r="T727" s="687"/>
      <c r="U727" s="687"/>
      <c r="V727" s="687"/>
      <c r="W727" s="687"/>
      <c r="X727" s="687"/>
      <c r="Y727" s="687"/>
      <c r="Z727" s="687"/>
    </row>
    <row r="728" spans="1:26" ht="12" customHeight="1">
      <c r="A728" s="687"/>
      <c r="B728" s="687"/>
      <c r="C728" s="687"/>
      <c r="D728" s="687"/>
      <c r="E728" s="687"/>
      <c r="F728" s="687"/>
      <c r="G728" s="687"/>
      <c r="H728" s="687"/>
      <c r="I728" s="687"/>
      <c r="J728" s="687"/>
      <c r="K728" s="687"/>
      <c r="L728" s="687"/>
      <c r="M728" s="687"/>
      <c r="N728" s="687"/>
      <c r="O728" s="687"/>
      <c r="P728" s="687"/>
      <c r="Q728" s="687"/>
      <c r="R728" s="687"/>
      <c r="S728" s="687"/>
      <c r="T728" s="687"/>
      <c r="U728" s="687"/>
      <c r="V728" s="687"/>
      <c r="W728" s="687"/>
      <c r="X728" s="687"/>
      <c r="Y728" s="687"/>
      <c r="Z728" s="687"/>
    </row>
    <row r="729" spans="1:26" ht="12" customHeight="1">
      <c r="A729" s="687"/>
      <c r="B729" s="687"/>
      <c r="C729" s="687"/>
      <c r="D729" s="687"/>
      <c r="E729" s="687"/>
      <c r="F729" s="687"/>
      <c r="G729" s="687"/>
      <c r="H729" s="687"/>
      <c r="I729" s="687"/>
      <c r="J729" s="687"/>
      <c r="K729" s="687"/>
      <c r="L729" s="687"/>
      <c r="M729" s="687"/>
      <c r="N729" s="687"/>
      <c r="O729" s="687"/>
      <c r="P729" s="687"/>
      <c r="Q729" s="687"/>
      <c r="R729" s="687"/>
      <c r="S729" s="687"/>
      <c r="T729" s="687"/>
      <c r="U729" s="687"/>
      <c r="V729" s="687"/>
      <c r="W729" s="687"/>
      <c r="X729" s="687"/>
      <c r="Y729" s="687"/>
      <c r="Z729" s="687"/>
    </row>
    <row r="730" spans="1:26" ht="12" customHeight="1">
      <c r="A730" s="687"/>
      <c r="B730" s="687"/>
      <c r="C730" s="687"/>
      <c r="D730" s="687"/>
      <c r="E730" s="687"/>
      <c r="F730" s="687"/>
      <c r="G730" s="687"/>
      <c r="H730" s="687"/>
      <c r="I730" s="687"/>
      <c r="J730" s="687"/>
      <c r="K730" s="687"/>
      <c r="L730" s="687"/>
      <c r="M730" s="687"/>
      <c r="N730" s="687"/>
      <c r="O730" s="687"/>
      <c r="P730" s="687"/>
      <c r="Q730" s="687"/>
      <c r="R730" s="687"/>
      <c r="S730" s="687"/>
      <c r="T730" s="687"/>
      <c r="U730" s="687"/>
      <c r="V730" s="687"/>
      <c r="W730" s="687"/>
      <c r="X730" s="687"/>
      <c r="Y730" s="687"/>
      <c r="Z730" s="687"/>
    </row>
    <row r="731" spans="1:26" ht="12" customHeight="1">
      <c r="A731" s="687"/>
      <c r="B731" s="687"/>
      <c r="C731" s="687"/>
      <c r="D731" s="687"/>
      <c r="E731" s="687"/>
      <c r="F731" s="687"/>
      <c r="G731" s="687"/>
      <c r="H731" s="687"/>
      <c r="I731" s="687"/>
      <c r="J731" s="687"/>
      <c r="K731" s="687"/>
      <c r="L731" s="687"/>
      <c r="M731" s="687"/>
      <c r="N731" s="687"/>
      <c r="O731" s="687"/>
      <c r="P731" s="687"/>
      <c r="Q731" s="687"/>
      <c r="R731" s="687"/>
      <c r="S731" s="687"/>
      <c r="T731" s="687"/>
      <c r="U731" s="687"/>
      <c r="V731" s="687"/>
      <c r="W731" s="687"/>
      <c r="X731" s="687"/>
      <c r="Y731" s="687"/>
      <c r="Z731" s="687"/>
    </row>
    <row r="732" spans="1:26" ht="12" customHeight="1">
      <c r="A732" s="687"/>
      <c r="B732" s="687"/>
      <c r="C732" s="687"/>
      <c r="D732" s="687"/>
      <c r="E732" s="687"/>
      <c r="F732" s="687"/>
      <c r="G732" s="687"/>
      <c r="H732" s="687"/>
      <c r="I732" s="687"/>
      <c r="J732" s="687"/>
      <c r="K732" s="687"/>
      <c r="L732" s="687"/>
      <c r="M732" s="687"/>
      <c r="N732" s="687"/>
      <c r="O732" s="687"/>
      <c r="P732" s="687"/>
      <c r="Q732" s="687"/>
      <c r="R732" s="687"/>
      <c r="S732" s="687"/>
      <c r="T732" s="687"/>
      <c r="U732" s="687"/>
      <c r="V732" s="687"/>
      <c r="W732" s="687"/>
      <c r="X732" s="687"/>
      <c r="Y732" s="687"/>
      <c r="Z732" s="687"/>
    </row>
    <row r="733" spans="1:26" ht="12" customHeight="1">
      <c r="A733" s="687"/>
      <c r="B733" s="687"/>
      <c r="C733" s="687"/>
      <c r="D733" s="687"/>
      <c r="E733" s="687"/>
      <c r="F733" s="687"/>
      <c r="G733" s="687"/>
      <c r="H733" s="687"/>
      <c r="I733" s="687"/>
      <c r="J733" s="687"/>
      <c r="K733" s="687"/>
      <c r="L733" s="687"/>
      <c r="M733" s="687"/>
      <c r="N733" s="687"/>
      <c r="O733" s="687"/>
      <c r="P733" s="687"/>
      <c r="Q733" s="687"/>
      <c r="R733" s="687"/>
      <c r="S733" s="687"/>
      <c r="T733" s="687"/>
      <c r="U733" s="687"/>
      <c r="V733" s="687"/>
      <c r="W733" s="687"/>
      <c r="X733" s="687"/>
      <c r="Y733" s="687"/>
      <c r="Z733" s="687"/>
    </row>
    <row r="734" spans="1:26" ht="12" customHeight="1">
      <c r="A734" s="687"/>
      <c r="B734" s="687"/>
      <c r="C734" s="687"/>
      <c r="D734" s="687"/>
      <c r="E734" s="687"/>
      <c r="F734" s="687"/>
      <c r="G734" s="687"/>
      <c r="H734" s="687"/>
      <c r="I734" s="687"/>
      <c r="J734" s="687"/>
      <c r="K734" s="687"/>
      <c r="L734" s="687"/>
      <c r="M734" s="687"/>
      <c r="N734" s="687"/>
      <c r="O734" s="687"/>
      <c r="P734" s="687"/>
      <c r="Q734" s="687"/>
      <c r="R734" s="687"/>
      <c r="S734" s="687"/>
      <c r="T734" s="687"/>
      <c r="U734" s="687"/>
      <c r="V734" s="687"/>
      <c r="W734" s="687"/>
      <c r="X734" s="687"/>
      <c r="Y734" s="687"/>
      <c r="Z734" s="687"/>
    </row>
    <row r="735" spans="1:26" ht="12" customHeight="1">
      <c r="A735" s="687"/>
      <c r="B735" s="687"/>
      <c r="C735" s="687"/>
      <c r="D735" s="687"/>
      <c r="E735" s="687"/>
      <c r="F735" s="687"/>
      <c r="G735" s="687"/>
      <c r="H735" s="687"/>
      <c r="I735" s="687"/>
      <c r="J735" s="687"/>
      <c r="K735" s="687"/>
      <c r="L735" s="687"/>
      <c r="M735" s="687"/>
      <c r="N735" s="687"/>
      <c r="O735" s="687"/>
      <c r="P735" s="687"/>
      <c r="Q735" s="687"/>
      <c r="R735" s="687"/>
      <c r="S735" s="687"/>
      <c r="T735" s="687"/>
      <c r="U735" s="687"/>
      <c r="V735" s="687"/>
      <c r="W735" s="687"/>
      <c r="X735" s="687"/>
      <c r="Y735" s="687"/>
      <c r="Z735" s="687"/>
    </row>
    <row r="736" spans="1:26" ht="12" customHeight="1">
      <c r="A736" s="687"/>
      <c r="B736" s="687"/>
      <c r="C736" s="687"/>
      <c r="D736" s="687"/>
      <c r="E736" s="687"/>
      <c r="F736" s="687"/>
      <c r="G736" s="687"/>
      <c r="H736" s="687"/>
      <c r="I736" s="687"/>
      <c r="J736" s="687"/>
      <c r="K736" s="687"/>
      <c r="L736" s="687"/>
      <c r="M736" s="687"/>
      <c r="N736" s="687"/>
      <c r="O736" s="687"/>
      <c r="P736" s="687"/>
      <c r="Q736" s="687"/>
      <c r="R736" s="687"/>
      <c r="S736" s="687"/>
      <c r="T736" s="687"/>
      <c r="U736" s="687"/>
      <c r="V736" s="687"/>
      <c r="W736" s="687"/>
      <c r="X736" s="687"/>
      <c r="Y736" s="687"/>
      <c r="Z736" s="687"/>
    </row>
    <row r="737" spans="1:26" ht="12" customHeight="1">
      <c r="A737" s="687"/>
      <c r="B737" s="687"/>
      <c r="C737" s="687"/>
      <c r="D737" s="687"/>
      <c r="E737" s="687"/>
      <c r="F737" s="687"/>
      <c r="G737" s="687"/>
      <c r="H737" s="687"/>
      <c r="I737" s="687"/>
      <c r="J737" s="687"/>
      <c r="K737" s="687"/>
      <c r="L737" s="687"/>
      <c r="M737" s="687"/>
      <c r="N737" s="687"/>
      <c r="O737" s="687"/>
      <c r="P737" s="687"/>
      <c r="Q737" s="687"/>
      <c r="R737" s="687"/>
      <c r="S737" s="687"/>
      <c r="T737" s="687"/>
      <c r="U737" s="687"/>
      <c r="V737" s="687"/>
      <c r="W737" s="687"/>
      <c r="X737" s="687"/>
      <c r="Y737" s="687"/>
      <c r="Z737" s="687"/>
    </row>
    <row r="738" spans="1:26" ht="12" customHeight="1">
      <c r="A738" s="687"/>
      <c r="B738" s="687"/>
      <c r="C738" s="687"/>
      <c r="D738" s="687"/>
      <c r="E738" s="687"/>
      <c r="F738" s="687"/>
      <c r="G738" s="687"/>
      <c r="H738" s="687"/>
      <c r="I738" s="687"/>
      <c r="J738" s="687"/>
      <c r="K738" s="687"/>
      <c r="L738" s="687"/>
      <c r="M738" s="687"/>
      <c r="N738" s="687"/>
      <c r="O738" s="687"/>
      <c r="P738" s="687"/>
      <c r="Q738" s="687"/>
      <c r="R738" s="687"/>
      <c r="S738" s="687"/>
      <c r="T738" s="687"/>
      <c r="U738" s="687"/>
      <c r="V738" s="687"/>
      <c r="W738" s="687"/>
      <c r="X738" s="687"/>
      <c r="Y738" s="687"/>
      <c r="Z738" s="687"/>
    </row>
    <row r="739" spans="1:26" ht="12" customHeight="1">
      <c r="A739" s="687"/>
      <c r="B739" s="687"/>
      <c r="C739" s="687"/>
      <c r="D739" s="687"/>
      <c r="E739" s="687"/>
      <c r="F739" s="687"/>
      <c r="G739" s="687"/>
      <c r="H739" s="687"/>
      <c r="I739" s="687"/>
      <c r="J739" s="687"/>
      <c r="K739" s="687"/>
      <c r="L739" s="687"/>
      <c r="M739" s="687"/>
      <c r="N739" s="687"/>
      <c r="O739" s="687"/>
      <c r="P739" s="687"/>
      <c r="Q739" s="687"/>
      <c r="R739" s="687"/>
      <c r="S739" s="687"/>
      <c r="T739" s="687"/>
      <c r="U739" s="687"/>
      <c r="V739" s="687"/>
      <c r="W739" s="687"/>
      <c r="X739" s="687"/>
      <c r="Y739" s="687"/>
      <c r="Z739" s="687"/>
    </row>
    <row r="740" spans="1:26" ht="12" customHeight="1">
      <c r="A740" s="687"/>
      <c r="B740" s="687"/>
      <c r="C740" s="687"/>
      <c r="D740" s="687"/>
      <c r="E740" s="687"/>
      <c r="F740" s="687"/>
      <c r="G740" s="687"/>
      <c r="H740" s="687"/>
      <c r="I740" s="687"/>
      <c r="J740" s="687"/>
      <c r="K740" s="687"/>
      <c r="L740" s="687"/>
      <c r="M740" s="687"/>
      <c r="N740" s="687"/>
      <c r="O740" s="687"/>
      <c r="P740" s="687"/>
      <c r="Q740" s="687"/>
      <c r="R740" s="687"/>
      <c r="S740" s="687"/>
      <c r="T740" s="687"/>
      <c r="U740" s="687"/>
      <c r="V740" s="687"/>
      <c r="W740" s="687"/>
      <c r="X740" s="687"/>
      <c r="Y740" s="687"/>
      <c r="Z740" s="687"/>
    </row>
    <row r="741" spans="1:26" ht="12" customHeight="1">
      <c r="A741" s="687"/>
      <c r="B741" s="687"/>
      <c r="C741" s="687"/>
      <c r="D741" s="687"/>
      <c r="E741" s="687"/>
      <c r="F741" s="687"/>
      <c r="G741" s="687"/>
      <c r="H741" s="687"/>
      <c r="I741" s="687"/>
      <c r="J741" s="687"/>
      <c r="K741" s="687"/>
      <c r="L741" s="687"/>
      <c r="M741" s="687"/>
      <c r="N741" s="687"/>
      <c r="O741" s="687"/>
      <c r="P741" s="687"/>
      <c r="Q741" s="687"/>
      <c r="R741" s="687"/>
      <c r="S741" s="687"/>
      <c r="T741" s="687"/>
      <c r="U741" s="687"/>
      <c r="V741" s="687"/>
      <c r="W741" s="687"/>
      <c r="X741" s="687"/>
      <c r="Y741" s="687"/>
      <c r="Z741" s="687"/>
    </row>
    <row r="742" spans="1:26" ht="12" customHeight="1">
      <c r="A742" s="687"/>
      <c r="B742" s="687"/>
      <c r="C742" s="687"/>
      <c r="D742" s="687"/>
      <c r="E742" s="687"/>
      <c r="F742" s="687"/>
      <c r="G742" s="687"/>
      <c r="H742" s="687"/>
      <c r="I742" s="687"/>
      <c r="J742" s="687"/>
      <c r="K742" s="687"/>
      <c r="L742" s="687"/>
      <c r="M742" s="687"/>
      <c r="N742" s="687"/>
      <c r="O742" s="687"/>
      <c r="P742" s="687"/>
      <c r="Q742" s="687"/>
      <c r="R742" s="687"/>
      <c r="S742" s="687"/>
      <c r="T742" s="687"/>
      <c r="U742" s="687"/>
      <c r="V742" s="687"/>
      <c r="W742" s="687"/>
      <c r="X742" s="687"/>
      <c r="Y742" s="687"/>
      <c r="Z742" s="687"/>
    </row>
    <row r="743" spans="1:26" ht="12" customHeight="1">
      <c r="A743" s="687"/>
      <c r="B743" s="687"/>
      <c r="C743" s="687"/>
      <c r="D743" s="687"/>
      <c r="E743" s="687"/>
      <c r="F743" s="687"/>
      <c r="G743" s="687"/>
      <c r="H743" s="687"/>
      <c r="I743" s="687"/>
      <c r="J743" s="687"/>
      <c r="K743" s="687"/>
      <c r="L743" s="687"/>
      <c r="M743" s="687"/>
      <c r="N743" s="687"/>
      <c r="O743" s="687"/>
      <c r="P743" s="687"/>
      <c r="Q743" s="687"/>
      <c r="R743" s="687"/>
      <c r="S743" s="687"/>
      <c r="T743" s="687"/>
      <c r="U743" s="687"/>
      <c r="V743" s="687"/>
      <c r="W743" s="687"/>
      <c r="X743" s="687"/>
      <c r="Y743" s="687"/>
      <c r="Z743" s="687"/>
    </row>
    <row r="744" spans="1:26" ht="12" customHeight="1">
      <c r="A744" s="687"/>
      <c r="B744" s="687"/>
      <c r="C744" s="687"/>
      <c r="D744" s="687"/>
      <c r="E744" s="687"/>
      <c r="F744" s="687"/>
      <c r="G744" s="687"/>
      <c r="H744" s="687"/>
      <c r="I744" s="687"/>
      <c r="J744" s="687"/>
      <c r="K744" s="687"/>
      <c r="L744" s="687"/>
      <c r="M744" s="687"/>
      <c r="N744" s="687"/>
      <c r="O744" s="687"/>
      <c r="P744" s="687"/>
      <c r="Q744" s="687"/>
      <c r="R744" s="687"/>
      <c r="S744" s="687"/>
      <c r="T744" s="687"/>
      <c r="U744" s="687"/>
      <c r="V744" s="687"/>
      <c r="W744" s="687"/>
      <c r="X744" s="687"/>
      <c r="Y744" s="687"/>
      <c r="Z744" s="687"/>
    </row>
    <row r="745" spans="1:26" ht="12" customHeight="1">
      <c r="A745" s="687"/>
      <c r="B745" s="687"/>
      <c r="C745" s="687"/>
      <c r="D745" s="687"/>
      <c r="E745" s="687"/>
      <c r="F745" s="687"/>
      <c r="G745" s="687"/>
      <c r="H745" s="687"/>
      <c r="I745" s="687"/>
      <c r="J745" s="687"/>
      <c r="K745" s="687"/>
      <c r="L745" s="687"/>
      <c r="M745" s="687"/>
      <c r="N745" s="687"/>
      <c r="O745" s="687"/>
      <c r="P745" s="687"/>
      <c r="Q745" s="687"/>
      <c r="R745" s="687"/>
      <c r="S745" s="687"/>
      <c r="T745" s="687"/>
      <c r="U745" s="687"/>
      <c r="V745" s="687"/>
      <c r="W745" s="687"/>
      <c r="X745" s="687"/>
      <c r="Y745" s="687"/>
      <c r="Z745" s="687"/>
    </row>
    <row r="746" spans="1:26" ht="12" customHeight="1">
      <c r="A746" s="687"/>
      <c r="B746" s="687"/>
      <c r="C746" s="687"/>
      <c r="D746" s="687"/>
      <c r="E746" s="687"/>
      <c r="F746" s="687"/>
      <c r="G746" s="687"/>
      <c r="H746" s="687"/>
      <c r="I746" s="687"/>
      <c r="J746" s="687"/>
      <c r="K746" s="687"/>
      <c r="L746" s="687"/>
      <c r="M746" s="687"/>
      <c r="N746" s="687"/>
      <c r="O746" s="687"/>
      <c r="P746" s="687"/>
      <c r="Q746" s="687"/>
      <c r="R746" s="687"/>
      <c r="S746" s="687"/>
      <c r="T746" s="687"/>
      <c r="U746" s="687"/>
      <c r="V746" s="687"/>
      <c r="W746" s="687"/>
      <c r="X746" s="687"/>
      <c r="Y746" s="687"/>
      <c r="Z746" s="687"/>
    </row>
    <row r="747" spans="1:26" ht="12" customHeight="1">
      <c r="A747" s="687"/>
      <c r="B747" s="687"/>
      <c r="C747" s="687"/>
      <c r="D747" s="687"/>
      <c r="E747" s="687"/>
      <c r="F747" s="687"/>
      <c r="G747" s="687"/>
      <c r="H747" s="687"/>
      <c r="I747" s="687"/>
      <c r="J747" s="687"/>
      <c r="K747" s="687"/>
      <c r="L747" s="687"/>
      <c r="M747" s="687"/>
      <c r="N747" s="687"/>
      <c r="O747" s="687"/>
      <c r="P747" s="687"/>
      <c r="Q747" s="687"/>
      <c r="R747" s="687"/>
      <c r="S747" s="687"/>
      <c r="T747" s="687"/>
      <c r="U747" s="687"/>
      <c r="V747" s="687"/>
      <c r="W747" s="687"/>
      <c r="X747" s="687"/>
      <c r="Y747" s="687"/>
      <c r="Z747" s="687"/>
    </row>
    <row r="748" spans="1:26" ht="12" customHeight="1">
      <c r="A748" s="687"/>
      <c r="B748" s="687"/>
      <c r="C748" s="687"/>
      <c r="D748" s="687"/>
      <c r="E748" s="687"/>
      <c r="F748" s="687"/>
      <c r="G748" s="687"/>
      <c r="H748" s="687"/>
      <c r="I748" s="687"/>
      <c r="J748" s="687"/>
      <c r="K748" s="687"/>
      <c r="L748" s="687"/>
      <c r="M748" s="687"/>
      <c r="N748" s="687"/>
      <c r="O748" s="687"/>
      <c r="P748" s="687"/>
      <c r="Q748" s="687"/>
      <c r="R748" s="687"/>
      <c r="S748" s="687"/>
      <c r="T748" s="687"/>
      <c r="U748" s="687"/>
      <c r="V748" s="687"/>
      <c r="W748" s="687"/>
      <c r="X748" s="687"/>
      <c r="Y748" s="687"/>
      <c r="Z748" s="687"/>
    </row>
    <row r="749" spans="1:26" ht="12" customHeight="1">
      <c r="A749" s="687"/>
      <c r="B749" s="687"/>
      <c r="C749" s="687"/>
      <c r="D749" s="687"/>
      <c r="E749" s="687"/>
      <c r="F749" s="687"/>
      <c r="G749" s="687"/>
      <c r="H749" s="687"/>
      <c r="I749" s="687"/>
      <c r="J749" s="687"/>
      <c r="K749" s="687"/>
      <c r="L749" s="687"/>
      <c r="M749" s="687"/>
      <c r="N749" s="687"/>
      <c r="O749" s="687"/>
      <c r="P749" s="687"/>
      <c r="Q749" s="687"/>
      <c r="R749" s="687"/>
      <c r="S749" s="687"/>
      <c r="T749" s="687"/>
      <c r="U749" s="687"/>
      <c r="V749" s="687"/>
      <c r="W749" s="687"/>
      <c r="X749" s="687"/>
      <c r="Y749" s="687"/>
      <c r="Z749" s="687"/>
    </row>
    <row r="750" spans="1:26" ht="12" customHeight="1">
      <c r="A750" s="687"/>
      <c r="B750" s="687"/>
      <c r="C750" s="687"/>
      <c r="D750" s="687"/>
      <c r="E750" s="687"/>
      <c r="F750" s="687"/>
      <c r="G750" s="687"/>
      <c r="H750" s="687"/>
      <c r="I750" s="687"/>
      <c r="J750" s="687"/>
      <c r="K750" s="687"/>
      <c r="L750" s="687"/>
      <c r="M750" s="687"/>
      <c r="N750" s="687"/>
      <c r="O750" s="687"/>
      <c r="P750" s="687"/>
      <c r="Q750" s="687"/>
      <c r="R750" s="687"/>
      <c r="S750" s="687"/>
      <c r="T750" s="687"/>
      <c r="U750" s="687"/>
      <c r="V750" s="687"/>
      <c r="W750" s="687"/>
      <c r="X750" s="687"/>
      <c r="Y750" s="687"/>
      <c r="Z750" s="687"/>
    </row>
    <row r="751" spans="1:26" ht="12" customHeight="1">
      <c r="A751" s="687"/>
      <c r="B751" s="687"/>
      <c r="C751" s="687"/>
      <c r="D751" s="687"/>
      <c r="E751" s="687"/>
      <c r="F751" s="687"/>
      <c r="G751" s="687"/>
      <c r="H751" s="687"/>
      <c r="I751" s="687"/>
      <c r="J751" s="687"/>
      <c r="K751" s="687"/>
      <c r="L751" s="687"/>
      <c r="M751" s="687"/>
      <c r="N751" s="687"/>
      <c r="O751" s="687"/>
      <c r="P751" s="687"/>
      <c r="Q751" s="687"/>
      <c r="R751" s="687"/>
      <c r="S751" s="687"/>
      <c r="T751" s="687"/>
      <c r="U751" s="687"/>
      <c r="V751" s="687"/>
      <c r="W751" s="687"/>
      <c r="X751" s="687"/>
      <c r="Y751" s="687"/>
      <c r="Z751" s="687"/>
    </row>
    <row r="752" spans="1:26" ht="12" customHeight="1">
      <c r="A752" s="687"/>
      <c r="B752" s="687"/>
      <c r="C752" s="687"/>
      <c r="D752" s="687"/>
      <c r="E752" s="687"/>
      <c r="F752" s="687"/>
      <c r="G752" s="687"/>
      <c r="H752" s="687"/>
      <c r="I752" s="687"/>
      <c r="J752" s="687"/>
      <c r="K752" s="687"/>
      <c r="L752" s="687"/>
      <c r="M752" s="687"/>
      <c r="N752" s="687"/>
      <c r="O752" s="687"/>
      <c r="P752" s="687"/>
      <c r="Q752" s="687"/>
      <c r="R752" s="687"/>
      <c r="S752" s="687"/>
      <c r="T752" s="687"/>
      <c r="U752" s="687"/>
      <c r="V752" s="687"/>
      <c r="W752" s="687"/>
      <c r="X752" s="687"/>
      <c r="Y752" s="687"/>
      <c r="Z752" s="687"/>
    </row>
    <row r="753" spans="1:26" ht="12" customHeight="1">
      <c r="A753" s="687"/>
      <c r="B753" s="687"/>
      <c r="C753" s="687"/>
      <c r="D753" s="687"/>
      <c r="E753" s="687"/>
      <c r="F753" s="687"/>
      <c r="G753" s="687"/>
      <c r="H753" s="687"/>
      <c r="I753" s="687"/>
      <c r="J753" s="687"/>
      <c r="K753" s="687"/>
      <c r="L753" s="687"/>
      <c r="M753" s="687"/>
      <c r="N753" s="687"/>
      <c r="O753" s="687"/>
      <c r="P753" s="687"/>
      <c r="Q753" s="687"/>
      <c r="R753" s="687"/>
      <c r="S753" s="687"/>
      <c r="T753" s="687"/>
      <c r="U753" s="687"/>
      <c r="V753" s="687"/>
      <c r="W753" s="687"/>
      <c r="X753" s="687"/>
      <c r="Y753" s="687"/>
      <c r="Z753" s="687"/>
    </row>
    <row r="754" spans="1:26" ht="12" customHeight="1">
      <c r="A754" s="687"/>
      <c r="B754" s="687"/>
      <c r="C754" s="687"/>
      <c r="D754" s="687"/>
      <c r="E754" s="687"/>
      <c r="F754" s="687"/>
      <c r="G754" s="687"/>
      <c r="H754" s="687"/>
      <c r="I754" s="687"/>
      <c r="J754" s="687"/>
      <c r="K754" s="687"/>
      <c r="L754" s="687"/>
      <c r="M754" s="687"/>
      <c r="N754" s="687"/>
      <c r="O754" s="687"/>
      <c r="P754" s="687"/>
      <c r="Q754" s="687"/>
      <c r="R754" s="687"/>
      <c r="S754" s="687"/>
      <c r="T754" s="687"/>
      <c r="U754" s="687"/>
      <c r="V754" s="687"/>
      <c r="W754" s="687"/>
      <c r="X754" s="687"/>
      <c r="Y754" s="687"/>
      <c r="Z754" s="687"/>
    </row>
    <row r="755" spans="1:26" ht="12" customHeight="1">
      <c r="A755" s="687"/>
      <c r="B755" s="687"/>
      <c r="C755" s="687"/>
      <c r="D755" s="687"/>
      <c r="E755" s="687"/>
      <c r="F755" s="687"/>
      <c r="G755" s="687"/>
      <c r="H755" s="687"/>
      <c r="I755" s="687"/>
      <c r="J755" s="687"/>
      <c r="K755" s="687"/>
      <c r="L755" s="687"/>
      <c r="M755" s="687"/>
      <c r="N755" s="687"/>
      <c r="O755" s="687"/>
      <c r="P755" s="687"/>
      <c r="Q755" s="687"/>
      <c r="R755" s="687"/>
      <c r="S755" s="687"/>
      <c r="T755" s="687"/>
      <c r="U755" s="687"/>
      <c r="V755" s="687"/>
      <c r="W755" s="687"/>
      <c r="X755" s="687"/>
      <c r="Y755" s="687"/>
      <c r="Z755" s="687"/>
    </row>
    <row r="756" spans="1:26" ht="12" customHeight="1">
      <c r="A756" s="687"/>
      <c r="B756" s="687"/>
      <c r="C756" s="687"/>
      <c r="D756" s="687"/>
      <c r="E756" s="687"/>
      <c r="F756" s="687"/>
      <c r="G756" s="687"/>
      <c r="H756" s="687"/>
      <c r="I756" s="687"/>
      <c r="J756" s="687"/>
      <c r="K756" s="687"/>
      <c r="L756" s="687"/>
      <c r="M756" s="687"/>
      <c r="N756" s="687"/>
      <c r="O756" s="687"/>
      <c r="P756" s="687"/>
      <c r="Q756" s="687"/>
      <c r="R756" s="687"/>
      <c r="S756" s="687"/>
      <c r="T756" s="687"/>
      <c r="U756" s="687"/>
      <c r="V756" s="687"/>
      <c r="W756" s="687"/>
      <c r="X756" s="687"/>
      <c r="Y756" s="687"/>
      <c r="Z756" s="687"/>
    </row>
    <row r="757" spans="1:26" ht="12" customHeight="1">
      <c r="A757" s="687"/>
      <c r="B757" s="687"/>
      <c r="C757" s="687"/>
      <c r="D757" s="687"/>
      <c r="E757" s="687"/>
      <c r="F757" s="687"/>
      <c r="G757" s="687"/>
      <c r="H757" s="687"/>
      <c r="I757" s="687"/>
      <c r="J757" s="687"/>
      <c r="K757" s="687"/>
      <c r="L757" s="687"/>
      <c r="M757" s="687"/>
      <c r="N757" s="687"/>
      <c r="O757" s="687"/>
      <c r="P757" s="687"/>
      <c r="Q757" s="687"/>
      <c r="R757" s="687"/>
      <c r="S757" s="687"/>
      <c r="T757" s="687"/>
      <c r="U757" s="687"/>
      <c r="V757" s="687"/>
      <c r="W757" s="687"/>
      <c r="X757" s="687"/>
      <c r="Y757" s="687"/>
      <c r="Z757" s="687"/>
    </row>
    <row r="758" spans="1:26" ht="12" customHeight="1">
      <c r="A758" s="687"/>
      <c r="B758" s="687"/>
      <c r="C758" s="687"/>
      <c r="D758" s="687"/>
      <c r="E758" s="687"/>
      <c r="F758" s="687"/>
      <c r="G758" s="687"/>
      <c r="H758" s="687"/>
      <c r="I758" s="687"/>
      <c r="J758" s="687"/>
      <c r="K758" s="687"/>
      <c r="L758" s="687"/>
      <c r="M758" s="687"/>
      <c r="N758" s="687"/>
      <c r="O758" s="687"/>
      <c r="P758" s="687"/>
      <c r="Q758" s="687"/>
      <c r="R758" s="687"/>
      <c r="S758" s="687"/>
      <c r="T758" s="687"/>
      <c r="U758" s="687"/>
      <c r="V758" s="687"/>
      <c r="W758" s="687"/>
      <c r="X758" s="687"/>
      <c r="Y758" s="687"/>
      <c r="Z758" s="687"/>
    </row>
    <row r="759" spans="1:26" ht="12" customHeight="1">
      <c r="A759" s="687"/>
      <c r="B759" s="687"/>
      <c r="C759" s="687"/>
      <c r="D759" s="687"/>
      <c r="E759" s="687"/>
      <c r="F759" s="687"/>
      <c r="G759" s="687"/>
      <c r="H759" s="687"/>
      <c r="I759" s="687"/>
      <c r="J759" s="687"/>
      <c r="K759" s="687"/>
      <c r="L759" s="687"/>
      <c r="M759" s="687"/>
      <c r="N759" s="687"/>
      <c r="O759" s="687"/>
      <c r="P759" s="687"/>
      <c r="Q759" s="687"/>
      <c r="R759" s="687"/>
      <c r="S759" s="687"/>
      <c r="T759" s="687"/>
      <c r="U759" s="687"/>
      <c r="V759" s="687"/>
      <c r="W759" s="687"/>
      <c r="X759" s="687"/>
      <c r="Y759" s="687"/>
      <c r="Z759" s="687"/>
    </row>
    <row r="760" spans="1:26" ht="12" customHeight="1">
      <c r="A760" s="687"/>
      <c r="B760" s="687"/>
      <c r="C760" s="687"/>
      <c r="D760" s="687"/>
      <c r="E760" s="687"/>
      <c r="F760" s="687"/>
      <c r="G760" s="687"/>
      <c r="H760" s="687"/>
      <c r="I760" s="687"/>
      <c r="J760" s="687"/>
      <c r="K760" s="687"/>
      <c r="L760" s="687"/>
      <c r="M760" s="687"/>
      <c r="N760" s="687"/>
      <c r="O760" s="687"/>
      <c r="P760" s="687"/>
      <c r="Q760" s="687"/>
      <c r="R760" s="687"/>
      <c r="S760" s="687"/>
      <c r="T760" s="687"/>
      <c r="U760" s="687"/>
      <c r="V760" s="687"/>
      <c r="W760" s="687"/>
      <c r="X760" s="687"/>
      <c r="Y760" s="687"/>
      <c r="Z760" s="687"/>
    </row>
    <row r="761" spans="1:26" ht="12" customHeight="1">
      <c r="A761" s="687"/>
      <c r="B761" s="687"/>
      <c r="C761" s="687"/>
      <c r="D761" s="687"/>
      <c r="E761" s="687"/>
      <c r="F761" s="687"/>
      <c r="G761" s="687"/>
      <c r="H761" s="687"/>
      <c r="I761" s="687"/>
      <c r="J761" s="687"/>
      <c r="K761" s="687"/>
      <c r="L761" s="687"/>
      <c r="M761" s="687"/>
      <c r="N761" s="687"/>
      <c r="O761" s="687"/>
      <c r="P761" s="687"/>
      <c r="Q761" s="687"/>
      <c r="R761" s="687"/>
      <c r="S761" s="687"/>
      <c r="T761" s="687"/>
      <c r="U761" s="687"/>
      <c r="V761" s="687"/>
      <c r="W761" s="687"/>
      <c r="X761" s="687"/>
      <c r="Y761" s="687"/>
      <c r="Z761" s="687"/>
    </row>
    <row r="762" spans="1:26" ht="12" customHeight="1">
      <c r="A762" s="687"/>
      <c r="B762" s="687"/>
      <c r="C762" s="687"/>
      <c r="D762" s="687"/>
      <c r="E762" s="687"/>
      <c r="F762" s="687"/>
      <c r="G762" s="687"/>
      <c r="H762" s="687"/>
      <c r="I762" s="687"/>
      <c r="J762" s="687"/>
      <c r="K762" s="687"/>
      <c r="L762" s="687"/>
      <c r="M762" s="687"/>
      <c r="N762" s="687"/>
      <c r="O762" s="687"/>
      <c r="P762" s="687"/>
      <c r="Q762" s="687"/>
      <c r="R762" s="687"/>
      <c r="S762" s="687"/>
      <c r="T762" s="687"/>
      <c r="U762" s="687"/>
      <c r="V762" s="687"/>
      <c r="W762" s="687"/>
      <c r="X762" s="687"/>
      <c r="Y762" s="687"/>
      <c r="Z762" s="687"/>
    </row>
    <row r="763" spans="1:26" ht="12" customHeight="1">
      <c r="A763" s="687"/>
      <c r="B763" s="687"/>
      <c r="C763" s="687"/>
      <c r="D763" s="687"/>
      <c r="E763" s="687"/>
      <c r="F763" s="687"/>
      <c r="G763" s="687"/>
      <c r="H763" s="687"/>
      <c r="I763" s="687"/>
      <c r="J763" s="687"/>
      <c r="K763" s="687"/>
      <c r="L763" s="687"/>
      <c r="M763" s="687"/>
      <c r="N763" s="687"/>
      <c r="O763" s="687"/>
      <c r="P763" s="687"/>
      <c r="Q763" s="687"/>
      <c r="R763" s="687"/>
      <c r="S763" s="687"/>
      <c r="T763" s="687"/>
      <c r="U763" s="687"/>
      <c r="V763" s="687"/>
      <c r="W763" s="687"/>
      <c r="X763" s="687"/>
      <c r="Y763" s="687"/>
      <c r="Z763" s="687"/>
    </row>
    <row r="764" spans="1:26" ht="12" customHeight="1">
      <c r="A764" s="687"/>
      <c r="B764" s="687"/>
      <c r="C764" s="687"/>
      <c r="D764" s="687"/>
      <c r="E764" s="687"/>
      <c r="F764" s="687"/>
      <c r="G764" s="687"/>
      <c r="H764" s="687"/>
      <c r="I764" s="687"/>
      <c r="J764" s="687"/>
      <c r="K764" s="687"/>
      <c r="L764" s="687"/>
      <c r="M764" s="687"/>
      <c r="N764" s="687"/>
      <c r="O764" s="687"/>
      <c r="P764" s="687"/>
      <c r="Q764" s="687"/>
      <c r="R764" s="687"/>
      <c r="S764" s="687"/>
      <c r="T764" s="687"/>
      <c r="U764" s="687"/>
      <c r="V764" s="687"/>
      <c r="W764" s="687"/>
      <c r="X764" s="687"/>
      <c r="Y764" s="687"/>
      <c r="Z764" s="687"/>
    </row>
    <row r="765" spans="1:26" ht="12" customHeight="1">
      <c r="A765" s="687"/>
      <c r="B765" s="687"/>
      <c r="C765" s="687"/>
      <c r="D765" s="687"/>
      <c r="E765" s="687"/>
      <c r="F765" s="687"/>
      <c r="G765" s="687"/>
      <c r="H765" s="687"/>
      <c r="I765" s="687"/>
      <c r="J765" s="687"/>
      <c r="K765" s="687"/>
      <c r="L765" s="687"/>
      <c r="M765" s="687"/>
      <c r="N765" s="687"/>
      <c r="O765" s="687"/>
      <c r="P765" s="687"/>
      <c r="Q765" s="687"/>
      <c r="R765" s="687"/>
      <c r="S765" s="687"/>
      <c r="T765" s="687"/>
      <c r="U765" s="687"/>
      <c r="V765" s="687"/>
      <c r="W765" s="687"/>
      <c r="X765" s="687"/>
      <c r="Y765" s="687"/>
      <c r="Z765" s="687"/>
    </row>
    <row r="766" spans="1:26" ht="12" customHeight="1">
      <c r="A766" s="687"/>
      <c r="B766" s="687"/>
      <c r="C766" s="687"/>
      <c r="D766" s="687"/>
      <c r="E766" s="687"/>
      <c r="F766" s="687"/>
      <c r="G766" s="687"/>
      <c r="H766" s="687"/>
      <c r="I766" s="687"/>
      <c r="J766" s="687"/>
      <c r="K766" s="687"/>
      <c r="L766" s="687"/>
      <c r="M766" s="687"/>
      <c r="N766" s="687"/>
      <c r="O766" s="687"/>
      <c r="P766" s="687"/>
      <c r="Q766" s="687"/>
      <c r="R766" s="687"/>
      <c r="S766" s="687"/>
      <c r="T766" s="687"/>
      <c r="U766" s="687"/>
      <c r="V766" s="687"/>
      <c r="W766" s="687"/>
      <c r="X766" s="687"/>
      <c r="Y766" s="687"/>
      <c r="Z766" s="687"/>
    </row>
    <row r="767" spans="1:26" ht="12" customHeight="1">
      <c r="A767" s="687"/>
      <c r="B767" s="687"/>
      <c r="C767" s="687"/>
      <c r="D767" s="687"/>
      <c r="E767" s="687"/>
      <c r="F767" s="687"/>
      <c r="G767" s="687"/>
      <c r="H767" s="687"/>
      <c r="I767" s="687"/>
      <c r="J767" s="687"/>
      <c r="K767" s="687"/>
      <c r="L767" s="687"/>
      <c r="M767" s="687"/>
      <c r="N767" s="687"/>
      <c r="O767" s="687"/>
      <c r="P767" s="687"/>
      <c r="Q767" s="687"/>
      <c r="R767" s="687"/>
      <c r="S767" s="687"/>
      <c r="T767" s="687"/>
      <c r="U767" s="687"/>
      <c r="V767" s="687"/>
      <c r="W767" s="687"/>
      <c r="X767" s="687"/>
      <c r="Y767" s="687"/>
      <c r="Z767" s="687"/>
    </row>
    <row r="768" spans="1:26" ht="12" customHeight="1">
      <c r="A768" s="687"/>
      <c r="B768" s="687"/>
      <c r="C768" s="687"/>
      <c r="D768" s="687"/>
      <c r="E768" s="687"/>
      <c r="F768" s="687"/>
      <c r="G768" s="687"/>
      <c r="H768" s="687"/>
      <c r="I768" s="687"/>
      <c r="J768" s="687"/>
      <c r="K768" s="687"/>
      <c r="L768" s="687"/>
      <c r="M768" s="687"/>
      <c r="N768" s="687"/>
      <c r="O768" s="687"/>
      <c r="P768" s="687"/>
      <c r="Q768" s="687"/>
      <c r="R768" s="687"/>
      <c r="S768" s="687"/>
      <c r="T768" s="687"/>
      <c r="U768" s="687"/>
      <c r="V768" s="687"/>
      <c r="W768" s="687"/>
      <c r="X768" s="687"/>
      <c r="Y768" s="687"/>
      <c r="Z768" s="687"/>
    </row>
    <row r="769" spans="1:26" ht="12" customHeight="1">
      <c r="A769" s="687"/>
      <c r="B769" s="687"/>
      <c r="C769" s="687"/>
      <c r="D769" s="687"/>
      <c r="E769" s="687"/>
      <c r="F769" s="687"/>
      <c r="G769" s="687"/>
      <c r="H769" s="687"/>
      <c r="I769" s="687"/>
      <c r="J769" s="687"/>
      <c r="K769" s="687"/>
      <c r="L769" s="687"/>
      <c r="M769" s="687"/>
      <c r="N769" s="687"/>
      <c r="O769" s="687"/>
      <c r="P769" s="687"/>
      <c r="Q769" s="687"/>
      <c r="R769" s="687"/>
      <c r="S769" s="687"/>
      <c r="T769" s="687"/>
      <c r="U769" s="687"/>
      <c r="V769" s="687"/>
      <c r="W769" s="687"/>
      <c r="X769" s="687"/>
      <c r="Y769" s="687"/>
      <c r="Z769" s="687"/>
    </row>
    <row r="770" spans="1:26" ht="12" customHeight="1">
      <c r="A770" s="687"/>
      <c r="B770" s="687"/>
      <c r="C770" s="687"/>
      <c r="D770" s="687"/>
      <c r="E770" s="687"/>
      <c r="F770" s="687"/>
      <c r="G770" s="687"/>
      <c r="H770" s="687"/>
      <c r="I770" s="687"/>
      <c r="J770" s="687"/>
      <c r="K770" s="687"/>
      <c r="L770" s="687"/>
      <c r="M770" s="687"/>
      <c r="N770" s="687"/>
      <c r="O770" s="687"/>
      <c r="P770" s="687"/>
      <c r="Q770" s="687"/>
      <c r="R770" s="687"/>
      <c r="S770" s="687"/>
      <c r="T770" s="687"/>
      <c r="U770" s="687"/>
      <c r="V770" s="687"/>
      <c r="W770" s="687"/>
      <c r="X770" s="687"/>
      <c r="Y770" s="687"/>
      <c r="Z770" s="687"/>
    </row>
    <row r="771" spans="1:26" ht="12" customHeight="1">
      <c r="A771" s="687"/>
      <c r="B771" s="687"/>
      <c r="C771" s="687"/>
      <c r="D771" s="687"/>
      <c r="E771" s="687"/>
      <c r="F771" s="687"/>
      <c r="G771" s="687"/>
      <c r="H771" s="687"/>
      <c r="I771" s="687"/>
      <c r="J771" s="687"/>
      <c r="K771" s="687"/>
      <c r="L771" s="687"/>
      <c r="M771" s="687"/>
      <c r="N771" s="687"/>
      <c r="O771" s="687"/>
      <c r="P771" s="687"/>
      <c r="Q771" s="687"/>
      <c r="R771" s="687"/>
      <c r="S771" s="687"/>
      <c r="T771" s="687"/>
      <c r="U771" s="687"/>
      <c r="V771" s="687"/>
      <c r="W771" s="687"/>
      <c r="X771" s="687"/>
      <c r="Y771" s="687"/>
      <c r="Z771" s="687"/>
    </row>
    <row r="772" spans="1:26" ht="12" customHeight="1">
      <c r="A772" s="687"/>
      <c r="B772" s="687"/>
      <c r="C772" s="687"/>
      <c r="D772" s="687"/>
      <c r="E772" s="687"/>
      <c r="F772" s="687"/>
      <c r="G772" s="687"/>
      <c r="H772" s="687"/>
      <c r="I772" s="687"/>
      <c r="J772" s="687"/>
      <c r="K772" s="687"/>
      <c r="L772" s="687"/>
      <c r="M772" s="687"/>
      <c r="N772" s="687"/>
      <c r="O772" s="687"/>
      <c r="P772" s="687"/>
      <c r="Q772" s="687"/>
      <c r="R772" s="687"/>
      <c r="S772" s="687"/>
      <c r="T772" s="687"/>
      <c r="U772" s="687"/>
      <c r="V772" s="687"/>
      <c r="W772" s="687"/>
      <c r="X772" s="687"/>
      <c r="Y772" s="687"/>
      <c r="Z772" s="687"/>
    </row>
    <row r="773" spans="1:26" ht="12" customHeight="1">
      <c r="A773" s="687"/>
      <c r="B773" s="687"/>
      <c r="C773" s="687"/>
      <c r="D773" s="687"/>
      <c r="E773" s="687"/>
      <c r="F773" s="687"/>
      <c r="G773" s="687"/>
      <c r="H773" s="687"/>
      <c r="I773" s="687"/>
      <c r="J773" s="687"/>
      <c r="K773" s="687"/>
      <c r="L773" s="687"/>
      <c r="M773" s="687"/>
      <c r="N773" s="687"/>
      <c r="O773" s="687"/>
      <c r="P773" s="687"/>
      <c r="Q773" s="687"/>
      <c r="R773" s="687"/>
      <c r="S773" s="687"/>
      <c r="T773" s="687"/>
      <c r="U773" s="687"/>
      <c r="V773" s="687"/>
      <c r="W773" s="687"/>
      <c r="X773" s="687"/>
      <c r="Y773" s="687"/>
      <c r="Z773" s="687"/>
    </row>
    <row r="774" spans="1:26" ht="12" customHeight="1">
      <c r="A774" s="687"/>
      <c r="B774" s="687"/>
      <c r="C774" s="687"/>
      <c r="D774" s="687"/>
      <c r="E774" s="687"/>
      <c r="F774" s="687"/>
      <c r="G774" s="687"/>
      <c r="H774" s="687"/>
      <c r="I774" s="687"/>
      <c r="J774" s="687"/>
      <c r="K774" s="687"/>
      <c r="L774" s="687"/>
      <c r="M774" s="687"/>
      <c r="N774" s="687"/>
      <c r="O774" s="687"/>
      <c r="P774" s="687"/>
      <c r="Q774" s="687"/>
      <c r="R774" s="687"/>
      <c r="S774" s="687"/>
      <c r="T774" s="687"/>
      <c r="U774" s="687"/>
      <c r="V774" s="687"/>
      <c r="W774" s="687"/>
      <c r="X774" s="687"/>
      <c r="Y774" s="687"/>
      <c r="Z774" s="687"/>
    </row>
    <row r="775" spans="1:26" ht="12" customHeight="1">
      <c r="A775" s="687"/>
      <c r="B775" s="687"/>
      <c r="C775" s="687"/>
      <c r="D775" s="687"/>
      <c r="E775" s="687"/>
      <c r="F775" s="687"/>
      <c r="G775" s="687"/>
      <c r="H775" s="687"/>
      <c r="I775" s="687"/>
      <c r="J775" s="687"/>
      <c r="K775" s="687"/>
      <c r="L775" s="687"/>
      <c r="M775" s="687"/>
      <c r="N775" s="687"/>
      <c r="O775" s="687"/>
      <c r="P775" s="687"/>
      <c r="Q775" s="687"/>
      <c r="R775" s="687"/>
      <c r="S775" s="687"/>
      <c r="T775" s="687"/>
      <c r="U775" s="687"/>
      <c r="V775" s="687"/>
      <c r="W775" s="687"/>
      <c r="X775" s="687"/>
      <c r="Y775" s="687"/>
      <c r="Z775" s="687"/>
    </row>
    <row r="776" spans="1:26" ht="12" customHeight="1">
      <c r="A776" s="687"/>
      <c r="B776" s="687"/>
      <c r="C776" s="687"/>
      <c r="D776" s="687"/>
      <c r="E776" s="687"/>
      <c r="F776" s="687"/>
      <c r="G776" s="687"/>
      <c r="H776" s="687"/>
      <c r="I776" s="687"/>
      <c r="J776" s="687"/>
      <c r="K776" s="687"/>
      <c r="L776" s="687"/>
      <c r="M776" s="687"/>
      <c r="N776" s="687"/>
      <c r="O776" s="687"/>
      <c r="P776" s="687"/>
      <c r="Q776" s="687"/>
      <c r="R776" s="687"/>
      <c r="S776" s="687"/>
      <c r="T776" s="687"/>
      <c r="U776" s="687"/>
      <c r="V776" s="687"/>
      <c r="W776" s="687"/>
      <c r="X776" s="687"/>
      <c r="Y776" s="687"/>
      <c r="Z776" s="687"/>
    </row>
    <row r="777" spans="1:26" ht="12" customHeight="1">
      <c r="A777" s="687"/>
      <c r="B777" s="687"/>
      <c r="C777" s="687"/>
      <c r="D777" s="687"/>
      <c r="E777" s="687"/>
      <c r="F777" s="687"/>
      <c r="G777" s="687"/>
      <c r="H777" s="687"/>
      <c r="I777" s="687"/>
      <c r="J777" s="687"/>
      <c r="K777" s="687"/>
      <c r="L777" s="687"/>
      <c r="M777" s="687"/>
      <c r="N777" s="687"/>
      <c r="O777" s="687"/>
      <c r="P777" s="687"/>
      <c r="Q777" s="687"/>
      <c r="R777" s="687"/>
      <c r="S777" s="687"/>
      <c r="T777" s="687"/>
      <c r="U777" s="687"/>
      <c r="V777" s="687"/>
      <c r="W777" s="687"/>
      <c r="X777" s="687"/>
      <c r="Y777" s="687"/>
      <c r="Z777" s="687"/>
    </row>
    <row r="778" spans="1:26" ht="12" customHeight="1">
      <c r="A778" s="687"/>
      <c r="B778" s="687"/>
      <c r="C778" s="687"/>
      <c r="D778" s="687"/>
      <c r="E778" s="687"/>
      <c r="F778" s="687"/>
      <c r="G778" s="687"/>
      <c r="H778" s="687"/>
      <c r="I778" s="687"/>
      <c r="J778" s="687"/>
      <c r="K778" s="687"/>
      <c r="L778" s="687"/>
      <c r="M778" s="687"/>
      <c r="N778" s="687"/>
      <c r="O778" s="687"/>
      <c r="P778" s="687"/>
      <c r="Q778" s="687"/>
      <c r="R778" s="687"/>
      <c r="S778" s="687"/>
      <c r="T778" s="687"/>
      <c r="U778" s="687"/>
      <c r="V778" s="687"/>
      <c r="W778" s="687"/>
      <c r="X778" s="687"/>
      <c r="Y778" s="687"/>
      <c r="Z778" s="687"/>
    </row>
    <row r="779" spans="1:26" ht="12" customHeight="1">
      <c r="A779" s="687"/>
      <c r="B779" s="687"/>
      <c r="C779" s="687"/>
      <c r="D779" s="687"/>
      <c r="E779" s="687"/>
      <c r="F779" s="687"/>
      <c r="G779" s="687"/>
      <c r="H779" s="687"/>
      <c r="I779" s="687"/>
      <c r="J779" s="687"/>
      <c r="K779" s="687"/>
      <c r="L779" s="687"/>
      <c r="M779" s="687"/>
      <c r="N779" s="687"/>
      <c r="O779" s="687"/>
      <c r="P779" s="687"/>
      <c r="Q779" s="687"/>
      <c r="R779" s="687"/>
      <c r="S779" s="687"/>
      <c r="T779" s="687"/>
      <c r="U779" s="687"/>
      <c r="V779" s="687"/>
      <c r="W779" s="687"/>
      <c r="X779" s="687"/>
      <c r="Y779" s="687"/>
      <c r="Z779" s="687"/>
    </row>
    <row r="780" spans="1:26" ht="12" customHeight="1">
      <c r="A780" s="687"/>
      <c r="B780" s="687"/>
      <c r="C780" s="687"/>
      <c r="D780" s="687"/>
      <c r="E780" s="687"/>
      <c r="F780" s="687"/>
      <c r="G780" s="687"/>
      <c r="H780" s="687"/>
      <c r="I780" s="687"/>
      <c r="J780" s="687"/>
      <c r="K780" s="687"/>
      <c r="L780" s="687"/>
      <c r="M780" s="687"/>
      <c r="N780" s="687"/>
      <c r="O780" s="687"/>
      <c r="P780" s="687"/>
      <c r="Q780" s="687"/>
      <c r="R780" s="687"/>
      <c r="S780" s="687"/>
      <c r="T780" s="687"/>
      <c r="U780" s="687"/>
      <c r="V780" s="687"/>
      <c r="W780" s="687"/>
      <c r="X780" s="687"/>
      <c r="Y780" s="687"/>
      <c r="Z780" s="687"/>
    </row>
    <row r="781" spans="1:26" ht="12" customHeight="1">
      <c r="A781" s="687"/>
      <c r="B781" s="687"/>
      <c r="C781" s="687"/>
      <c r="D781" s="687"/>
      <c r="E781" s="687"/>
      <c r="F781" s="687"/>
      <c r="G781" s="687"/>
      <c r="H781" s="687"/>
      <c r="I781" s="687"/>
      <c r="J781" s="687"/>
      <c r="K781" s="687"/>
      <c r="L781" s="687"/>
      <c r="M781" s="687"/>
      <c r="N781" s="687"/>
      <c r="O781" s="687"/>
      <c r="P781" s="687"/>
      <c r="Q781" s="687"/>
      <c r="R781" s="687"/>
      <c r="S781" s="687"/>
      <c r="T781" s="687"/>
      <c r="U781" s="687"/>
      <c r="V781" s="687"/>
      <c r="W781" s="687"/>
      <c r="X781" s="687"/>
      <c r="Y781" s="687"/>
      <c r="Z781" s="687"/>
    </row>
    <row r="782" spans="1:26" ht="12" customHeight="1">
      <c r="A782" s="687"/>
      <c r="B782" s="687"/>
      <c r="C782" s="687"/>
      <c r="D782" s="687"/>
      <c r="E782" s="687"/>
      <c r="F782" s="687"/>
      <c r="G782" s="687"/>
      <c r="H782" s="687"/>
      <c r="I782" s="687"/>
      <c r="J782" s="687"/>
      <c r="K782" s="687"/>
      <c r="L782" s="687"/>
      <c r="M782" s="687"/>
      <c r="N782" s="687"/>
      <c r="O782" s="687"/>
      <c r="P782" s="687"/>
      <c r="Q782" s="687"/>
      <c r="R782" s="687"/>
      <c r="S782" s="687"/>
      <c r="T782" s="687"/>
      <c r="U782" s="687"/>
      <c r="V782" s="687"/>
      <c r="W782" s="687"/>
      <c r="X782" s="687"/>
      <c r="Y782" s="687"/>
      <c r="Z782" s="687"/>
    </row>
    <row r="783" spans="1:26" ht="12" customHeight="1">
      <c r="A783" s="687"/>
      <c r="B783" s="687"/>
      <c r="C783" s="687"/>
      <c r="D783" s="687"/>
      <c r="E783" s="687"/>
      <c r="F783" s="687"/>
      <c r="G783" s="687"/>
      <c r="H783" s="687"/>
      <c r="I783" s="687"/>
      <c r="J783" s="687"/>
      <c r="K783" s="687"/>
      <c r="L783" s="687"/>
      <c r="M783" s="687"/>
      <c r="N783" s="687"/>
      <c r="O783" s="687"/>
      <c r="P783" s="687"/>
      <c r="Q783" s="687"/>
      <c r="R783" s="687"/>
      <c r="S783" s="687"/>
      <c r="T783" s="687"/>
      <c r="U783" s="687"/>
      <c r="V783" s="687"/>
      <c r="W783" s="687"/>
      <c r="X783" s="687"/>
      <c r="Y783" s="687"/>
      <c r="Z783" s="687"/>
    </row>
    <row r="784" spans="1:26" ht="12" customHeight="1">
      <c r="A784" s="687"/>
      <c r="B784" s="687"/>
      <c r="C784" s="687"/>
      <c r="D784" s="687"/>
      <c r="E784" s="687"/>
      <c r="F784" s="687"/>
      <c r="G784" s="687"/>
      <c r="H784" s="687"/>
      <c r="I784" s="687"/>
      <c r="J784" s="687"/>
      <c r="K784" s="687"/>
      <c r="L784" s="687"/>
      <c r="M784" s="687"/>
      <c r="N784" s="687"/>
      <c r="O784" s="687"/>
      <c r="P784" s="687"/>
      <c r="Q784" s="687"/>
      <c r="R784" s="687"/>
      <c r="S784" s="687"/>
      <c r="T784" s="687"/>
      <c r="U784" s="687"/>
      <c r="V784" s="687"/>
      <c r="W784" s="687"/>
      <c r="X784" s="687"/>
      <c r="Y784" s="687"/>
      <c r="Z784" s="687"/>
    </row>
    <row r="785" spans="1:26" ht="12" customHeight="1">
      <c r="A785" s="687"/>
      <c r="B785" s="687"/>
      <c r="C785" s="687"/>
      <c r="D785" s="687"/>
      <c r="E785" s="687"/>
      <c r="F785" s="687"/>
      <c r="G785" s="687"/>
      <c r="H785" s="687"/>
      <c r="I785" s="687"/>
      <c r="J785" s="687"/>
      <c r="K785" s="687"/>
      <c r="L785" s="687"/>
      <c r="M785" s="687"/>
      <c r="N785" s="687"/>
      <c r="O785" s="687"/>
      <c r="P785" s="687"/>
      <c r="Q785" s="687"/>
      <c r="R785" s="687"/>
      <c r="S785" s="687"/>
      <c r="T785" s="687"/>
      <c r="U785" s="687"/>
      <c r="V785" s="687"/>
      <c r="W785" s="687"/>
      <c r="X785" s="687"/>
      <c r="Y785" s="687"/>
      <c r="Z785" s="687"/>
    </row>
    <row r="786" spans="1:26" ht="12" customHeight="1">
      <c r="A786" s="687"/>
      <c r="B786" s="687"/>
      <c r="C786" s="687"/>
      <c r="D786" s="687"/>
      <c r="E786" s="687"/>
      <c r="F786" s="687"/>
      <c r="G786" s="687"/>
      <c r="H786" s="687"/>
      <c r="I786" s="687"/>
      <c r="J786" s="687"/>
      <c r="K786" s="687"/>
      <c r="L786" s="687"/>
      <c r="M786" s="687"/>
      <c r="N786" s="687"/>
      <c r="O786" s="687"/>
      <c r="P786" s="687"/>
      <c r="Q786" s="687"/>
      <c r="R786" s="687"/>
      <c r="S786" s="687"/>
      <c r="T786" s="687"/>
      <c r="U786" s="687"/>
      <c r="V786" s="687"/>
      <c r="W786" s="687"/>
      <c r="X786" s="687"/>
      <c r="Y786" s="687"/>
      <c r="Z786" s="687"/>
    </row>
    <row r="787" spans="1:26" ht="12" customHeight="1">
      <c r="A787" s="687"/>
      <c r="B787" s="687"/>
      <c r="C787" s="687"/>
      <c r="D787" s="687"/>
      <c r="E787" s="687"/>
      <c r="F787" s="687"/>
      <c r="G787" s="687"/>
      <c r="H787" s="687"/>
      <c r="I787" s="687"/>
      <c r="J787" s="687"/>
      <c r="K787" s="687"/>
      <c r="L787" s="687"/>
      <c r="M787" s="687"/>
      <c r="N787" s="687"/>
      <c r="O787" s="687"/>
      <c r="P787" s="687"/>
      <c r="Q787" s="687"/>
      <c r="R787" s="687"/>
      <c r="S787" s="687"/>
      <c r="T787" s="687"/>
      <c r="U787" s="687"/>
      <c r="V787" s="687"/>
      <c r="W787" s="687"/>
      <c r="X787" s="687"/>
      <c r="Y787" s="687"/>
      <c r="Z787" s="687"/>
    </row>
    <row r="788" spans="1:26" ht="12" customHeight="1">
      <c r="A788" s="687"/>
      <c r="B788" s="687"/>
      <c r="C788" s="687"/>
      <c r="D788" s="687"/>
      <c r="E788" s="687"/>
      <c r="F788" s="687"/>
      <c r="G788" s="687"/>
      <c r="H788" s="687"/>
      <c r="I788" s="687"/>
      <c r="J788" s="687"/>
      <c r="K788" s="687"/>
      <c r="L788" s="687"/>
      <c r="M788" s="687"/>
      <c r="N788" s="687"/>
      <c r="O788" s="687"/>
      <c r="P788" s="687"/>
      <c r="Q788" s="687"/>
      <c r="R788" s="687"/>
      <c r="S788" s="687"/>
      <c r="T788" s="687"/>
      <c r="U788" s="687"/>
      <c r="V788" s="687"/>
      <c r="W788" s="687"/>
      <c r="X788" s="687"/>
      <c r="Y788" s="687"/>
      <c r="Z788" s="687"/>
    </row>
    <row r="789" spans="1:26" ht="12" customHeight="1">
      <c r="A789" s="687"/>
      <c r="B789" s="687"/>
      <c r="C789" s="687"/>
      <c r="D789" s="687"/>
      <c r="E789" s="687"/>
      <c r="F789" s="687"/>
      <c r="G789" s="687"/>
      <c r="H789" s="687"/>
      <c r="I789" s="687"/>
      <c r="J789" s="687"/>
      <c r="K789" s="687"/>
      <c r="L789" s="687"/>
      <c r="M789" s="687"/>
      <c r="N789" s="687"/>
      <c r="O789" s="687"/>
      <c r="P789" s="687"/>
      <c r="Q789" s="687"/>
      <c r="R789" s="687"/>
      <c r="S789" s="687"/>
      <c r="T789" s="687"/>
      <c r="U789" s="687"/>
      <c r="V789" s="687"/>
      <c r="W789" s="687"/>
      <c r="X789" s="687"/>
      <c r="Y789" s="687"/>
      <c r="Z789" s="687"/>
    </row>
    <row r="790" spans="1:26" ht="12" customHeight="1">
      <c r="A790" s="687"/>
      <c r="B790" s="687"/>
      <c r="C790" s="687"/>
      <c r="D790" s="687"/>
      <c r="E790" s="687"/>
      <c r="F790" s="687"/>
      <c r="G790" s="687"/>
      <c r="H790" s="687"/>
      <c r="I790" s="687"/>
      <c r="J790" s="687"/>
      <c r="K790" s="687"/>
      <c r="L790" s="687"/>
      <c r="M790" s="687"/>
      <c r="N790" s="687"/>
      <c r="O790" s="687"/>
      <c r="P790" s="687"/>
      <c r="Q790" s="687"/>
      <c r="R790" s="687"/>
      <c r="S790" s="687"/>
      <c r="T790" s="687"/>
      <c r="U790" s="687"/>
      <c r="V790" s="687"/>
      <c r="W790" s="687"/>
      <c r="X790" s="687"/>
      <c r="Y790" s="687"/>
      <c r="Z790" s="687"/>
    </row>
    <row r="791" spans="1:26" ht="12" customHeight="1">
      <c r="A791" s="687"/>
      <c r="B791" s="687"/>
      <c r="C791" s="687"/>
      <c r="D791" s="687"/>
      <c r="E791" s="687"/>
      <c r="F791" s="687"/>
      <c r="G791" s="687"/>
      <c r="H791" s="687"/>
      <c r="I791" s="687"/>
      <c r="J791" s="687"/>
      <c r="K791" s="687"/>
      <c r="L791" s="687"/>
      <c r="M791" s="687"/>
      <c r="N791" s="687"/>
      <c r="O791" s="687"/>
      <c r="P791" s="687"/>
      <c r="Q791" s="687"/>
      <c r="R791" s="687"/>
      <c r="S791" s="687"/>
      <c r="T791" s="687"/>
      <c r="U791" s="687"/>
      <c r="V791" s="687"/>
      <c r="W791" s="687"/>
      <c r="X791" s="687"/>
      <c r="Y791" s="687"/>
      <c r="Z791" s="687"/>
    </row>
    <row r="792" spans="1:26" ht="12" customHeight="1">
      <c r="A792" s="687"/>
      <c r="B792" s="687"/>
      <c r="C792" s="687"/>
      <c r="D792" s="687"/>
      <c r="E792" s="687"/>
      <c r="F792" s="687"/>
      <c r="G792" s="687"/>
      <c r="H792" s="687"/>
      <c r="I792" s="687"/>
      <c r="J792" s="687"/>
      <c r="K792" s="687"/>
      <c r="L792" s="687"/>
      <c r="M792" s="687"/>
      <c r="N792" s="687"/>
      <c r="O792" s="687"/>
      <c r="P792" s="687"/>
      <c r="Q792" s="687"/>
      <c r="R792" s="687"/>
      <c r="S792" s="687"/>
      <c r="T792" s="687"/>
      <c r="U792" s="687"/>
      <c r="V792" s="687"/>
      <c r="W792" s="687"/>
      <c r="X792" s="687"/>
      <c r="Y792" s="687"/>
      <c r="Z792" s="687"/>
    </row>
    <row r="793" spans="1:26" ht="12" customHeight="1">
      <c r="A793" s="687"/>
      <c r="B793" s="687"/>
      <c r="C793" s="687"/>
      <c r="D793" s="687"/>
      <c r="E793" s="687"/>
      <c r="F793" s="687"/>
      <c r="G793" s="687"/>
      <c r="H793" s="687"/>
      <c r="I793" s="687"/>
      <c r="J793" s="687"/>
      <c r="K793" s="687"/>
      <c r="L793" s="687"/>
      <c r="M793" s="687"/>
      <c r="N793" s="687"/>
      <c r="O793" s="687"/>
      <c r="P793" s="687"/>
      <c r="Q793" s="687"/>
      <c r="R793" s="687"/>
      <c r="S793" s="687"/>
      <c r="T793" s="687"/>
      <c r="U793" s="687"/>
      <c r="V793" s="687"/>
      <c r="W793" s="687"/>
      <c r="X793" s="687"/>
      <c r="Y793" s="687"/>
      <c r="Z793" s="687"/>
    </row>
    <row r="794" spans="1:26" ht="12" customHeight="1">
      <c r="A794" s="687"/>
      <c r="B794" s="687"/>
      <c r="C794" s="687"/>
      <c r="D794" s="687"/>
      <c r="E794" s="687"/>
      <c r="F794" s="687"/>
      <c r="G794" s="687"/>
      <c r="H794" s="687"/>
      <c r="I794" s="687"/>
      <c r="J794" s="687"/>
      <c r="K794" s="687"/>
      <c r="L794" s="687"/>
      <c r="M794" s="687"/>
      <c r="N794" s="687"/>
      <c r="O794" s="687"/>
      <c r="P794" s="687"/>
      <c r="Q794" s="687"/>
      <c r="R794" s="687"/>
      <c r="S794" s="687"/>
      <c r="T794" s="687"/>
      <c r="U794" s="687"/>
      <c r="V794" s="687"/>
      <c r="W794" s="687"/>
      <c r="X794" s="687"/>
      <c r="Y794" s="687"/>
      <c r="Z794" s="687"/>
    </row>
    <row r="795" spans="1:26" ht="12" customHeight="1">
      <c r="A795" s="687"/>
      <c r="B795" s="687"/>
      <c r="C795" s="687"/>
      <c r="D795" s="687"/>
      <c r="E795" s="687"/>
      <c r="F795" s="687"/>
      <c r="G795" s="687"/>
      <c r="H795" s="687"/>
      <c r="I795" s="687"/>
      <c r="J795" s="687"/>
      <c r="K795" s="687"/>
      <c r="L795" s="687"/>
      <c r="M795" s="687"/>
      <c r="N795" s="687"/>
      <c r="O795" s="687"/>
      <c r="P795" s="687"/>
      <c r="Q795" s="687"/>
      <c r="R795" s="687"/>
      <c r="S795" s="687"/>
      <c r="T795" s="687"/>
      <c r="U795" s="687"/>
      <c r="V795" s="687"/>
      <c r="W795" s="687"/>
      <c r="X795" s="687"/>
      <c r="Y795" s="687"/>
      <c r="Z795" s="687"/>
    </row>
    <row r="796" spans="1:26" ht="12" customHeight="1">
      <c r="A796" s="687"/>
      <c r="B796" s="687"/>
      <c r="C796" s="687"/>
      <c r="D796" s="687"/>
      <c r="E796" s="687"/>
      <c r="F796" s="687"/>
      <c r="G796" s="687"/>
      <c r="H796" s="687"/>
      <c r="I796" s="687"/>
      <c r="J796" s="687"/>
      <c r="K796" s="687"/>
      <c r="L796" s="687"/>
      <c r="M796" s="687"/>
      <c r="N796" s="687"/>
      <c r="O796" s="687"/>
      <c r="P796" s="687"/>
      <c r="Q796" s="687"/>
      <c r="R796" s="687"/>
      <c r="S796" s="687"/>
      <c r="T796" s="687"/>
      <c r="U796" s="687"/>
      <c r="V796" s="687"/>
      <c r="W796" s="687"/>
      <c r="X796" s="687"/>
      <c r="Y796" s="687"/>
      <c r="Z796" s="687"/>
    </row>
    <row r="797" spans="1:26" ht="12" customHeight="1">
      <c r="A797" s="687"/>
      <c r="B797" s="687"/>
      <c r="C797" s="687"/>
      <c r="D797" s="687"/>
      <c r="E797" s="687"/>
      <c r="F797" s="687"/>
      <c r="G797" s="687"/>
      <c r="H797" s="687"/>
      <c r="I797" s="687"/>
      <c r="J797" s="687"/>
      <c r="K797" s="687"/>
      <c r="L797" s="687"/>
      <c r="M797" s="687"/>
      <c r="N797" s="687"/>
      <c r="O797" s="687"/>
      <c r="P797" s="687"/>
      <c r="Q797" s="687"/>
      <c r="R797" s="687"/>
      <c r="S797" s="687"/>
      <c r="T797" s="687"/>
      <c r="U797" s="687"/>
      <c r="V797" s="687"/>
      <c r="W797" s="687"/>
      <c r="X797" s="687"/>
      <c r="Y797" s="687"/>
      <c r="Z797" s="687"/>
    </row>
    <row r="798" spans="1:26" ht="12" customHeight="1">
      <c r="A798" s="687"/>
      <c r="B798" s="687"/>
      <c r="C798" s="687"/>
      <c r="D798" s="687"/>
      <c r="E798" s="687"/>
      <c r="F798" s="687"/>
      <c r="G798" s="687"/>
      <c r="H798" s="687"/>
      <c r="I798" s="687"/>
      <c r="J798" s="687"/>
      <c r="K798" s="687"/>
      <c r="L798" s="687"/>
      <c r="M798" s="687"/>
      <c r="N798" s="687"/>
      <c r="O798" s="687"/>
      <c r="P798" s="687"/>
      <c r="Q798" s="687"/>
      <c r="R798" s="687"/>
      <c r="S798" s="687"/>
      <c r="T798" s="687"/>
      <c r="U798" s="687"/>
      <c r="V798" s="687"/>
      <c r="W798" s="687"/>
      <c r="X798" s="687"/>
      <c r="Y798" s="687"/>
      <c r="Z798" s="687"/>
    </row>
    <row r="799" spans="1:26" ht="12" customHeight="1">
      <c r="A799" s="687"/>
      <c r="B799" s="687"/>
      <c r="C799" s="687"/>
      <c r="D799" s="687"/>
      <c r="E799" s="687"/>
      <c r="F799" s="687"/>
      <c r="G799" s="687"/>
      <c r="H799" s="687"/>
      <c r="I799" s="687"/>
      <c r="J799" s="687"/>
      <c r="K799" s="687"/>
      <c r="L799" s="687"/>
      <c r="M799" s="687"/>
      <c r="N799" s="687"/>
      <c r="O799" s="687"/>
      <c r="P799" s="687"/>
      <c r="Q799" s="687"/>
      <c r="R799" s="687"/>
      <c r="S799" s="687"/>
      <c r="T799" s="687"/>
      <c r="U799" s="687"/>
      <c r="V799" s="687"/>
      <c r="W799" s="687"/>
      <c r="X799" s="687"/>
      <c r="Y799" s="687"/>
      <c r="Z799" s="687"/>
    </row>
    <row r="800" spans="1:26" ht="12" customHeight="1">
      <c r="A800" s="687"/>
      <c r="B800" s="687"/>
      <c r="C800" s="687"/>
      <c r="D800" s="687"/>
      <c r="E800" s="687"/>
      <c r="F800" s="687"/>
      <c r="G800" s="687"/>
      <c r="H800" s="687"/>
      <c r="I800" s="687"/>
      <c r="J800" s="687"/>
      <c r="K800" s="687"/>
      <c r="L800" s="687"/>
      <c r="M800" s="687"/>
      <c r="N800" s="687"/>
      <c r="O800" s="687"/>
      <c r="P800" s="687"/>
      <c r="Q800" s="687"/>
      <c r="R800" s="687"/>
      <c r="S800" s="687"/>
      <c r="T800" s="687"/>
      <c r="U800" s="687"/>
      <c r="V800" s="687"/>
      <c r="W800" s="687"/>
      <c r="X800" s="687"/>
      <c r="Y800" s="687"/>
      <c r="Z800" s="687"/>
    </row>
    <row r="801" spans="1:26" ht="12" customHeight="1">
      <c r="A801" s="687"/>
      <c r="B801" s="687"/>
      <c r="C801" s="687"/>
      <c r="D801" s="687"/>
      <c r="E801" s="687"/>
      <c r="F801" s="687"/>
      <c r="G801" s="687"/>
      <c r="H801" s="687"/>
      <c r="I801" s="687"/>
      <c r="J801" s="687"/>
      <c r="K801" s="687"/>
      <c r="L801" s="687"/>
      <c r="M801" s="687"/>
      <c r="N801" s="687"/>
      <c r="O801" s="687"/>
      <c r="P801" s="687"/>
      <c r="Q801" s="687"/>
      <c r="R801" s="687"/>
      <c r="S801" s="687"/>
      <c r="T801" s="687"/>
      <c r="U801" s="687"/>
      <c r="V801" s="687"/>
      <c r="W801" s="687"/>
      <c r="X801" s="687"/>
      <c r="Y801" s="687"/>
      <c r="Z801" s="687"/>
    </row>
    <row r="802" spans="1:26" ht="12" customHeight="1">
      <c r="A802" s="687"/>
      <c r="B802" s="687"/>
      <c r="C802" s="687"/>
      <c r="D802" s="687"/>
      <c r="E802" s="687"/>
      <c r="F802" s="687"/>
      <c r="G802" s="687"/>
      <c r="H802" s="687"/>
      <c r="I802" s="687"/>
      <c r="J802" s="687"/>
      <c r="K802" s="687"/>
      <c r="L802" s="687"/>
      <c r="M802" s="687"/>
      <c r="N802" s="687"/>
      <c r="O802" s="687"/>
      <c r="P802" s="687"/>
      <c r="Q802" s="687"/>
      <c r="R802" s="687"/>
      <c r="S802" s="687"/>
      <c r="T802" s="687"/>
      <c r="U802" s="687"/>
      <c r="V802" s="687"/>
      <c r="W802" s="687"/>
      <c r="X802" s="687"/>
      <c r="Y802" s="687"/>
      <c r="Z802" s="687"/>
    </row>
    <row r="803" spans="1:26" ht="12" customHeight="1">
      <c r="A803" s="687"/>
      <c r="B803" s="687"/>
      <c r="C803" s="687"/>
      <c r="D803" s="687"/>
      <c r="E803" s="687"/>
      <c r="F803" s="687"/>
      <c r="G803" s="687"/>
      <c r="H803" s="687"/>
      <c r="I803" s="687"/>
      <c r="J803" s="687"/>
      <c r="K803" s="687"/>
      <c r="L803" s="687"/>
      <c r="M803" s="687"/>
      <c r="N803" s="687"/>
      <c r="O803" s="687"/>
      <c r="P803" s="687"/>
      <c r="Q803" s="687"/>
      <c r="R803" s="687"/>
      <c r="S803" s="687"/>
      <c r="T803" s="687"/>
      <c r="U803" s="687"/>
      <c r="V803" s="687"/>
      <c r="W803" s="687"/>
      <c r="X803" s="687"/>
      <c r="Y803" s="687"/>
      <c r="Z803" s="687"/>
    </row>
    <row r="804" spans="1:26" ht="12" customHeight="1">
      <c r="A804" s="687"/>
      <c r="B804" s="687"/>
      <c r="C804" s="687"/>
      <c r="D804" s="687"/>
      <c r="E804" s="687"/>
      <c r="F804" s="687"/>
      <c r="G804" s="687"/>
      <c r="H804" s="687"/>
      <c r="I804" s="687"/>
      <c r="J804" s="687"/>
      <c r="K804" s="687"/>
      <c r="L804" s="687"/>
      <c r="M804" s="687"/>
      <c r="N804" s="687"/>
      <c r="O804" s="687"/>
      <c r="P804" s="687"/>
      <c r="Q804" s="687"/>
      <c r="R804" s="687"/>
      <c r="S804" s="687"/>
      <c r="T804" s="687"/>
      <c r="U804" s="687"/>
      <c r="V804" s="687"/>
      <c r="W804" s="687"/>
      <c r="X804" s="687"/>
      <c r="Y804" s="687"/>
      <c r="Z804" s="687"/>
    </row>
    <row r="805" spans="1:26" ht="12" customHeight="1">
      <c r="A805" s="687"/>
      <c r="B805" s="687"/>
      <c r="C805" s="687"/>
      <c r="D805" s="687"/>
      <c r="E805" s="687"/>
      <c r="F805" s="687"/>
      <c r="G805" s="687"/>
      <c r="H805" s="687"/>
      <c r="I805" s="687"/>
      <c r="J805" s="687"/>
      <c r="K805" s="687"/>
      <c r="L805" s="687"/>
      <c r="M805" s="687"/>
      <c r="N805" s="687"/>
      <c r="O805" s="687"/>
      <c r="P805" s="687"/>
      <c r="Q805" s="687"/>
      <c r="R805" s="687"/>
      <c r="S805" s="687"/>
      <c r="T805" s="687"/>
      <c r="U805" s="687"/>
      <c r="V805" s="687"/>
      <c r="W805" s="687"/>
      <c r="X805" s="687"/>
      <c r="Y805" s="687"/>
      <c r="Z805" s="687"/>
    </row>
    <row r="806" spans="1:26" ht="12" customHeight="1">
      <c r="A806" s="687"/>
      <c r="B806" s="687"/>
      <c r="C806" s="687"/>
      <c r="D806" s="687"/>
      <c r="E806" s="687"/>
      <c r="F806" s="687"/>
      <c r="G806" s="687"/>
      <c r="H806" s="687"/>
      <c r="I806" s="687"/>
      <c r="J806" s="687"/>
      <c r="K806" s="687"/>
      <c r="L806" s="687"/>
      <c r="M806" s="687"/>
      <c r="N806" s="687"/>
      <c r="O806" s="687"/>
      <c r="P806" s="687"/>
      <c r="Q806" s="687"/>
      <c r="R806" s="687"/>
      <c r="S806" s="687"/>
      <c r="T806" s="687"/>
      <c r="U806" s="687"/>
      <c r="V806" s="687"/>
      <c r="W806" s="687"/>
      <c r="X806" s="687"/>
      <c r="Y806" s="687"/>
      <c r="Z806" s="687"/>
    </row>
    <row r="807" spans="1:26" ht="12" customHeight="1">
      <c r="A807" s="687"/>
      <c r="B807" s="687"/>
      <c r="C807" s="687"/>
      <c r="D807" s="687"/>
      <c r="E807" s="687"/>
      <c r="F807" s="687"/>
      <c r="G807" s="687"/>
      <c r="H807" s="687"/>
      <c r="I807" s="687"/>
      <c r="J807" s="687"/>
      <c r="K807" s="687"/>
      <c r="L807" s="687"/>
      <c r="M807" s="687"/>
      <c r="N807" s="687"/>
      <c r="O807" s="687"/>
      <c r="P807" s="687"/>
      <c r="Q807" s="687"/>
      <c r="R807" s="687"/>
      <c r="S807" s="687"/>
      <c r="T807" s="687"/>
      <c r="U807" s="687"/>
      <c r="V807" s="687"/>
      <c r="W807" s="687"/>
      <c r="X807" s="687"/>
      <c r="Y807" s="687"/>
      <c r="Z807" s="687"/>
    </row>
    <row r="808" spans="1:26" ht="12" customHeight="1">
      <c r="A808" s="687"/>
      <c r="B808" s="687"/>
      <c r="C808" s="687"/>
      <c r="D808" s="687"/>
      <c r="E808" s="687"/>
      <c r="F808" s="687"/>
      <c r="G808" s="687"/>
      <c r="H808" s="687"/>
      <c r="I808" s="687"/>
      <c r="J808" s="687"/>
      <c r="K808" s="687"/>
      <c r="L808" s="687"/>
      <c r="M808" s="687"/>
      <c r="N808" s="687"/>
      <c r="O808" s="687"/>
      <c r="P808" s="687"/>
      <c r="Q808" s="687"/>
      <c r="R808" s="687"/>
      <c r="S808" s="687"/>
      <c r="T808" s="687"/>
      <c r="U808" s="687"/>
      <c r="V808" s="687"/>
      <c r="W808" s="687"/>
      <c r="X808" s="687"/>
      <c r="Y808" s="687"/>
      <c r="Z808" s="687"/>
    </row>
    <row r="809" spans="1:26" ht="12" customHeight="1">
      <c r="A809" s="687"/>
      <c r="B809" s="687"/>
      <c r="C809" s="687"/>
      <c r="D809" s="687"/>
      <c r="E809" s="687"/>
      <c r="F809" s="687"/>
      <c r="G809" s="687"/>
      <c r="H809" s="687"/>
      <c r="I809" s="687"/>
      <c r="J809" s="687"/>
      <c r="K809" s="687"/>
      <c r="L809" s="687"/>
      <c r="M809" s="687"/>
      <c r="N809" s="687"/>
      <c r="O809" s="687"/>
      <c r="P809" s="687"/>
      <c r="Q809" s="687"/>
      <c r="R809" s="687"/>
      <c r="S809" s="687"/>
      <c r="T809" s="687"/>
      <c r="U809" s="687"/>
      <c r="V809" s="687"/>
      <c r="W809" s="687"/>
      <c r="X809" s="687"/>
      <c r="Y809" s="687"/>
      <c r="Z809" s="687"/>
    </row>
    <row r="810" spans="1:26" ht="12" customHeight="1">
      <c r="A810" s="687"/>
      <c r="B810" s="687"/>
      <c r="C810" s="687"/>
      <c r="D810" s="687"/>
      <c r="E810" s="687"/>
      <c r="F810" s="687"/>
      <c r="G810" s="687"/>
      <c r="H810" s="687"/>
      <c r="I810" s="687"/>
      <c r="J810" s="687"/>
      <c r="K810" s="687"/>
      <c r="L810" s="687"/>
      <c r="M810" s="687"/>
      <c r="N810" s="687"/>
      <c r="O810" s="687"/>
      <c r="P810" s="687"/>
      <c r="Q810" s="687"/>
      <c r="R810" s="687"/>
      <c r="S810" s="687"/>
      <c r="T810" s="687"/>
      <c r="U810" s="687"/>
      <c r="V810" s="687"/>
      <c r="W810" s="687"/>
      <c r="X810" s="687"/>
      <c r="Y810" s="687"/>
      <c r="Z810" s="687"/>
    </row>
    <row r="811" spans="1:26" ht="12" customHeight="1">
      <c r="A811" s="687"/>
      <c r="B811" s="687"/>
      <c r="C811" s="687"/>
      <c r="D811" s="687"/>
      <c r="E811" s="687"/>
      <c r="F811" s="687"/>
      <c r="G811" s="687"/>
      <c r="H811" s="687"/>
      <c r="I811" s="687"/>
      <c r="J811" s="687"/>
      <c r="K811" s="687"/>
      <c r="L811" s="687"/>
      <c r="M811" s="687"/>
      <c r="N811" s="687"/>
      <c r="O811" s="687"/>
      <c r="P811" s="687"/>
      <c r="Q811" s="687"/>
      <c r="R811" s="687"/>
      <c r="S811" s="687"/>
      <c r="T811" s="687"/>
      <c r="U811" s="687"/>
      <c r="V811" s="687"/>
      <c r="W811" s="687"/>
      <c r="X811" s="687"/>
      <c r="Y811" s="687"/>
      <c r="Z811" s="687"/>
    </row>
    <row r="812" spans="1:26" ht="12" customHeight="1">
      <c r="A812" s="687"/>
      <c r="B812" s="687"/>
      <c r="C812" s="687"/>
      <c r="D812" s="687"/>
      <c r="E812" s="687"/>
      <c r="F812" s="687"/>
      <c r="G812" s="687"/>
      <c r="H812" s="687"/>
      <c r="I812" s="687"/>
      <c r="J812" s="687"/>
      <c r="K812" s="687"/>
      <c r="L812" s="687"/>
      <c r="M812" s="687"/>
      <c r="N812" s="687"/>
      <c r="O812" s="687"/>
      <c r="P812" s="687"/>
      <c r="Q812" s="687"/>
      <c r="R812" s="687"/>
      <c r="S812" s="687"/>
      <c r="T812" s="687"/>
      <c r="U812" s="687"/>
      <c r="V812" s="687"/>
      <c r="W812" s="687"/>
      <c r="X812" s="687"/>
      <c r="Y812" s="687"/>
      <c r="Z812" s="687"/>
    </row>
    <row r="813" spans="1:26" ht="12" customHeight="1">
      <c r="A813" s="687"/>
      <c r="B813" s="687"/>
      <c r="C813" s="687"/>
      <c r="D813" s="687"/>
      <c r="E813" s="687"/>
      <c r="F813" s="687"/>
      <c r="G813" s="687"/>
      <c r="H813" s="687"/>
      <c r="I813" s="687"/>
      <c r="J813" s="687"/>
      <c r="K813" s="687"/>
      <c r="L813" s="687"/>
      <c r="M813" s="687"/>
      <c r="N813" s="687"/>
      <c r="O813" s="687"/>
      <c r="P813" s="687"/>
      <c r="Q813" s="687"/>
      <c r="R813" s="687"/>
      <c r="S813" s="687"/>
      <c r="T813" s="687"/>
      <c r="U813" s="687"/>
      <c r="V813" s="687"/>
      <c r="W813" s="687"/>
      <c r="X813" s="687"/>
      <c r="Y813" s="687"/>
      <c r="Z813" s="687"/>
    </row>
    <row r="814" spans="1:26" ht="12" customHeight="1">
      <c r="A814" s="687"/>
      <c r="B814" s="687"/>
      <c r="C814" s="687"/>
      <c r="D814" s="687"/>
      <c r="E814" s="687"/>
      <c r="F814" s="687"/>
      <c r="G814" s="687"/>
      <c r="H814" s="687"/>
      <c r="I814" s="687"/>
      <c r="J814" s="687"/>
      <c r="K814" s="687"/>
      <c r="L814" s="687"/>
      <c r="M814" s="687"/>
      <c r="N814" s="687"/>
      <c r="O814" s="687"/>
      <c r="P814" s="687"/>
      <c r="Q814" s="687"/>
      <c r="R814" s="687"/>
      <c r="S814" s="687"/>
      <c r="T814" s="687"/>
      <c r="U814" s="687"/>
      <c r="V814" s="687"/>
      <c r="W814" s="687"/>
      <c r="X814" s="687"/>
      <c r="Y814" s="687"/>
      <c r="Z814" s="687"/>
    </row>
    <row r="815" spans="1:26" ht="12" customHeight="1">
      <c r="A815" s="687"/>
      <c r="B815" s="687"/>
      <c r="C815" s="687"/>
      <c r="D815" s="687"/>
      <c r="E815" s="687"/>
      <c r="F815" s="687"/>
      <c r="G815" s="687"/>
      <c r="H815" s="687"/>
      <c r="I815" s="687"/>
      <c r="J815" s="687"/>
      <c r="K815" s="687"/>
      <c r="L815" s="687"/>
      <c r="M815" s="687"/>
      <c r="N815" s="687"/>
      <c r="O815" s="687"/>
      <c r="P815" s="687"/>
      <c r="Q815" s="687"/>
      <c r="R815" s="687"/>
      <c r="S815" s="687"/>
      <c r="T815" s="687"/>
      <c r="U815" s="687"/>
      <c r="V815" s="687"/>
      <c r="W815" s="687"/>
      <c r="X815" s="687"/>
      <c r="Y815" s="687"/>
      <c r="Z815" s="687"/>
    </row>
    <row r="816" spans="1:26" ht="12" customHeight="1">
      <c r="A816" s="687"/>
      <c r="B816" s="687"/>
      <c r="C816" s="687"/>
      <c r="D816" s="687"/>
      <c r="E816" s="687"/>
      <c r="F816" s="687"/>
      <c r="G816" s="687"/>
      <c r="H816" s="687"/>
      <c r="I816" s="687"/>
      <c r="J816" s="687"/>
      <c r="K816" s="687"/>
      <c r="L816" s="687"/>
      <c r="M816" s="687"/>
      <c r="N816" s="687"/>
      <c r="O816" s="687"/>
      <c r="P816" s="687"/>
      <c r="Q816" s="687"/>
      <c r="R816" s="687"/>
      <c r="S816" s="687"/>
      <c r="T816" s="687"/>
      <c r="U816" s="687"/>
      <c r="V816" s="687"/>
      <c r="W816" s="687"/>
      <c r="X816" s="687"/>
      <c r="Y816" s="687"/>
      <c r="Z816" s="687"/>
    </row>
    <row r="817" spans="1:26" ht="12" customHeight="1">
      <c r="A817" s="687"/>
      <c r="B817" s="687"/>
      <c r="C817" s="687"/>
      <c r="D817" s="687"/>
      <c r="E817" s="687"/>
      <c r="F817" s="687"/>
      <c r="G817" s="687"/>
      <c r="H817" s="687"/>
      <c r="I817" s="687"/>
      <c r="J817" s="687"/>
      <c r="K817" s="687"/>
      <c r="L817" s="687"/>
      <c r="M817" s="687"/>
      <c r="N817" s="687"/>
      <c r="O817" s="687"/>
      <c r="P817" s="687"/>
      <c r="Q817" s="687"/>
      <c r="R817" s="687"/>
      <c r="S817" s="687"/>
      <c r="T817" s="687"/>
      <c r="U817" s="687"/>
      <c r="V817" s="687"/>
      <c r="W817" s="687"/>
      <c r="X817" s="687"/>
      <c r="Y817" s="687"/>
      <c r="Z817" s="687"/>
    </row>
    <row r="818" spans="1:26" ht="12" customHeight="1">
      <c r="A818" s="687"/>
      <c r="B818" s="687"/>
      <c r="C818" s="687"/>
      <c r="D818" s="687"/>
      <c r="E818" s="687"/>
      <c r="F818" s="687"/>
      <c r="G818" s="687"/>
      <c r="H818" s="687"/>
      <c r="I818" s="687"/>
      <c r="J818" s="687"/>
      <c r="K818" s="687"/>
      <c r="L818" s="687"/>
      <c r="M818" s="687"/>
      <c r="N818" s="687"/>
      <c r="O818" s="687"/>
      <c r="P818" s="687"/>
      <c r="Q818" s="687"/>
      <c r="R818" s="687"/>
      <c r="S818" s="687"/>
      <c r="T818" s="687"/>
      <c r="U818" s="687"/>
      <c r="V818" s="687"/>
      <c r="W818" s="687"/>
      <c r="X818" s="687"/>
      <c r="Y818" s="687"/>
      <c r="Z818" s="687"/>
    </row>
    <row r="819" spans="1:26" ht="12" customHeight="1">
      <c r="A819" s="687"/>
      <c r="B819" s="687"/>
      <c r="C819" s="687"/>
      <c r="D819" s="687"/>
      <c r="E819" s="687"/>
      <c r="F819" s="687"/>
      <c r="G819" s="687"/>
      <c r="H819" s="687"/>
      <c r="I819" s="687"/>
      <c r="J819" s="687"/>
      <c r="K819" s="687"/>
      <c r="L819" s="687"/>
      <c r="M819" s="687"/>
      <c r="N819" s="687"/>
      <c r="O819" s="687"/>
      <c r="P819" s="687"/>
      <c r="Q819" s="687"/>
      <c r="R819" s="687"/>
      <c r="S819" s="687"/>
      <c r="T819" s="687"/>
      <c r="U819" s="687"/>
      <c r="V819" s="687"/>
      <c r="W819" s="687"/>
      <c r="X819" s="687"/>
      <c r="Y819" s="687"/>
      <c r="Z819" s="687"/>
    </row>
    <row r="820" spans="1:26" ht="12" customHeight="1">
      <c r="A820" s="687"/>
      <c r="B820" s="687"/>
      <c r="C820" s="687"/>
      <c r="D820" s="687"/>
      <c r="E820" s="687"/>
      <c r="F820" s="687"/>
      <c r="G820" s="687"/>
      <c r="H820" s="687"/>
      <c r="I820" s="687"/>
      <c r="J820" s="687"/>
      <c r="K820" s="687"/>
      <c r="L820" s="687"/>
      <c r="M820" s="687"/>
      <c r="N820" s="687"/>
      <c r="O820" s="687"/>
      <c r="P820" s="687"/>
      <c r="Q820" s="687"/>
      <c r="R820" s="687"/>
      <c r="S820" s="687"/>
      <c r="T820" s="687"/>
      <c r="U820" s="687"/>
      <c r="V820" s="687"/>
      <c r="W820" s="687"/>
      <c r="X820" s="687"/>
      <c r="Y820" s="687"/>
      <c r="Z820" s="687"/>
    </row>
    <row r="821" spans="1:26" ht="12" customHeight="1">
      <c r="A821" s="687"/>
      <c r="B821" s="687"/>
      <c r="C821" s="687"/>
      <c r="D821" s="687"/>
      <c r="E821" s="687"/>
      <c r="F821" s="687"/>
      <c r="G821" s="687"/>
      <c r="H821" s="687"/>
      <c r="I821" s="687"/>
      <c r="J821" s="687"/>
      <c r="K821" s="687"/>
      <c r="L821" s="687"/>
      <c r="M821" s="687"/>
      <c r="N821" s="687"/>
      <c r="O821" s="687"/>
      <c r="P821" s="687"/>
      <c r="Q821" s="687"/>
      <c r="R821" s="687"/>
      <c r="S821" s="687"/>
      <c r="T821" s="687"/>
      <c r="U821" s="687"/>
      <c r="V821" s="687"/>
      <c r="W821" s="687"/>
      <c r="X821" s="687"/>
      <c r="Y821" s="687"/>
      <c r="Z821" s="687"/>
    </row>
    <row r="822" spans="1:26" ht="12" customHeight="1">
      <c r="A822" s="687"/>
      <c r="B822" s="687"/>
      <c r="C822" s="687"/>
      <c r="D822" s="687"/>
      <c r="E822" s="687"/>
      <c r="F822" s="687"/>
      <c r="G822" s="687"/>
      <c r="H822" s="687"/>
      <c r="I822" s="687"/>
      <c r="J822" s="687"/>
      <c r="K822" s="687"/>
      <c r="L822" s="687"/>
      <c r="M822" s="687"/>
      <c r="N822" s="687"/>
      <c r="O822" s="687"/>
      <c r="P822" s="687"/>
      <c r="Q822" s="687"/>
      <c r="R822" s="687"/>
      <c r="S822" s="687"/>
      <c r="T822" s="687"/>
      <c r="U822" s="687"/>
      <c r="V822" s="687"/>
      <c r="W822" s="687"/>
      <c r="X822" s="687"/>
      <c r="Y822" s="687"/>
      <c r="Z822" s="687"/>
    </row>
    <row r="823" spans="1:26" ht="12" customHeight="1">
      <c r="A823" s="687"/>
      <c r="B823" s="687"/>
      <c r="C823" s="687"/>
      <c r="D823" s="687"/>
      <c r="E823" s="687"/>
      <c r="F823" s="687"/>
      <c r="G823" s="687"/>
      <c r="H823" s="687"/>
      <c r="I823" s="687"/>
      <c r="J823" s="687"/>
      <c r="K823" s="687"/>
      <c r="L823" s="687"/>
      <c r="M823" s="687"/>
      <c r="N823" s="687"/>
      <c r="O823" s="687"/>
      <c r="P823" s="687"/>
      <c r="Q823" s="687"/>
      <c r="R823" s="687"/>
      <c r="S823" s="687"/>
      <c r="T823" s="687"/>
      <c r="U823" s="687"/>
      <c r="V823" s="687"/>
      <c r="W823" s="687"/>
      <c r="X823" s="687"/>
      <c r="Y823" s="687"/>
      <c r="Z823" s="687"/>
    </row>
    <row r="824" spans="1:26" ht="12" customHeight="1">
      <c r="A824" s="687"/>
      <c r="B824" s="687"/>
      <c r="C824" s="687"/>
      <c r="D824" s="687"/>
      <c r="E824" s="687"/>
      <c r="F824" s="687"/>
      <c r="G824" s="687"/>
      <c r="H824" s="687"/>
      <c r="I824" s="687"/>
      <c r="J824" s="687"/>
      <c r="K824" s="687"/>
      <c r="L824" s="687"/>
      <c r="M824" s="687"/>
      <c r="N824" s="687"/>
      <c r="O824" s="687"/>
      <c r="P824" s="687"/>
      <c r="Q824" s="687"/>
      <c r="R824" s="687"/>
      <c r="S824" s="687"/>
      <c r="T824" s="687"/>
      <c r="U824" s="687"/>
      <c r="V824" s="687"/>
      <c r="W824" s="687"/>
      <c r="X824" s="687"/>
      <c r="Y824" s="687"/>
      <c r="Z824" s="687"/>
    </row>
    <row r="825" spans="1:26" ht="12" customHeight="1">
      <c r="A825" s="687"/>
      <c r="B825" s="687"/>
      <c r="C825" s="687"/>
      <c r="D825" s="687"/>
      <c r="E825" s="687"/>
      <c r="F825" s="687"/>
      <c r="G825" s="687"/>
      <c r="H825" s="687"/>
      <c r="I825" s="687"/>
      <c r="J825" s="687"/>
      <c r="K825" s="687"/>
      <c r="L825" s="687"/>
      <c r="M825" s="687"/>
      <c r="N825" s="687"/>
      <c r="O825" s="687"/>
      <c r="P825" s="687"/>
      <c r="Q825" s="687"/>
      <c r="R825" s="687"/>
      <c r="S825" s="687"/>
      <c r="T825" s="687"/>
      <c r="U825" s="687"/>
      <c r="V825" s="687"/>
      <c r="W825" s="687"/>
      <c r="X825" s="687"/>
      <c r="Y825" s="687"/>
      <c r="Z825" s="687"/>
    </row>
    <row r="826" spans="1:26" ht="12" customHeight="1">
      <c r="A826" s="687"/>
      <c r="B826" s="687"/>
      <c r="C826" s="687"/>
      <c r="D826" s="687"/>
      <c r="E826" s="687"/>
      <c r="F826" s="687"/>
      <c r="G826" s="687"/>
      <c r="H826" s="687"/>
      <c r="I826" s="687"/>
      <c r="J826" s="687"/>
      <c r="K826" s="687"/>
      <c r="L826" s="687"/>
      <c r="M826" s="687"/>
      <c r="N826" s="687"/>
      <c r="O826" s="687"/>
      <c r="P826" s="687"/>
      <c r="Q826" s="687"/>
      <c r="R826" s="687"/>
      <c r="S826" s="687"/>
      <c r="T826" s="687"/>
      <c r="U826" s="687"/>
      <c r="V826" s="687"/>
      <c r="W826" s="687"/>
      <c r="X826" s="687"/>
      <c r="Y826" s="687"/>
      <c r="Z826" s="687"/>
    </row>
    <row r="827" spans="1:26" ht="12" customHeight="1">
      <c r="A827" s="687"/>
      <c r="B827" s="687"/>
      <c r="C827" s="687"/>
      <c r="D827" s="687"/>
      <c r="E827" s="687"/>
      <c r="F827" s="687"/>
      <c r="G827" s="687"/>
      <c r="H827" s="687"/>
      <c r="I827" s="687"/>
      <c r="J827" s="687"/>
      <c r="K827" s="687"/>
      <c r="L827" s="687"/>
      <c r="M827" s="687"/>
      <c r="N827" s="687"/>
      <c r="O827" s="687"/>
      <c r="P827" s="687"/>
      <c r="Q827" s="687"/>
      <c r="R827" s="687"/>
      <c r="S827" s="687"/>
      <c r="T827" s="687"/>
      <c r="U827" s="687"/>
      <c r="V827" s="687"/>
      <c r="W827" s="687"/>
      <c r="X827" s="687"/>
      <c r="Y827" s="687"/>
      <c r="Z827" s="687"/>
    </row>
    <row r="828" spans="1:26" ht="12" customHeight="1">
      <c r="A828" s="687"/>
      <c r="B828" s="687"/>
      <c r="C828" s="687"/>
      <c r="D828" s="687"/>
      <c r="E828" s="687"/>
      <c r="F828" s="687"/>
      <c r="G828" s="687"/>
      <c r="H828" s="687"/>
      <c r="I828" s="687"/>
      <c r="J828" s="687"/>
      <c r="K828" s="687"/>
      <c r="L828" s="687"/>
      <c r="M828" s="687"/>
      <c r="N828" s="687"/>
      <c r="O828" s="687"/>
      <c r="P828" s="687"/>
      <c r="Q828" s="687"/>
      <c r="R828" s="687"/>
      <c r="S828" s="687"/>
      <c r="T828" s="687"/>
      <c r="U828" s="687"/>
      <c r="V828" s="687"/>
      <c r="W828" s="687"/>
      <c r="X828" s="687"/>
      <c r="Y828" s="687"/>
      <c r="Z828" s="687"/>
    </row>
    <row r="829" spans="1:26" ht="12" customHeight="1">
      <c r="A829" s="687"/>
      <c r="B829" s="687"/>
      <c r="C829" s="687"/>
      <c r="D829" s="687"/>
      <c r="E829" s="687"/>
      <c r="F829" s="687"/>
      <c r="G829" s="687"/>
      <c r="H829" s="687"/>
      <c r="I829" s="687"/>
      <c r="J829" s="687"/>
      <c r="K829" s="687"/>
      <c r="L829" s="687"/>
      <c r="M829" s="687"/>
      <c r="N829" s="687"/>
      <c r="O829" s="687"/>
      <c r="P829" s="687"/>
      <c r="Q829" s="687"/>
      <c r="R829" s="687"/>
      <c r="S829" s="687"/>
      <c r="T829" s="687"/>
      <c r="U829" s="687"/>
      <c r="V829" s="687"/>
      <c r="W829" s="687"/>
      <c r="X829" s="687"/>
      <c r="Y829" s="687"/>
      <c r="Z829" s="687"/>
    </row>
    <row r="830" spans="1:26" ht="12" customHeight="1">
      <c r="A830" s="687"/>
      <c r="B830" s="687"/>
      <c r="C830" s="687"/>
      <c r="D830" s="687"/>
      <c r="E830" s="687"/>
      <c r="F830" s="687"/>
      <c r="G830" s="687"/>
      <c r="H830" s="687"/>
      <c r="I830" s="687"/>
      <c r="J830" s="687"/>
      <c r="K830" s="687"/>
      <c r="L830" s="687"/>
      <c r="M830" s="687"/>
      <c r="N830" s="687"/>
      <c r="O830" s="687"/>
      <c r="P830" s="687"/>
      <c r="Q830" s="687"/>
      <c r="R830" s="687"/>
      <c r="S830" s="687"/>
      <c r="T830" s="687"/>
      <c r="U830" s="687"/>
      <c r="V830" s="687"/>
      <c r="W830" s="687"/>
      <c r="X830" s="687"/>
      <c r="Y830" s="687"/>
      <c r="Z830" s="687"/>
    </row>
    <row r="831" spans="1:26" ht="12" customHeight="1">
      <c r="A831" s="687"/>
      <c r="B831" s="687"/>
      <c r="C831" s="687"/>
      <c r="D831" s="687"/>
      <c r="E831" s="687"/>
      <c r="F831" s="687"/>
      <c r="G831" s="687"/>
      <c r="H831" s="687"/>
      <c r="I831" s="687"/>
      <c r="J831" s="687"/>
      <c r="K831" s="687"/>
      <c r="L831" s="687"/>
      <c r="M831" s="687"/>
      <c r="N831" s="687"/>
      <c r="O831" s="687"/>
      <c r="P831" s="687"/>
      <c r="Q831" s="687"/>
      <c r="R831" s="687"/>
      <c r="S831" s="687"/>
      <c r="T831" s="687"/>
      <c r="U831" s="687"/>
      <c r="V831" s="687"/>
      <c r="W831" s="687"/>
      <c r="X831" s="687"/>
      <c r="Y831" s="687"/>
      <c r="Z831" s="687"/>
    </row>
    <row r="832" spans="1:26" ht="12" customHeight="1">
      <c r="A832" s="687"/>
      <c r="B832" s="687"/>
      <c r="C832" s="687"/>
      <c r="D832" s="687"/>
      <c r="E832" s="687"/>
      <c r="F832" s="687"/>
      <c r="G832" s="687"/>
      <c r="H832" s="687"/>
      <c r="I832" s="687"/>
      <c r="J832" s="687"/>
      <c r="K832" s="687"/>
      <c r="L832" s="687"/>
      <c r="M832" s="687"/>
      <c r="N832" s="687"/>
      <c r="O832" s="687"/>
      <c r="P832" s="687"/>
      <c r="Q832" s="687"/>
      <c r="R832" s="687"/>
      <c r="S832" s="687"/>
      <c r="T832" s="687"/>
      <c r="U832" s="687"/>
      <c r="V832" s="687"/>
      <c r="W832" s="687"/>
      <c r="X832" s="687"/>
      <c r="Y832" s="687"/>
      <c r="Z832" s="687"/>
    </row>
    <row r="833" spans="1:26" ht="12" customHeight="1">
      <c r="A833" s="687"/>
      <c r="B833" s="687"/>
      <c r="C833" s="687"/>
      <c r="D833" s="687"/>
      <c r="E833" s="687"/>
      <c r="F833" s="687"/>
      <c r="G833" s="687"/>
      <c r="H833" s="687"/>
      <c r="I833" s="687"/>
      <c r="J833" s="687"/>
      <c r="K833" s="687"/>
      <c r="L833" s="687"/>
      <c r="M833" s="687"/>
      <c r="N833" s="687"/>
      <c r="O833" s="687"/>
      <c r="P833" s="687"/>
      <c r="Q833" s="687"/>
      <c r="R833" s="687"/>
      <c r="S833" s="687"/>
      <c r="T833" s="687"/>
      <c r="U833" s="687"/>
      <c r="V833" s="687"/>
      <c r="W833" s="687"/>
      <c r="X833" s="687"/>
      <c r="Y833" s="687"/>
      <c r="Z833" s="687"/>
    </row>
    <row r="834" spans="1:26" ht="12" customHeight="1">
      <c r="A834" s="687"/>
      <c r="B834" s="687"/>
      <c r="C834" s="687"/>
      <c r="D834" s="687"/>
      <c r="E834" s="687"/>
      <c r="F834" s="687"/>
      <c r="G834" s="687"/>
      <c r="H834" s="687"/>
      <c r="I834" s="687"/>
      <c r="J834" s="687"/>
      <c r="K834" s="687"/>
      <c r="L834" s="687"/>
      <c r="M834" s="687"/>
      <c r="N834" s="687"/>
      <c r="O834" s="687"/>
      <c r="P834" s="687"/>
      <c r="Q834" s="687"/>
      <c r="R834" s="687"/>
      <c r="S834" s="687"/>
      <c r="T834" s="687"/>
      <c r="U834" s="687"/>
      <c r="V834" s="687"/>
      <c r="W834" s="687"/>
      <c r="X834" s="687"/>
      <c r="Y834" s="687"/>
      <c r="Z834" s="687"/>
    </row>
    <row r="835" spans="1:26" ht="12" customHeight="1">
      <c r="A835" s="687"/>
      <c r="B835" s="687"/>
      <c r="C835" s="687"/>
      <c r="D835" s="687"/>
      <c r="E835" s="687"/>
      <c r="F835" s="687"/>
      <c r="G835" s="687"/>
      <c r="H835" s="687"/>
      <c r="I835" s="687"/>
      <c r="J835" s="687"/>
      <c r="K835" s="687"/>
      <c r="L835" s="687"/>
      <c r="M835" s="687"/>
      <c r="N835" s="687"/>
      <c r="O835" s="687"/>
      <c r="P835" s="687"/>
      <c r="Q835" s="687"/>
      <c r="R835" s="687"/>
      <c r="S835" s="687"/>
      <c r="T835" s="687"/>
      <c r="U835" s="687"/>
      <c r="V835" s="687"/>
      <c r="W835" s="687"/>
      <c r="X835" s="687"/>
      <c r="Y835" s="687"/>
      <c r="Z835" s="687"/>
    </row>
    <row r="836" spans="1:26" ht="12" customHeight="1">
      <c r="A836" s="687"/>
      <c r="B836" s="687"/>
      <c r="C836" s="687"/>
      <c r="D836" s="687"/>
      <c r="E836" s="687"/>
      <c r="F836" s="687"/>
      <c r="G836" s="687"/>
      <c r="H836" s="687"/>
      <c r="I836" s="687"/>
      <c r="J836" s="687"/>
      <c r="K836" s="687"/>
      <c r="L836" s="687"/>
      <c r="M836" s="687"/>
      <c r="N836" s="687"/>
      <c r="O836" s="687"/>
      <c r="P836" s="687"/>
      <c r="Q836" s="687"/>
      <c r="R836" s="687"/>
      <c r="S836" s="687"/>
      <c r="T836" s="687"/>
      <c r="U836" s="687"/>
      <c r="V836" s="687"/>
      <c r="W836" s="687"/>
      <c r="X836" s="687"/>
      <c r="Y836" s="687"/>
      <c r="Z836" s="687"/>
    </row>
    <row r="837" spans="1:26" ht="12" customHeight="1">
      <c r="A837" s="687"/>
      <c r="B837" s="687"/>
      <c r="C837" s="687"/>
      <c r="D837" s="687"/>
      <c r="E837" s="687"/>
      <c r="F837" s="687"/>
      <c r="G837" s="687"/>
      <c r="H837" s="687"/>
      <c r="I837" s="687"/>
      <c r="J837" s="687"/>
      <c r="K837" s="687"/>
      <c r="L837" s="687"/>
      <c r="M837" s="687"/>
      <c r="N837" s="687"/>
      <c r="O837" s="687"/>
      <c r="P837" s="687"/>
      <c r="Q837" s="687"/>
      <c r="R837" s="687"/>
      <c r="S837" s="687"/>
      <c r="T837" s="687"/>
      <c r="U837" s="687"/>
      <c r="V837" s="687"/>
      <c r="W837" s="687"/>
      <c r="X837" s="687"/>
      <c r="Y837" s="687"/>
      <c r="Z837" s="687"/>
    </row>
    <row r="838" spans="1:26" ht="12" customHeight="1">
      <c r="A838" s="687"/>
      <c r="B838" s="687"/>
      <c r="C838" s="687"/>
      <c r="D838" s="687"/>
      <c r="E838" s="687"/>
      <c r="F838" s="687"/>
      <c r="G838" s="687"/>
      <c r="H838" s="687"/>
      <c r="I838" s="687"/>
      <c r="J838" s="687"/>
      <c r="K838" s="687"/>
      <c r="L838" s="687"/>
      <c r="M838" s="687"/>
      <c r="N838" s="687"/>
      <c r="O838" s="687"/>
      <c r="P838" s="687"/>
      <c r="Q838" s="687"/>
      <c r="R838" s="687"/>
      <c r="S838" s="687"/>
      <c r="T838" s="687"/>
      <c r="U838" s="687"/>
      <c r="V838" s="687"/>
      <c r="W838" s="687"/>
      <c r="X838" s="687"/>
      <c r="Y838" s="687"/>
      <c r="Z838" s="687"/>
    </row>
    <row r="839" spans="1:26" ht="12" customHeight="1">
      <c r="A839" s="687"/>
      <c r="B839" s="687"/>
      <c r="C839" s="687"/>
      <c r="D839" s="687"/>
      <c r="E839" s="687"/>
      <c r="F839" s="687"/>
      <c r="G839" s="687"/>
      <c r="H839" s="687"/>
      <c r="I839" s="687"/>
      <c r="J839" s="687"/>
      <c r="K839" s="687"/>
      <c r="L839" s="687"/>
      <c r="M839" s="687"/>
      <c r="N839" s="687"/>
      <c r="O839" s="687"/>
      <c r="P839" s="687"/>
      <c r="Q839" s="687"/>
      <c r="R839" s="687"/>
      <c r="S839" s="687"/>
      <c r="T839" s="687"/>
      <c r="U839" s="687"/>
      <c r="V839" s="687"/>
      <c r="W839" s="687"/>
      <c r="X839" s="687"/>
      <c r="Y839" s="687"/>
      <c r="Z839" s="687"/>
    </row>
    <row r="840" spans="1:26" ht="12" customHeight="1">
      <c r="A840" s="687"/>
      <c r="B840" s="687"/>
      <c r="C840" s="687"/>
      <c r="D840" s="687"/>
      <c r="E840" s="687"/>
      <c r="F840" s="687"/>
      <c r="G840" s="687"/>
      <c r="H840" s="687"/>
      <c r="I840" s="687"/>
      <c r="J840" s="687"/>
      <c r="K840" s="687"/>
      <c r="L840" s="687"/>
      <c r="M840" s="687"/>
      <c r="N840" s="687"/>
      <c r="O840" s="687"/>
      <c r="P840" s="687"/>
      <c r="Q840" s="687"/>
      <c r="R840" s="687"/>
      <c r="S840" s="687"/>
      <c r="T840" s="687"/>
      <c r="U840" s="687"/>
      <c r="V840" s="687"/>
      <c r="W840" s="687"/>
      <c r="X840" s="687"/>
      <c r="Y840" s="687"/>
      <c r="Z840" s="687"/>
    </row>
    <row r="841" spans="1:26" ht="12" customHeight="1">
      <c r="A841" s="687"/>
      <c r="B841" s="687"/>
      <c r="C841" s="687"/>
      <c r="D841" s="687"/>
      <c r="E841" s="687"/>
      <c r="F841" s="687"/>
      <c r="G841" s="687"/>
      <c r="H841" s="687"/>
      <c r="I841" s="687"/>
      <c r="J841" s="687"/>
      <c r="K841" s="687"/>
      <c r="L841" s="687"/>
      <c r="M841" s="687"/>
      <c r="N841" s="687"/>
      <c r="O841" s="687"/>
      <c r="P841" s="687"/>
      <c r="Q841" s="687"/>
      <c r="R841" s="687"/>
      <c r="S841" s="687"/>
      <c r="T841" s="687"/>
      <c r="U841" s="687"/>
      <c r="V841" s="687"/>
      <c r="W841" s="687"/>
      <c r="X841" s="687"/>
      <c r="Y841" s="687"/>
      <c r="Z841" s="687"/>
    </row>
    <row r="842" spans="1:26" ht="12" customHeight="1">
      <c r="A842" s="687"/>
      <c r="B842" s="687"/>
      <c r="C842" s="687"/>
      <c r="D842" s="687"/>
      <c r="E842" s="687"/>
      <c r="F842" s="687"/>
      <c r="G842" s="687"/>
      <c r="H842" s="687"/>
      <c r="I842" s="687"/>
      <c r="J842" s="687"/>
      <c r="K842" s="687"/>
      <c r="L842" s="687"/>
      <c r="M842" s="687"/>
      <c r="N842" s="687"/>
      <c r="O842" s="687"/>
      <c r="P842" s="687"/>
      <c r="Q842" s="687"/>
      <c r="R842" s="687"/>
      <c r="S842" s="687"/>
      <c r="T842" s="687"/>
      <c r="U842" s="687"/>
      <c r="V842" s="687"/>
      <c r="W842" s="687"/>
      <c r="X842" s="687"/>
      <c r="Y842" s="687"/>
      <c r="Z842" s="687"/>
    </row>
    <row r="843" spans="1:26" ht="12" customHeight="1">
      <c r="A843" s="687"/>
      <c r="B843" s="687"/>
      <c r="C843" s="687"/>
      <c r="D843" s="687"/>
      <c r="E843" s="687"/>
      <c r="F843" s="687"/>
      <c r="G843" s="687"/>
      <c r="H843" s="687"/>
      <c r="I843" s="687"/>
      <c r="J843" s="687"/>
      <c r="K843" s="687"/>
      <c r="L843" s="687"/>
      <c r="M843" s="687"/>
      <c r="N843" s="687"/>
      <c r="O843" s="687"/>
      <c r="P843" s="687"/>
      <c r="Q843" s="687"/>
      <c r="R843" s="687"/>
      <c r="S843" s="687"/>
      <c r="T843" s="687"/>
      <c r="U843" s="687"/>
      <c r="V843" s="687"/>
      <c r="W843" s="687"/>
      <c r="X843" s="687"/>
      <c r="Y843" s="687"/>
      <c r="Z843" s="687"/>
    </row>
    <row r="844" spans="1:26" ht="12" customHeight="1">
      <c r="A844" s="687"/>
      <c r="B844" s="687"/>
      <c r="C844" s="687"/>
      <c r="D844" s="687"/>
      <c r="E844" s="687"/>
      <c r="F844" s="687"/>
      <c r="G844" s="687"/>
      <c r="H844" s="687"/>
      <c r="I844" s="687"/>
      <c r="J844" s="687"/>
      <c r="K844" s="687"/>
      <c r="L844" s="687"/>
      <c r="M844" s="687"/>
      <c r="N844" s="687"/>
      <c r="O844" s="687"/>
      <c r="P844" s="687"/>
      <c r="Q844" s="687"/>
      <c r="R844" s="687"/>
      <c r="S844" s="687"/>
      <c r="T844" s="687"/>
      <c r="U844" s="687"/>
      <c r="V844" s="687"/>
      <c r="W844" s="687"/>
      <c r="X844" s="687"/>
      <c r="Y844" s="687"/>
      <c r="Z844" s="687"/>
    </row>
    <row r="845" spans="1:26" ht="12" customHeight="1">
      <c r="A845" s="687"/>
      <c r="B845" s="687"/>
      <c r="C845" s="687"/>
      <c r="D845" s="687"/>
      <c r="E845" s="687"/>
      <c r="F845" s="687"/>
      <c r="G845" s="687"/>
      <c r="H845" s="687"/>
      <c r="I845" s="687"/>
      <c r="J845" s="687"/>
      <c r="K845" s="687"/>
      <c r="L845" s="687"/>
      <c r="M845" s="687"/>
      <c r="N845" s="687"/>
      <c r="O845" s="687"/>
      <c r="P845" s="687"/>
      <c r="Q845" s="687"/>
      <c r="R845" s="687"/>
      <c r="S845" s="687"/>
      <c r="T845" s="687"/>
      <c r="U845" s="687"/>
      <c r="V845" s="687"/>
      <c r="W845" s="687"/>
      <c r="X845" s="687"/>
      <c r="Y845" s="687"/>
      <c r="Z845" s="687"/>
    </row>
    <row r="846" spans="1:26" ht="12" customHeight="1">
      <c r="A846" s="687"/>
      <c r="B846" s="687"/>
      <c r="C846" s="687"/>
      <c r="D846" s="687"/>
      <c r="E846" s="687"/>
      <c r="F846" s="687"/>
      <c r="G846" s="687"/>
      <c r="H846" s="687"/>
      <c r="I846" s="687"/>
      <c r="J846" s="687"/>
      <c r="K846" s="687"/>
      <c r="L846" s="687"/>
      <c r="M846" s="687"/>
      <c r="N846" s="687"/>
      <c r="O846" s="687"/>
      <c r="P846" s="687"/>
      <c r="Q846" s="687"/>
      <c r="R846" s="687"/>
      <c r="S846" s="687"/>
      <c r="T846" s="687"/>
      <c r="U846" s="687"/>
      <c r="V846" s="687"/>
      <c r="W846" s="687"/>
      <c r="X846" s="687"/>
      <c r="Y846" s="687"/>
      <c r="Z846" s="687"/>
    </row>
    <row r="847" spans="1:26" ht="12" customHeight="1">
      <c r="A847" s="687"/>
      <c r="B847" s="687"/>
      <c r="C847" s="687"/>
      <c r="D847" s="687"/>
      <c r="E847" s="687"/>
      <c r="F847" s="687"/>
      <c r="G847" s="687"/>
      <c r="H847" s="687"/>
      <c r="I847" s="687"/>
      <c r="J847" s="687"/>
      <c r="K847" s="687"/>
      <c r="L847" s="687"/>
      <c r="M847" s="687"/>
      <c r="N847" s="687"/>
      <c r="O847" s="687"/>
      <c r="P847" s="687"/>
      <c r="Q847" s="687"/>
      <c r="R847" s="687"/>
      <c r="S847" s="687"/>
      <c r="T847" s="687"/>
      <c r="U847" s="687"/>
      <c r="V847" s="687"/>
      <c r="W847" s="687"/>
      <c r="X847" s="687"/>
      <c r="Y847" s="687"/>
      <c r="Z847" s="687"/>
    </row>
    <row r="848" spans="1:26" ht="12" customHeight="1">
      <c r="A848" s="687"/>
      <c r="B848" s="687"/>
      <c r="C848" s="687"/>
      <c r="D848" s="687"/>
      <c r="E848" s="687"/>
      <c r="F848" s="687"/>
      <c r="G848" s="687"/>
      <c r="H848" s="687"/>
      <c r="I848" s="687"/>
      <c r="J848" s="687"/>
      <c r="K848" s="687"/>
      <c r="L848" s="687"/>
      <c r="M848" s="687"/>
      <c r="N848" s="687"/>
      <c r="O848" s="687"/>
      <c r="P848" s="687"/>
      <c r="Q848" s="687"/>
      <c r="R848" s="687"/>
      <c r="S848" s="687"/>
      <c r="T848" s="687"/>
      <c r="U848" s="687"/>
      <c r="V848" s="687"/>
      <c r="W848" s="687"/>
      <c r="X848" s="687"/>
      <c r="Y848" s="687"/>
      <c r="Z848" s="687"/>
    </row>
    <row r="849" spans="1:26" ht="12" customHeight="1">
      <c r="A849" s="687"/>
      <c r="B849" s="687"/>
      <c r="C849" s="687"/>
      <c r="D849" s="687"/>
      <c r="E849" s="687"/>
      <c r="F849" s="687"/>
      <c r="G849" s="687"/>
      <c r="H849" s="687"/>
      <c r="I849" s="687"/>
      <c r="J849" s="687"/>
      <c r="K849" s="687"/>
      <c r="L849" s="687"/>
      <c r="M849" s="687"/>
      <c r="N849" s="687"/>
      <c r="O849" s="687"/>
      <c r="P849" s="687"/>
      <c r="Q849" s="687"/>
      <c r="R849" s="687"/>
      <c r="S849" s="687"/>
      <c r="T849" s="687"/>
      <c r="U849" s="687"/>
      <c r="V849" s="687"/>
      <c r="W849" s="687"/>
      <c r="X849" s="687"/>
      <c r="Y849" s="687"/>
      <c r="Z849" s="687"/>
    </row>
    <row r="850" spans="1:26" ht="12" customHeight="1">
      <c r="A850" s="687"/>
      <c r="B850" s="687"/>
      <c r="C850" s="687"/>
      <c r="D850" s="687"/>
      <c r="E850" s="687"/>
      <c r="F850" s="687"/>
      <c r="G850" s="687"/>
      <c r="H850" s="687"/>
      <c r="I850" s="687"/>
      <c r="J850" s="687"/>
      <c r="K850" s="687"/>
      <c r="L850" s="687"/>
      <c r="M850" s="687"/>
      <c r="N850" s="687"/>
      <c r="O850" s="687"/>
      <c r="P850" s="687"/>
      <c r="Q850" s="687"/>
      <c r="R850" s="687"/>
      <c r="S850" s="687"/>
      <c r="T850" s="687"/>
      <c r="U850" s="687"/>
      <c r="V850" s="687"/>
      <c r="W850" s="687"/>
      <c r="X850" s="687"/>
      <c r="Y850" s="687"/>
      <c r="Z850" s="687"/>
    </row>
    <row r="851" spans="1:26" ht="12" customHeight="1">
      <c r="A851" s="687"/>
      <c r="B851" s="687"/>
      <c r="C851" s="687"/>
      <c r="D851" s="687"/>
      <c r="E851" s="687"/>
      <c r="F851" s="687"/>
      <c r="G851" s="687"/>
      <c r="H851" s="687"/>
      <c r="I851" s="687"/>
      <c r="J851" s="687"/>
      <c r="K851" s="687"/>
      <c r="L851" s="687"/>
      <c r="M851" s="687"/>
      <c r="N851" s="687"/>
      <c r="O851" s="687"/>
      <c r="P851" s="687"/>
      <c r="Q851" s="687"/>
      <c r="R851" s="687"/>
      <c r="S851" s="687"/>
      <c r="T851" s="687"/>
      <c r="U851" s="687"/>
      <c r="V851" s="687"/>
      <c r="W851" s="687"/>
      <c r="X851" s="687"/>
      <c r="Y851" s="687"/>
      <c r="Z851" s="687"/>
    </row>
    <row r="852" spans="1:26" ht="12" customHeight="1">
      <c r="A852" s="687"/>
      <c r="B852" s="687"/>
      <c r="C852" s="687"/>
      <c r="D852" s="687"/>
      <c r="E852" s="687"/>
      <c r="F852" s="687"/>
      <c r="G852" s="687"/>
      <c r="H852" s="687"/>
      <c r="I852" s="687"/>
      <c r="J852" s="687"/>
      <c r="K852" s="687"/>
      <c r="L852" s="687"/>
      <c r="M852" s="687"/>
      <c r="N852" s="687"/>
      <c r="O852" s="687"/>
      <c r="P852" s="687"/>
      <c r="Q852" s="687"/>
      <c r="R852" s="687"/>
      <c r="S852" s="687"/>
      <c r="T852" s="687"/>
      <c r="U852" s="687"/>
      <c r="V852" s="687"/>
      <c r="W852" s="687"/>
      <c r="X852" s="687"/>
      <c r="Y852" s="687"/>
      <c r="Z852" s="687"/>
    </row>
    <row r="853" spans="1:26" ht="12" customHeight="1">
      <c r="A853" s="687"/>
      <c r="B853" s="687"/>
      <c r="C853" s="687"/>
      <c r="D853" s="687"/>
      <c r="E853" s="687"/>
      <c r="F853" s="687"/>
      <c r="G853" s="687"/>
      <c r="H853" s="687"/>
      <c r="I853" s="687"/>
      <c r="J853" s="687"/>
      <c r="K853" s="687"/>
      <c r="L853" s="687"/>
      <c r="M853" s="687"/>
      <c r="N853" s="687"/>
      <c r="O853" s="687"/>
      <c r="P853" s="687"/>
      <c r="Q853" s="687"/>
      <c r="R853" s="687"/>
      <c r="S853" s="687"/>
      <c r="T853" s="687"/>
      <c r="U853" s="687"/>
      <c r="V853" s="687"/>
      <c r="W853" s="687"/>
      <c r="X853" s="687"/>
      <c r="Y853" s="687"/>
      <c r="Z853" s="687"/>
    </row>
    <row r="854" spans="1:26" ht="12" customHeight="1">
      <c r="A854" s="687"/>
      <c r="B854" s="687"/>
      <c r="C854" s="687"/>
      <c r="D854" s="687"/>
      <c r="E854" s="687"/>
      <c r="F854" s="687"/>
      <c r="G854" s="687"/>
      <c r="H854" s="687"/>
      <c r="I854" s="687"/>
      <c r="J854" s="687"/>
      <c r="K854" s="687"/>
      <c r="L854" s="687"/>
      <c r="M854" s="687"/>
      <c r="N854" s="687"/>
      <c r="O854" s="687"/>
      <c r="P854" s="687"/>
      <c r="Q854" s="687"/>
      <c r="R854" s="687"/>
      <c r="S854" s="687"/>
      <c r="T854" s="687"/>
      <c r="U854" s="687"/>
      <c r="V854" s="687"/>
      <c r="W854" s="687"/>
      <c r="X854" s="687"/>
      <c r="Y854" s="687"/>
      <c r="Z854" s="687"/>
    </row>
    <row r="855" spans="1:26" ht="12" customHeight="1">
      <c r="A855" s="687"/>
      <c r="B855" s="687"/>
      <c r="C855" s="687"/>
      <c r="D855" s="687"/>
      <c r="E855" s="687"/>
      <c r="F855" s="687"/>
      <c r="G855" s="687"/>
      <c r="H855" s="687"/>
      <c r="I855" s="687"/>
      <c r="J855" s="687"/>
      <c r="K855" s="687"/>
      <c r="L855" s="687"/>
      <c r="M855" s="687"/>
      <c r="N855" s="687"/>
      <c r="O855" s="687"/>
      <c r="P855" s="687"/>
      <c r="Q855" s="687"/>
      <c r="R855" s="687"/>
      <c r="S855" s="687"/>
      <c r="T855" s="687"/>
      <c r="U855" s="687"/>
      <c r="V855" s="687"/>
      <c r="W855" s="687"/>
      <c r="X855" s="687"/>
      <c r="Y855" s="687"/>
      <c r="Z855" s="687"/>
    </row>
    <row r="856" spans="1:26" ht="12" customHeight="1">
      <c r="A856" s="687"/>
      <c r="B856" s="687"/>
      <c r="C856" s="687"/>
      <c r="D856" s="687"/>
      <c r="E856" s="687"/>
      <c r="F856" s="687"/>
      <c r="G856" s="687"/>
      <c r="H856" s="687"/>
      <c r="I856" s="687"/>
      <c r="J856" s="687"/>
      <c r="K856" s="687"/>
      <c r="L856" s="687"/>
      <c r="M856" s="687"/>
      <c r="N856" s="687"/>
      <c r="O856" s="687"/>
      <c r="P856" s="687"/>
      <c r="Q856" s="687"/>
      <c r="R856" s="687"/>
      <c r="S856" s="687"/>
      <c r="T856" s="687"/>
      <c r="U856" s="687"/>
      <c r="V856" s="687"/>
      <c r="W856" s="687"/>
      <c r="X856" s="687"/>
      <c r="Y856" s="687"/>
      <c r="Z856" s="687"/>
    </row>
    <row r="857" spans="1:26" ht="12" customHeight="1">
      <c r="A857" s="687"/>
      <c r="B857" s="687"/>
      <c r="C857" s="687"/>
      <c r="D857" s="687"/>
      <c r="E857" s="687"/>
      <c r="F857" s="687"/>
      <c r="G857" s="687"/>
      <c r="H857" s="687"/>
      <c r="I857" s="687"/>
      <c r="J857" s="687"/>
      <c r="K857" s="687"/>
      <c r="L857" s="687"/>
      <c r="M857" s="687"/>
      <c r="N857" s="687"/>
      <c r="O857" s="687"/>
      <c r="P857" s="687"/>
      <c r="Q857" s="687"/>
      <c r="R857" s="687"/>
      <c r="S857" s="687"/>
      <c r="T857" s="687"/>
      <c r="U857" s="687"/>
      <c r="V857" s="687"/>
      <c r="W857" s="687"/>
      <c r="X857" s="687"/>
      <c r="Y857" s="687"/>
      <c r="Z857" s="687"/>
    </row>
    <row r="858" spans="1:26" ht="12" customHeight="1">
      <c r="A858" s="687"/>
      <c r="B858" s="687"/>
      <c r="C858" s="687"/>
      <c r="D858" s="687"/>
      <c r="E858" s="687"/>
      <c r="F858" s="687"/>
      <c r="G858" s="687"/>
      <c r="H858" s="687"/>
      <c r="I858" s="687"/>
      <c r="J858" s="687"/>
      <c r="K858" s="687"/>
      <c r="L858" s="687"/>
      <c r="M858" s="687"/>
      <c r="N858" s="687"/>
      <c r="O858" s="687"/>
      <c r="P858" s="687"/>
      <c r="Q858" s="687"/>
      <c r="R858" s="687"/>
      <c r="S858" s="687"/>
      <c r="T858" s="687"/>
      <c r="U858" s="687"/>
      <c r="V858" s="687"/>
      <c r="W858" s="687"/>
      <c r="X858" s="687"/>
      <c r="Y858" s="687"/>
      <c r="Z858" s="687"/>
    </row>
    <row r="859" spans="1:26" ht="12" customHeight="1">
      <c r="A859" s="687"/>
      <c r="B859" s="687"/>
      <c r="C859" s="687"/>
      <c r="D859" s="687"/>
      <c r="E859" s="687"/>
      <c r="F859" s="687"/>
      <c r="G859" s="687"/>
      <c r="H859" s="687"/>
      <c r="I859" s="687"/>
      <c r="J859" s="687"/>
      <c r="K859" s="687"/>
      <c r="L859" s="687"/>
      <c r="M859" s="687"/>
      <c r="N859" s="687"/>
      <c r="O859" s="687"/>
      <c r="P859" s="687"/>
      <c r="Q859" s="687"/>
      <c r="R859" s="687"/>
      <c r="S859" s="687"/>
      <c r="T859" s="687"/>
      <c r="U859" s="687"/>
      <c r="V859" s="687"/>
      <c r="W859" s="687"/>
      <c r="X859" s="687"/>
      <c r="Y859" s="687"/>
      <c r="Z859" s="687"/>
    </row>
    <row r="860" spans="1:26" ht="12" customHeight="1">
      <c r="A860" s="687"/>
      <c r="B860" s="687"/>
      <c r="C860" s="687"/>
      <c r="D860" s="687"/>
      <c r="E860" s="687"/>
      <c r="F860" s="687"/>
      <c r="G860" s="687"/>
      <c r="H860" s="687"/>
      <c r="I860" s="687"/>
      <c r="J860" s="687"/>
      <c r="K860" s="687"/>
      <c r="L860" s="687"/>
      <c r="M860" s="687"/>
      <c r="N860" s="687"/>
      <c r="O860" s="687"/>
      <c r="P860" s="687"/>
      <c r="Q860" s="687"/>
      <c r="R860" s="687"/>
      <c r="S860" s="687"/>
      <c r="T860" s="687"/>
      <c r="U860" s="687"/>
      <c r="V860" s="687"/>
      <c r="W860" s="687"/>
      <c r="X860" s="687"/>
      <c r="Y860" s="687"/>
      <c r="Z860" s="687"/>
    </row>
    <row r="861" spans="1:26" ht="12" customHeight="1">
      <c r="A861" s="687"/>
      <c r="B861" s="687"/>
      <c r="C861" s="687"/>
      <c r="D861" s="687"/>
      <c r="E861" s="687"/>
      <c r="F861" s="687"/>
      <c r="G861" s="687"/>
      <c r="H861" s="687"/>
      <c r="I861" s="687"/>
      <c r="J861" s="687"/>
      <c r="K861" s="687"/>
      <c r="L861" s="687"/>
      <c r="M861" s="687"/>
      <c r="N861" s="687"/>
      <c r="O861" s="687"/>
      <c r="P861" s="687"/>
      <c r="Q861" s="687"/>
      <c r="R861" s="687"/>
      <c r="S861" s="687"/>
      <c r="T861" s="687"/>
      <c r="U861" s="687"/>
      <c r="V861" s="687"/>
      <c r="W861" s="687"/>
      <c r="X861" s="687"/>
      <c r="Y861" s="687"/>
      <c r="Z861" s="687"/>
    </row>
    <row r="862" spans="1:26" ht="12" customHeight="1">
      <c r="A862" s="687"/>
      <c r="B862" s="687"/>
      <c r="C862" s="687"/>
      <c r="D862" s="687"/>
      <c r="E862" s="687"/>
      <c r="F862" s="687"/>
      <c r="G862" s="687"/>
      <c r="H862" s="687"/>
      <c r="I862" s="687"/>
      <c r="J862" s="687"/>
      <c r="K862" s="687"/>
      <c r="L862" s="687"/>
      <c r="M862" s="687"/>
      <c r="N862" s="687"/>
      <c r="O862" s="687"/>
      <c r="P862" s="687"/>
      <c r="Q862" s="687"/>
      <c r="R862" s="687"/>
      <c r="S862" s="687"/>
      <c r="T862" s="687"/>
      <c r="U862" s="687"/>
      <c r="V862" s="687"/>
      <c r="W862" s="687"/>
      <c r="X862" s="687"/>
      <c r="Y862" s="687"/>
      <c r="Z862" s="687"/>
    </row>
    <row r="863" spans="1:26" ht="12" customHeight="1">
      <c r="A863" s="687"/>
      <c r="B863" s="687"/>
      <c r="C863" s="687"/>
      <c r="D863" s="687"/>
      <c r="E863" s="687"/>
      <c r="F863" s="687"/>
      <c r="G863" s="687"/>
      <c r="H863" s="687"/>
      <c r="I863" s="687"/>
      <c r="J863" s="687"/>
      <c r="K863" s="687"/>
      <c r="L863" s="687"/>
      <c r="M863" s="687"/>
      <c r="N863" s="687"/>
      <c r="O863" s="687"/>
      <c r="P863" s="687"/>
      <c r="Q863" s="687"/>
      <c r="R863" s="687"/>
      <c r="S863" s="687"/>
      <c r="T863" s="687"/>
      <c r="U863" s="687"/>
      <c r="V863" s="687"/>
      <c r="W863" s="687"/>
      <c r="X863" s="687"/>
      <c r="Y863" s="687"/>
      <c r="Z863" s="687"/>
    </row>
    <row r="864" spans="1:26" ht="12" customHeight="1">
      <c r="A864" s="687"/>
      <c r="B864" s="687"/>
      <c r="C864" s="687"/>
      <c r="D864" s="687"/>
      <c r="E864" s="687"/>
      <c r="F864" s="687"/>
      <c r="G864" s="687"/>
      <c r="H864" s="687"/>
      <c r="I864" s="687"/>
      <c r="J864" s="687"/>
      <c r="K864" s="687"/>
      <c r="L864" s="687"/>
      <c r="M864" s="687"/>
      <c r="N864" s="687"/>
      <c r="O864" s="687"/>
      <c r="P864" s="687"/>
      <c r="Q864" s="687"/>
      <c r="R864" s="687"/>
      <c r="S864" s="687"/>
      <c r="T864" s="687"/>
      <c r="U864" s="687"/>
      <c r="V864" s="687"/>
      <c r="W864" s="687"/>
      <c r="X864" s="687"/>
      <c r="Y864" s="687"/>
      <c r="Z864" s="687"/>
    </row>
    <row r="865" spans="1:26" ht="12" customHeight="1">
      <c r="A865" s="687"/>
      <c r="B865" s="687"/>
      <c r="C865" s="687"/>
      <c r="D865" s="687"/>
      <c r="E865" s="687"/>
      <c r="F865" s="687"/>
      <c r="G865" s="687"/>
      <c r="H865" s="687"/>
      <c r="I865" s="687"/>
      <c r="J865" s="687"/>
      <c r="K865" s="687"/>
      <c r="L865" s="687"/>
      <c r="M865" s="687"/>
      <c r="N865" s="687"/>
      <c r="O865" s="687"/>
      <c r="P865" s="687"/>
      <c r="Q865" s="687"/>
      <c r="R865" s="687"/>
      <c r="S865" s="687"/>
      <c r="T865" s="687"/>
      <c r="U865" s="687"/>
      <c r="V865" s="687"/>
      <c r="W865" s="687"/>
      <c r="X865" s="687"/>
      <c r="Y865" s="687"/>
      <c r="Z865" s="687"/>
    </row>
    <row r="866" spans="1:26" ht="12" customHeight="1">
      <c r="A866" s="687"/>
      <c r="B866" s="687"/>
      <c r="C866" s="687"/>
      <c r="D866" s="687"/>
      <c r="E866" s="687"/>
      <c r="F866" s="687"/>
      <c r="G866" s="687"/>
      <c r="H866" s="687"/>
      <c r="I866" s="687"/>
      <c r="J866" s="687"/>
      <c r="K866" s="687"/>
      <c r="L866" s="687"/>
      <c r="M866" s="687"/>
      <c r="N866" s="687"/>
      <c r="O866" s="687"/>
      <c r="P866" s="687"/>
      <c r="Q866" s="687"/>
      <c r="R866" s="687"/>
      <c r="S866" s="687"/>
      <c r="T866" s="687"/>
      <c r="U866" s="687"/>
      <c r="V866" s="687"/>
      <c r="W866" s="687"/>
      <c r="X866" s="687"/>
      <c r="Y866" s="687"/>
      <c r="Z866" s="687"/>
    </row>
    <row r="867" spans="1:26" ht="12" customHeight="1">
      <c r="A867" s="687"/>
      <c r="B867" s="687"/>
      <c r="C867" s="687"/>
      <c r="D867" s="687"/>
      <c r="E867" s="687"/>
      <c r="F867" s="687"/>
      <c r="G867" s="687"/>
      <c r="H867" s="687"/>
      <c r="I867" s="687"/>
      <c r="J867" s="687"/>
      <c r="K867" s="687"/>
      <c r="L867" s="687"/>
      <c r="M867" s="687"/>
      <c r="N867" s="687"/>
      <c r="O867" s="687"/>
      <c r="P867" s="687"/>
      <c r="Q867" s="687"/>
      <c r="R867" s="687"/>
      <c r="S867" s="687"/>
      <c r="T867" s="687"/>
      <c r="U867" s="687"/>
      <c r="V867" s="687"/>
      <c r="W867" s="687"/>
      <c r="X867" s="687"/>
      <c r="Y867" s="687"/>
      <c r="Z867" s="687"/>
    </row>
    <row r="868" spans="1:26" ht="12" customHeight="1">
      <c r="A868" s="687"/>
      <c r="B868" s="687"/>
      <c r="C868" s="687"/>
      <c r="D868" s="687"/>
      <c r="E868" s="687"/>
      <c r="F868" s="687"/>
      <c r="G868" s="687"/>
      <c r="H868" s="687"/>
      <c r="I868" s="687"/>
      <c r="J868" s="687"/>
      <c r="K868" s="687"/>
      <c r="L868" s="687"/>
      <c r="M868" s="687"/>
      <c r="N868" s="687"/>
      <c r="O868" s="687"/>
      <c r="P868" s="687"/>
      <c r="Q868" s="687"/>
      <c r="R868" s="687"/>
      <c r="S868" s="687"/>
      <c r="T868" s="687"/>
      <c r="U868" s="687"/>
      <c r="V868" s="687"/>
      <c r="W868" s="687"/>
      <c r="X868" s="687"/>
      <c r="Y868" s="687"/>
      <c r="Z868" s="687"/>
    </row>
    <row r="869" spans="1:26" ht="12" customHeight="1">
      <c r="A869" s="687"/>
      <c r="B869" s="687"/>
      <c r="C869" s="687"/>
      <c r="D869" s="687"/>
      <c r="E869" s="687"/>
      <c r="F869" s="687"/>
      <c r="G869" s="687"/>
      <c r="H869" s="687"/>
      <c r="I869" s="687"/>
      <c r="J869" s="687"/>
      <c r="K869" s="687"/>
      <c r="L869" s="687"/>
      <c r="M869" s="687"/>
      <c r="N869" s="687"/>
      <c r="O869" s="687"/>
      <c r="P869" s="687"/>
      <c r="Q869" s="687"/>
      <c r="R869" s="687"/>
      <c r="S869" s="687"/>
      <c r="T869" s="687"/>
      <c r="U869" s="687"/>
      <c r="V869" s="687"/>
      <c r="W869" s="687"/>
      <c r="X869" s="687"/>
      <c r="Y869" s="687"/>
      <c r="Z869" s="687"/>
    </row>
    <row r="870" spans="1:26" ht="12" customHeight="1">
      <c r="A870" s="687"/>
      <c r="B870" s="687"/>
      <c r="C870" s="687"/>
      <c r="D870" s="687"/>
      <c r="E870" s="687"/>
      <c r="F870" s="687"/>
      <c r="G870" s="687"/>
      <c r="H870" s="687"/>
      <c r="I870" s="687"/>
      <c r="J870" s="687"/>
      <c r="K870" s="687"/>
      <c r="L870" s="687"/>
      <c r="M870" s="687"/>
      <c r="N870" s="687"/>
      <c r="O870" s="687"/>
      <c r="P870" s="687"/>
      <c r="Q870" s="687"/>
      <c r="R870" s="687"/>
      <c r="S870" s="687"/>
      <c r="T870" s="687"/>
      <c r="U870" s="687"/>
      <c r="V870" s="687"/>
      <c r="W870" s="687"/>
      <c r="X870" s="687"/>
      <c r="Y870" s="687"/>
      <c r="Z870" s="687"/>
    </row>
    <row r="871" spans="1:26" ht="12" customHeight="1">
      <c r="A871" s="687"/>
      <c r="B871" s="687"/>
      <c r="C871" s="687"/>
      <c r="D871" s="687"/>
      <c r="E871" s="687"/>
      <c r="F871" s="687"/>
      <c r="G871" s="687"/>
      <c r="H871" s="687"/>
      <c r="I871" s="687"/>
      <c r="J871" s="687"/>
      <c r="K871" s="687"/>
      <c r="L871" s="687"/>
      <c r="M871" s="687"/>
      <c r="N871" s="687"/>
      <c r="O871" s="687"/>
      <c r="P871" s="687"/>
      <c r="Q871" s="687"/>
      <c r="R871" s="687"/>
      <c r="S871" s="687"/>
      <c r="T871" s="687"/>
      <c r="U871" s="687"/>
      <c r="V871" s="687"/>
      <c r="W871" s="687"/>
      <c r="X871" s="687"/>
      <c r="Y871" s="687"/>
      <c r="Z871" s="687"/>
    </row>
    <row r="872" spans="1:26" ht="12" customHeight="1">
      <c r="A872" s="687"/>
      <c r="B872" s="687"/>
      <c r="C872" s="687"/>
      <c r="D872" s="687"/>
      <c r="E872" s="687"/>
      <c r="F872" s="687"/>
      <c r="G872" s="687"/>
      <c r="H872" s="687"/>
      <c r="I872" s="687"/>
      <c r="J872" s="687"/>
      <c r="K872" s="687"/>
      <c r="L872" s="687"/>
      <c r="M872" s="687"/>
      <c r="N872" s="687"/>
      <c r="O872" s="687"/>
      <c r="P872" s="687"/>
      <c r="Q872" s="687"/>
      <c r="R872" s="687"/>
      <c r="S872" s="687"/>
      <c r="T872" s="687"/>
      <c r="U872" s="687"/>
      <c r="V872" s="687"/>
      <c r="W872" s="687"/>
      <c r="X872" s="687"/>
      <c r="Y872" s="687"/>
      <c r="Z872" s="687"/>
    </row>
    <row r="873" spans="1:26" ht="12" customHeight="1">
      <c r="A873" s="687"/>
      <c r="B873" s="687"/>
      <c r="C873" s="687"/>
      <c r="D873" s="687"/>
      <c r="E873" s="687"/>
      <c r="F873" s="687"/>
      <c r="G873" s="687"/>
      <c r="H873" s="687"/>
      <c r="I873" s="687"/>
      <c r="J873" s="687"/>
      <c r="K873" s="687"/>
      <c r="L873" s="687"/>
      <c r="M873" s="687"/>
      <c r="N873" s="687"/>
      <c r="O873" s="687"/>
      <c r="P873" s="687"/>
      <c r="Q873" s="687"/>
      <c r="R873" s="687"/>
      <c r="S873" s="687"/>
      <c r="T873" s="687"/>
      <c r="U873" s="687"/>
      <c r="V873" s="687"/>
      <c r="W873" s="687"/>
      <c r="X873" s="687"/>
      <c r="Y873" s="687"/>
      <c r="Z873" s="687"/>
    </row>
    <row r="874" spans="1:26" ht="12" customHeight="1">
      <c r="A874" s="687"/>
      <c r="B874" s="687"/>
      <c r="C874" s="687"/>
      <c r="D874" s="687"/>
      <c r="E874" s="687"/>
      <c r="F874" s="687"/>
      <c r="G874" s="687"/>
      <c r="H874" s="687"/>
      <c r="I874" s="687"/>
      <c r="J874" s="687"/>
      <c r="K874" s="687"/>
      <c r="L874" s="687"/>
      <c r="M874" s="687"/>
      <c r="N874" s="687"/>
      <c r="O874" s="687"/>
      <c r="P874" s="687"/>
      <c r="Q874" s="687"/>
      <c r="R874" s="687"/>
      <c r="S874" s="687"/>
      <c r="T874" s="687"/>
      <c r="U874" s="687"/>
      <c r="V874" s="687"/>
      <c r="W874" s="687"/>
      <c r="X874" s="687"/>
      <c r="Y874" s="687"/>
      <c r="Z874" s="687"/>
    </row>
    <row r="875" spans="1:26" ht="12" customHeight="1">
      <c r="A875" s="687"/>
      <c r="B875" s="687"/>
      <c r="C875" s="687"/>
      <c r="D875" s="687"/>
      <c r="E875" s="687"/>
      <c r="F875" s="687"/>
      <c r="G875" s="687"/>
      <c r="H875" s="687"/>
      <c r="I875" s="687"/>
      <c r="J875" s="687"/>
      <c r="K875" s="687"/>
      <c r="L875" s="687"/>
      <c r="M875" s="687"/>
      <c r="N875" s="687"/>
      <c r="O875" s="687"/>
      <c r="P875" s="687"/>
      <c r="Q875" s="687"/>
      <c r="R875" s="687"/>
      <c r="S875" s="687"/>
      <c r="T875" s="687"/>
      <c r="U875" s="687"/>
      <c r="V875" s="687"/>
      <c r="W875" s="687"/>
      <c r="X875" s="687"/>
      <c r="Y875" s="687"/>
      <c r="Z875" s="687"/>
    </row>
    <row r="876" spans="1:26" ht="12" customHeight="1">
      <c r="A876" s="687"/>
      <c r="B876" s="687"/>
      <c r="C876" s="687"/>
      <c r="D876" s="687"/>
      <c r="E876" s="687"/>
      <c r="F876" s="687"/>
      <c r="G876" s="687"/>
      <c r="H876" s="687"/>
      <c r="I876" s="687"/>
      <c r="J876" s="687"/>
      <c r="K876" s="687"/>
      <c r="L876" s="687"/>
      <c r="M876" s="687"/>
      <c r="N876" s="687"/>
      <c r="O876" s="687"/>
      <c r="P876" s="687"/>
      <c r="Q876" s="687"/>
      <c r="R876" s="687"/>
      <c r="S876" s="687"/>
      <c r="T876" s="687"/>
      <c r="U876" s="687"/>
      <c r="V876" s="687"/>
      <c r="W876" s="687"/>
      <c r="X876" s="687"/>
      <c r="Y876" s="687"/>
      <c r="Z876" s="687"/>
    </row>
    <row r="877" spans="1:26" ht="12" customHeight="1">
      <c r="A877" s="687"/>
      <c r="B877" s="687"/>
      <c r="C877" s="687"/>
      <c r="D877" s="687"/>
      <c r="E877" s="687"/>
      <c r="F877" s="687"/>
      <c r="G877" s="687"/>
      <c r="H877" s="687"/>
      <c r="I877" s="687"/>
      <c r="J877" s="687"/>
      <c r="K877" s="687"/>
      <c r="L877" s="687"/>
      <c r="M877" s="687"/>
      <c r="N877" s="687"/>
      <c r="O877" s="687"/>
      <c r="P877" s="687"/>
      <c r="Q877" s="687"/>
      <c r="R877" s="687"/>
      <c r="S877" s="687"/>
      <c r="T877" s="687"/>
      <c r="U877" s="687"/>
      <c r="V877" s="687"/>
      <c r="W877" s="687"/>
      <c r="X877" s="687"/>
      <c r="Y877" s="687"/>
      <c r="Z877" s="687"/>
    </row>
    <row r="878" spans="1:26" ht="12" customHeight="1">
      <c r="A878" s="687"/>
      <c r="B878" s="687"/>
      <c r="C878" s="687"/>
      <c r="D878" s="687"/>
      <c r="E878" s="687"/>
      <c r="F878" s="687"/>
      <c r="G878" s="687"/>
      <c r="H878" s="687"/>
      <c r="I878" s="687"/>
      <c r="J878" s="687"/>
      <c r="K878" s="687"/>
      <c r="L878" s="687"/>
      <c r="M878" s="687"/>
      <c r="N878" s="687"/>
      <c r="O878" s="687"/>
      <c r="P878" s="687"/>
      <c r="Q878" s="687"/>
      <c r="R878" s="687"/>
      <c r="S878" s="687"/>
      <c r="T878" s="687"/>
      <c r="U878" s="687"/>
      <c r="V878" s="687"/>
      <c r="W878" s="687"/>
      <c r="X878" s="687"/>
      <c r="Y878" s="687"/>
      <c r="Z878" s="687"/>
    </row>
    <row r="879" spans="1:26" ht="12" customHeight="1">
      <c r="A879" s="687"/>
      <c r="B879" s="687"/>
      <c r="C879" s="687"/>
      <c r="D879" s="687"/>
      <c r="E879" s="687"/>
      <c r="F879" s="687"/>
      <c r="G879" s="687"/>
      <c r="H879" s="687"/>
      <c r="I879" s="687"/>
      <c r="J879" s="687"/>
      <c r="K879" s="687"/>
      <c r="L879" s="687"/>
      <c r="M879" s="687"/>
      <c r="N879" s="687"/>
      <c r="O879" s="687"/>
      <c r="P879" s="687"/>
      <c r="Q879" s="687"/>
      <c r="R879" s="687"/>
      <c r="S879" s="687"/>
      <c r="T879" s="687"/>
      <c r="U879" s="687"/>
      <c r="V879" s="687"/>
      <c r="W879" s="687"/>
      <c r="X879" s="687"/>
      <c r="Y879" s="687"/>
      <c r="Z879" s="687"/>
    </row>
    <row r="880" spans="1:26" ht="12" customHeight="1">
      <c r="A880" s="687"/>
      <c r="B880" s="687"/>
      <c r="C880" s="687"/>
      <c r="D880" s="687"/>
      <c r="E880" s="687"/>
      <c r="F880" s="687"/>
      <c r="G880" s="687"/>
      <c r="H880" s="687"/>
      <c r="I880" s="687"/>
      <c r="J880" s="687"/>
      <c r="K880" s="687"/>
      <c r="L880" s="687"/>
      <c r="M880" s="687"/>
      <c r="N880" s="687"/>
      <c r="O880" s="687"/>
      <c r="P880" s="687"/>
      <c r="Q880" s="687"/>
      <c r="R880" s="687"/>
      <c r="S880" s="687"/>
      <c r="T880" s="687"/>
      <c r="U880" s="687"/>
      <c r="V880" s="687"/>
      <c r="W880" s="687"/>
      <c r="X880" s="687"/>
      <c r="Y880" s="687"/>
      <c r="Z880" s="687"/>
    </row>
    <row r="881" spans="1:26" ht="12" customHeight="1">
      <c r="A881" s="687"/>
      <c r="B881" s="687"/>
      <c r="C881" s="687"/>
      <c r="D881" s="687"/>
      <c r="E881" s="687"/>
      <c r="F881" s="687"/>
      <c r="G881" s="687"/>
      <c r="H881" s="687"/>
      <c r="I881" s="687"/>
      <c r="J881" s="687"/>
      <c r="K881" s="687"/>
      <c r="L881" s="687"/>
      <c r="M881" s="687"/>
      <c r="N881" s="687"/>
      <c r="O881" s="687"/>
      <c r="P881" s="687"/>
      <c r="Q881" s="687"/>
      <c r="R881" s="687"/>
      <c r="S881" s="687"/>
      <c r="T881" s="687"/>
      <c r="U881" s="687"/>
      <c r="V881" s="687"/>
      <c r="W881" s="687"/>
      <c r="X881" s="687"/>
      <c r="Y881" s="687"/>
      <c r="Z881" s="687"/>
    </row>
    <row r="882" spans="1:26" ht="12" customHeight="1">
      <c r="A882" s="687"/>
      <c r="B882" s="687"/>
      <c r="C882" s="687"/>
      <c r="D882" s="687"/>
      <c r="E882" s="687"/>
      <c r="F882" s="687"/>
      <c r="G882" s="687"/>
      <c r="H882" s="687"/>
      <c r="I882" s="687"/>
      <c r="J882" s="687"/>
      <c r="K882" s="687"/>
      <c r="L882" s="687"/>
      <c r="M882" s="687"/>
      <c r="N882" s="687"/>
      <c r="O882" s="687"/>
      <c r="P882" s="687"/>
      <c r="Q882" s="687"/>
      <c r="R882" s="687"/>
      <c r="S882" s="687"/>
      <c r="T882" s="687"/>
      <c r="U882" s="687"/>
      <c r="V882" s="687"/>
      <c r="W882" s="687"/>
      <c r="X882" s="687"/>
      <c r="Y882" s="687"/>
      <c r="Z882" s="687"/>
    </row>
    <row r="883" spans="1:26" ht="12" customHeight="1">
      <c r="A883" s="687"/>
      <c r="B883" s="687"/>
      <c r="C883" s="687"/>
      <c r="D883" s="687"/>
      <c r="E883" s="687"/>
      <c r="F883" s="687"/>
      <c r="G883" s="687"/>
      <c r="H883" s="687"/>
      <c r="I883" s="687"/>
      <c r="J883" s="687"/>
      <c r="K883" s="687"/>
      <c r="L883" s="687"/>
      <c r="M883" s="687"/>
      <c r="N883" s="687"/>
      <c r="O883" s="687"/>
      <c r="P883" s="687"/>
      <c r="Q883" s="687"/>
      <c r="R883" s="687"/>
      <c r="S883" s="687"/>
      <c r="T883" s="687"/>
      <c r="U883" s="687"/>
      <c r="V883" s="687"/>
      <c r="W883" s="687"/>
      <c r="X883" s="687"/>
      <c r="Y883" s="687"/>
      <c r="Z883" s="687"/>
    </row>
    <row r="884" spans="1:26" ht="12" customHeight="1">
      <c r="A884" s="687"/>
      <c r="B884" s="687"/>
      <c r="C884" s="687"/>
      <c r="D884" s="687"/>
      <c r="E884" s="687"/>
      <c r="F884" s="687"/>
      <c r="G884" s="687"/>
      <c r="H884" s="687"/>
      <c r="I884" s="687"/>
      <c r="J884" s="687"/>
      <c r="K884" s="687"/>
      <c r="L884" s="687"/>
      <c r="M884" s="687"/>
      <c r="N884" s="687"/>
      <c r="O884" s="687"/>
      <c r="P884" s="687"/>
      <c r="Q884" s="687"/>
      <c r="R884" s="687"/>
      <c r="S884" s="687"/>
      <c r="T884" s="687"/>
      <c r="U884" s="687"/>
      <c r="V884" s="687"/>
      <c r="W884" s="687"/>
      <c r="X884" s="687"/>
      <c r="Y884" s="687"/>
      <c r="Z884" s="687"/>
    </row>
    <row r="885" spans="1:26" ht="12" customHeight="1">
      <c r="A885" s="687"/>
      <c r="B885" s="687"/>
      <c r="C885" s="687"/>
      <c r="D885" s="687"/>
      <c r="E885" s="687"/>
      <c r="F885" s="687"/>
      <c r="G885" s="687"/>
      <c r="H885" s="687"/>
      <c r="I885" s="687"/>
      <c r="J885" s="687"/>
      <c r="K885" s="687"/>
      <c r="L885" s="687"/>
      <c r="M885" s="687"/>
      <c r="N885" s="687"/>
      <c r="O885" s="687"/>
      <c r="P885" s="687"/>
      <c r="Q885" s="687"/>
      <c r="R885" s="687"/>
      <c r="S885" s="687"/>
      <c r="T885" s="687"/>
      <c r="U885" s="687"/>
      <c r="V885" s="687"/>
      <c r="W885" s="687"/>
      <c r="X885" s="687"/>
      <c r="Y885" s="687"/>
      <c r="Z885" s="687"/>
    </row>
    <row r="886" spans="1:26" ht="12" customHeight="1">
      <c r="A886" s="687"/>
      <c r="B886" s="687"/>
      <c r="C886" s="687"/>
      <c r="D886" s="687"/>
      <c r="E886" s="687"/>
      <c r="F886" s="687"/>
      <c r="G886" s="687"/>
      <c r="H886" s="687"/>
      <c r="I886" s="687"/>
      <c r="J886" s="687"/>
      <c r="K886" s="687"/>
      <c r="L886" s="687"/>
      <c r="M886" s="687"/>
      <c r="N886" s="687"/>
      <c r="O886" s="687"/>
      <c r="P886" s="687"/>
      <c r="Q886" s="687"/>
      <c r="R886" s="687"/>
      <c r="S886" s="687"/>
      <c r="T886" s="687"/>
      <c r="U886" s="687"/>
      <c r="V886" s="687"/>
      <c r="W886" s="687"/>
      <c r="X886" s="687"/>
      <c r="Y886" s="687"/>
      <c r="Z886" s="687"/>
    </row>
    <row r="887" spans="1:26" ht="12" customHeight="1">
      <c r="A887" s="687"/>
      <c r="B887" s="687"/>
      <c r="C887" s="687"/>
      <c r="D887" s="687"/>
      <c r="E887" s="687"/>
      <c r="F887" s="687"/>
      <c r="G887" s="687"/>
      <c r="H887" s="687"/>
      <c r="I887" s="687"/>
      <c r="J887" s="687"/>
      <c r="K887" s="687"/>
      <c r="L887" s="687"/>
      <c r="M887" s="687"/>
      <c r="N887" s="687"/>
      <c r="O887" s="687"/>
      <c r="P887" s="687"/>
      <c r="Q887" s="687"/>
      <c r="R887" s="687"/>
      <c r="S887" s="687"/>
      <c r="T887" s="687"/>
      <c r="U887" s="687"/>
      <c r="V887" s="687"/>
      <c r="W887" s="687"/>
      <c r="X887" s="687"/>
      <c r="Y887" s="687"/>
      <c r="Z887" s="687"/>
    </row>
    <row r="888" spans="1:26" ht="12" customHeight="1">
      <c r="A888" s="687"/>
      <c r="B888" s="687"/>
      <c r="C888" s="687"/>
      <c r="D888" s="687"/>
      <c r="E888" s="687"/>
      <c r="F888" s="687"/>
      <c r="G888" s="687"/>
      <c r="H888" s="687"/>
      <c r="I888" s="687"/>
      <c r="J888" s="687"/>
      <c r="K888" s="687"/>
      <c r="L888" s="687"/>
      <c r="M888" s="687"/>
      <c r="N888" s="687"/>
      <c r="O888" s="687"/>
      <c r="P888" s="687"/>
      <c r="Q888" s="687"/>
      <c r="R888" s="687"/>
      <c r="S888" s="687"/>
      <c r="T888" s="687"/>
      <c r="U888" s="687"/>
      <c r="V888" s="687"/>
      <c r="W888" s="687"/>
      <c r="X888" s="687"/>
      <c r="Y888" s="687"/>
      <c r="Z888" s="687"/>
    </row>
    <row r="889" spans="1:26" ht="12" customHeight="1">
      <c r="A889" s="687"/>
      <c r="B889" s="687"/>
      <c r="C889" s="687"/>
      <c r="D889" s="687"/>
      <c r="E889" s="687"/>
      <c r="F889" s="687"/>
      <c r="G889" s="687"/>
      <c r="H889" s="687"/>
      <c r="I889" s="687"/>
      <c r="J889" s="687"/>
      <c r="K889" s="687"/>
      <c r="L889" s="687"/>
      <c r="M889" s="687"/>
      <c r="N889" s="687"/>
      <c r="O889" s="687"/>
      <c r="P889" s="687"/>
      <c r="Q889" s="687"/>
      <c r="R889" s="687"/>
      <c r="S889" s="687"/>
      <c r="T889" s="687"/>
      <c r="U889" s="687"/>
      <c r="V889" s="687"/>
      <c r="W889" s="687"/>
      <c r="X889" s="687"/>
      <c r="Y889" s="687"/>
      <c r="Z889" s="687"/>
    </row>
    <row r="890" spans="1:26" ht="12" customHeight="1">
      <c r="A890" s="687"/>
      <c r="B890" s="687"/>
      <c r="C890" s="687"/>
      <c r="D890" s="687"/>
      <c r="E890" s="687"/>
      <c r="F890" s="687"/>
      <c r="G890" s="687"/>
      <c r="H890" s="687"/>
      <c r="I890" s="687"/>
      <c r="J890" s="687"/>
      <c r="K890" s="687"/>
      <c r="L890" s="687"/>
      <c r="M890" s="687"/>
      <c r="N890" s="687"/>
      <c r="O890" s="687"/>
      <c r="P890" s="687"/>
      <c r="Q890" s="687"/>
      <c r="R890" s="687"/>
      <c r="S890" s="687"/>
      <c r="T890" s="687"/>
      <c r="U890" s="687"/>
      <c r="V890" s="687"/>
      <c r="W890" s="687"/>
      <c r="X890" s="687"/>
      <c r="Y890" s="687"/>
      <c r="Z890" s="687"/>
    </row>
    <row r="891" spans="1:26" ht="12" customHeight="1">
      <c r="A891" s="687"/>
      <c r="B891" s="687"/>
      <c r="C891" s="687"/>
      <c r="D891" s="687"/>
      <c r="E891" s="687"/>
      <c r="F891" s="687"/>
      <c r="G891" s="687"/>
      <c r="H891" s="687"/>
      <c r="I891" s="687"/>
      <c r="J891" s="687"/>
      <c r="K891" s="687"/>
      <c r="L891" s="687"/>
      <c r="M891" s="687"/>
      <c r="N891" s="687"/>
      <c r="O891" s="687"/>
      <c r="P891" s="687"/>
      <c r="Q891" s="687"/>
      <c r="R891" s="687"/>
      <c r="S891" s="687"/>
      <c r="T891" s="687"/>
      <c r="U891" s="687"/>
      <c r="V891" s="687"/>
      <c r="W891" s="687"/>
      <c r="X891" s="687"/>
      <c r="Y891" s="687"/>
      <c r="Z891" s="687"/>
    </row>
    <row r="892" spans="1:26" ht="12" customHeight="1">
      <c r="A892" s="687"/>
      <c r="B892" s="687"/>
      <c r="C892" s="687"/>
      <c r="D892" s="687"/>
      <c r="E892" s="687"/>
      <c r="F892" s="687"/>
      <c r="G892" s="687"/>
      <c r="H892" s="687"/>
      <c r="I892" s="687"/>
      <c r="J892" s="687"/>
      <c r="K892" s="687"/>
      <c r="L892" s="687"/>
      <c r="M892" s="687"/>
      <c r="N892" s="687"/>
      <c r="O892" s="687"/>
      <c r="P892" s="687"/>
      <c r="Q892" s="687"/>
      <c r="R892" s="687"/>
      <c r="S892" s="687"/>
      <c r="T892" s="687"/>
      <c r="U892" s="687"/>
      <c r="V892" s="687"/>
      <c r="W892" s="687"/>
      <c r="X892" s="687"/>
      <c r="Y892" s="687"/>
      <c r="Z892" s="687"/>
    </row>
    <row r="893" spans="1:26" ht="12" customHeight="1">
      <c r="A893" s="687"/>
      <c r="B893" s="687"/>
      <c r="C893" s="687"/>
      <c r="D893" s="687"/>
      <c r="E893" s="687"/>
      <c r="F893" s="687"/>
      <c r="G893" s="687"/>
      <c r="H893" s="687"/>
      <c r="I893" s="687"/>
      <c r="J893" s="687"/>
      <c r="K893" s="687"/>
      <c r="L893" s="687"/>
      <c r="M893" s="687"/>
      <c r="N893" s="687"/>
      <c r="O893" s="687"/>
      <c r="P893" s="687"/>
      <c r="Q893" s="687"/>
      <c r="R893" s="687"/>
      <c r="S893" s="687"/>
      <c r="T893" s="687"/>
      <c r="U893" s="687"/>
      <c r="V893" s="687"/>
      <c r="W893" s="687"/>
      <c r="X893" s="687"/>
      <c r="Y893" s="687"/>
      <c r="Z893" s="687"/>
    </row>
    <row r="894" spans="1:26" ht="12" customHeight="1">
      <c r="A894" s="687"/>
      <c r="B894" s="687"/>
      <c r="C894" s="687"/>
      <c r="D894" s="687"/>
      <c r="E894" s="687"/>
      <c r="F894" s="687"/>
      <c r="G894" s="687"/>
      <c r="H894" s="687"/>
      <c r="I894" s="687"/>
      <c r="J894" s="687"/>
      <c r="K894" s="687"/>
      <c r="L894" s="687"/>
      <c r="M894" s="687"/>
      <c r="N894" s="687"/>
      <c r="O894" s="687"/>
      <c r="P894" s="687"/>
      <c r="Q894" s="687"/>
      <c r="R894" s="687"/>
      <c r="S894" s="687"/>
      <c r="T894" s="687"/>
      <c r="U894" s="687"/>
      <c r="V894" s="687"/>
      <c r="W894" s="687"/>
      <c r="X894" s="687"/>
      <c r="Y894" s="687"/>
      <c r="Z894" s="687"/>
    </row>
    <row r="895" spans="1:26" ht="12" customHeight="1">
      <c r="A895" s="687"/>
      <c r="B895" s="687"/>
      <c r="C895" s="687"/>
      <c r="D895" s="687"/>
      <c r="E895" s="687"/>
      <c r="F895" s="687"/>
      <c r="G895" s="687"/>
      <c r="H895" s="687"/>
      <c r="I895" s="687"/>
      <c r="J895" s="687"/>
      <c r="K895" s="687"/>
      <c r="L895" s="687"/>
      <c r="M895" s="687"/>
      <c r="N895" s="687"/>
      <c r="O895" s="687"/>
      <c r="P895" s="687"/>
      <c r="Q895" s="687"/>
      <c r="R895" s="687"/>
      <c r="S895" s="687"/>
      <c r="T895" s="687"/>
      <c r="U895" s="687"/>
      <c r="V895" s="687"/>
      <c r="W895" s="687"/>
      <c r="X895" s="687"/>
      <c r="Y895" s="687"/>
      <c r="Z895" s="687"/>
    </row>
    <row r="896" spans="1:26" ht="12" customHeight="1">
      <c r="A896" s="687"/>
      <c r="B896" s="687"/>
      <c r="C896" s="687"/>
      <c r="D896" s="687"/>
      <c r="E896" s="687"/>
      <c r="F896" s="687"/>
      <c r="G896" s="687"/>
      <c r="H896" s="687"/>
      <c r="I896" s="687"/>
      <c r="J896" s="687"/>
      <c r="K896" s="687"/>
      <c r="L896" s="687"/>
      <c r="M896" s="687"/>
      <c r="N896" s="687"/>
      <c r="O896" s="687"/>
      <c r="P896" s="687"/>
      <c r="Q896" s="687"/>
      <c r="R896" s="687"/>
      <c r="S896" s="687"/>
      <c r="T896" s="687"/>
      <c r="U896" s="687"/>
      <c r="V896" s="687"/>
      <c r="W896" s="687"/>
      <c r="X896" s="687"/>
      <c r="Y896" s="687"/>
      <c r="Z896" s="687"/>
    </row>
    <row r="897" spans="1:26" ht="12" customHeight="1">
      <c r="A897" s="687"/>
      <c r="B897" s="687"/>
      <c r="C897" s="687"/>
      <c r="D897" s="687"/>
      <c r="E897" s="687"/>
      <c r="F897" s="687"/>
      <c r="G897" s="687"/>
      <c r="H897" s="687"/>
      <c r="I897" s="687"/>
      <c r="J897" s="687"/>
      <c r="K897" s="687"/>
      <c r="L897" s="687"/>
      <c r="M897" s="687"/>
      <c r="N897" s="687"/>
      <c r="O897" s="687"/>
      <c r="P897" s="687"/>
      <c r="Q897" s="687"/>
      <c r="R897" s="687"/>
      <c r="S897" s="687"/>
      <c r="T897" s="687"/>
      <c r="U897" s="687"/>
      <c r="V897" s="687"/>
      <c r="W897" s="687"/>
      <c r="X897" s="687"/>
      <c r="Y897" s="687"/>
      <c r="Z897" s="687"/>
    </row>
    <row r="898" spans="1:26" ht="12" customHeight="1">
      <c r="A898" s="687"/>
      <c r="B898" s="687"/>
      <c r="C898" s="687"/>
      <c r="D898" s="687"/>
      <c r="E898" s="687"/>
      <c r="F898" s="687"/>
      <c r="G898" s="687"/>
      <c r="H898" s="687"/>
      <c r="I898" s="687"/>
      <c r="J898" s="687"/>
      <c r="K898" s="687"/>
      <c r="L898" s="687"/>
      <c r="M898" s="687"/>
      <c r="N898" s="687"/>
      <c r="O898" s="687"/>
      <c r="P898" s="687"/>
      <c r="Q898" s="687"/>
      <c r="R898" s="687"/>
      <c r="S898" s="687"/>
      <c r="T898" s="687"/>
      <c r="U898" s="687"/>
      <c r="V898" s="687"/>
      <c r="W898" s="687"/>
      <c r="X898" s="687"/>
      <c r="Y898" s="687"/>
      <c r="Z898" s="687"/>
    </row>
    <row r="899" spans="1:26" ht="12" customHeight="1">
      <c r="A899" s="687"/>
      <c r="B899" s="687"/>
      <c r="C899" s="687"/>
      <c r="D899" s="687"/>
      <c r="E899" s="687"/>
      <c r="F899" s="687"/>
      <c r="G899" s="687"/>
      <c r="H899" s="687"/>
      <c r="I899" s="687"/>
      <c r="J899" s="687"/>
      <c r="K899" s="687"/>
      <c r="L899" s="687"/>
      <c r="M899" s="687"/>
      <c r="N899" s="687"/>
      <c r="O899" s="687"/>
      <c r="P899" s="687"/>
      <c r="Q899" s="687"/>
      <c r="R899" s="687"/>
      <c r="S899" s="687"/>
      <c r="T899" s="687"/>
      <c r="U899" s="687"/>
      <c r="V899" s="687"/>
      <c r="W899" s="687"/>
      <c r="X899" s="687"/>
      <c r="Y899" s="687"/>
      <c r="Z899" s="687"/>
    </row>
    <row r="900" spans="1:26" ht="12" customHeight="1">
      <c r="A900" s="687"/>
      <c r="B900" s="687"/>
      <c r="C900" s="687"/>
      <c r="D900" s="687"/>
      <c r="E900" s="687"/>
      <c r="F900" s="687"/>
      <c r="G900" s="687"/>
      <c r="H900" s="687"/>
      <c r="I900" s="687"/>
      <c r="J900" s="687"/>
      <c r="K900" s="687"/>
      <c r="L900" s="687"/>
      <c r="M900" s="687"/>
      <c r="N900" s="687"/>
      <c r="O900" s="687"/>
      <c r="P900" s="687"/>
      <c r="Q900" s="687"/>
      <c r="R900" s="687"/>
      <c r="S900" s="687"/>
      <c r="T900" s="687"/>
      <c r="U900" s="687"/>
      <c r="V900" s="687"/>
      <c r="W900" s="687"/>
      <c r="X900" s="687"/>
      <c r="Y900" s="687"/>
      <c r="Z900" s="687"/>
    </row>
    <row r="901" spans="1:26" ht="12" customHeight="1">
      <c r="A901" s="687"/>
      <c r="B901" s="687"/>
      <c r="C901" s="687"/>
      <c r="D901" s="687"/>
      <c r="E901" s="687"/>
      <c r="F901" s="687"/>
      <c r="G901" s="687"/>
      <c r="H901" s="687"/>
      <c r="I901" s="687"/>
      <c r="J901" s="687"/>
      <c r="K901" s="687"/>
      <c r="L901" s="687"/>
      <c r="M901" s="687"/>
      <c r="N901" s="687"/>
      <c r="O901" s="687"/>
      <c r="P901" s="687"/>
      <c r="Q901" s="687"/>
      <c r="R901" s="687"/>
      <c r="S901" s="687"/>
      <c r="T901" s="687"/>
      <c r="U901" s="687"/>
      <c r="V901" s="687"/>
      <c r="W901" s="687"/>
      <c r="X901" s="687"/>
      <c r="Y901" s="687"/>
      <c r="Z901" s="687"/>
    </row>
    <row r="902" spans="1:26" ht="12" customHeight="1">
      <c r="A902" s="687"/>
      <c r="B902" s="687"/>
      <c r="C902" s="687"/>
      <c r="D902" s="687"/>
      <c r="E902" s="687"/>
      <c r="F902" s="687"/>
      <c r="G902" s="687"/>
      <c r="H902" s="687"/>
      <c r="I902" s="687"/>
      <c r="J902" s="687"/>
      <c r="K902" s="687"/>
      <c r="L902" s="687"/>
      <c r="M902" s="687"/>
      <c r="N902" s="687"/>
      <c r="O902" s="687"/>
      <c r="P902" s="687"/>
      <c r="Q902" s="687"/>
      <c r="R902" s="687"/>
      <c r="S902" s="687"/>
      <c r="T902" s="687"/>
      <c r="U902" s="687"/>
      <c r="V902" s="687"/>
      <c r="W902" s="687"/>
      <c r="X902" s="687"/>
      <c r="Y902" s="687"/>
      <c r="Z902" s="687"/>
    </row>
    <row r="903" spans="1:26" ht="12" customHeight="1">
      <c r="A903" s="687"/>
      <c r="B903" s="687"/>
      <c r="C903" s="687"/>
      <c r="D903" s="687"/>
      <c r="E903" s="687"/>
      <c r="F903" s="687"/>
      <c r="G903" s="687"/>
      <c r="H903" s="687"/>
      <c r="I903" s="687"/>
      <c r="J903" s="687"/>
      <c r="K903" s="687"/>
      <c r="L903" s="687"/>
      <c r="M903" s="687"/>
      <c r="N903" s="687"/>
      <c r="O903" s="687"/>
      <c r="P903" s="687"/>
      <c r="Q903" s="687"/>
      <c r="R903" s="687"/>
      <c r="S903" s="687"/>
      <c r="T903" s="687"/>
      <c r="U903" s="687"/>
      <c r="V903" s="687"/>
      <c r="W903" s="687"/>
      <c r="X903" s="687"/>
      <c r="Y903" s="687"/>
      <c r="Z903" s="687"/>
    </row>
    <row r="904" spans="1:26" ht="12" customHeight="1">
      <c r="A904" s="687"/>
      <c r="B904" s="687"/>
      <c r="C904" s="687"/>
      <c r="D904" s="687"/>
      <c r="E904" s="687"/>
      <c r="F904" s="687"/>
      <c r="G904" s="687"/>
      <c r="H904" s="687"/>
      <c r="I904" s="687"/>
      <c r="J904" s="687"/>
      <c r="K904" s="687"/>
      <c r="L904" s="687"/>
      <c r="M904" s="687"/>
      <c r="N904" s="687"/>
      <c r="O904" s="687"/>
      <c r="P904" s="687"/>
      <c r="Q904" s="687"/>
      <c r="R904" s="687"/>
      <c r="S904" s="687"/>
      <c r="T904" s="687"/>
      <c r="U904" s="687"/>
      <c r="V904" s="687"/>
      <c r="W904" s="687"/>
      <c r="X904" s="687"/>
      <c r="Y904" s="687"/>
      <c r="Z904" s="687"/>
    </row>
    <row r="905" spans="1:26" ht="12" customHeight="1">
      <c r="A905" s="687"/>
      <c r="B905" s="687"/>
      <c r="C905" s="687"/>
      <c r="D905" s="687"/>
      <c r="E905" s="687"/>
      <c r="F905" s="687"/>
      <c r="G905" s="687"/>
      <c r="H905" s="687"/>
      <c r="I905" s="687"/>
      <c r="J905" s="687"/>
      <c r="K905" s="687"/>
      <c r="L905" s="687"/>
      <c r="M905" s="687"/>
      <c r="N905" s="687"/>
      <c r="O905" s="687"/>
      <c r="P905" s="687"/>
      <c r="Q905" s="687"/>
      <c r="R905" s="687"/>
      <c r="S905" s="687"/>
      <c r="T905" s="687"/>
      <c r="U905" s="687"/>
      <c r="V905" s="687"/>
      <c r="W905" s="687"/>
      <c r="X905" s="687"/>
      <c r="Y905" s="687"/>
      <c r="Z905" s="687"/>
    </row>
    <row r="906" spans="1:26" ht="12" customHeight="1">
      <c r="A906" s="687"/>
      <c r="B906" s="687"/>
      <c r="C906" s="687"/>
      <c r="D906" s="687"/>
      <c r="E906" s="687"/>
      <c r="F906" s="687"/>
      <c r="G906" s="687"/>
      <c r="H906" s="687"/>
      <c r="I906" s="687"/>
      <c r="J906" s="687"/>
      <c r="K906" s="687"/>
      <c r="L906" s="687"/>
      <c r="M906" s="687"/>
      <c r="N906" s="687"/>
      <c r="O906" s="687"/>
      <c r="P906" s="687"/>
      <c r="Q906" s="687"/>
      <c r="R906" s="687"/>
      <c r="S906" s="687"/>
      <c r="T906" s="687"/>
      <c r="U906" s="687"/>
      <c r="V906" s="687"/>
      <c r="W906" s="687"/>
      <c r="X906" s="687"/>
      <c r="Y906" s="687"/>
      <c r="Z906" s="687"/>
    </row>
    <row r="907" spans="1:26" ht="12" customHeight="1">
      <c r="A907" s="687"/>
      <c r="B907" s="687"/>
      <c r="C907" s="687"/>
      <c r="D907" s="687"/>
      <c r="E907" s="687"/>
      <c r="F907" s="687"/>
      <c r="G907" s="687"/>
      <c r="H907" s="687"/>
      <c r="I907" s="687"/>
      <c r="J907" s="687"/>
      <c r="K907" s="687"/>
      <c r="L907" s="687"/>
      <c r="M907" s="687"/>
      <c r="N907" s="687"/>
      <c r="O907" s="687"/>
      <c r="P907" s="687"/>
      <c r="Q907" s="687"/>
      <c r="R907" s="687"/>
      <c r="S907" s="687"/>
      <c r="T907" s="687"/>
      <c r="U907" s="687"/>
      <c r="V907" s="687"/>
      <c r="W907" s="687"/>
      <c r="X907" s="687"/>
      <c r="Y907" s="687"/>
      <c r="Z907" s="687"/>
    </row>
    <row r="908" spans="1:26" ht="12" customHeight="1">
      <c r="A908" s="687"/>
      <c r="B908" s="687"/>
      <c r="C908" s="687"/>
      <c r="D908" s="687"/>
      <c r="E908" s="687"/>
      <c r="F908" s="687"/>
      <c r="G908" s="687"/>
      <c r="H908" s="687"/>
      <c r="I908" s="687"/>
      <c r="J908" s="687"/>
      <c r="K908" s="687"/>
      <c r="L908" s="687"/>
      <c r="M908" s="687"/>
      <c r="N908" s="687"/>
      <c r="O908" s="687"/>
      <c r="P908" s="687"/>
      <c r="Q908" s="687"/>
      <c r="R908" s="687"/>
      <c r="S908" s="687"/>
      <c r="T908" s="687"/>
      <c r="U908" s="687"/>
      <c r="V908" s="687"/>
      <c r="W908" s="687"/>
      <c r="X908" s="687"/>
      <c r="Y908" s="687"/>
      <c r="Z908" s="687"/>
    </row>
    <row r="909" spans="1:26" ht="12" customHeight="1">
      <c r="A909" s="687"/>
      <c r="B909" s="687"/>
      <c r="C909" s="687"/>
      <c r="D909" s="687"/>
      <c r="E909" s="687"/>
      <c r="F909" s="687"/>
      <c r="G909" s="687"/>
      <c r="H909" s="687"/>
      <c r="I909" s="687"/>
      <c r="J909" s="687"/>
      <c r="K909" s="687"/>
      <c r="L909" s="687"/>
      <c r="M909" s="687"/>
      <c r="N909" s="687"/>
      <c r="O909" s="687"/>
      <c r="P909" s="687"/>
      <c r="Q909" s="687"/>
      <c r="R909" s="687"/>
      <c r="S909" s="687"/>
      <c r="T909" s="687"/>
      <c r="U909" s="687"/>
      <c r="V909" s="687"/>
      <c r="W909" s="687"/>
      <c r="X909" s="687"/>
      <c r="Y909" s="687"/>
      <c r="Z909" s="687"/>
    </row>
    <row r="910" spans="1:26" ht="12" customHeight="1">
      <c r="A910" s="687"/>
      <c r="B910" s="687"/>
      <c r="C910" s="687"/>
      <c r="D910" s="687"/>
      <c r="E910" s="687"/>
      <c r="F910" s="687"/>
      <c r="G910" s="687"/>
      <c r="H910" s="687"/>
      <c r="I910" s="687"/>
      <c r="J910" s="687"/>
      <c r="K910" s="687"/>
      <c r="L910" s="687"/>
      <c r="M910" s="687"/>
      <c r="N910" s="687"/>
      <c r="O910" s="687"/>
      <c r="P910" s="687"/>
      <c r="Q910" s="687"/>
      <c r="R910" s="687"/>
      <c r="S910" s="687"/>
      <c r="T910" s="687"/>
      <c r="U910" s="687"/>
      <c r="V910" s="687"/>
      <c r="W910" s="687"/>
      <c r="X910" s="687"/>
      <c r="Y910" s="687"/>
      <c r="Z910" s="687"/>
    </row>
    <row r="911" spans="1:26" ht="12" customHeight="1">
      <c r="A911" s="687"/>
      <c r="B911" s="687"/>
      <c r="C911" s="687"/>
      <c r="D911" s="687"/>
      <c r="E911" s="687"/>
      <c r="F911" s="687"/>
      <c r="G911" s="687"/>
      <c r="H911" s="687"/>
      <c r="I911" s="687"/>
      <c r="J911" s="687"/>
      <c r="K911" s="687"/>
      <c r="L911" s="687"/>
      <c r="M911" s="687"/>
      <c r="N911" s="687"/>
      <c r="O911" s="687"/>
      <c r="P911" s="687"/>
      <c r="Q911" s="687"/>
      <c r="R911" s="687"/>
      <c r="S911" s="687"/>
      <c r="T911" s="687"/>
      <c r="U911" s="687"/>
      <c r="V911" s="687"/>
      <c r="W911" s="687"/>
      <c r="X911" s="687"/>
      <c r="Y911" s="687"/>
      <c r="Z911" s="687"/>
    </row>
    <row r="912" spans="1:26" ht="12" customHeight="1">
      <c r="A912" s="687"/>
      <c r="B912" s="687"/>
      <c r="C912" s="687"/>
      <c r="D912" s="687"/>
      <c r="E912" s="687"/>
      <c r="F912" s="687"/>
      <c r="G912" s="687"/>
      <c r="H912" s="687"/>
      <c r="I912" s="687"/>
      <c r="J912" s="687"/>
      <c r="K912" s="687"/>
      <c r="L912" s="687"/>
      <c r="M912" s="687"/>
      <c r="N912" s="687"/>
      <c r="O912" s="687"/>
      <c r="P912" s="687"/>
      <c r="Q912" s="687"/>
      <c r="R912" s="687"/>
      <c r="S912" s="687"/>
      <c r="T912" s="687"/>
      <c r="U912" s="687"/>
      <c r="V912" s="687"/>
      <c r="W912" s="687"/>
      <c r="X912" s="687"/>
      <c r="Y912" s="687"/>
      <c r="Z912" s="687"/>
    </row>
    <row r="913" spans="1:26" ht="12" customHeight="1">
      <c r="A913" s="687"/>
      <c r="B913" s="687"/>
      <c r="C913" s="687"/>
      <c r="D913" s="687"/>
      <c r="E913" s="687"/>
      <c r="F913" s="687"/>
      <c r="G913" s="687"/>
      <c r="H913" s="687"/>
      <c r="I913" s="687"/>
      <c r="J913" s="687"/>
      <c r="K913" s="687"/>
      <c r="L913" s="687"/>
      <c r="M913" s="687"/>
      <c r="N913" s="687"/>
      <c r="O913" s="687"/>
      <c r="P913" s="687"/>
      <c r="Q913" s="687"/>
      <c r="R913" s="687"/>
      <c r="S913" s="687"/>
      <c r="T913" s="687"/>
      <c r="U913" s="687"/>
      <c r="V913" s="687"/>
      <c r="W913" s="687"/>
      <c r="X913" s="687"/>
      <c r="Y913" s="687"/>
      <c r="Z913" s="687"/>
    </row>
    <row r="914" spans="1:26" ht="12" customHeight="1">
      <c r="A914" s="687"/>
      <c r="B914" s="687"/>
      <c r="C914" s="687"/>
      <c r="D914" s="687"/>
      <c r="E914" s="687"/>
      <c r="F914" s="687"/>
      <c r="G914" s="687"/>
      <c r="H914" s="687"/>
      <c r="I914" s="687"/>
      <c r="J914" s="687"/>
      <c r="K914" s="687"/>
      <c r="L914" s="687"/>
      <c r="M914" s="687"/>
      <c r="N914" s="687"/>
      <c r="O914" s="687"/>
      <c r="P914" s="687"/>
      <c r="Q914" s="687"/>
      <c r="R914" s="687"/>
      <c r="S914" s="687"/>
      <c r="T914" s="687"/>
      <c r="U914" s="687"/>
      <c r="V914" s="687"/>
      <c r="W914" s="687"/>
      <c r="X914" s="687"/>
      <c r="Y914" s="687"/>
      <c r="Z914" s="687"/>
    </row>
    <row r="915" spans="1:26" ht="12" customHeight="1">
      <c r="A915" s="687"/>
      <c r="B915" s="687"/>
      <c r="C915" s="687"/>
      <c r="D915" s="687"/>
      <c r="E915" s="687"/>
      <c r="F915" s="687"/>
      <c r="G915" s="687"/>
      <c r="H915" s="687"/>
      <c r="I915" s="687"/>
      <c r="J915" s="687"/>
      <c r="K915" s="687"/>
      <c r="L915" s="687"/>
      <c r="M915" s="687"/>
      <c r="N915" s="687"/>
      <c r="O915" s="687"/>
      <c r="P915" s="687"/>
      <c r="Q915" s="687"/>
      <c r="R915" s="687"/>
      <c r="S915" s="687"/>
      <c r="T915" s="687"/>
      <c r="U915" s="687"/>
      <c r="V915" s="687"/>
      <c r="W915" s="687"/>
      <c r="X915" s="687"/>
      <c r="Y915" s="687"/>
      <c r="Z915" s="687"/>
    </row>
    <row r="916" spans="1:26" ht="12" customHeight="1">
      <c r="A916" s="687"/>
      <c r="B916" s="687"/>
      <c r="C916" s="687"/>
      <c r="D916" s="687"/>
      <c r="E916" s="687"/>
      <c r="F916" s="687"/>
      <c r="G916" s="687"/>
      <c r="H916" s="687"/>
      <c r="I916" s="687"/>
      <c r="J916" s="687"/>
      <c r="K916" s="687"/>
      <c r="L916" s="687"/>
      <c r="M916" s="687"/>
      <c r="N916" s="687"/>
      <c r="O916" s="687"/>
      <c r="P916" s="687"/>
      <c r="Q916" s="687"/>
      <c r="R916" s="687"/>
      <c r="S916" s="687"/>
      <c r="T916" s="687"/>
      <c r="U916" s="687"/>
      <c r="V916" s="687"/>
      <c r="W916" s="687"/>
      <c r="X916" s="687"/>
      <c r="Y916" s="687"/>
      <c r="Z916" s="687"/>
    </row>
    <row r="917" spans="1:26" ht="12" customHeight="1">
      <c r="A917" s="687"/>
      <c r="B917" s="687"/>
      <c r="C917" s="687"/>
      <c r="D917" s="687"/>
      <c r="E917" s="687"/>
      <c r="F917" s="687"/>
      <c r="G917" s="687"/>
      <c r="H917" s="687"/>
      <c r="I917" s="687"/>
      <c r="J917" s="687"/>
      <c r="K917" s="687"/>
      <c r="L917" s="687"/>
      <c r="M917" s="687"/>
      <c r="N917" s="687"/>
      <c r="O917" s="687"/>
      <c r="P917" s="687"/>
      <c r="Q917" s="687"/>
      <c r="R917" s="687"/>
      <c r="S917" s="687"/>
      <c r="T917" s="687"/>
      <c r="U917" s="687"/>
      <c r="V917" s="687"/>
      <c r="W917" s="687"/>
      <c r="X917" s="687"/>
      <c r="Y917" s="687"/>
      <c r="Z917" s="687"/>
    </row>
    <row r="918" spans="1:26" ht="12" customHeight="1">
      <c r="A918" s="687"/>
      <c r="B918" s="687"/>
      <c r="C918" s="687"/>
      <c r="D918" s="687"/>
      <c r="E918" s="687"/>
      <c r="F918" s="687"/>
      <c r="G918" s="687"/>
      <c r="H918" s="687"/>
      <c r="I918" s="687"/>
      <c r="J918" s="687"/>
      <c r="K918" s="687"/>
      <c r="L918" s="687"/>
      <c r="M918" s="687"/>
      <c r="N918" s="687"/>
      <c r="O918" s="687"/>
      <c r="P918" s="687"/>
      <c r="Q918" s="687"/>
      <c r="R918" s="687"/>
      <c r="S918" s="687"/>
      <c r="T918" s="687"/>
      <c r="U918" s="687"/>
      <c r="V918" s="687"/>
      <c r="W918" s="687"/>
      <c r="X918" s="687"/>
      <c r="Y918" s="687"/>
      <c r="Z918" s="687"/>
    </row>
    <row r="919" spans="1:26" ht="12" customHeight="1">
      <c r="A919" s="687"/>
      <c r="B919" s="687"/>
      <c r="C919" s="687"/>
      <c r="D919" s="687"/>
      <c r="E919" s="687"/>
      <c r="F919" s="687"/>
      <c r="G919" s="687"/>
      <c r="H919" s="687"/>
      <c r="I919" s="687"/>
      <c r="J919" s="687"/>
      <c r="K919" s="687"/>
      <c r="L919" s="687"/>
      <c r="M919" s="687"/>
      <c r="N919" s="687"/>
      <c r="O919" s="687"/>
      <c r="P919" s="687"/>
      <c r="Q919" s="687"/>
      <c r="R919" s="687"/>
      <c r="S919" s="687"/>
      <c r="T919" s="687"/>
      <c r="U919" s="687"/>
      <c r="V919" s="687"/>
      <c r="W919" s="687"/>
      <c r="X919" s="687"/>
      <c r="Y919" s="687"/>
      <c r="Z919" s="687"/>
    </row>
    <row r="920" spans="1:26" ht="12" customHeight="1">
      <c r="A920" s="687"/>
      <c r="B920" s="687"/>
      <c r="C920" s="687"/>
      <c r="D920" s="687"/>
      <c r="E920" s="687"/>
      <c r="F920" s="687"/>
      <c r="G920" s="687"/>
      <c r="H920" s="687"/>
      <c r="I920" s="687"/>
      <c r="J920" s="687"/>
      <c r="K920" s="687"/>
      <c r="L920" s="687"/>
      <c r="M920" s="687"/>
      <c r="N920" s="687"/>
      <c r="O920" s="687"/>
      <c r="P920" s="687"/>
      <c r="Q920" s="687"/>
      <c r="R920" s="687"/>
      <c r="S920" s="687"/>
      <c r="T920" s="687"/>
      <c r="U920" s="687"/>
      <c r="V920" s="687"/>
      <c r="W920" s="687"/>
      <c r="X920" s="687"/>
      <c r="Y920" s="687"/>
      <c r="Z920" s="687"/>
    </row>
    <row r="921" spans="1:26" ht="12" customHeight="1">
      <c r="A921" s="687"/>
      <c r="B921" s="687"/>
      <c r="C921" s="687"/>
      <c r="D921" s="687"/>
      <c r="E921" s="687"/>
      <c r="F921" s="687"/>
      <c r="G921" s="687"/>
      <c r="H921" s="687"/>
      <c r="I921" s="687"/>
      <c r="J921" s="687"/>
      <c r="K921" s="687"/>
      <c r="L921" s="687"/>
      <c r="M921" s="687"/>
      <c r="N921" s="687"/>
      <c r="O921" s="687"/>
      <c r="P921" s="687"/>
      <c r="Q921" s="687"/>
      <c r="R921" s="687"/>
      <c r="S921" s="687"/>
      <c r="T921" s="687"/>
      <c r="U921" s="687"/>
      <c r="V921" s="687"/>
      <c r="W921" s="687"/>
      <c r="X921" s="687"/>
      <c r="Y921" s="687"/>
      <c r="Z921" s="687"/>
    </row>
    <row r="922" spans="1:26" ht="12" customHeight="1">
      <c r="A922" s="687"/>
      <c r="B922" s="687"/>
      <c r="C922" s="687"/>
      <c r="D922" s="687"/>
      <c r="E922" s="687"/>
      <c r="F922" s="687"/>
      <c r="G922" s="687"/>
      <c r="H922" s="687"/>
      <c r="I922" s="687"/>
      <c r="J922" s="687"/>
      <c r="K922" s="687"/>
      <c r="L922" s="687"/>
      <c r="M922" s="687"/>
      <c r="N922" s="687"/>
      <c r="O922" s="687"/>
      <c r="P922" s="687"/>
      <c r="Q922" s="687"/>
      <c r="R922" s="687"/>
      <c r="S922" s="687"/>
      <c r="T922" s="687"/>
      <c r="U922" s="687"/>
      <c r="V922" s="687"/>
      <c r="W922" s="687"/>
      <c r="X922" s="687"/>
      <c r="Y922" s="687"/>
      <c r="Z922" s="687"/>
    </row>
    <row r="923" spans="1:26" ht="12" customHeight="1">
      <c r="A923" s="687"/>
      <c r="B923" s="687"/>
      <c r="C923" s="687"/>
      <c r="D923" s="687"/>
      <c r="E923" s="687"/>
      <c r="F923" s="687"/>
      <c r="G923" s="687"/>
      <c r="H923" s="687"/>
      <c r="I923" s="687"/>
      <c r="J923" s="687"/>
      <c r="K923" s="687"/>
      <c r="L923" s="687"/>
      <c r="M923" s="687"/>
      <c r="N923" s="687"/>
      <c r="O923" s="687"/>
      <c r="P923" s="687"/>
      <c r="Q923" s="687"/>
      <c r="R923" s="687"/>
      <c r="S923" s="687"/>
      <c r="T923" s="687"/>
      <c r="U923" s="687"/>
      <c r="V923" s="687"/>
      <c r="W923" s="687"/>
      <c r="X923" s="687"/>
      <c r="Y923" s="687"/>
      <c r="Z923" s="687"/>
    </row>
    <row r="924" spans="1:26" ht="12" customHeight="1">
      <c r="A924" s="687"/>
      <c r="B924" s="687"/>
      <c r="C924" s="687"/>
      <c r="D924" s="687"/>
      <c r="E924" s="687"/>
      <c r="F924" s="687"/>
      <c r="G924" s="687"/>
      <c r="H924" s="687"/>
      <c r="I924" s="687"/>
      <c r="J924" s="687"/>
      <c r="K924" s="687"/>
      <c r="L924" s="687"/>
      <c r="M924" s="687"/>
      <c r="N924" s="687"/>
      <c r="O924" s="687"/>
      <c r="P924" s="687"/>
      <c r="Q924" s="687"/>
      <c r="R924" s="687"/>
      <c r="S924" s="687"/>
      <c r="T924" s="687"/>
      <c r="U924" s="687"/>
      <c r="V924" s="687"/>
      <c r="W924" s="687"/>
      <c r="X924" s="687"/>
      <c r="Y924" s="687"/>
      <c r="Z924" s="687"/>
    </row>
    <row r="925" spans="1:26" ht="12" customHeight="1">
      <c r="A925" s="687"/>
      <c r="B925" s="687"/>
      <c r="C925" s="687"/>
      <c r="D925" s="687"/>
      <c r="E925" s="687"/>
      <c r="F925" s="687"/>
      <c r="G925" s="687"/>
      <c r="H925" s="687"/>
      <c r="I925" s="687"/>
      <c r="J925" s="687"/>
      <c r="K925" s="687"/>
      <c r="L925" s="687"/>
      <c r="M925" s="687"/>
      <c r="N925" s="687"/>
      <c r="O925" s="687"/>
      <c r="P925" s="687"/>
      <c r="Q925" s="687"/>
      <c r="R925" s="687"/>
      <c r="S925" s="687"/>
      <c r="T925" s="687"/>
      <c r="U925" s="687"/>
      <c r="V925" s="687"/>
      <c r="W925" s="687"/>
      <c r="X925" s="687"/>
      <c r="Y925" s="687"/>
      <c r="Z925" s="687"/>
    </row>
    <row r="926" spans="1:26" ht="12" customHeight="1">
      <c r="A926" s="687"/>
      <c r="B926" s="687"/>
      <c r="C926" s="687"/>
      <c r="D926" s="687"/>
      <c r="E926" s="687"/>
      <c r="F926" s="687"/>
      <c r="G926" s="687"/>
      <c r="H926" s="687"/>
      <c r="I926" s="687"/>
      <c r="J926" s="687"/>
      <c r="K926" s="687"/>
      <c r="L926" s="687"/>
      <c r="M926" s="687"/>
      <c r="N926" s="687"/>
      <c r="O926" s="687"/>
      <c r="P926" s="687"/>
      <c r="Q926" s="687"/>
      <c r="R926" s="687"/>
      <c r="S926" s="687"/>
      <c r="T926" s="687"/>
      <c r="U926" s="687"/>
      <c r="V926" s="687"/>
      <c r="W926" s="687"/>
      <c r="X926" s="687"/>
      <c r="Y926" s="687"/>
      <c r="Z926" s="687"/>
    </row>
    <row r="927" spans="1:26" ht="12" customHeight="1">
      <c r="A927" s="687"/>
      <c r="B927" s="687"/>
      <c r="C927" s="687"/>
      <c r="D927" s="687"/>
      <c r="E927" s="687"/>
      <c r="F927" s="687"/>
      <c r="G927" s="687"/>
      <c r="H927" s="687"/>
      <c r="I927" s="687"/>
      <c r="J927" s="687"/>
      <c r="K927" s="687"/>
      <c r="L927" s="687"/>
      <c r="M927" s="687"/>
      <c r="N927" s="687"/>
      <c r="O927" s="687"/>
      <c r="P927" s="687"/>
      <c r="Q927" s="687"/>
      <c r="R927" s="687"/>
      <c r="S927" s="687"/>
      <c r="T927" s="687"/>
      <c r="U927" s="687"/>
      <c r="V927" s="687"/>
      <c r="W927" s="687"/>
      <c r="X927" s="687"/>
      <c r="Y927" s="687"/>
      <c r="Z927" s="687"/>
    </row>
    <row r="928" spans="1:26" ht="12" customHeight="1">
      <c r="A928" s="687"/>
      <c r="B928" s="687"/>
      <c r="C928" s="687"/>
      <c r="D928" s="687"/>
      <c r="E928" s="687"/>
      <c r="F928" s="687"/>
      <c r="G928" s="687"/>
      <c r="H928" s="687"/>
      <c r="I928" s="687"/>
      <c r="J928" s="687"/>
      <c r="K928" s="687"/>
      <c r="L928" s="687"/>
      <c r="M928" s="687"/>
      <c r="N928" s="687"/>
      <c r="O928" s="687"/>
      <c r="P928" s="687"/>
      <c r="Q928" s="687"/>
      <c r="R928" s="687"/>
      <c r="S928" s="687"/>
      <c r="T928" s="687"/>
      <c r="U928" s="687"/>
      <c r="V928" s="687"/>
      <c r="W928" s="687"/>
      <c r="X928" s="687"/>
      <c r="Y928" s="687"/>
      <c r="Z928" s="687"/>
    </row>
    <row r="929" spans="1:26" ht="12" customHeight="1">
      <c r="A929" s="687"/>
      <c r="B929" s="687"/>
      <c r="C929" s="687"/>
      <c r="D929" s="687"/>
      <c r="E929" s="687"/>
      <c r="F929" s="687"/>
      <c r="G929" s="687"/>
      <c r="H929" s="687"/>
      <c r="I929" s="687"/>
      <c r="J929" s="687"/>
      <c r="K929" s="687"/>
      <c r="L929" s="687"/>
      <c r="M929" s="687"/>
      <c r="N929" s="687"/>
      <c r="O929" s="687"/>
      <c r="P929" s="687"/>
      <c r="Q929" s="687"/>
      <c r="R929" s="687"/>
      <c r="S929" s="687"/>
      <c r="T929" s="687"/>
      <c r="U929" s="687"/>
      <c r="V929" s="687"/>
      <c r="W929" s="687"/>
      <c r="X929" s="687"/>
      <c r="Y929" s="687"/>
      <c r="Z929" s="687"/>
    </row>
    <row r="930" spans="1:26" ht="12" customHeight="1">
      <c r="A930" s="687"/>
      <c r="B930" s="687"/>
      <c r="C930" s="687"/>
      <c r="D930" s="687"/>
      <c r="E930" s="687"/>
      <c r="F930" s="687"/>
      <c r="G930" s="687"/>
      <c r="H930" s="687"/>
      <c r="I930" s="687"/>
      <c r="J930" s="687"/>
      <c r="K930" s="687"/>
      <c r="L930" s="687"/>
      <c r="M930" s="687"/>
      <c r="N930" s="687"/>
      <c r="O930" s="687"/>
      <c r="P930" s="687"/>
      <c r="Q930" s="687"/>
      <c r="R930" s="687"/>
      <c r="S930" s="687"/>
      <c r="T930" s="687"/>
      <c r="U930" s="687"/>
      <c r="V930" s="687"/>
      <c r="W930" s="687"/>
      <c r="X930" s="687"/>
      <c r="Y930" s="687"/>
      <c r="Z930" s="687"/>
    </row>
    <row r="931" spans="1:26" ht="12" customHeight="1">
      <c r="A931" s="687"/>
      <c r="B931" s="687"/>
      <c r="C931" s="687"/>
      <c r="D931" s="687"/>
      <c r="E931" s="687"/>
      <c r="F931" s="687"/>
      <c r="G931" s="687"/>
      <c r="H931" s="687"/>
      <c r="I931" s="687"/>
      <c r="J931" s="687"/>
      <c r="K931" s="687"/>
      <c r="L931" s="687"/>
      <c r="M931" s="687"/>
      <c r="N931" s="687"/>
      <c r="O931" s="687"/>
      <c r="P931" s="687"/>
      <c r="Q931" s="687"/>
      <c r="R931" s="687"/>
      <c r="S931" s="687"/>
      <c r="T931" s="687"/>
      <c r="U931" s="687"/>
      <c r="V931" s="687"/>
      <c r="W931" s="687"/>
      <c r="X931" s="687"/>
      <c r="Y931" s="687"/>
      <c r="Z931" s="687"/>
    </row>
    <row r="932" spans="1:26" ht="12" customHeight="1">
      <c r="A932" s="687"/>
      <c r="B932" s="687"/>
      <c r="C932" s="687"/>
      <c r="D932" s="687"/>
      <c r="E932" s="687"/>
      <c r="F932" s="687"/>
      <c r="G932" s="687"/>
      <c r="H932" s="687"/>
      <c r="I932" s="687"/>
      <c r="J932" s="687"/>
      <c r="K932" s="687"/>
      <c r="L932" s="687"/>
      <c r="M932" s="687"/>
      <c r="N932" s="687"/>
      <c r="O932" s="687"/>
      <c r="P932" s="687"/>
      <c r="Q932" s="687"/>
      <c r="R932" s="687"/>
      <c r="S932" s="687"/>
      <c r="T932" s="687"/>
      <c r="U932" s="687"/>
      <c r="V932" s="687"/>
      <c r="W932" s="687"/>
      <c r="X932" s="687"/>
      <c r="Y932" s="687"/>
      <c r="Z932" s="687"/>
    </row>
    <row r="933" spans="1:26" ht="12" customHeight="1">
      <c r="A933" s="687"/>
      <c r="B933" s="687"/>
      <c r="C933" s="687"/>
      <c r="D933" s="687"/>
      <c r="E933" s="687"/>
      <c r="F933" s="687"/>
      <c r="G933" s="687"/>
      <c r="H933" s="687"/>
      <c r="I933" s="687"/>
      <c r="J933" s="687"/>
      <c r="K933" s="687"/>
      <c r="L933" s="687"/>
      <c r="M933" s="687"/>
      <c r="N933" s="687"/>
      <c r="O933" s="687"/>
      <c r="P933" s="687"/>
      <c r="Q933" s="687"/>
      <c r="R933" s="687"/>
      <c r="S933" s="687"/>
      <c r="T933" s="687"/>
      <c r="U933" s="687"/>
      <c r="V933" s="687"/>
      <c r="W933" s="687"/>
      <c r="X933" s="687"/>
      <c r="Y933" s="687"/>
      <c r="Z933" s="687"/>
    </row>
    <row r="934" spans="1:26" ht="12" customHeight="1">
      <c r="A934" s="687"/>
      <c r="B934" s="687"/>
      <c r="C934" s="687"/>
      <c r="D934" s="687"/>
      <c r="E934" s="687"/>
      <c r="F934" s="687"/>
      <c r="G934" s="687"/>
      <c r="H934" s="687"/>
      <c r="I934" s="687"/>
      <c r="J934" s="687"/>
      <c r="K934" s="687"/>
      <c r="L934" s="687"/>
      <c r="M934" s="687"/>
      <c r="N934" s="687"/>
      <c r="O934" s="687"/>
      <c r="P934" s="687"/>
      <c r="Q934" s="687"/>
      <c r="R934" s="687"/>
      <c r="S934" s="687"/>
      <c r="T934" s="687"/>
      <c r="U934" s="687"/>
      <c r="V934" s="687"/>
      <c r="W934" s="687"/>
      <c r="X934" s="687"/>
      <c r="Y934" s="687"/>
      <c r="Z934" s="687"/>
    </row>
    <row r="935" spans="1:26" ht="12" customHeight="1">
      <c r="A935" s="687"/>
      <c r="B935" s="687"/>
      <c r="C935" s="687"/>
      <c r="D935" s="687"/>
      <c r="E935" s="687"/>
      <c r="F935" s="687"/>
      <c r="G935" s="687"/>
      <c r="H935" s="687"/>
      <c r="I935" s="687"/>
      <c r="J935" s="687"/>
      <c r="K935" s="687"/>
      <c r="L935" s="687"/>
      <c r="M935" s="687"/>
      <c r="N935" s="687"/>
      <c r="O935" s="687"/>
      <c r="P935" s="687"/>
      <c r="Q935" s="687"/>
      <c r="R935" s="687"/>
      <c r="S935" s="687"/>
      <c r="T935" s="687"/>
      <c r="U935" s="687"/>
      <c r="V935" s="687"/>
      <c r="W935" s="687"/>
      <c r="X935" s="687"/>
      <c r="Y935" s="687"/>
      <c r="Z935" s="687"/>
    </row>
    <row r="936" spans="1:26" ht="12" customHeight="1">
      <c r="A936" s="687"/>
      <c r="B936" s="687"/>
      <c r="C936" s="687"/>
      <c r="D936" s="687"/>
      <c r="E936" s="687"/>
      <c r="F936" s="687"/>
      <c r="G936" s="687"/>
      <c r="H936" s="687"/>
      <c r="I936" s="687"/>
      <c r="J936" s="687"/>
      <c r="K936" s="687"/>
      <c r="L936" s="687"/>
      <c r="M936" s="687"/>
      <c r="N936" s="687"/>
      <c r="O936" s="687"/>
      <c r="P936" s="687"/>
      <c r="Q936" s="687"/>
      <c r="R936" s="687"/>
      <c r="S936" s="687"/>
      <c r="T936" s="687"/>
      <c r="U936" s="687"/>
      <c r="V936" s="687"/>
      <c r="W936" s="687"/>
      <c r="X936" s="687"/>
      <c r="Y936" s="687"/>
      <c r="Z936" s="687"/>
    </row>
    <row r="937" spans="1:26" ht="12" customHeight="1">
      <c r="A937" s="687"/>
      <c r="B937" s="687"/>
      <c r="C937" s="687"/>
      <c r="D937" s="687"/>
      <c r="E937" s="687"/>
      <c r="F937" s="687"/>
      <c r="G937" s="687"/>
      <c r="H937" s="687"/>
      <c r="I937" s="687"/>
      <c r="J937" s="687"/>
      <c r="K937" s="687"/>
      <c r="L937" s="687"/>
      <c r="M937" s="687"/>
      <c r="N937" s="687"/>
      <c r="O937" s="687"/>
      <c r="P937" s="687"/>
      <c r="Q937" s="687"/>
      <c r="R937" s="687"/>
      <c r="S937" s="687"/>
      <c r="T937" s="687"/>
      <c r="U937" s="687"/>
      <c r="V937" s="687"/>
      <c r="W937" s="687"/>
      <c r="X937" s="687"/>
      <c r="Y937" s="687"/>
      <c r="Z937" s="687"/>
    </row>
    <row r="938" spans="1:26" ht="12" customHeight="1">
      <c r="A938" s="687"/>
      <c r="B938" s="687"/>
      <c r="C938" s="687"/>
      <c r="D938" s="687"/>
      <c r="E938" s="687"/>
      <c r="F938" s="687"/>
      <c r="G938" s="687"/>
      <c r="H938" s="687"/>
      <c r="I938" s="687"/>
      <c r="J938" s="687"/>
      <c r="K938" s="687"/>
      <c r="L938" s="687"/>
      <c r="M938" s="687"/>
      <c r="N938" s="687"/>
      <c r="O938" s="687"/>
      <c r="P938" s="687"/>
      <c r="Q938" s="687"/>
      <c r="R938" s="687"/>
      <c r="S938" s="687"/>
      <c r="T938" s="687"/>
      <c r="U938" s="687"/>
      <c r="V938" s="687"/>
      <c r="W938" s="687"/>
      <c r="X938" s="687"/>
      <c r="Y938" s="687"/>
      <c r="Z938" s="687"/>
    </row>
    <row r="939" spans="1:26" ht="12" customHeight="1">
      <c r="A939" s="687"/>
      <c r="B939" s="687"/>
      <c r="C939" s="687"/>
      <c r="D939" s="687"/>
      <c r="E939" s="687"/>
      <c r="F939" s="687"/>
      <c r="G939" s="687"/>
      <c r="H939" s="687"/>
      <c r="I939" s="687"/>
      <c r="J939" s="687"/>
      <c r="K939" s="687"/>
      <c r="L939" s="687"/>
      <c r="M939" s="687"/>
      <c r="N939" s="687"/>
      <c r="O939" s="687"/>
      <c r="P939" s="687"/>
      <c r="Q939" s="687"/>
      <c r="R939" s="687"/>
      <c r="S939" s="687"/>
      <c r="T939" s="687"/>
      <c r="U939" s="687"/>
      <c r="V939" s="687"/>
      <c r="W939" s="687"/>
      <c r="X939" s="687"/>
      <c r="Y939" s="687"/>
      <c r="Z939" s="687"/>
    </row>
    <row r="940" spans="1:26" ht="12" customHeight="1">
      <c r="A940" s="687"/>
      <c r="B940" s="687"/>
      <c r="C940" s="687"/>
      <c r="D940" s="687"/>
      <c r="E940" s="687"/>
      <c r="F940" s="687"/>
      <c r="G940" s="687"/>
      <c r="H940" s="687"/>
      <c r="I940" s="687"/>
      <c r="J940" s="687"/>
      <c r="K940" s="687"/>
      <c r="L940" s="687"/>
      <c r="M940" s="687"/>
      <c r="N940" s="687"/>
      <c r="O940" s="687"/>
      <c r="P940" s="687"/>
      <c r="Q940" s="687"/>
      <c r="R940" s="687"/>
      <c r="S940" s="687"/>
      <c r="T940" s="687"/>
      <c r="U940" s="687"/>
      <c r="V940" s="687"/>
      <c r="W940" s="687"/>
      <c r="X940" s="687"/>
      <c r="Y940" s="687"/>
      <c r="Z940" s="687"/>
    </row>
    <row r="941" spans="1:26" ht="12" customHeight="1">
      <c r="A941" s="687"/>
      <c r="B941" s="687"/>
      <c r="C941" s="687"/>
      <c r="D941" s="687"/>
      <c r="E941" s="687"/>
      <c r="F941" s="687"/>
      <c r="G941" s="687"/>
      <c r="H941" s="687"/>
      <c r="I941" s="687"/>
      <c r="J941" s="687"/>
      <c r="K941" s="687"/>
      <c r="L941" s="687"/>
      <c r="M941" s="687"/>
      <c r="N941" s="687"/>
      <c r="O941" s="687"/>
      <c r="P941" s="687"/>
      <c r="Q941" s="687"/>
      <c r="R941" s="687"/>
      <c r="S941" s="687"/>
      <c r="T941" s="687"/>
      <c r="U941" s="687"/>
      <c r="V941" s="687"/>
      <c r="W941" s="687"/>
      <c r="X941" s="687"/>
      <c r="Y941" s="687"/>
      <c r="Z941" s="687"/>
    </row>
    <row r="942" spans="1:26" ht="12" customHeight="1">
      <c r="A942" s="687"/>
      <c r="B942" s="687"/>
      <c r="C942" s="687"/>
      <c r="D942" s="687"/>
      <c r="E942" s="687"/>
      <c r="F942" s="687"/>
      <c r="G942" s="687"/>
      <c r="H942" s="687"/>
      <c r="I942" s="687"/>
      <c r="J942" s="687"/>
      <c r="K942" s="687"/>
      <c r="L942" s="687"/>
      <c r="M942" s="687"/>
      <c r="N942" s="687"/>
      <c r="O942" s="687"/>
      <c r="P942" s="687"/>
      <c r="Q942" s="687"/>
      <c r="R942" s="687"/>
      <c r="S942" s="687"/>
      <c r="T942" s="687"/>
      <c r="U942" s="687"/>
      <c r="V942" s="687"/>
      <c r="W942" s="687"/>
      <c r="X942" s="687"/>
      <c r="Y942" s="687"/>
      <c r="Z942" s="687"/>
    </row>
    <row r="943" spans="1:26" ht="12" customHeight="1">
      <c r="A943" s="687"/>
      <c r="B943" s="687"/>
      <c r="C943" s="687"/>
      <c r="D943" s="687"/>
      <c r="E943" s="687"/>
      <c r="F943" s="687"/>
      <c r="G943" s="687"/>
      <c r="H943" s="687"/>
      <c r="I943" s="687"/>
      <c r="J943" s="687"/>
      <c r="K943" s="687"/>
      <c r="L943" s="687"/>
      <c r="M943" s="687"/>
      <c r="N943" s="687"/>
      <c r="O943" s="687"/>
      <c r="P943" s="687"/>
      <c r="Q943" s="687"/>
      <c r="R943" s="687"/>
      <c r="S943" s="687"/>
      <c r="T943" s="687"/>
      <c r="U943" s="687"/>
      <c r="V943" s="687"/>
      <c r="W943" s="687"/>
      <c r="X943" s="687"/>
      <c r="Y943" s="687"/>
      <c r="Z943" s="687"/>
    </row>
    <row r="944" spans="1:26" ht="12" customHeight="1">
      <c r="A944" s="687"/>
      <c r="B944" s="687"/>
      <c r="C944" s="687"/>
      <c r="D944" s="687"/>
      <c r="E944" s="687"/>
      <c r="F944" s="687"/>
      <c r="G944" s="687"/>
      <c r="H944" s="687"/>
      <c r="I944" s="687"/>
      <c r="J944" s="687"/>
      <c r="K944" s="687"/>
      <c r="L944" s="687"/>
      <c r="M944" s="687"/>
      <c r="N944" s="687"/>
      <c r="O944" s="687"/>
      <c r="P944" s="687"/>
      <c r="Q944" s="687"/>
      <c r="R944" s="687"/>
      <c r="S944" s="687"/>
      <c r="T944" s="687"/>
      <c r="U944" s="687"/>
      <c r="V944" s="687"/>
      <c r="W944" s="687"/>
      <c r="X944" s="687"/>
      <c r="Y944" s="687"/>
      <c r="Z944" s="687"/>
    </row>
    <row r="945" spans="1:26" ht="12" customHeight="1">
      <c r="A945" s="687"/>
      <c r="B945" s="687"/>
      <c r="C945" s="687"/>
      <c r="D945" s="687"/>
      <c r="E945" s="687"/>
      <c r="F945" s="687"/>
      <c r="G945" s="687"/>
      <c r="H945" s="687"/>
      <c r="I945" s="687"/>
      <c r="J945" s="687"/>
      <c r="K945" s="687"/>
      <c r="L945" s="687"/>
      <c r="M945" s="687"/>
      <c r="N945" s="687"/>
      <c r="O945" s="687"/>
      <c r="P945" s="687"/>
      <c r="Q945" s="687"/>
      <c r="R945" s="687"/>
      <c r="S945" s="687"/>
      <c r="T945" s="687"/>
      <c r="U945" s="687"/>
      <c r="V945" s="687"/>
      <c r="W945" s="687"/>
      <c r="X945" s="687"/>
      <c r="Y945" s="687"/>
      <c r="Z945" s="687"/>
    </row>
    <row r="946" spans="1:26" ht="12" customHeight="1">
      <c r="A946" s="687"/>
      <c r="B946" s="687"/>
      <c r="C946" s="687"/>
      <c r="D946" s="687"/>
      <c r="E946" s="687"/>
      <c r="F946" s="687"/>
      <c r="G946" s="687"/>
      <c r="H946" s="687"/>
      <c r="I946" s="687"/>
      <c r="J946" s="687"/>
      <c r="K946" s="687"/>
      <c r="L946" s="687"/>
      <c r="M946" s="687"/>
      <c r="N946" s="687"/>
      <c r="O946" s="687"/>
      <c r="P946" s="687"/>
      <c r="Q946" s="687"/>
      <c r="R946" s="687"/>
      <c r="S946" s="687"/>
      <c r="T946" s="687"/>
      <c r="U946" s="687"/>
      <c r="V946" s="687"/>
      <c r="W946" s="687"/>
      <c r="X946" s="687"/>
      <c r="Y946" s="687"/>
      <c r="Z946" s="687"/>
    </row>
    <row r="947" spans="1:26" ht="12" customHeight="1">
      <c r="A947" s="687"/>
      <c r="B947" s="687"/>
      <c r="C947" s="687"/>
      <c r="D947" s="687"/>
      <c r="E947" s="687"/>
      <c r="F947" s="687"/>
      <c r="G947" s="687"/>
      <c r="H947" s="687"/>
      <c r="I947" s="687"/>
      <c r="J947" s="687"/>
      <c r="K947" s="687"/>
      <c r="L947" s="687"/>
      <c r="M947" s="687"/>
      <c r="N947" s="687"/>
      <c r="O947" s="687"/>
      <c r="P947" s="687"/>
      <c r="Q947" s="687"/>
      <c r="R947" s="687"/>
      <c r="S947" s="687"/>
      <c r="T947" s="687"/>
      <c r="U947" s="687"/>
      <c r="V947" s="687"/>
      <c r="W947" s="687"/>
      <c r="X947" s="687"/>
      <c r="Y947" s="687"/>
      <c r="Z947" s="687"/>
    </row>
    <row r="948" spans="1:26" ht="12" customHeight="1">
      <c r="A948" s="687"/>
      <c r="B948" s="687"/>
      <c r="C948" s="687"/>
      <c r="D948" s="687"/>
      <c r="E948" s="687"/>
      <c r="F948" s="687"/>
      <c r="G948" s="687"/>
      <c r="H948" s="687"/>
      <c r="I948" s="687"/>
      <c r="J948" s="687"/>
      <c r="K948" s="687"/>
      <c r="L948" s="687"/>
      <c r="M948" s="687"/>
      <c r="N948" s="687"/>
      <c r="O948" s="687"/>
      <c r="P948" s="687"/>
      <c r="Q948" s="687"/>
      <c r="R948" s="687"/>
      <c r="S948" s="687"/>
      <c r="T948" s="687"/>
      <c r="U948" s="687"/>
      <c r="V948" s="687"/>
      <c r="W948" s="687"/>
      <c r="X948" s="687"/>
      <c r="Y948" s="687"/>
      <c r="Z948" s="687"/>
    </row>
    <row r="949" spans="1:26" ht="12" customHeight="1">
      <c r="A949" s="687"/>
      <c r="B949" s="687"/>
      <c r="C949" s="687"/>
      <c r="D949" s="687"/>
      <c r="E949" s="687"/>
      <c r="F949" s="687"/>
      <c r="G949" s="687"/>
      <c r="H949" s="687"/>
      <c r="I949" s="687"/>
      <c r="J949" s="687"/>
      <c r="K949" s="687"/>
      <c r="L949" s="687"/>
      <c r="M949" s="687"/>
      <c r="N949" s="687"/>
      <c r="O949" s="687"/>
      <c r="P949" s="687"/>
      <c r="Q949" s="687"/>
      <c r="R949" s="687"/>
      <c r="S949" s="687"/>
      <c r="T949" s="687"/>
      <c r="U949" s="687"/>
      <c r="V949" s="687"/>
      <c r="W949" s="687"/>
      <c r="X949" s="687"/>
      <c r="Y949" s="687"/>
      <c r="Z949" s="687"/>
    </row>
    <row r="950" spans="1:26" ht="12" customHeight="1">
      <c r="A950" s="687"/>
      <c r="B950" s="687"/>
      <c r="C950" s="687"/>
      <c r="D950" s="687"/>
      <c r="E950" s="687"/>
      <c r="F950" s="687"/>
      <c r="G950" s="687"/>
      <c r="H950" s="687"/>
      <c r="I950" s="687"/>
      <c r="J950" s="687"/>
      <c r="K950" s="687"/>
      <c r="L950" s="687"/>
      <c r="M950" s="687"/>
      <c r="N950" s="687"/>
      <c r="O950" s="687"/>
      <c r="P950" s="687"/>
      <c r="Q950" s="687"/>
      <c r="R950" s="687"/>
      <c r="S950" s="687"/>
      <c r="T950" s="687"/>
      <c r="U950" s="687"/>
      <c r="V950" s="687"/>
      <c r="W950" s="687"/>
      <c r="X950" s="687"/>
      <c r="Y950" s="687"/>
      <c r="Z950" s="687"/>
    </row>
    <row r="951" spans="1:26" ht="12" customHeight="1">
      <c r="A951" s="687"/>
      <c r="B951" s="687"/>
      <c r="C951" s="687"/>
      <c r="D951" s="687"/>
      <c r="E951" s="687"/>
      <c r="F951" s="687"/>
      <c r="G951" s="687"/>
      <c r="H951" s="687"/>
      <c r="I951" s="687"/>
      <c r="J951" s="687"/>
      <c r="K951" s="687"/>
      <c r="L951" s="687"/>
      <c r="M951" s="687"/>
      <c r="N951" s="687"/>
      <c r="O951" s="687"/>
      <c r="P951" s="687"/>
      <c r="Q951" s="687"/>
      <c r="R951" s="687"/>
      <c r="S951" s="687"/>
      <c r="T951" s="687"/>
      <c r="U951" s="687"/>
      <c r="V951" s="687"/>
      <c r="W951" s="687"/>
      <c r="X951" s="687"/>
      <c r="Y951" s="687"/>
      <c r="Z951" s="687"/>
    </row>
    <row r="952" spans="1:26" ht="12" customHeight="1">
      <c r="A952" s="687"/>
      <c r="B952" s="687"/>
      <c r="C952" s="687"/>
      <c r="D952" s="687"/>
      <c r="E952" s="687"/>
      <c r="F952" s="687"/>
      <c r="G952" s="687"/>
      <c r="H952" s="687"/>
      <c r="I952" s="687"/>
      <c r="J952" s="687"/>
      <c r="K952" s="687"/>
      <c r="L952" s="687"/>
      <c r="M952" s="687"/>
      <c r="N952" s="687"/>
      <c r="O952" s="687"/>
      <c r="P952" s="687"/>
      <c r="Q952" s="687"/>
      <c r="R952" s="687"/>
      <c r="S952" s="687"/>
      <c r="T952" s="687"/>
      <c r="U952" s="687"/>
      <c r="V952" s="687"/>
      <c r="W952" s="687"/>
      <c r="X952" s="687"/>
      <c r="Y952" s="687"/>
      <c r="Z952" s="687"/>
    </row>
    <row r="953" spans="1:26" ht="12" customHeight="1">
      <c r="A953" s="687"/>
      <c r="B953" s="687"/>
      <c r="C953" s="687"/>
      <c r="D953" s="687"/>
      <c r="E953" s="687"/>
      <c r="F953" s="687"/>
      <c r="G953" s="687"/>
      <c r="H953" s="687"/>
      <c r="I953" s="687"/>
      <c r="J953" s="687"/>
      <c r="K953" s="687"/>
      <c r="L953" s="687"/>
      <c r="M953" s="687"/>
      <c r="N953" s="687"/>
      <c r="O953" s="687"/>
      <c r="P953" s="687"/>
      <c r="Q953" s="687"/>
      <c r="R953" s="687"/>
      <c r="S953" s="687"/>
      <c r="T953" s="687"/>
      <c r="U953" s="687"/>
      <c r="V953" s="687"/>
      <c r="W953" s="687"/>
      <c r="X953" s="687"/>
      <c r="Y953" s="687"/>
      <c r="Z953" s="687"/>
    </row>
    <row r="954" spans="1:26" ht="12" customHeight="1">
      <c r="A954" s="687"/>
      <c r="B954" s="687"/>
      <c r="C954" s="687"/>
      <c r="D954" s="687"/>
      <c r="E954" s="687"/>
      <c r="F954" s="687"/>
      <c r="G954" s="687"/>
      <c r="H954" s="687"/>
      <c r="I954" s="687"/>
      <c r="J954" s="687"/>
      <c r="K954" s="687"/>
      <c r="L954" s="687"/>
      <c r="M954" s="687"/>
      <c r="N954" s="687"/>
      <c r="O954" s="687"/>
      <c r="P954" s="687"/>
      <c r="Q954" s="687"/>
      <c r="R954" s="687"/>
      <c r="S954" s="687"/>
      <c r="T954" s="687"/>
      <c r="U954" s="687"/>
      <c r="V954" s="687"/>
      <c r="W954" s="687"/>
      <c r="X954" s="687"/>
      <c r="Y954" s="687"/>
      <c r="Z954" s="687"/>
    </row>
    <row r="955" spans="1:26" ht="12" customHeight="1">
      <c r="A955" s="687"/>
      <c r="B955" s="687"/>
      <c r="C955" s="687"/>
      <c r="D955" s="687"/>
      <c r="E955" s="687"/>
      <c r="F955" s="687"/>
      <c r="G955" s="687"/>
      <c r="H955" s="687"/>
      <c r="I955" s="687"/>
      <c r="J955" s="687"/>
      <c r="K955" s="687"/>
      <c r="L955" s="687"/>
      <c r="M955" s="687"/>
      <c r="N955" s="687"/>
      <c r="O955" s="687"/>
      <c r="P955" s="687"/>
      <c r="Q955" s="687"/>
      <c r="R955" s="687"/>
      <c r="S955" s="687"/>
      <c r="T955" s="687"/>
      <c r="U955" s="687"/>
      <c r="V955" s="687"/>
      <c r="W955" s="687"/>
      <c r="X955" s="687"/>
      <c r="Y955" s="687"/>
      <c r="Z955" s="687"/>
    </row>
    <row r="956" spans="1:26" ht="12" customHeight="1">
      <c r="A956" s="687"/>
      <c r="B956" s="687"/>
      <c r="C956" s="687"/>
      <c r="D956" s="687"/>
      <c r="E956" s="687"/>
      <c r="F956" s="687"/>
      <c r="G956" s="687"/>
      <c r="H956" s="687"/>
      <c r="I956" s="687"/>
      <c r="J956" s="687"/>
      <c r="K956" s="687"/>
      <c r="L956" s="687"/>
      <c r="M956" s="687"/>
      <c r="N956" s="687"/>
      <c r="O956" s="687"/>
      <c r="P956" s="687"/>
      <c r="Q956" s="687"/>
      <c r="R956" s="687"/>
      <c r="S956" s="687"/>
      <c r="T956" s="687"/>
      <c r="U956" s="687"/>
      <c r="V956" s="687"/>
      <c r="W956" s="687"/>
      <c r="X956" s="687"/>
      <c r="Y956" s="687"/>
      <c r="Z956" s="687"/>
    </row>
    <row r="957" spans="1:26" ht="12" customHeight="1">
      <c r="A957" s="687"/>
      <c r="B957" s="687"/>
      <c r="C957" s="687"/>
      <c r="D957" s="687"/>
      <c r="E957" s="687"/>
      <c r="F957" s="687"/>
      <c r="G957" s="687"/>
      <c r="H957" s="687"/>
      <c r="I957" s="687"/>
      <c r="J957" s="687"/>
      <c r="K957" s="687"/>
      <c r="L957" s="687"/>
      <c r="M957" s="687"/>
      <c r="N957" s="687"/>
      <c r="O957" s="687"/>
      <c r="P957" s="687"/>
      <c r="Q957" s="687"/>
      <c r="R957" s="687"/>
      <c r="S957" s="687"/>
      <c r="T957" s="687"/>
      <c r="U957" s="687"/>
      <c r="V957" s="687"/>
      <c r="W957" s="687"/>
      <c r="X957" s="687"/>
      <c r="Y957" s="687"/>
      <c r="Z957" s="687"/>
    </row>
    <row r="958" spans="1:26" ht="12" customHeight="1">
      <c r="A958" s="687"/>
      <c r="B958" s="687"/>
      <c r="C958" s="687"/>
      <c r="D958" s="687"/>
      <c r="E958" s="687"/>
      <c r="F958" s="687"/>
      <c r="G958" s="687"/>
      <c r="H958" s="687"/>
      <c r="I958" s="687"/>
      <c r="J958" s="687"/>
      <c r="K958" s="687"/>
      <c r="L958" s="687"/>
      <c r="M958" s="687"/>
      <c r="N958" s="687"/>
      <c r="O958" s="687"/>
      <c r="P958" s="687"/>
      <c r="Q958" s="687"/>
      <c r="R958" s="687"/>
      <c r="S958" s="687"/>
      <c r="T958" s="687"/>
      <c r="U958" s="687"/>
      <c r="V958" s="687"/>
      <c r="W958" s="687"/>
      <c r="X958" s="687"/>
      <c r="Y958" s="687"/>
      <c r="Z958" s="687"/>
    </row>
    <row r="959" spans="1:26" ht="12" customHeight="1">
      <c r="A959" s="687"/>
      <c r="B959" s="687"/>
      <c r="C959" s="687"/>
      <c r="D959" s="687"/>
      <c r="E959" s="687"/>
      <c r="F959" s="687"/>
      <c r="G959" s="687"/>
      <c r="H959" s="687"/>
      <c r="I959" s="687"/>
      <c r="J959" s="687"/>
      <c r="K959" s="687"/>
      <c r="L959" s="687"/>
      <c r="M959" s="687"/>
      <c r="N959" s="687"/>
      <c r="O959" s="687"/>
      <c r="P959" s="687"/>
      <c r="Q959" s="687"/>
      <c r="R959" s="687"/>
      <c r="S959" s="687"/>
      <c r="T959" s="687"/>
      <c r="U959" s="687"/>
      <c r="V959" s="687"/>
      <c r="W959" s="687"/>
      <c r="X959" s="687"/>
      <c r="Y959" s="687"/>
      <c r="Z959" s="687"/>
    </row>
    <row r="960" spans="1:26" ht="12" customHeight="1">
      <c r="A960" s="687"/>
      <c r="B960" s="687"/>
      <c r="C960" s="687"/>
      <c r="D960" s="687"/>
      <c r="E960" s="687"/>
      <c r="F960" s="687"/>
      <c r="G960" s="687"/>
      <c r="H960" s="687"/>
      <c r="I960" s="687"/>
      <c r="J960" s="687"/>
      <c r="K960" s="687"/>
      <c r="L960" s="687"/>
      <c r="M960" s="687"/>
      <c r="N960" s="687"/>
      <c r="O960" s="687"/>
      <c r="P960" s="687"/>
      <c r="Q960" s="687"/>
      <c r="R960" s="687"/>
      <c r="S960" s="687"/>
      <c r="T960" s="687"/>
      <c r="U960" s="687"/>
      <c r="V960" s="687"/>
      <c r="W960" s="687"/>
      <c r="X960" s="687"/>
      <c r="Y960" s="687"/>
      <c r="Z960" s="687"/>
    </row>
    <row r="961" spans="1:26" ht="12" customHeight="1">
      <c r="A961" s="687"/>
      <c r="B961" s="687"/>
      <c r="C961" s="687"/>
      <c r="D961" s="687"/>
      <c r="E961" s="687"/>
      <c r="F961" s="687"/>
      <c r="G961" s="687"/>
      <c r="H961" s="687"/>
      <c r="I961" s="687"/>
      <c r="J961" s="687"/>
      <c r="K961" s="687"/>
      <c r="L961" s="687"/>
      <c r="M961" s="687"/>
      <c r="N961" s="687"/>
      <c r="O961" s="687"/>
      <c r="P961" s="687"/>
      <c r="Q961" s="687"/>
      <c r="R961" s="687"/>
      <c r="S961" s="687"/>
      <c r="T961" s="687"/>
      <c r="U961" s="687"/>
      <c r="V961" s="687"/>
      <c r="W961" s="687"/>
      <c r="X961" s="687"/>
      <c r="Y961" s="687"/>
      <c r="Z961" s="687"/>
    </row>
    <row r="962" spans="1:26" ht="12" customHeight="1">
      <c r="A962" s="687"/>
      <c r="B962" s="687"/>
      <c r="C962" s="687"/>
      <c r="D962" s="687"/>
      <c r="E962" s="687"/>
      <c r="F962" s="687"/>
      <c r="G962" s="687"/>
      <c r="H962" s="687"/>
      <c r="I962" s="687"/>
      <c r="J962" s="687"/>
      <c r="K962" s="687"/>
      <c r="L962" s="687"/>
      <c r="M962" s="687"/>
      <c r="N962" s="687"/>
      <c r="O962" s="687"/>
      <c r="P962" s="687"/>
      <c r="Q962" s="687"/>
      <c r="R962" s="687"/>
      <c r="S962" s="687"/>
      <c r="T962" s="687"/>
      <c r="U962" s="687"/>
      <c r="V962" s="687"/>
      <c r="W962" s="687"/>
      <c r="X962" s="687"/>
      <c r="Y962" s="687"/>
      <c r="Z962" s="687"/>
    </row>
    <row r="963" spans="1:26" ht="12" customHeight="1">
      <c r="A963" s="687"/>
      <c r="B963" s="687"/>
      <c r="C963" s="687"/>
      <c r="D963" s="687"/>
      <c r="E963" s="687"/>
      <c r="F963" s="687"/>
      <c r="G963" s="687"/>
      <c r="H963" s="687"/>
      <c r="I963" s="687"/>
      <c r="J963" s="687"/>
      <c r="K963" s="687"/>
      <c r="L963" s="687"/>
      <c r="M963" s="687"/>
      <c r="N963" s="687"/>
      <c r="O963" s="687"/>
      <c r="P963" s="687"/>
      <c r="Q963" s="687"/>
      <c r="R963" s="687"/>
      <c r="S963" s="687"/>
      <c r="T963" s="687"/>
      <c r="U963" s="687"/>
      <c r="V963" s="687"/>
      <c r="W963" s="687"/>
      <c r="X963" s="687"/>
      <c r="Y963" s="687"/>
      <c r="Z963" s="687"/>
    </row>
    <row r="964" spans="1:26" ht="12" customHeight="1">
      <c r="A964" s="687"/>
      <c r="B964" s="687"/>
      <c r="C964" s="687"/>
      <c r="D964" s="687"/>
      <c r="E964" s="687"/>
      <c r="F964" s="687"/>
      <c r="G964" s="687"/>
      <c r="H964" s="687"/>
      <c r="I964" s="687"/>
      <c r="J964" s="687"/>
      <c r="K964" s="687"/>
      <c r="L964" s="687"/>
      <c r="M964" s="687"/>
      <c r="N964" s="687"/>
      <c r="O964" s="687"/>
      <c r="P964" s="687"/>
      <c r="Q964" s="687"/>
      <c r="R964" s="687"/>
      <c r="S964" s="687"/>
      <c r="T964" s="687"/>
      <c r="U964" s="687"/>
      <c r="V964" s="687"/>
      <c r="W964" s="687"/>
      <c r="X964" s="687"/>
      <c r="Y964" s="687"/>
      <c r="Z964" s="687"/>
    </row>
    <row r="965" spans="1:26" ht="12" customHeight="1">
      <c r="A965" s="687"/>
      <c r="B965" s="687"/>
      <c r="C965" s="687"/>
      <c r="D965" s="687"/>
      <c r="E965" s="687"/>
      <c r="F965" s="687"/>
      <c r="G965" s="687"/>
      <c r="H965" s="687"/>
      <c r="I965" s="687"/>
      <c r="J965" s="687"/>
      <c r="K965" s="687"/>
      <c r="L965" s="687"/>
      <c r="M965" s="687"/>
      <c r="N965" s="687"/>
      <c r="O965" s="687"/>
      <c r="P965" s="687"/>
      <c r="Q965" s="687"/>
      <c r="R965" s="687"/>
      <c r="S965" s="687"/>
      <c r="T965" s="687"/>
      <c r="U965" s="687"/>
      <c r="V965" s="687"/>
      <c r="W965" s="687"/>
      <c r="X965" s="687"/>
      <c r="Y965" s="687"/>
      <c r="Z965" s="687"/>
    </row>
    <row r="966" spans="1:26" ht="12" customHeight="1">
      <c r="A966" s="687"/>
      <c r="B966" s="687"/>
      <c r="C966" s="687"/>
      <c r="D966" s="687"/>
      <c r="E966" s="687"/>
      <c r="F966" s="687"/>
      <c r="G966" s="687"/>
      <c r="H966" s="687"/>
      <c r="I966" s="687"/>
      <c r="J966" s="687"/>
      <c r="K966" s="687"/>
      <c r="L966" s="687"/>
      <c r="M966" s="687"/>
      <c r="N966" s="687"/>
      <c r="O966" s="687"/>
      <c r="P966" s="687"/>
      <c r="Q966" s="687"/>
      <c r="R966" s="687"/>
      <c r="S966" s="687"/>
      <c r="T966" s="687"/>
      <c r="U966" s="687"/>
      <c r="V966" s="687"/>
      <c r="W966" s="687"/>
      <c r="X966" s="687"/>
      <c r="Y966" s="687"/>
      <c r="Z966" s="687"/>
    </row>
    <row r="967" spans="1:26" ht="12" customHeight="1">
      <c r="A967" s="687"/>
      <c r="B967" s="687"/>
      <c r="C967" s="687"/>
      <c r="D967" s="687"/>
      <c r="E967" s="687"/>
      <c r="F967" s="687"/>
      <c r="G967" s="687"/>
      <c r="H967" s="687"/>
      <c r="I967" s="687"/>
      <c r="J967" s="687"/>
      <c r="K967" s="687"/>
      <c r="L967" s="687"/>
      <c r="M967" s="687"/>
      <c r="N967" s="687"/>
      <c r="O967" s="687"/>
      <c r="P967" s="687"/>
      <c r="Q967" s="687"/>
      <c r="R967" s="687"/>
      <c r="S967" s="687"/>
      <c r="T967" s="687"/>
      <c r="U967" s="687"/>
      <c r="V967" s="687"/>
      <c r="W967" s="687"/>
      <c r="X967" s="687"/>
      <c r="Y967" s="687"/>
      <c r="Z967" s="687"/>
    </row>
    <row r="968" spans="1:26" ht="12" customHeight="1">
      <c r="A968" s="687"/>
      <c r="B968" s="687"/>
      <c r="C968" s="687"/>
      <c r="D968" s="687"/>
      <c r="E968" s="687"/>
      <c r="F968" s="687"/>
      <c r="G968" s="687"/>
      <c r="H968" s="687"/>
      <c r="I968" s="687"/>
      <c r="J968" s="687"/>
      <c r="K968" s="687"/>
      <c r="L968" s="687"/>
      <c r="M968" s="687"/>
      <c r="N968" s="687"/>
      <c r="O968" s="687"/>
      <c r="P968" s="687"/>
      <c r="Q968" s="687"/>
      <c r="R968" s="687"/>
      <c r="S968" s="687"/>
      <c r="T968" s="687"/>
      <c r="U968" s="687"/>
      <c r="V968" s="687"/>
      <c r="W968" s="687"/>
      <c r="X968" s="687"/>
      <c r="Y968" s="687"/>
      <c r="Z968" s="687"/>
    </row>
    <row r="969" spans="1:26" ht="12" customHeight="1">
      <c r="A969" s="687"/>
      <c r="B969" s="687"/>
      <c r="C969" s="687"/>
      <c r="D969" s="687"/>
      <c r="E969" s="687"/>
      <c r="F969" s="687"/>
      <c r="G969" s="687"/>
      <c r="H969" s="687"/>
      <c r="I969" s="687"/>
      <c r="J969" s="687"/>
      <c r="K969" s="687"/>
      <c r="L969" s="687"/>
      <c r="M969" s="687"/>
      <c r="N969" s="687"/>
      <c r="O969" s="687"/>
      <c r="P969" s="687"/>
      <c r="Q969" s="687"/>
      <c r="R969" s="687"/>
      <c r="S969" s="687"/>
      <c r="T969" s="687"/>
      <c r="U969" s="687"/>
      <c r="V969" s="687"/>
      <c r="W969" s="687"/>
      <c r="X969" s="687"/>
      <c r="Y969" s="687"/>
      <c r="Z969" s="687"/>
    </row>
    <row r="970" spans="1:26" ht="12" customHeight="1">
      <c r="A970" s="687"/>
      <c r="B970" s="687"/>
      <c r="C970" s="687"/>
      <c r="D970" s="687"/>
      <c r="E970" s="687"/>
      <c r="F970" s="687"/>
      <c r="G970" s="687"/>
      <c r="H970" s="687"/>
      <c r="I970" s="687"/>
      <c r="J970" s="687"/>
      <c r="K970" s="687"/>
      <c r="L970" s="687"/>
      <c r="M970" s="687"/>
      <c r="N970" s="687"/>
      <c r="O970" s="687"/>
      <c r="P970" s="687"/>
      <c r="Q970" s="687"/>
      <c r="R970" s="687"/>
      <c r="S970" s="687"/>
      <c r="T970" s="687"/>
      <c r="U970" s="687"/>
      <c r="V970" s="687"/>
      <c r="W970" s="687"/>
      <c r="X970" s="687"/>
      <c r="Y970" s="687"/>
      <c r="Z970" s="687"/>
    </row>
    <row r="971" spans="1:26" ht="12" customHeight="1">
      <c r="A971" s="687"/>
      <c r="B971" s="687"/>
      <c r="C971" s="687"/>
      <c r="D971" s="687"/>
      <c r="E971" s="687"/>
      <c r="F971" s="687"/>
      <c r="G971" s="687"/>
      <c r="H971" s="687"/>
      <c r="I971" s="687"/>
      <c r="J971" s="687"/>
      <c r="K971" s="687"/>
      <c r="L971" s="687"/>
      <c r="M971" s="687"/>
      <c r="N971" s="687"/>
      <c r="O971" s="687"/>
      <c r="P971" s="687"/>
      <c r="Q971" s="687"/>
      <c r="R971" s="687"/>
      <c r="S971" s="687"/>
      <c r="T971" s="687"/>
      <c r="U971" s="687"/>
      <c r="V971" s="687"/>
      <c r="W971" s="687"/>
      <c r="X971" s="687"/>
      <c r="Y971" s="687"/>
      <c r="Z971" s="687"/>
    </row>
    <row r="972" spans="1:26" ht="12" customHeight="1">
      <c r="A972" s="687"/>
      <c r="B972" s="687"/>
      <c r="C972" s="687"/>
      <c r="D972" s="687"/>
      <c r="E972" s="687"/>
      <c r="F972" s="687"/>
      <c r="G972" s="687"/>
      <c r="H972" s="687"/>
      <c r="I972" s="687"/>
      <c r="J972" s="687"/>
      <c r="K972" s="687"/>
      <c r="L972" s="687"/>
      <c r="M972" s="687"/>
      <c r="N972" s="687"/>
      <c r="O972" s="687"/>
      <c r="P972" s="687"/>
      <c r="Q972" s="687"/>
      <c r="R972" s="687"/>
      <c r="S972" s="687"/>
      <c r="T972" s="687"/>
      <c r="U972" s="687"/>
      <c r="V972" s="687"/>
      <c r="W972" s="687"/>
      <c r="X972" s="687"/>
      <c r="Y972" s="687"/>
      <c r="Z972" s="687"/>
    </row>
    <row r="973" spans="1:26" ht="12" customHeight="1">
      <c r="A973" s="687"/>
      <c r="B973" s="687"/>
      <c r="C973" s="687"/>
      <c r="D973" s="687"/>
      <c r="E973" s="687"/>
      <c r="F973" s="687"/>
      <c r="G973" s="687"/>
      <c r="H973" s="687"/>
      <c r="I973" s="687"/>
      <c r="J973" s="687"/>
      <c r="K973" s="687"/>
      <c r="L973" s="687"/>
      <c r="M973" s="687"/>
      <c r="N973" s="687"/>
      <c r="O973" s="687"/>
      <c r="P973" s="687"/>
      <c r="Q973" s="687"/>
      <c r="R973" s="687"/>
      <c r="S973" s="687"/>
      <c r="T973" s="687"/>
      <c r="U973" s="687"/>
      <c r="V973" s="687"/>
      <c r="W973" s="687"/>
      <c r="X973" s="687"/>
      <c r="Y973" s="687"/>
      <c r="Z973" s="687"/>
    </row>
    <row r="974" spans="1:26" ht="12" customHeight="1">
      <c r="A974" s="687"/>
      <c r="B974" s="687"/>
      <c r="C974" s="687"/>
      <c r="D974" s="687"/>
      <c r="E974" s="687"/>
      <c r="F974" s="687"/>
      <c r="G974" s="687"/>
      <c r="H974" s="687"/>
      <c r="I974" s="687"/>
      <c r="J974" s="687"/>
      <c r="K974" s="687"/>
      <c r="L974" s="687"/>
      <c r="M974" s="687"/>
      <c r="N974" s="687"/>
      <c r="O974" s="687"/>
      <c r="P974" s="687"/>
      <c r="Q974" s="687"/>
      <c r="R974" s="687"/>
      <c r="S974" s="687"/>
      <c r="T974" s="687"/>
      <c r="U974" s="687"/>
      <c r="V974" s="687"/>
      <c r="W974" s="687"/>
      <c r="X974" s="687"/>
      <c r="Y974" s="687"/>
      <c r="Z974" s="687"/>
    </row>
    <row r="975" spans="1:26" ht="12" customHeight="1">
      <c r="A975" s="687"/>
      <c r="B975" s="687"/>
      <c r="C975" s="687"/>
      <c r="D975" s="687"/>
      <c r="E975" s="687"/>
      <c r="F975" s="687"/>
      <c r="G975" s="687"/>
      <c r="H975" s="687"/>
      <c r="I975" s="687"/>
      <c r="J975" s="687"/>
      <c r="K975" s="687"/>
      <c r="L975" s="687"/>
      <c r="M975" s="687"/>
      <c r="N975" s="687"/>
      <c r="O975" s="687"/>
      <c r="P975" s="687"/>
      <c r="Q975" s="687"/>
      <c r="R975" s="687"/>
      <c r="S975" s="687"/>
      <c r="T975" s="687"/>
      <c r="U975" s="687"/>
      <c r="V975" s="687"/>
      <c r="W975" s="687"/>
      <c r="X975" s="687"/>
      <c r="Y975" s="687"/>
      <c r="Z975" s="687"/>
    </row>
    <row r="976" spans="1:26" ht="12" customHeight="1">
      <c r="A976" s="687"/>
      <c r="B976" s="687"/>
      <c r="C976" s="687"/>
      <c r="D976" s="687"/>
      <c r="E976" s="687"/>
      <c r="F976" s="687"/>
      <c r="G976" s="687"/>
      <c r="H976" s="687"/>
      <c r="I976" s="687"/>
      <c r="J976" s="687"/>
      <c r="K976" s="687"/>
      <c r="L976" s="687"/>
      <c r="M976" s="687"/>
      <c r="N976" s="687"/>
      <c r="O976" s="687"/>
      <c r="P976" s="687"/>
      <c r="Q976" s="687"/>
      <c r="R976" s="687"/>
      <c r="S976" s="687"/>
      <c r="T976" s="687"/>
      <c r="U976" s="687"/>
      <c r="V976" s="687"/>
      <c r="W976" s="687"/>
      <c r="X976" s="687"/>
      <c r="Y976" s="687"/>
      <c r="Z976" s="687"/>
    </row>
    <row r="977" spans="1:26" ht="12" customHeight="1">
      <c r="A977" s="687"/>
      <c r="B977" s="687"/>
      <c r="C977" s="687"/>
      <c r="D977" s="687"/>
      <c r="E977" s="687"/>
      <c r="F977" s="687"/>
      <c r="G977" s="687"/>
      <c r="H977" s="687"/>
      <c r="I977" s="687"/>
      <c r="J977" s="687"/>
      <c r="K977" s="687"/>
      <c r="L977" s="687"/>
      <c r="M977" s="687"/>
      <c r="N977" s="687"/>
      <c r="O977" s="687"/>
      <c r="P977" s="687"/>
      <c r="Q977" s="687"/>
      <c r="R977" s="687"/>
      <c r="S977" s="687"/>
      <c r="T977" s="687"/>
      <c r="U977" s="687"/>
      <c r="V977" s="687"/>
      <c r="W977" s="687"/>
      <c r="X977" s="687"/>
      <c r="Y977" s="687"/>
      <c r="Z977" s="687"/>
    </row>
    <row r="978" spans="1:26" ht="12" customHeight="1">
      <c r="A978" s="687"/>
      <c r="B978" s="687"/>
      <c r="C978" s="687"/>
      <c r="D978" s="687"/>
      <c r="E978" s="687"/>
      <c r="F978" s="687"/>
      <c r="G978" s="687"/>
      <c r="H978" s="687"/>
      <c r="I978" s="687"/>
      <c r="J978" s="687"/>
      <c r="K978" s="687"/>
      <c r="L978" s="687"/>
      <c r="M978" s="687"/>
      <c r="N978" s="687"/>
      <c r="O978" s="687"/>
      <c r="P978" s="687"/>
      <c r="Q978" s="687"/>
      <c r="R978" s="687"/>
      <c r="S978" s="687"/>
      <c r="T978" s="687"/>
      <c r="U978" s="687"/>
      <c r="V978" s="687"/>
      <c r="W978" s="687"/>
      <c r="X978" s="687"/>
      <c r="Y978" s="687"/>
      <c r="Z978" s="687"/>
    </row>
    <row r="979" spans="1:26" ht="12" customHeight="1">
      <c r="A979" s="687"/>
      <c r="B979" s="687"/>
      <c r="C979" s="687"/>
      <c r="D979" s="687"/>
      <c r="E979" s="687"/>
      <c r="F979" s="687"/>
      <c r="G979" s="687"/>
      <c r="H979" s="687"/>
      <c r="I979" s="687"/>
      <c r="J979" s="687"/>
      <c r="K979" s="687"/>
      <c r="L979" s="687"/>
      <c r="M979" s="687"/>
      <c r="N979" s="687"/>
      <c r="O979" s="687"/>
      <c r="P979" s="687"/>
      <c r="Q979" s="687"/>
      <c r="R979" s="687"/>
      <c r="S979" s="687"/>
      <c r="T979" s="687"/>
      <c r="U979" s="687"/>
      <c r="V979" s="687"/>
      <c r="W979" s="687"/>
      <c r="X979" s="687"/>
      <c r="Y979" s="687"/>
      <c r="Z979" s="687"/>
    </row>
    <row r="980" spans="1:26" ht="12" customHeight="1">
      <c r="A980" s="687"/>
      <c r="B980" s="687"/>
      <c r="C980" s="687"/>
      <c r="D980" s="687"/>
      <c r="E980" s="687"/>
      <c r="F980" s="687"/>
      <c r="G980" s="687"/>
      <c r="H980" s="687"/>
      <c r="I980" s="687"/>
      <c r="J980" s="687"/>
      <c r="K980" s="687"/>
      <c r="L980" s="687"/>
      <c r="M980" s="687"/>
      <c r="N980" s="687"/>
      <c r="O980" s="687"/>
      <c r="P980" s="687"/>
      <c r="Q980" s="687"/>
      <c r="R980" s="687"/>
      <c r="S980" s="687"/>
      <c r="T980" s="687"/>
      <c r="U980" s="687"/>
      <c r="V980" s="687"/>
      <c r="W980" s="687"/>
      <c r="X980" s="687"/>
      <c r="Y980" s="687"/>
      <c r="Z980" s="687"/>
    </row>
    <row r="981" spans="1:26" ht="12" customHeight="1">
      <c r="A981" s="687"/>
      <c r="B981" s="687"/>
      <c r="C981" s="687"/>
      <c r="D981" s="687"/>
      <c r="E981" s="687"/>
      <c r="F981" s="687"/>
      <c r="G981" s="687"/>
      <c r="H981" s="687"/>
      <c r="I981" s="687"/>
      <c r="J981" s="687"/>
      <c r="K981" s="687"/>
      <c r="L981" s="687"/>
      <c r="M981" s="687"/>
      <c r="N981" s="687"/>
      <c r="O981" s="687"/>
      <c r="P981" s="687"/>
      <c r="Q981" s="687"/>
      <c r="R981" s="687"/>
      <c r="S981" s="687"/>
      <c r="T981" s="687"/>
      <c r="U981" s="687"/>
      <c r="V981" s="687"/>
      <c r="W981" s="687"/>
      <c r="X981" s="687"/>
      <c r="Y981" s="687"/>
      <c r="Z981" s="687"/>
    </row>
    <row r="982" spans="1:26" ht="12" customHeight="1">
      <c r="A982" s="687"/>
      <c r="B982" s="687"/>
      <c r="C982" s="687"/>
      <c r="D982" s="687"/>
      <c r="E982" s="687"/>
      <c r="F982" s="687"/>
      <c r="G982" s="687"/>
      <c r="H982" s="687"/>
      <c r="I982" s="687"/>
      <c r="J982" s="687"/>
      <c r="K982" s="687"/>
      <c r="L982" s="687"/>
      <c r="M982" s="687"/>
      <c r="N982" s="687"/>
      <c r="O982" s="687"/>
      <c r="P982" s="687"/>
      <c r="Q982" s="687"/>
      <c r="R982" s="687"/>
      <c r="S982" s="687"/>
      <c r="T982" s="687"/>
      <c r="U982" s="687"/>
      <c r="V982" s="687"/>
      <c r="W982" s="687"/>
      <c r="X982" s="687"/>
      <c r="Y982" s="687"/>
      <c r="Z982" s="687"/>
    </row>
    <row r="983" spans="1:26" ht="12" customHeight="1">
      <c r="A983" s="687"/>
      <c r="B983" s="687"/>
      <c r="C983" s="687"/>
      <c r="D983" s="687"/>
      <c r="E983" s="687"/>
      <c r="F983" s="687"/>
      <c r="G983" s="687"/>
      <c r="H983" s="687"/>
      <c r="I983" s="687"/>
      <c r="J983" s="687"/>
      <c r="K983" s="687"/>
      <c r="L983" s="687"/>
      <c r="M983" s="687"/>
      <c r="N983" s="687"/>
      <c r="O983" s="687"/>
      <c r="P983" s="687"/>
      <c r="Q983" s="687"/>
      <c r="R983" s="687"/>
      <c r="S983" s="687"/>
      <c r="T983" s="687"/>
      <c r="U983" s="687"/>
      <c r="V983" s="687"/>
      <c r="W983" s="687"/>
      <c r="X983" s="687"/>
      <c r="Y983" s="687"/>
      <c r="Z983" s="687"/>
    </row>
    <row r="984" spans="1:26" ht="12" customHeight="1">
      <c r="A984" s="687"/>
      <c r="B984" s="687"/>
      <c r="C984" s="687"/>
      <c r="D984" s="687"/>
      <c r="E984" s="687"/>
      <c r="F984" s="687"/>
      <c r="G984" s="687"/>
      <c r="H984" s="687"/>
      <c r="I984" s="687"/>
      <c r="J984" s="687"/>
      <c r="K984" s="687"/>
      <c r="L984" s="687"/>
      <c r="M984" s="687"/>
      <c r="N984" s="687"/>
      <c r="O984" s="687"/>
      <c r="P984" s="687"/>
      <c r="Q984" s="687"/>
      <c r="R984" s="687"/>
      <c r="S984" s="687"/>
      <c r="T984" s="687"/>
      <c r="U984" s="687"/>
      <c r="V984" s="687"/>
      <c r="W984" s="687"/>
      <c r="X984" s="687"/>
      <c r="Y984" s="687"/>
      <c r="Z984" s="687"/>
    </row>
    <row r="985" spans="1:26" ht="12" customHeight="1">
      <c r="A985" s="687"/>
      <c r="B985" s="687"/>
      <c r="C985" s="687"/>
      <c r="D985" s="687"/>
      <c r="E985" s="687"/>
      <c r="F985" s="687"/>
      <c r="G985" s="687"/>
      <c r="H985" s="687"/>
      <c r="I985" s="687"/>
      <c r="J985" s="687"/>
      <c r="K985" s="687"/>
      <c r="L985" s="687"/>
      <c r="M985" s="687"/>
      <c r="N985" s="687"/>
      <c r="O985" s="687"/>
      <c r="P985" s="687"/>
      <c r="Q985" s="687"/>
      <c r="R985" s="687"/>
      <c r="S985" s="687"/>
      <c r="T985" s="687"/>
      <c r="U985" s="687"/>
      <c r="V985" s="687"/>
      <c r="W985" s="687"/>
      <c r="X985" s="687"/>
      <c r="Y985" s="687"/>
      <c r="Z985" s="687"/>
    </row>
    <row r="986" spans="1:26" ht="12" customHeight="1">
      <c r="A986" s="687"/>
      <c r="B986" s="687"/>
      <c r="C986" s="687"/>
      <c r="D986" s="687"/>
      <c r="E986" s="687"/>
      <c r="F986" s="687"/>
      <c r="G986" s="687"/>
      <c r="H986" s="687"/>
      <c r="I986" s="687"/>
      <c r="J986" s="687"/>
      <c r="K986" s="687"/>
      <c r="L986" s="687"/>
      <c r="M986" s="687"/>
      <c r="N986" s="687"/>
      <c r="O986" s="687"/>
      <c r="P986" s="687"/>
      <c r="Q986" s="687"/>
      <c r="R986" s="687"/>
      <c r="S986" s="687"/>
      <c r="T986" s="687"/>
      <c r="U986" s="687"/>
      <c r="V986" s="687"/>
      <c r="W986" s="687"/>
      <c r="X986" s="687"/>
      <c r="Y986" s="687"/>
      <c r="Z986" s="687"/>
    </row>
    <row r="987" spans="1:26" ht="12" customHeight="1">
      <c r="A987" s="687"/>
      <c r="B987" s="687"/>
      <c r="C987" s="687"/>
      <c r="D987" s="687"/>
      <c r="E987" s="687"/>
      <c r="F987" s="687"/>
      <c r="G987" s="687"/>
      <c r="H987" s="687"/>
      <c r="I987" s="687"/>
      <c r="J987" s="687"/>
      <c r="K987" s="687"/>
      <c r="L987" s="687"/>
      <c r="M987" s="687"/>
      <c r="N987" s="687"/>
      <c r="O987" s="687"/>
      <c r="P987" s="687"/>
      <c r="Q987" s="687"/>
      <c r="R987" s="687"/>
      <c r="S987" s="687"/>
      <c r="T987" s="687"/>
      <c r="U987" s="687"/>
      <c r="V987" s="687"/>
      <c r="W987" s="687"/>
      <c r="X987" s="687"/>
      <c r="Y987" s="687"/>
      <c r="Z987" s="687"/>
    </row>
    <row r="988" spans="1:26" ht="12" customHeight="1">
      <c r="A988" s="687"/>
      <c r="B988" s="687"/>
      <c r="C988" s="687"/>
      <c r="D988" s="687"/>
      <c r="E988" s="687"/>
      <c r="F988" s="687"/>
      <c r="G988" s="687"/>
      <c r="H988" s="687"/>
      <c r="I988" s="687"/>
      <c r="J988" s="687"/>
      <c r="K988" s="687"/>
      <c r="L988" s="687"/>
      <c r="M988" s="687"/>
      <c r="N988" s="687"/>
      <c r="O988" s="687"/>
      <c r="P988" s="687"/>
      <c r="Q988" s="687"/>
      <c r="R988" s="687"/>
      <c r="S988" s="687"/>
      <c r="T988" s="687"/>
      <c r="U988" s="687"/>
      <c r="V988" s="687"/>
      <c r="W988" s="687"/>
      <c r="X988" s="687"/>
      <c r="Y988" s="687"/>
      <c r="Z988" s="687"/>
    </row>
    <row r="989" spans="1:26" ht="12" customHeight="1">
      <c r="A989" s="687"/>
      <c r="B989" s="687"/>
      <c r="C989" s="687"/>
      <c r="D989" s="687"/>
      <c r="E989" s="687"/>
      <c r="F989" s="687"/>
      <c r="G989" s="687"/>
      <c r="H989" s="687"/>
      <c r="I989" s="687"/>
      <c r="J989" s="687"/>
      <c r="K989" s="687"/>
      <c r="L989" s="687"/>
      <c r="M989" s="687"/>
      <c r="N989" s="687"/>
      <c r="O989" s="687"/>
      <c r="P989" s="687"/>
      <c r="Q989" s="687"/>
      <c r="R989" s="687"/>
      <c r="S989" s="687"/>
      <c r="T989" s="687"/>
      <c r="U989" s="687"/>
      <c r="V989" s="687"/>
      <c r="W989" s="687"/>
      <c r="X989" s="687"/>
      <c r="Y989" s="687"/>
      <c r="Z989" s="687"/>
    </row>
    <row r="990" spans="1:26" ht="12" customHeight="1">
      <c r="A990" s="687"/>
      <c r="B990" s="687"/>
      <c r="C990" s="687"/>
      <c r="D990" s="687"/>
      <c r="E990" s="687"/>
      <c r="F990" s="687"/>
      <c r="G990" s="687"/>
      <c r="H990" s="687"/>
      <c r="I990" s="687"/>
      <c r="J990" s="687"/>
      <c r="K990" s="687"/>
      <c r="L990" s="687"/>
      <c r="M990" s="687"/>
      <c r="N990" s="687"/>
      <c r="O990" s="687"/>
      <c r="P990" s="687"/>
      <c r="Q990" s="687"/>
      <c r="R990" s="687"/>
      <c r="S990" s="687"/>
      <c r="T990" s="687"/>
      <c r="U990" s="687"/>
      <c r="V990" s="687"/>
      <c r="W990" s="687"/>
      <c r="X990" s="687"/>
      <c r="Y990" s="687"/>
      <c r="Z990" s="687"/>
    </row>
    <row r="991" spans="1:26" ht="12" customHeight="1">
      <c r="A991" s="687"/>
      <c r="B991" s="687"/>
      <c r="C991" s="687"/>
      <c r="D991" s="687"/>
      <c r="E991" s="687"/>
      <c r="F991" s="687"/>
      <c r="G991" s="687"/>
      <c r="H991" s="687"/>
      <c r="I991" s="687"/>
      <c r="J991" s="687"/>
      <c r="K991" s="687"/>
      <c r="L991" s="687"/>
      <c r="M991" s="687"/>
      <c r="N991" s="687"/>
      <c r="O991" s="687"/>
      <c r="P991" s="687"/>
      <c r="Q991" s="687"/>
      <c r="R991" s="687"/>
      <c r="S991" s="687"/>
      <c r="T991" s="687"/>
      <c r="U991" s="687"/>
      <c r="V991" s="687"/>
      <c r="W991" s="687"/>
      <c r="X991" s="687"/>
      <c r="Y991" s="687"/>
      <c r="Z991" s="687"/>
    </row>
    <row r="992" spans="1:26" ht="12" customHeight="1">
      <c r="A992" s="687"/>
      <c r="B992" s="687"/>
      <c r="C992" s="687"/>
      <c r="D992" s="687"/>
      <c r="E992" s="687"/>
      <c r="F992" s="687"/>
      <c r="G992" s="687"/>
      <c r="H992" s="687"/>
      <c r="I992" s="687"/>
      <c r="J992" s="687"/>
      <c r="K992" s="687"/>
      <c r="L992" s="687"/>
      <c r="M992" s="687"/>
      <c r="N992" s="687"/>
      <c r="O992" s="687"/>
      <c r="P992" s="687"/>
      <c r="Q992" s="687"/>
      <c r="R992" s="687"/>
      <c r="S992" s="687"/>
      <c r="T992" s="687"/>
      <c r="U992" s="687"/>
      <c r="V992" s="687"/>
      <c r="W992" s="687"/>
      <c r="X992" s="687"/>
      <c r="Y992" s="687"/>
      <c r="Z992" s="687"/>
    </row>
    <row r="993" spans="1:26" ht="12" customHeight="1">
      <c r="A993" s="687"/>
      <c r="B993" s="687"/>
      <c r="C993" s="687"/>
      <c r="D993" s="687"/>
      <c r="E993" s="687"/>
      <c r="F993" s="687"/>
      <c r="G993" s="687"/>
      <c r="H993" s="687"/>
      <c r="I993" s="687"/>
      <c r="J993" s="687"/>
      <c r="K993" s="687"/>
      <c r="L993" s="687"/>
      <c r="M993" s="687"/>
      <c r="N993" s="687"/>
      <c r="O993" s="687"/>
      <c r="P993" s="687"/>
      <c r="Q993" s="687"/>
      <c r="R993" s="687"/>
      <c r="S993" s="687"/>
      <c r="T993" s="687"/>
      <c r="U993" s="687"/>
      <c r="V993" s="687"/>
      <c r="W993" s="687"/>
      <c r="X993" s="687"/>
      <c r="Y993" s="687"/>
      <c r="Z993" s="687"/>
    </row>
    <row r="994" spans="1:26" ht="12" customHeight="1">
      <c r="A994" s="687"/>
      <c r="B994" s="687"/>
      <c r="C994" s="687"/>
      <c r="D994" s="687"/>
      <c r="E994" s="687"/>
      <c r="F994" s="687"/>
      <c r="G994" s="687"/>
      <c r="H994" s="687"/>
      <c r="I994" s="687"/>
      <c r="J994" s="687"/>
      <c r="K994" s="687"/>
      <c r="L994" s="687"/>
      <c r="M994" s="687"/>
      <c r="N994" s="687"/>
      <c r="O994" s="687"/>
      <c r="P994" s="687"/>
      <c r="Q994" s="687"/>
      <c r="R994" s="687"/>
      <c r="S994" s="687"/>
      <c r="T994" s="687"/>
      <c r="U994" s="687"/>
      <c r="V994" s="687"/>
      <c r="W994" s="687"/>
      <c r="X994" s="687"/>
      <c r="Y994" s="687"/>
      <c r="Z994" s="687"/>
    </row>
    <row r="995" spans="1:26" ht="12" customHeight="1">
      <c r="A995" s="687"/>
      <c r="B995" s="687"/>
      <c r="C995" s="687"/>
      <c r="D995" s="687"/>
      <c r="E995" s="687"/>
      <c r="F995" s="687"/>
      <c r="G995" s="687"/>
      <c r="H995" s="687"/>
      <c r="I995" s="687"/>
      <c r="J995" s="687"/>
      <c r="K995" s="687"/>
      <c r="L995" s="687"/>
      <c r="M995" s="687"/>
      <c r="N995" s="687"/>
      <c r="O995" s="687"/>
      <c r="P995" s="687"/>
      <c r="Q995" s="687"/>
      <c r="R995" s="687"/>
      <c r="S995" s="687"/>
      <c r="T995" s="687"/>
      <c r="U995" s="687"/>
      <c r="V995" s="687"/>
      <c r="W995" s="687"/>
      <c r="X995" s="687"/>
      <c r="Y995" s="687"/>
      <c r="Z995" s="687"/>
    </row>
    <row r="996" spans="1:26" ht="12" customHeight="1">
      <c r="A996" s="687"/>
      <c r="B996" s="687"/>
      <c r="C996" s="687"/>
      <c r="D996" s="687"/>
      <c r="E996" s="687"/>
      <c r="F996" s="687"/>
      <c r="G996" s="687"/>
      <c r="H996" s="687"/>
      <c r="I996" s="687"/>
      <c r="J996" s="687"/>
      <c r="K996" s="687"/>
      <c r="L996" s="687"/>
      <c r="M996" s="687"/>
      <c r="N996" s="687"/>
      <c r="O996" s="687"/>
      <c r="P996" s="687"/>
      <c r="Q996" s="687"/>
      <c r="R996" s="687"/>
      <c r="S996" s="687"/>
      <c r="T996" s="687"/>
      <c r="U996" s="687"/>
      <c r="V996" s="687"/>
      <c r="W996" s="687"/>
      <c r="X996" s="687"/>
      <c r="Y996" s="687"/>
      <c r="Z996" s="687"/>
    </row>
    <row r="997" spans="1:26" ht="12" customHeight="1">
      <c r="A997" s="687"/>
      <c r="B997" s="687"/>
      <c r="C997" s="687"/>
      <c r="D997" s="687"/>
      <c r="E997" s="687"/>
      <c r="F997" s="687"/>
      <c r="G997" s="687"/>
      <c r="H997" s="687"/>
      <c r="I997" s="687"/>
      <c r="J997" s="687"/>
      <c r="K997" s="687"/>
      <c r="L997" s="687"/>
      <c r="M997" s="687"/>
      <c r="N997" s="687"/>
      <c r="O997" s="687"/>
      <c r="P997" s="687"/>
      <c r="Q997" s="687"/>
      <c r="R997" s="687"/>
      <c r="S997" s="687"/>
      <c r="T997" s="687"/>
      <c r="U997" s="687"/>
      <c r="V997" s="687"/>
      <c r="W997" s="687"/>
      <c r="X997" s="687"/>
      <c r="Y997" s="687"/>
      <c r="Z997" s="687"/>
    </row>
    <row r="998" spans="1:26" ht="12" customHeight="1">
      <c r="A998" s="687"/>
      <c r="B998" s="687"/>
      <c r="C998" s="687"/>
      <c r="D998" s="687"/>
      <c r="E998" s="687"/>
      <c r="F998" s="687"/>
      <c r="G998" s="687"/>
      <c r="H998" s="687"/>
      <c r="I998" s="687"/>
      <c r="J998" s="687"/>
      <c r="K998" s="687"/>
      <c r="L998" s="687"/>
      <c r="M998" s="687"/>
      <c r="N998" s="687"/>
      <c r="O998" s="687"/>
      <c r="P998" s="687"/>
      <c r="Q998" s="687"/>
      <c r="R998" s="687"/>
      <c r="S998" s="687"/>
      <c r="T998" s="687"/>
      <c r="U998" s="687"/>
      <c r="V998" s="687"/>
      <c r="W998" s="687"/>
      <c r="X998" s="687"/>
      <c r="Y998" s="687"/>
      <c r="Z998" s="687"/>
    </row>
    <row r="999" spans="1:26" ht="12" customHeight="1">
      <c r="A999" s="687"/>
      <c r="B999" s="687"/>
      <c r="C999" s="687"/>
      <c r="D999" s="687"/>
      <c r="E999" s="687"/>
      <c r="F999" s="687"/>
      <c r="G999" s="687"/>
      <c r="H999" s="687"/>
      <c r="I999" s="687"/>
      <c r="J999" s="687"/>
      <c r="K999" s="687"/>
      <c r="L999" s="687"/>
      <c r="M999" s="687"/>
      <c r="N999" s="687"/>
      <c r="O999" s="687"/>
      <c r="P999" s="687"/>
      <c r="Q999" s="687"/>
      <c r="R999" s="687"/>
      <c r="S999" s="687"/>
      <c r="T999" s="687"/>
      <c r="U999" s="687"/>
      <c r="V999" s="687"/>
      <c r="W999" s="687"/>
      <c r="X999" s="687"/>
      <c r="Y999" s="687"/>
      <c r="Z999" s="687"/>
    </row>
    <row r="1000" spans="1:26" ht="12" customHeight="1">
      <c r="A1000" s="687"/>
      <c r="B1000" s="687"/>
      <c r="C1000" s="687"/>
      <c r="D1000" s="687"/>
      <c r="E1000" s="687"/>
      <c r="F1000" s="687"/>
      <c r="G1000" s="687"/>
      <c r="H1000" s="687"/>
      <c r="I1000" s="687"/>
      <c r="J1000" s="687"/>
      <c r="K1000" s="687"/>
      <c r="L1000" s="687"/>
      <c r="M1000" s="687"/>
      <c r="N1000" s="687"/>
      <c r="O1000" s="687"/>
      <c r="P1000" s="687"/>
      <c r="Q1000" s="687"/>
      <c r="R1000" s="687"/>
      <c r="S1000" s="687"/>
      <c r="T1000" s="687"/>
      <c r="U1000" s="687"/>
      <c r="V1000" s="687"/>
      <c r="W1000" s="687"/>
      <c r="X1000" s="687"/>
      <c r="Y1000" s="687"/>
      <c r="Z1000" s="687"/>
    </row>
  </sheetData>
  <mergeCells count="6">
    <mergeCell ref="R7:R74"/>
    <mergeCell ref="B18:B19"/>
    <mergeCell ref="B45:B47"/>
    <mergeCell ref="W75:W85"/>
    <mergeCell ref="K298:K355"/>
    <mergeCell ref="L330:L395"/>
  </mergeCells>
  <phoneticPr fontId="102" type="noConversion"/>
  <pageMargins left="0.7" right="0.7" top="0.75" bottom="0.75" header="0" footer="0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</vt:i4>
      </vt:variant>
    </vt:vector>
  </HeadingPairs>
  <TitlesOfParts>
    <vt:vector size="9" baseType="lpstr">
      <vt:lpstr>건축개요</vt:lpstr>
      <vt:lpstr>사업검토</vt:lpstr>
      <vt:lpstr>개발-운영</vt:lpstr>
      <vt:lpstr>English</vt:lpstr>
      <vt:lpstr>개발부담금</vt:lpstr>
      <vt:lpstr>토지조서</vt:lpstr>
      <vt:lpstr>세금</vt:lpstr>
      <vt:lpstr>Land_summary</vt:lpstr>
      <vt:lpstr>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박준형</cp:lastModifiedBy>
  <cp:revision/>
  <dcterms:created xsi:type="dcterms:W3CDTF">2025-11-27T03:54:30Z</dcterms:created>
  <dcterms:modified xsi:type="dcterms:W3CDTF">2025-12-02T12:44:01Z</dcterms:modified>
  <cp:category/>
  <cp:contentStatus/>
</cp:coreProperties>
</file>